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comments12.xml" ContentType="application/vnd.openxmlformats-officedocument.spreadsheetml.comments+xml"/>
  <Override PartName="/xl/comments13.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3740" activeTab="5"/>
  </bookViews>
  <sheets>
    <sheet name="Overview" sheetId="1" r:id="rId1"/>
    <sheet name="Results" sheetId="2" r:id="rId2"/>
    <sheet name="Ranking" sheetId="3" r:id="rId3"/>
    <sheet name="Team Stats" sheetId="4" r:id="rId4"/>
    <sheet name="Player Stats" sheetId="5" r:id="rId5"/>
    <sheet name="T1" sheetId="6" r:id="rId6"/>
    <sheet name="T2" sheetId="7" r:id="rId7"/>
    <sheet name="T3" sheetId="8" r:id="rId8"/>
    <sheet name="T4" sheetId="9" r:id="rId9"/>
    <sheet name="T5" sheetId="10" r:id="rId10"/>
    <sheet name="T6" sheetId="11" r:id="rId11"/>
    <sheet name="T7" sheetId="12" r:id="rId12"/>
    <sheet name="T8" sheetId="13" r:id="rId13"/>
    <sheet name="T9" sheetId="14" r:id="rId14"/>
    <sheet name="T10" sheetId="15" r:id="rId15"/>
    <sheet name="HallOfFame" sheetId="16" r:id="rId16"/>
    <sheet name="Team Template" sheetId="17" r:id="rId17"/>
    <sheet name="Readme" sheetId="18" r:id="rId18"/>
    <sheet name="Database" sheetId="19" r:id="rId19"/>
  </sheets>
  <definedNames>
    <definedName name="Brick">Database!$T$10</definedName>
    <definedName name="DBPlayers">Database!$E$6:$O$114</definedName>
    <definedName name="DBSkills">Database!$B$33:$C$99</definedName>
    <definedName name="DBStars">Database!$T$6:$Z$62</definedName>
    <definedName name="DBTeams">Database!$B$6:$C$29</definedName>
    <definedName name="DBTeamStars">Database!$Q$6:$R$149</definedName>
    <definedName name="ExistsTx">Database!$AB$47:$AC$71</definedName>
    <definedName name="Finalranking">Ranking!$O$3:$T$27</definedName>
    <definedName name="GameTypes">Database!$AF$32:$AF$35</definedName>
    <definedName name="Goblin">Database!$B$14</definedName>
    <definedName name="Grotty">Database!$T$23</definedName>
    <definedName name="Halfling">Database!$B$15</definedName>
    <definedName name="IMP_AG">Database!$AC$43</definedName>
    <definedName name="IMP_AV">Database!$AC$42</definedName>
    <definedName name="IMP_DOUBLE">Database!$AC$40</definedName>
    <definedName name="IMP_MA">Database!$AC$41</definedName>
    <definedName name="IMP_REGULAR">Database!$AC$39</definedName>
    <definedName name="IMP_ST">Database!$AC$44</definedName>
    <definedName name="ListTeams">'Team Stats'!$N$3:$N$27</definedName>
    <definedName name="NoTeams">#REF!</definedName>
    <definedName name="PCOUNT_CP">'Player Stats'!$A$504</definedName>
    <definedName name="PCOUNT_CS">'Player Stats'!$D$504</definedName>
    <definedName name="PCOUNT_IN">'Player Stats'!$C$504</definedName>
    <definedName name="PCOUNT_SP">'Player Stats'!$F$504</definedName>
    <definedName name="PCOUNT_TD">'Player Stats'!$B$504</definedName>
    <definedName name="PCOUNT_VP">'Player Stats'!$E$504</definedName>
    <definedName name="PSTAT_CP">'Player Stats'!$L$3:$L$503</definedName>
    <definedName name="PSTAT_CS">'Player Stats'!$O$3:$O$503</definedName>
    <definedName name="PSTAT_IN">'Player Stats'!$N$3:$N$503</definedName>
    <definedName name="PSTAT_SP">'Player Stats'!$Q$3:$Q$503</definedName>
    <definedName name="PSTAT_TD">'Player Stats'!$M$3:$M$503</definedName>
    <definedName name="PSTAT_VP">'Player Stats'!$P$3:$P$503</definedName>
    <definedName name="PSTATS">'Player Stats'!$A$3:$Q$503</definedName>
    <definedName name="PTS_CS_MAX">Database!$AC$15</definedName>
    <definedName name="PTS_CS_MIN">Database!$AC$16</definedName>
    <definedName name="PTS_CS_THRESHOLD">Database!$AC$17</definedName>
    <definedName name="PTS_LOSS">Database!$AC$7</definedName>
    <definedName name="PTS_PER_CS_AG">Database!$AC$14</definedName>
    <definedName name="PTS_PER_CS_FOR">Database!$AC$13</definedName>
    <definedName name="PTS_PER_TD_AG">Database!$AC$9</definedName>
    <definedName name="PTS_PER_TD_FOR">Database!$AC$8</definedName>
    <definedName name="PTS_TD_CS_COMB_THRES">Database!$AC$20</definedName>
    <definedName name="PTS_TD_CS_MAX">Database!$AC$18</definedName>
    <definedName name="PTS_TD_CS_MIN">Database!$AC$19</definedName>
    <definedName name="PTS_TD_MAX">Database!$AC$10</definedName>
    <definedName name="PTS_TD_MIN">Database!$AC$11</definedName>
    <definedName name="PTS_TD_THRESHOLD">Database!$AC$12</definedName>
    <definedName name="PTS_TIE">Database!$AC$6</definedName>
    <definedName name="PTS_WIN">Database!$AC$5</definedName>
    <definedName name="PTS_WINRATIO">Database!$AC$21</definedName>
    <definedName name="RankingSelection">Ranking!$W$3:$W$27</definedName>
    <definedName name="RES_A" localSheetId="0">Overview!$E$4:$E$28</definedName>
    <definedName name="RES_A">Results!$E$4:$E$503</definedName>
    <definedName name="RES_CAS_A">Results!$I$4:$I$503</definedName>
    <definedName name="RES_CAS_H">Results!$H$4:$H$503</definedName>
    <definedName name="RES_GATE" localSheetId="0">Overview!$N$4:$N$28</definedName>
    <definedName name="RES_GATE">Results!$T$4:$T$503</definedName>
    <definedName name="RES_GATE_A">Results!$K$4:$K$503</definedName>
    <definedName name="RES_GATE_DATA" localSheetId="0">Overview!$M$4:$O$28</definedName>
    <definedName name="RES_GATE_DATA">Results!$S$4:$U$503</definedName>
    <definedName name="RES_GATE_H">Results!$J$4:$J$503</definedName>
    <definedName name="RES_H" localSheetId="0">Overview!$D$4:$D$28</definedName>
    <definedName name="RES_H">Results!$D$4:$D$503</definedName>
    <definedName name="RES_PTS_A" localSheetId="0">Overview!$J$4:$J$28</definedName>
    <definedName name="RES_PTS_A">Results!$P$4:$P$503</definedName>
    <definedName name="RES_PTS_H" localSheetId="0">Overview!$I$4:$I$28</definedName>
    <definedName name="RES_PTS_H">Results!$O$4:$O$503</definedName>
    <definedName name="RES_RANK_GATE" localSheetId="0">Overview!$M$4:$M$28</definedName>
    <definedName name="RES_RANK_GATE">Results!$S$4:$S$503</definedName>
    <definedName name="RES_TD_A">Results!$G$4:$G$503</definedName>
    <definedName name="RES_TD_H" localSheetId="0">Overview!$F$4:$F$28</definedName>
    <definedName name="RES_TD_H">Results!$F$4:$F$503</definedName>
    <definedName name="RES_TYPE">Results!$L$4:$L$503</definedName>
    <definedName name="RES_WIN_A" localSheetId="0">Overview!$L$4:$L$28</definedName>
    <definedName name="RES_WIN_A">Results!$R$4:$R$503</definedName>
    <definedName name="RES_WIN_H" localSheetId="0">Overview!$K$4:$K$28</definedName>
    <definedName name="RES_WIN_H">Results!$Q$4:$Q$503</definedName>
    <definedName name="RetireTypes">Database!$AF$38:$AF$40</definedName>
    <definedName name="Ruleset">Database!$B$1</definedName>
    <definedName name="SPP_1">Database!$AC$31</definedName>
    <definedName name="SPP_2">Database!$AC$32</definedName>
    <definedName name="SPP_3">Database!$AC$33</definedName>
    <definedName name="SPP_4">Database!$AC$34</definedName>
    <definedName name="SPP_5">Database!$AC$35</definedName>
    <definedName name="SPP_6">Database!$AC$36</definedName>
    <definedName name="SPP_CP">Database!$AC$24</definedName>
    <definedName name="SPP_CS">Database!$AC$27</definedName>
    <definedName name="SPP_IN">Database!$AC$26</definedName>
    <definedName name="SPP_TD">Database!$AC$25</definedName>
    <definedName name="SPP_VP">Database!$AC$28</definedName>
    <definedName name="StatusDropdown">Database!$AF$28:$AF$29</definedName>
    <definedName name="T_AG">Database!$AF$7</definedName>
    <definedName name="T_AllowedJourney">Database!$AF$20</definedName>
    <definedName name="T_AV">Database!$AF$8</definedName>
    <definedName name="T_empty">Database!$AF$23</definedName>
    <definedName name="T_Error">Database!$AF$9</definedName>
    <definedName name="T_Error1">Database!$AF$10</definedName>
    <definedName name="T_Error2">Database!$AF$11</definedName>
    <definedName name="T_Error3">Database!$AF$12</definedName>
    <definedName name="T_Error4">Database!$AF$13</definedName>
    <definedName name="T_Error5">Database!$AF$14</definedName>
    <definedName name="T_Error6">Database!$AF$15</definedName>
    <definedName name="T_Error7">Database!$AF$16</definedName>
    <definedName name="T_Error8">Database!$AF$17</definedName>
    <definedName name="T_Journey">Database!$AF$29</definedName>
    <definedName name="T_Loner">Database!$AF$19</definedName>
    <definedName name="T_MA">Database!$AF$5</definedName>
    <definedName name="T_Merc">Database!$AF$18</definedName>
    <definedName name="T_missing">Database!$AF$24</definedName>
    <definedName name="T_MNG">Database!$AF$28</definedName>
    <definedName name="T_MS">Database!$AF$25</definedName>
    <definedName name="T_NoName">Database!$AF$21</definedName>
    <definedName name="T_retired">Database!$AF$22</definedName>
    <definedName name="T_ST">Database!$AF$6</definedName>
    <definedName name="Tabelle" localSheetId="3">'Team Stats'!$AE$3:$AF$27</definedName>
    <definedName name="Team_Stat_Sel">'Team Stats'!$AP$3:$AP$27</definedName>
    <definedName name="TeamList">Database!$B$6:$B$30</definedName>
    <definedName name="TeamRanking">Ranking!$A$3:$L$27</definedName>
  </definedNames>
  <calcPr calcId="125725"/>
</workbook>
</file>

<file path=xl/calcChain.xml><?xml version="1.0" encoding="utf-8"?>
<calcChain xmlns="http://schemas.openxmlformats.org/spreadsheetml/2006/main">
  <c r="Q81" i="19"/>
  <c r="Q80"/>
  <c r="AK57" i="17" s="1"/>
  <c r="Q148" i="19"/>
  <c r="Q147"/>
  <c r="Q146"/>
  <c r="Q141"/>
  <c r="Q140"/>
  <c r="Q139"/>
  <c r="Q138"/>
  <c r="Q137"/>
  <c r="Q136"/>
  <c r="Q135"/>
  <c r="Q134"/>
  <c r="Q129"/>
  <c r="Q128"/>
  <c r="Q127"/>
  <c r="Q126"/>
  <c r="Q125"/>
  <c r="Q124"/>
  <c r="Q123"/>
  <c r="Q122"/>
  <c r="Q117"/>
  <c r="Q116"/>
  <c r="L111"/>
  <c r="H111"/>
  <c r="E107"/>
  <c r="E106"/>
  <c r="Q105"/>
  <c r="E105"/>
  <c r="Q104"/>
  <c r="E104"/>
  <c r="R103"/>
  <c r="E103"/>
  <c r="O102"/>
  <c r="B99"/>
  <c r="O98"/>
  <c r="L98"/>
  <c r="B98"/>
  <c r="E97"/>
  <c r="B97"/>
  <c r="E96"/>
  <c r="B96"/>
  <c r="E95"/>
  <c r="E94"/>
  <c r="O93"/>
  <c r="Q86"/>
  <c r="Q76"/>
  <c r="Q75"/>
  <c r="Q74"/>
  <c r="Q64"/>
  <c r="Q63"/>
  <c r="Z62"/>
  <c r="Q62"/>
  <c r="O62"/>
  <c r="L62"/>
  <c r="H62"/>
  <c r="G62"/>
  <c r="O59"/>
  <c r="L59"/>
  <c r="Z58"/>
  <c r="Q58"/>
  <c r="Z57"/>
  <c r="Y57"/>
  <c r="Q57"/>
  <c r="Q56"/>
  <c r="Z51"/>
  <c r="Y51"/>
  <c r="L49"/>
  <c r="Z47"/>
  <c r="O46"/>
  <c r="L46"/>
  <c r="Q44"/>
  <c r="L44"/>
  <c r="Z43"/>
  <c r="Y43"/>
  <c r="L43"/>
  <c r="Z41"/>
  <c r="Z40"/>
  <c r="Y40"/>
  <c r="Z38"/>
  <c r="L37"/>
  <c r="Z36"/>
  <c r="Y33"/>
  <c r="Q31"/>
  <c r="Z30"/>
  <c r="Q30"/>
  <c r="Q29"/>
  <c r="Q28"/>
  <c r="B28"/>
  <c r="Z27"/>
  <c r="Y27"/>
  <c r="Q27"/>
  <c r="Q26"/>
  <c r="B26"/>
  <c r="Q25"/>
  <c r="Z24"/>
  <c r="Y24"/>
  <c r="Q24"/>
  <c r="E23"/>
  <c r="Y22"/>
  <c r="E22"/>
  <c r="E21"/>
  <c r="E20"/>
  <c r="E19"/>
  <c r="E18"/>
  <c r="Z17"/>
  <c r="Y17"/>
  <c r="R17"/>
  <c r="E17"/>
  <c r="Z15"/>
  <c r="Z13"/>
  <c r="C12"/>
  <c r="Y11"/>
  <c r="Y9"/>
  <c r="B9"/>
  <c r="Y8"/>
  <c r="Q8"/>
  <c r="Q7"/>
  <c r="Q6"/>
  <c r="X5"/>
  <c r="W5"/>
  <c r="V5"/>
  <c r="U5"/>
  <c r="K5"/>
  <c r="J5"/>
  <c r="I5"/>
  <c r="H5"/>
  <c r="C42" i="18"/>
  <c r="C41"/>
  <c r="F40"/>
  <c r="F39"/>
  <c r="C39"/>
  <c r="C10"/>
  <c r="AL67" i="17"/>
  <c r="AJ67"/>
  <c r="AK67" s="1"/>
  <c r="AL66"/>
  <c r="AJ66" s="1"/>
  <c r="AK66" s="1"/>
  <c r="AL65"/>
  <c r="AJ65" s="1"/>
  <c r="AK65" s="1"/>
  <c r="AL64"/>
  <c r="AJ64" s="1"/>
  <c r="AK64" s="1"/>
  <c r="AL63"/>
  <c r="AK63"/>
  <c r="AJ63"/>
  <c r="AL62"/>
  <c r="AJ62"/>
  <c r="AK62" s="1"/>
  <c r="AL61"/>
  <c r="AJ61" s="1"/>
  <c r="AK61" s="1"/>
  <c r="AL60"/>
  <c r="AJ60"/>
  <c r="AK60" s="1"/>
  <c r="AL59"/>
  <c r="AK59"/>
  <c r="AJ59"/>
  <c r="AL58"/>
  <c r="AJ58"/>
  <c r="AL57"/>
  <c r="AL56"/>
  <c r="AK56"/>
  <c r="AL55"/>
  <c r="AK55"/>
  <c r="AL54"/>
  <c r="AK54"/>
  <c r="AL53"/>
  <c r="AK53"/>
  <c r="AL52"/>
  <c r="AK52"/>
  <c r="AL51"/>
  <c r="AK51"/>
  <c r="AL50"/>
  <c r="AK50"/>
  <c r="AL49"/>
  <c r="AK49"/>
  <c r="AL48"/>
  <c r="AK48"/>
  <c r="S38"/>
  <c r="S37"/>
  <c r="H37"/>
  <c r="S36"/>
  <c r="S35"/>
  <c r="H35"/>
  <c r="O34"/>
  <c r="S34" s="1"/>
  <c r="U31"/>
  <c r="K31"/>
  <c r="F31"/>
  <c r="H31" s="1"/>
  <c r="K30"/>
  <c r="F30"/>
  <c r="H30" s="1"/>
  <c r="K29"/>
  <c r="I29"/>
  <c r="F29"/>
  <c r="J29" s="1"/>
  <c r="K28"/>
  <c r="F28"/>
  <c r="J28" s="1"/>
  <c r="K27"/>
  <c r="F27"/>
  <c r="S27" s="1"/>
  <c r="K26"/>
  <c r="F26"/>
  <c r="H26" s="1"/>
  <c r="K25"/>
  <c r="F25"/>
  <c r="J25" s="1"/>
  <c r="J24"/>
  <c r="I24"/>
  <c r="H24"/>
  <c r="G24"/>
  <c r="AP21"/>
  <c r="AO21"/>
  <c r="AN21"/>
  <c r="AM21"/>
  <c r="AL21"/>
  <c r="AK21"/>
  <c r="K21"/>
  <c r="F21"/>
  <c r="AR21" s="1"/>
  <c r="AP20"/>
  <c r="AO20"/>
  <c r="AN20"/>
  <c r="AM20"/>
  <c r="AL20"/>
  <c r="AK20"/>
  <c r="K20"/>
  <c r="F20"/>
  <c r="AR20" s="1"/>
  <c r="AP19"/>
  <c r="AO19"/>
  <c r="AN19"/>
  <c r="AM19"/>
  <c r="AL19"/>
  <c r="AK19"/>
  <c r="K19"/>
  <c r="F19"/>
  <c r="AR19" s="1"/>
  <c r="AP18"/>
  <c r="AO18"/>
  <c r="AN18"/>
  <c r="AM18"/>
  <c r="AL18"/>
  <c r="AK18"/>
  <c r="K18"/>
  <c r="F18"/>
  <c r="AR18" s="1"/>
  <c r="AP17"/>
  <c r="AO17"/>
  <c r="AN17"/>
  <c r="AM17"/>
  <c r="AL17"/>
  <c r="AK17"/>
  <c r="K17"/>
  <c r="F17"/>
  <c r="AR17" s="1"/>
  <c r="AP16"/>
  <c r="AO16"/>
  <c r="AN16"/>
  <c r="AM16"/>
  <c r="AL16"/>
  <c r="AK16"/>
  <c r="K16"/>
  <c r="F16"/>
  <c r="AR16" s="1"/>
  <c r="AP15"/>
  <c r="AO15"/>
  <c r="AN15"/>
  <c r="AM15"/>
  <c r="AL15"/>
  <c r="AK15"/>
  <c r="K15"/>
  <c r="F15"/>
  <c r="AR15" s="1"/>
  <c r="AP14"/>
  <c r="AO14"/>
  <c r="AN14"/>
  <c r="AM14"/>
  <c r="AL14"/>
  <c r="AK14"/>
  <c r="K14"/>
  <c r="F14"/>
  <c r="AR14" s="1"/>
  <c r="AP13"/>
  <c r="AO13"/>
  <c r="AN13"/>
  <c r="AM13"/>
  <c r="AL13"/>
  <c r="AK13"/>
  <c r="K13"/>
  <c r="F13"/>
  <c r="AR13" s="1"/>
  <c r="AP12"/>
  <c r="AO12"/>
  <c r="AN12"/>
  <c r="AM12"/>
  <c r="AL12"/>
  <c r="AK12"/>
  <c r="K12"/>
  <c r="F12"/>
  <c r="AR12" s="1"/>
  <c r="AP11"/>
  <c r="AO11"/>
  <c r="AN11"/>
  <c r="AM11"/>
  <c r="AL11"/>
  <c r="AK11"/>
  <c r="K11"/>
  <c r="F11"/>
  <c r="AR11" s="1"/>
  <c r="AP10"/>
  <c r="AO10"/>
  <c r="AN10"/>
  <c r="AM10"/>
  <c r="AL10"/>
  <c r="AK10"/>
  <c r="K10"/>
  <c r="F10"/>
  <c r="AR10" s="1"/>
  <c r="AP9"/>
  <c r="AO9"/>
  <c r="AN9"/>
  <c r="AM9"/>
  <c r="AL9"/>
  <c r="AK9"/>
  <c r="K9"/>
  <c r="F9"/>
  <c r="AR9" s="1"/>
  <c r="AP8"/>
  <c r="AO8"/>
  <c r="AN8"/>
  <c r="AM8"/>
  <c r="AL8"/>
  <c r="AK8"/>
  <c r="K8"/>
  <c r="F8"/>
  <c r="AR8" s="1"/>
  <c r="AP7"/>
  <c r="AO7"/>
  <c r="AN7"/>
  <c r="AM7"/>
  <c r="AL7"/>
  <c r="AK7"/>
  <c r="K7"/>
  <c r="F7"/>
  <c r="AR7" s="1"/>
  <c r="AT6"/>
  <c r="AP6"/>
  <c r="AO6"/>
  <c r="AN6"/>
  <c r="AM6"/>
  <c r="AL6"/>
  <c r="AK6"/>
  <c r="K6"/>
  <c r="I6"/>
  <c r="F6"/>
  <c r="AR6" s="1"/>
  <c r="AU5"/>
  <c r="AT5"/>
  <c r="AS5"/>
  <c r="AR5"/>
  <c r="J5"/>
  <c r="I5"/>
  <c r="H5"/>
  <c r="G5"/>
  <c r="AL67" i="15"/>
  <c r="AJ67"/>
  <c r="AK67" s="1"/>
  <c r="AL66"/>
  <c r="AJ66"/>
  <c r="AK66" s="1"/>
  <c r="AL65"/>
  <c r="AJ65" s="1"/>
  <c r="AK65" s="1"/>
  <c r="AL64"/>
  <c r="AJ64" s="1"/>
  <c r="AK64" s="1"/>
  <c r="AL63"/>
  <c r="AJ63" s="1"/>
  <c r="AL62"/>
  <c r="AJ62"/>
  <c r="AK62" s="1"/>
  <c r="AL61"/>
  <c r="AJ61"/>
  <c r="AK61" s="1"/>
  <c r="AL60"/>
  <c r="AJ60" s="1"/>
  <c r="AK60" s="1"/>
  <c r="AL59"/>
  <c r="AJ59"/>
  <c r="AK59" s="1"/>
  <c r="AL58"/>
  <c r="AJ58"/>
  <c r="AK58" s="1"/>
  <c r="AL57"/>
  <c r="AK57" s="1"/>
  <c r="AL56"/>
  <c r="AK56" s="1"/>
  <c r="AL55"/>
  <c r="AK55" s="1"/>
  <c r="AL54"/>
  <c r="AK54" s="1"/>
  <c r="AL53"/>
  <c r="AK53" s="1"/>
  <c r="AL52"/>
  <c r="AK52" s="1"/>
  <c r="AL51"/>
  <c r="AK51" s="1"/>
  <c r="AL50"/>
  <c r="AK50" s="1"/>
  <c r="AL49"/>
  <c r="AK49" s="1"/>
  <c r="AL48"/>
  <c r="AK48" s="1"/>
  <c r="S38"/>
  <c r="S37"/>
  <c r="H37"/>
  <c r="S36"/>
  <c r="S35"/>
  <c r="H35"/>
  <c r="O34"/>
  <c r="S34" s="1"/>
  <c r="U31"/>
  <c r="K31"/>
  <c r="F31"/>
  <c r="K30"/>
  <c r="F30"/>
  <c r="K29"/>
  <c r="F29"/>
  <c r="G29" s="1"/>
  <c r="K28"/>
  <c r="F28"/>
  <c r="J28" s="1"/>
  <c r="K27"/>
  <c r="F27"/>
  <c r="S27" s="1"/>
  <c r="K26"/>
  <c r="F26"/>
  <c r="U26" s="1"/>
  <c r="K25"/>
  <c r="F25"/>
  <c r="J24"/>
  <c r="I24"/>
  <c r="H24"/>
  <c r="G24"/>
  <c r="AP21"/>
  <c r="AO21"/>
  <c r="AN21"/>
  <c r="AM21"/>
  <c r="AL21"/>
  <c r="AK21"/>
  <c r="K21"/>
  <c r="F21"/>
  <c r="R21" s="1"/>
  <c r="W21" s="1"/>
  <c r="AP20"/>
  <c r="AO20"/>
  <c r="AN20"/>
  <c r="AM20"/>
  <c r="AL20"/>
  <c r="AK20"/>
  <c r="K20"/>
  <c r="F20"/>
  <c r="J20" s="1"/>
  <c r="AP19"/>
  <c r="AO19"/>
  <c r="AN19"/>
  <c r="AM19"/>
  <c r="AL19"/>
  <c r="AK19"/>
  <c r="K19"/>
  <c r="F19"/>
  <c r="AP18"/>
  <c r="AO18"/>
  <c r="AN18"/>
  <c r="AM18"/>
  <c r="AL18"/>
  <c r="AK18"/>
  <c r="K18"/>
  <c r="F18"/>
  <c r="AR18" s="1"/>
  <c r="AP17"/>
  <c r="AO17"/>
  <c r="AN17"/>
  <c r="AM17"/>
  <c r="AL17"/>
  <c r="AK17"/>
  <c r="K17"/>
  <c r="F17"/>
  <c r="R17" s="1"/>
  <c r="W17" s="1"/>
  <c r="AP16"/>
  <c r="AO16"/>
  <c r="AN16"/>
  <c r="AM16"/>
  <c r="AL16"/>
  <c r="AK16"/>
  <c r="K16"/>
  <c r="F16"/>
  <c r="AT16" s="1"/>
  <c r="AP15"/>
  <c r="AO15"/>
  <c r="AN15"/>
  <c r="AM15"/>
  <c r="AL15"/>
  <c r="AK15"/>
  <c r="K15"/>
  <c r="F15"/>
  <c r="AP14"/>
  <c r="AO14"/>
  <c r="AN14"/>
  <c r="AM14"/>
  <c r="AL14"/>
  <c r="AK14"/>
  <c r="K14"/>
  <c r="J14"/>
  <c r="F14"/>
  <c r="AT14" s="1"/>
  <c r="AP13"/>
  <c r="AO13"/>
  <c r="AN13"/>
  <c r="AM13"/>
  <c r="AL13"/>
  <c r="AK13"/>
  <c r="K13"/>
  <c r="F13"/>
  <c r="R13" s="1"/>
  <c r="W13" s="1"/>
  <c r="AP12"/>
  <c r="AO12"/>
  <c r="AN12"/>
  <c r="AM12"/>
  <c r="AL12"/>
  <c r="AK12"/>
  <c r="K12"/>
  <c r="F12"/>
  <c r="U12" s="1"/>
  <c r="AP11"/>
  <c r="AO11"/>
  <c r="AN11"/>
  <c r="AM11"/>
  <c r="AL11"/>
  <c r="AK11"/>
  <c r="K11"/>
  <c r="F11"/>
  <c r="AU11" s="1"/>
  <c r="AP10"/>
  <c r="AO10"/>
  <c r="AN10"/>
  <c r="AM10"/>
  <c r="AL10"/>
  <c r="AK10"/>
  <c r="K10"/>
  <c r="F10"/>
  <c r="AR10" s="1"/>
  <c r="AP9"/>
  <c r="AO9"/>
  <c r="AN9"/>
  <c r="AM9"/>
  <c r="AL9"/>
  <c r="AK9"/>
  <c r="K9"/>
  <c r="F9"/>
  <c r="R9" s="1"/>
  <c r="W9" s="1"/>
  <c r="AP8"/>
  <c r="AO8"/>
  <c r="AN8"/>
  <c r="AM8"/>
  <c r="AL8"/>
  <c r="AK8"/>
  <c r="K8"/>
  <c r="F8"/>
  <c r="AT8" s="1"/>
  <c r="AP7"/>
  <c r="AO7"/>
  <c r="AN7"/>
  <c r="AM7"/>
  <c r="AL7"/>
  <c r="AK7"/>
  <c r="K7"/>
  <c r="F7"/>
  <c r="AU7" s="1"/>
  <c r="AP6"/>
  <c r="AO6"/>
  <c r="AN6"/>
  <c r="AM6"/>
  <c r="AL6"/>
  <c r="AK6"/>
  <c r="K6"/>
  <c r="F6"/>
  <c r="S6" s="1"/>
  <c r="AU5"/>
  <c r="AT5"/>
  <c r="AS5"/>
  <c r="AR5"/>
  <c r="J5"/>
  <c r="I5"/>
  <c r="H5"/>
  <c r="G5"/>
  <c r="AL67" i="14"/>
  <c r="AJ67" s="1"/>
  <c r="AK67" s="1"/>
  <c r="AL66"/>
  <c r="AJ66" s="1"/>
  <c r="AL65"/>
  <c r="AJ65"/>
  <c r="AK65" s="1"/>
  <c r="AL64"/>
  <c r="AJ64"/>
  <c r="AK64" s="1"/>
  <c r="AL63"/>
  <c r="AJ63" s="1"/>
  <c r="AK63" s="1"/>
  <c r="AL62"/>
  <c r="AJ62"/>
  <c r="AK62" s="1"/>
  <c r="AL61"/>
  <c r="AJ61"/>
  <c r="AK61" s="1"/>
  <c r="AL60"/>
  <c r="AJ60"/>
  <c r="AK60" s="1"/>
  <c r="AL59"/>
  <c r="AJ59" s="1"/>
  <c r="AK59" s="1"/>
  <c r="AL58"/>
  <c r="AJ58" s="1"/>
  <c r="AL57"/>
  <c r="AK57"/>
  <c r="AL56"/>
  <c r="AK56" s="1"/>
  <c r="AL55"/>
  <c r="AK55"/>
  <c r="AL54"/>
  <c r="AK54" s="1"/>
  <c r="AL53"/>
  <c r="AK53"/>
  <c r="AL52"/>
  <c r="AK52" s="1"/>
  <c r="AL51"/>
  <c r="AK51"/>
  <c r="AL50"/>
  <c r="AK50" s="1"/>
  <c r="AL49"/>
  <c r="AK49"/>
  <c r="AL48"/>
  <c r="AK48" s="1"/>
  <c r="S38"/>
  <c r="S37"/>
  <c r="H37"/>
  <c r="S36"/>
  <c r="S35"/>
  <c r="H35"/>
  <c r="O34"/>
  <c r="S34" s="1"/>
  <c r="U31"/>
  <c r="K31"/>
  <c r="F31"/>
  <c r="J31" s="1"/>
  <c r="K30"/>
  <c r="F30"/>
  <c r="J30" s="1"/>
  <c r="K29"/>
  <c r="F29"/>
  <c r="U29" s="1"/>
  <c r="K28"/>
  <c r="F28"/>
  <c r="G28" s="1"/>
  <c r="K27"/>
  <c r="F27"/>
  <c r="J27" s="1"/>
  <c r="K26"/>
  <c r="F26"/>
  <c r="K25"/>
  <c r="F25"/>
  <c r="J24"/>
  <c r="I24"/>
  <c r="H24"/>
  <c r="G24"/>
  <c r="AP21"/>
  <c r="AO21"/>
  <c r="AN21"/>
  <c r="AM21"/>
  <c r="AL21"/>
  <c r="AK21"/>
  <c r="K21"/>
  <c r="F21"/>
  <c r="AR21" s="1"/>
  <c r="AP20"/>
  <c r="AO20"/>
  <c r="AN20"/>
  <c r="AM20"/>
  <c r="AL20"/>
  <c r="AK20"/>
  <c r="V20"/>
  <c r="K20"/>
  <c r="F20"/>
  <c r="J20" s="1"/>
  <c r="AP19"/>
  <c r="AO19"/>
  <c r="AN19"/>
  <c r="AM19"/>
  <c r="AL19"/>
  <c r="AK19"/>
  <c r="K19"/>
  <c r="F19"/>
  <c r="AS19" s="1"/>
  <c r="AP18"/>
  <c r="AO18"/>
  <c r="AN18"/>
  <c r="AM18"/>
  <c r="AL18"/>
  <c r="AK18"/>
  <c r="K18"/>
  <c r="F18"/>
  <c r="S18" s="1"/>
  <c r="AP17"/>
  <c r="AO17"/>
  <c r="AN17"/>
  <c r="AM17"/>
  <c r="AL17"/>
  <c r="AK17"/>
  <c r="K17"/>
  <c r="F17"/>
  <c r="AP16"/>
  <c r="AO16"/>
  <c r="AN16"/>
  <c r="AM16"/>
  <c r="AL16"/>
  <c r="AK16"/>
  <c r="K16"/>
  <c r="F16"/>
  <c r="V16" s="1"/>
  <c r="AP15"/>
  <c r="AO15"/>
  <c r="AN15"/>
  <c r="AM15"/>
  <c r="AL15"/>
  <c r="AK15"/>
  <c r="K15"/>
  <c r="F15"/>
  <c r="AS15" s="1"/>
  <c r="AP14"/>
  <c r="AO14"/>
  <c r="AN14"/>
  <c r="AM14"/>
  <c r="AL14"/>
  <c r="AK14"/>
  <c r="K14"/>
  <c r="F14"/>
  <c r="AU14" s="1"/>
  <c r="AP13"/>
  <c r="AO13"/>
  <c r="AN13"/>
  <c r="AM13"/>
  <c r="AL13"/>
  <c r="AK13"/>
  <c r="K13"/>
  <c r="F13"/>
  <c r="AR13" s="1"/>
  <c r="AP12"/>
  <c r="AO12"/>
  <c r="AN12"/>
  <c r="AM12"/>
  <c r="AL12"/>
  <c r="AK12"/>
  <c r="K12"/>
  <c r="J12"/>
  <c r="F12"/>
  <c r="V12" s="1"/>
  <c r="AP11"/>
  <c r="AO11"/>
  <c r="AN11"/>
  <c r="AM11"/>
  <c r="AL11"/>
  <c r="AK11"/>
  <c r="K11"/>
  <c r="F11"/>
  <c r="AS11" s="1"/>
  <c r="AP10"/>
  <c r="AO10"/>
  <c r="AN10"/>
  <c r="AM10"/>
  <c r="AL10"/>
  <c r="AK10"/>
  <c r="K10"/>
  <c r="F10"/>
  <c r="AU10" s="1"/>
  <c r="AP9"/>
  <c r="AO9"/>
  <c r="AN9"/>
  <c r="AM9"/>
  <c r="AL9"/>
  <c r="AK9"/>
  <c r="K9"/>
  <c r="F9"/>
  <c r="S9" s="1"/>
  <c r="AP8"/>
  <c r="AO8"/>
  <c r="AN8"/>
  <c r="AM8"/>
  <c r="AL8"/>
  <c r="AK8"/>
  <c r="K8"/>
  <c r="F8"/>
  <c r="V8" s="1"/>
  <c r="AP7"/>
  <c r="AO7"/>
  <c r="AN7"/>
  <c r="AM7"/>
  <c r="AL7"/>
  <c r="AK7"/>
  <c r="K7"/>
  <c r="F7"/>
  <c r="AS7" s="1"/>
  <c r="AP6"/>
  <c r="AO6"/>
  <c r="AN6"/>
  <c r="AM6"/>
  <c r="AL6"/>
  <c r="AK6"/>
  <c r="K6"/>
  <c r="F6"/>
  <c r="AU5"/>
  <c r="AT5"/>
  <c r="AS5"/>
  <c r="AR5"/>
  <c r="J5"/>
  <c r="I5"/>
  <c r="H5"/>
  <c r="G5"/>
  <c r="AL67" i="13"/>
  <c r="AJ67"/>
  <c r="AK67" s="1"/>
  <c r="AL66"/>
  <c r="AJ66" s="1"/>
  <c r="AK66" s="1"/>
  <c r="AL65"/>
  <c r="AJ65"/>
  <c r="AK65" s="1"/>
  <c r="AL64"/>
  <c r="AJ64"/>
  <c r="AK64" s="1"/>
  <c r="AL63"/>
  <c r="AJ63" s="1"/>
  <c r="AK63" s="1"/>
  <c r="AL62"/>
  <c r="AJ62" s="1"/>
  <c r="AK62" s="1"/>
  <c r="AL61"/>
  <c r="AJ61" s="1"/>
  <c r="AK61" s="1"/>
  <c r="AL60"/>
  <c r="AJ60"/>
  <c r="AK60" s="1"/>
  <c r="AL59"/>
  <c r="AJ59"/>
  <c r="AK59" s="1"/>
  <c r="AL58"/>
  <c r="AJ58" s="1"/>
  <c r="AL57"/>
  <c r="AK57"/>
  <c r="AL56"/>
  <c r="AK56" s="1"/>
  <c r="AL55"/>
  <c r="AK55" s="1"/>
  <c r="AL54"/>
  <c r="AK54" s="1"/>
  <c r="AL53"/>
  <c r="AK53" s="1"/>
  <c r="AL52"/>
  <c r="AK52" s="1"/>
  <c r="AL51"/>
  <c r="AK51"/>
  <c r="AL50"/>
  <c r="AK50" s="1"/>
  <c r="AL49"/>
  <c r="AK49"/>
  <c r="AL48"/>
  <c r="AK48" s="1"/>
  <c r="S38"/>
  <c r="S37"/>
  <c r="H37"/>
  <c r="S36"/>
  <c r="S35"/>
  <c r="H35"/>
  <c r="O34"/>
  <c r="S34" s="1"/>
  <c r="U31"/>
  <c r="K31"/>
  <c r="F31"/>
  <c r="G31" s="1"/>
  <c r="K30"/>
  <c r="F30"/>
  <c r="J30" s="1"/>
  <c r="K29"/>
  <c r="F29"/>
  <c r="S29" s="1"/>
  <c r="K28"/>
  <c r="F28"/>
  <c r="U28" s="1"/>
  <c r="K27"/>
  <c r="F27"/>
  <c r="G27" s="1"/>
  <c r="K26"/>
  <c r="F26"/>
  <c r="J26" s="1"/>
  <c r="K25"/>
  <c r="F25"/>
  <c r="J24"/>
  <c r="I24"/>
  <c r="H24"/>
  <c r="G24"/>
  <c r="AP21"/>
  <c r="AO21"/>
  <c r="AN21"/>
  <c r="AM21"/>
  <c r="AL21"/>
  <c r="AK21"/>
  <c r="AP20"/>
  <c r="AO20"/>
  <c r="AN20"/>
  <c r="AM20"/>
  <c r="AL20"/>
  <c r="AK20"/>
  <c r="AP19"/>
  <c r="AO19"/>
  <c r="AN19"/>
  <c r="AM19"/>
  <c r="AL19"/>
  <c r="AK19"/>
  <c r="AP18"/>
  <c r="AO18"/>
  <c r="AN18"/>
  <c r="AM18"/>
  <c r="AL18"/>
  <c r="AK18"/>
  <c r="K18"/>
  <c r="F18"/>
  <c r="AS18" s="1"/>
  <c r="AP17"/>
  <c r="AO17"/>
  <c r="AN17"/>
  <c r="AM17"/>
  <c r="AL17"/>
  <c r="AK17"/>
  <c r="K17"/>
  <c r="F17"/>
  <c r="AR17" s="1"/>
  <c r="AP16"/>
  <c r="AO16"/>
  <c r="AN16"/>
  <c r="AM16"/>
  <c r="AL16"/>
  <c r="AK16"/>
  <c r="AP15"/>
  <c r="AO15"/>
  <c r="AN15"/>
  <c r="AM15"/>
  <c r="AL15"/>
  <c r="AK15"/>
  <c r="AP14"/>
  <c r="AO14"/>
  <c r="AN14"/>
  <c r="AM14"/>
  <c r="AL14"/>
  <c r="AK14"/>
  <c r="AP13"/>
  <c r="AO13"/>
  <c r="AN13"/>
  <c r="AM13"/>
  <c r="AL13"/>
  <c r="AP12"/>
  <c r="AO12"/>
  <c r="AN12"/>
  <c r="AM12"/>
  <c r="AL12"/>
  <c r="AP11"/>
  <c r="AO11"/>
  <c r="AN11"/>
  <c r="AM11"/>
  <c r="AL11"/>
  <c r="AK11"/>
  <c r="AP10"/>
  <c r="AO10"/>
  <c r="AN10"/>
  <c r="AM10"/>
  <c r="AL10"/>
  <c r="AP9"/>
  <c r="AO9"/>
  <c r="AN9"/>
  <c r="AM9"/>
  <c r="AL9"/>
  <c r="AK9"/>
  <c r="AP8"/>
  <c r="AO8"/>
  <c r="AN8"/>
  <c r="AM8"/>
  <c r="AL8"/>
  <c r="AK8"/>
  <c r="K8"/>
  <c r="F8"/>
  <c r="V8" s="1"/>
  <c r="AP7"/>
  <c r="AO7"/>
  <c r="AN7"/>
  <c r="AM7"/>
  <c r="AL7"/>
  <c r="AP6"/>
  <c r="AO6"/>
  <c r="AN6"/>
  <c r="AM6"/>
  <c r="AL6"/>
  <c r="AU5"/>
  <c r="AT5"/>
  <c r="AS5"/>
  <c r="AR5"/>
  <c r="J5"/>
  <c r="I5"/>
  <c r="H5"/>
  <c r="G5"/>
  <c r="AL67" i="12"/>
  <c r="AJ67"/>
  <c r="AK67" s="1"/>
  <c r="AL66"/>
  <c r="AJ66" s="1"/>
  <c r="AK66" s="1"/>
  <c r="AL65"/>
  <c r="AJ65" s="1"/>
  <c r="AK65" s="1"/>
  <c r="AL64"/>
  <c r="AJ64"/>
  <c r="AK64" s="1"/>
  <c r="AL63"/>
  <c r="AJ63"/>
  <c r="AK63" s="1"/>
  <c r="AL62"/>
  <c r="AJ62" s="1"/>
  <c r="AK62" s="1"/>
  <c r="AL61"/>
  <c r="AJ61" s="1"/>
  <c r="AK61" s="1"/>
  <c r="AL60"/>
  <c r="AJ60"/>
  <c r="AK60" s="1"/>
  <c r="AL59"/>
  <c r="AJ59"/>
  <c r="AK59" s="1"/>
  <c r="AL58"/>
  <c r="AJ58" s="1"/>
  <c r="AL57"/>
  <c r="AK57"/>
  <c r="AL56"/>
  <c r="AK56" s="1"/>
  <c r="AL55"/>
  <c r="AK55"/>
  <c r="AL54"/>
  <c r="AK54" s="1"/>
  <c r="AL53"/>
  <c r="AK53"/>
  <c r="AL52"/>
  <c r="AK52" s="1"/>
  <c r="AL51"/>
  <c r="AK51"/>
  <c r="AL50"/>
  <c r="AK50" s="1"/>
  <c r="AL49"/>
  <c r="AK49"/>
  <c r="AL48"/>
  <c r="AK48" s="1"/>
  <c r="S38"/>
  <c r="S37"/>
  <c r="H37"/>
  <c r="S36"/>
  <c r="S35"/>
  <c r="H35"/>
  <c r="O34"/>
  <c r="S34" s="1"/>
  <c r="U31"/>
  <c r="K31"/>
  <c r="F31"/>
  <c r="G31" s="1"/>
  <c r="K30"/>
  <c r="F30"/>
  <c r="J30" s="1"/>
  <c r="K29"/>
  <c r="F29"/>
  <c r="U29" s="1"/>
  <c r="K28"/>
  <c r="F28"/>
  <c r="J28" s="1"/>
  <c r="K27"/>
  <c r="F27"/>
  <c r="G27" s="1"/>
  <c r="K26"/>
  <c r="F26"/>
  <c r="J26" s="1"/>
  <c r="K25"/>
  <c r="F25"/>
  <c r="U25" s="1"/>
  <c r="J24"/>
  <c r="I24"/>
  <c r="H24"/>
  <c r="G24"/>
  <c r="AP21"/>
  <c r="AO21"/>
  <c r="AN21"/>
  <c r="AM21"/>
  <c r="AL21"/>
  <c r="AP20"/>
  <c r="AO20"/>
  <c r="AN20"/>
  <c r="AM20"/>
  <c r="AL20"/>
  <c r="AP19"/>
  <c r="AO19"/>
  <c r="AN19"/>
  <c r="AM19"/>
  <c r="AP18"/>
  <c r="AO18"/>
  <c r="AN18"/>
  <c r="AM18"/>
  <c r="AL18"/>
  <c r="AP17"/>
  <c r="AO17"/>
  <c r="AN17"/>
  <c r="AM17"/>
  <c r="AL17"/>
  <c r="AK17"/>
  <c r="AP16"/>
  <c r="AO16"/>
  <c r="AN16"/>
  <c r="AM16"/>
  <c r="AL16"/>
  <c r="AK16"/>
  <c r="K16"/>
  <c r="F16"/>
  <c r="AU16" s="1"/>
  <c r="AP15"/>
  <c r="AO15"/>
  <c r="AN15"/>
  <c r="AM15"/>
  <c r="AL15"/>
  <c r="AK15"/>
  <c r="K15"/>
  <c r="F15"/>
  <c r="AU15" s="1"/>
  <c r="AP14"/>
  <c r="AO14"/>
  <c r="AN14"/>
  <c r="AM14"/>
  <c r="AL14"/>
  <c r="AK14"/>
  <c r="K14"/>
  <c r="F14"/>
  <c r="AU14" s="1"/>
  <c r="AP13"/>
  <c r="AO13"/>
  <c r="AN13"/>
  <c r="AM13"/>
  <c r="AL13"/>
  <c r="AK13"/>
  <c r="K13"/>
  <c r="F13"/>
  <c r="AU13" s="1"/>
  <c r="AP12"/>
  <c r="AO12"/>
  <c r="AN12"/>
  <c r="AM12"/>
  <c r="AL12"/>
  <c r="AK12"/>
  <c r="K12"/>
  <c r="F12"/>
  <c r="AU12" s="1"/>
  <c r="AP11"/>
  <c r="AO11"/>
  <c r="AN11"/>
  <c r="AM11"/>
  <c r="AL11"/>
  <c r="AP10"/>
  <c r="AO10"/>
  <c r="AN10"/>
  <c r="AM10"/>
  <c r="AL10"/>
  <c r="AP9"/>
  <c r="AO9"/>
  <c r="AN9"/>
  <c r="AM9"/>
  <c r="AL9"/>
  <c r="AK9"/>
  <c r="K9"/>
  <c r="F9"/>
  <c r="AU9" s="1"/>
  <c r="AP8"/>
  <c r="AO8"/>
  <c r="AN8"/>
  <c r="AM8"/>
  <c r="AL8"/>
  <c r="AP7"/>
  <c r="AO7"/>
  <c r="AN7"/>
  <c r="AM7"/>
  <c r="AL7"/>
  <c r="AP6"/>
  <c r="AO6"/>
  <c r="AN6"/>
  <c r="AM6"/>
  <c r="AL6"/>
  <c r="AK6"/>
  <c r="AU5"/>
  <c r="AT5"/>
  <c r="AS5"/>
  <c r="AR5"/>
  <c r="J5"/>
  <c r="I5"/>
  <c r="H5"/>
  <c r="G5"/>
  <c r="AL67" i="11"/>
  <c r="AJ67"/>
  <c r="AK67" s="1"/>
  <c r="AL66"/>
  <c r="AJ66"/>
  <c r="AK66" s="1"/>
  <c r="AL65"/>
  <c r="AJ65" s="1"/>
  <c r="AK65" s="1"/>
  <c r="AL64"/>
  <c r="AJ64" s="1"/>
  <c r="AK64" s="1"/>
  <c r="AL63"/>
  <c r="AJ63"/>
  <c r="AK63" s="1"/>
  <c r="AL62"/>
  <c r="AJ62"/>
  <c r="AK62" s="1"/>
  <c r="AL61"/>
  <c r="AJ61" s="1"/>
  <c r="AK61" s="1"/>
  <c r="AL60"/>
  <c r="AJ60" s="1"/>
  <c r="AK60" s="1"/>
  <c r="AL59"/>
  <c r="AJ59"/>
  <c r="AL58"/>
  <c r="AJ58"/>
  <c r="AK58" s="1"/>
  <c r="AL57"/>
  <c r="AK57" s="1"/>
  <c r="AL56"/>
  <c r="AK56" s="1"/>
  <c r="AL55"/>
  <c r="AK55" s="1"/>
  <c r="AL54"/>
  <c r="AK54"/>
  <c r="AL53"/>
  <c r="AK53" s="1"/>
  <c r="AL52"/>
  <c r="AK52" s="1"/>
  <c r="AL51"/>
  <c r="AK51" s="1"/>
  <c r="AL50"/>
  <c r="AK50"/>
  <c r="AL49"/>
  <c r="AK49" s="1"/>
  <c r="AL48"/>
  <c r="AK48" s="1"/>
  <c r="S38"/>
  <c r="S37"/>
  <c r="H37"/>
  <c r="S36"/>
  <c r="S35"/>
  <c r="H35"/>
  <c r="O34"/>
  <c r="S34" s="1"/>
  <c r="U31"/>
  <c r="K31"/>
  <c r="F31"/>
  <c r="K30"/>
  <c r="F30"/>
  <c r="G30" s="1"/>
  <c r="K29"/>
  <c r="F29"/>
  <c r="J29" s="1"/>
  <c r="K28"/>
  <c r="F28"/>
  <c r="U28" s="1"/>
  <c r="K27"/>
  <c r="F27"/>
  <c r="J27" s="1"/>
  <c r="K26"/>
  <c r="F26"/>
  <c r="G26" s="1"/>
  <c r="K25"/>
  <c r="F25"/>
  <c r="J25" s="1"/>
  <c r="J24"/>
  <c r="I24"/>
  <c r="H24"/>
  <c r="G24"/>
  <c r="AP21"/>
  <c r="AO21"/>
  <c r="AN21"/>
  <c r="AM21"/>
  <c r="AL21"/>
  <c r="AK21"/>
  <c r="K21"/>
  <c r="F21"/>
  <c r="AR21" s="1"/>
  <c r="AP20"/>
  <c r="AO20"/>
  <c r="AN20"/>
  <c r="AM20"/>
  <c r="AL20"/>
  <c r="AK20"/>
  <c r="K20"/>
  <c r="F20"/>
  <c r="AR20" s="1"/>
  <c r="AP19"/>
  <c r="AO19"/>
  <c r="AN19"/>
  <c r="AM19"/>
  <c r="AL19"/>
  <c r="AK19"/>
  <c r="K19"/>
  <c r="F19"/>
  <c r="AR19" s="1"/>
  <c r="AP18"/>
  <c r="AO18"/>
  <c r="AN18"/>
  <c r="AM18"/>
  <c r="AL18"/>
  <c r="AK18"/>
  <c r="K18"/>
  <c r="F18"/>
  <c r="AR18" s="1"/>
  <c r="AP17"/>
  <c r="AO17"/>
  <c r="AN17"/>
  <c r="AM17"/>
  <c r="AL17"/>
  <c r="AK17"/>
  <c r="K17"/>
  <c r="F17"/>
  <c r="AR17" s="1"/>
  <c r="AP16"/>
  <c r="AO16"/>
  <c r="AN16"/>
  <c r="AM16"/>
  <c r="AK16"/>
  <c r="AP15"/>
  <c r="AO15"/>
  <c r="AN15"/>
  <c r="AM15"/>
  <c r="AL15"/>
  <c r="AK15"/>
  <c r="AP14"/>
  <c r="AO14"/>
  <c r="AN14"/>
  <c r="AM14"/>
  <c r="AL14"/>
  <c r="AP13"/>
  <c r="AO13"/>
  <c r="AN13"/>
  <c r="AM13"/>
  <c r="AL13"/>
  <c r="AK13"/>
  <c r="AP12"/>
  <c r="AO12"/>
  <c r="AN12"/>
  <c r="AM12"/>
  <c r="AL12"/>
  <c r="AP11"/>
  <c r="AO11"/>
  <c r="AN11"/>
  <c r="AM11"/>
  <c r="AL11"/>
  <c r="AK11"/>
  <c r="AP10"/>
  <c r="AO10"/>
  <c r="AN10"/>
  <c r="AM10"/>
  <c r="AL10"/>
  <c r="AP9"/>
  <c r="AO9"/>
  <c r="AN9"/>
  <c r="AM9"/>
  <c r="AL9"/>
  <c r="AP8"/>
  <c r="AO8"/>
  <c r="AN8"/>
  <c r="AM8"/>
  <c r="AL8"/>
  <c r="AP7"/>
  <c r="AO7"/>
  <c r="AN7"/>
  <c r="AM7"/>
  <c r="AL7"/>
  <c r="AP6"/>
  <c r="AO6"/>
  <c r="AN6"/>
  <c r="AM6"/>
  <c r="AL6"/>
  <c r="AK6"/>
  <c r="AU5"/>
  <c r="AT5"/>
  <c r="AS5"/>
  <c r="AR5"/>
  <c r="J5"/>
  <c r="I5"/>
  <c r="H5"/>
  <c r="G5"/>
  <c r="AL67" i="10"/>
  <c r="AJ67" s="1"/>
  <c r="AK67" s="1"/>
  <c r="AL66"/>
  <c r="AJ66"/>
  <c r="AK66" s="1"/>
  <c r="AL65"/>
  <c r="AJ65"/>
  <c r="AK65" s="1"/>
  <c r="AL64"/>
  <c r="AJ64" s="1"/>
  <c r="AK64" s="1"/>
  <c r="AL63"/>
  <c r="AJ63" s="1"/>
  <c r="AK63" s="1"/>
  <c r="AL62"/>
  <c r="AJ62"/>
  <c r="AK62" s="1"/>
  <c r="AL61"/>
  <c r="AJ61"/>
  <c r="AK61" s="1"/>
  <c r="AL60"/>
  <c r="AJ60" s="1"/>
  <c r="AK60" s="1"/>
  <c r="AL59"/>
  <c r="AJ59" s="1"/>
  <c r="AL58"/>
  <c r="AJ58"/>
  <c r="AL57"/>
  <c r="AK57" s="1"/>
  <c r="AL56"/>
  <c r="AK56"/>
  <c r="AL55"/>
  <c r="AK55" s="1"/>
  <c r="AL54"/>
  <c r="AK54" s="1"/>
  <c r="AL53"/>
  <c r="AK53" s="1"/>
  <c r="AL52"/>
  <c r="AK52"/>
  <c r="AL51"/>
  <c r="AK51" s="1"/>
  <c r="AL50"/>
  <c r="AK50" s="1"/>
  <c r="AL49"/>
  <c r="AK49" s="1"/>
  <c r="AL48"/>
  <c r="AK48"/>
  <c r="S38"/>
  <c r="S37"/>
  <c r="H37"/>
  <c r="S36"/>
  <c r="S35"/>
  <c r="H35"/>
  <c r="O34"/>
  <c r="S34" s="1"/>
  <c r="U31"/>
  <c r="K31"/>
  <c r="F31"/>
  <c r="I31" s="1"/>
  <c r="K30"/>
  <c r="F30"/>
  <c r="K29"/>
  <c r="F29"/>
  <c r="K28"/>
  <c r="I28"/>
  <c r="G28"/>
  <c r="F28"/>
  <c r="J28" s="1"/>
  <c r="K27"/>
  <c r="F27"/>
  <c r="U27" s="1"/>
  <c r="K26"/>
  <c r="F26"/>
  <c r="K25"/>
  <c r="F25"/>
  <c r="J25" s="1"/>
  <c r="J24"/>
  <c r="I24"/>
  <c r="H24"/>
  <c r="G24"/>
  <c r="AP21"/>
  <c r="AO21"/>
  <c r="AN21"/>
  <c r="AM21"/>
  <c r="AL21"/>
  <c r="AK21"/>
  <c r="AP20"/>
  <c r="AO20"/>
  <c r="AN20"/>
  <c r="AM20"/>
  <c r="AL20"/>
  <c r="AK20"/>
  <c r="K20"/>
  <c r="F20"/>
  <c r="J20" s="1"/>
  <c r="AP19"/>
  <c r="AO19"/>
  <c r="AN19"/>
  <c r="AM19"/>
  <c r="AL19"/>
  <c r="AK19"/>
  <c r="K19"/>
  <c r="F19"/>
  <c r="AU19" s="1"/>
  <c r="AP18"/>
  <c r="AO18"/>
  <c r="AN18"/>
  <c r="AM18"/>
  <c r="AL18"/>
  <c r="AK18"/>
  <c r="K18"/>
  <c r="F18"/>
  <c r="AR18" s="1"/>
  <c r="AP17"/>
  <c r="AO17"/>
  <c r="AN17"/>
  <c r="AM17"/>
  <c r="AL17"/>
  <c r="AK17"/>
  <c r="K17"/>
  <c r="F17"/>
  <c r="J17" s="1"/>
  <c r="AP16"/>
  <c r="AO16"/>
  <c r="AN16"/>
  <c r="AM16"/>
  <c r="AL16"/>
  <c r="AK16"/>
  <c r="AP15"/>
  <c r="AO15"/>
  <c r="AN15"/>
  <c r="AM15"/>
  <c r="AL15"/>
  <c r="AK15"/>
  <c r="AP14"/>
  <c r="AO14"/>
  <c r="AN14"/>
  <c r="AM14"/>
  <c r="AL14"/>
  <c r="AK14"/>
  <c r="AP13"/>
  <c r="AO13"/>
  <c r="AN13"/>
  <c r="AM13"/>
  <c r="AL13"/>
  <c r="AP12"/>
  <c r="AO12"/>
  <c r="AN12"/>
  <c r="AM12"/>
  <c r="AL12"/>
  <c r="AP11"/>
  <c r="AO11"/>
  <c r="AN11"/>
  <c r="AM11"/>
  <c r="AL11"/>
  <c r="AP10"/>
  <c r="AO10"/>
  <c r="AN10"/>
  <c r="AM10"/>
  <c r="AL10"/>
  <c r="AK10"/>
  <c r="AP9"/>
  <c r="AO9"/>
  <c r="AN9"/>
  <c r="AM9"/>
  <c r="AP8"/>
  <c r="AO8"/>
  <c r="AN8"/>
  <c r="AM8"/>
  <c r="AL8"/>
  <c r="AP7"/>
  <c r="AO7"/>
  <c r="AN7"/>
  <c r="AM7"/>
  <c r="AP6"/>
  <c r="AO6"/>
  <c r="AN6"/>
  <c r="AM6"/>
  <c r="AU5"/>
  <c r="AT5"/>
  <c r="AS5"/>
  <c r="AR5"/>
  <c r="J5"/>
  <c r="I5"/>
  <c r="H5"/>
  <c r="G5"/>
  <c r="AL67" i="9"/>
  <c r="AJ67" s="1"/>
  <c r="AK67" s="1"/>
  <c r="AL66"/>
  <c r="AJ66" s="1"/>
  <c r="AK66" s="1"/>
  <c r="AL65"/>
  <c r="AJ65"/>
  <c r="AK65" s="1"/>
  <c r="AL64"/>
  <c r="AJ64"/>
  <c r="AK64" s="1"/>
  <c r="AL63"/>
  <c r="AJ63" s="1"/>
  <c r="AK63" s="1"/>
  <c r="AL62"/>
  <c r="AJ62" s="1"/>
  <c r="AK62" s="1"/>
  <c r="AL61"/>
  <c r="AJ61"/>
  <c r="AK61" s="1"/>
  <c r="AL60"/>
  <c r="AJ60"/>
  <c r="AK60" s="1"/>
  <c r="AL59"/>
  <c r="AJ59" s="1"/>
  <c r="AK59" s="1"/>
  <c r="AL58"/>
  <c r="AJ58" s="1"/>
  <c r="AL57"/>
  <c r="AK57"/>
  <c r="AL56"/>
  <c r="AK56" s="1"/>
  <c r="AL55"/>
  <c r="AK55"/>
  <c r="AL54"/>
  <c r="AK54" s="1"/>
  <c r="AL53"/>
  <c r="AK53"/>
  <c r="AL52"/>
  <c r="AK52" s="1"/>
  <c r="AL51"/>
  <c r="AK51"/>
  <c r="AL50"/>
  <c r="AK50" s="1"/>
  <c r="AL49"/>
  <c r="AK49"/>
  <c r="AL48"/>
  <c r="AK48" s="1"/>
  <c r="S38"/>
  <c r="S37"/>
  <c r="H37"/>
  <c r="S36"/>
  <c r="S35"/>
  <c r="H35"/>
  <c r="O34"/>
  <c r="S34" s="1"/>
  <c r="U31"/>
  <c r="K31"/>
  <c r="F31"/>
  <c r="J31" s="1"/>
  <c r="K30"/>
  <c r="F30"/>
  <c r="J30" s="1"/>
  <c r="K29"/>
  <c r="F29"/>
  <c r="G29" s="1"/>
  <c r="K28"/>
  <c r="F28"/>
  <c r="J28" s="1"/>
  <c r="K27"/>
  <c r="F27"/>
  <c r="J27" s="1"/>
  <c r="K26"/>
  <c r="F26"/>
  <c r="J26" s="1"/>
  <c r="K25"/>
  <c r="F25"/>
  <c r="J24"/>
  <c r="I24"/>
  <c r="H24"/>
  <c r="G24"/>
  <c r="AP21"/>
  <c r="AO21"/>
  <c r="AN21"/>
  <c r="AM21"/>
  <c r="AL21"/>
  <c r="AK21"/>
  <c r="AP20"/>
  <c r="AO20"/>
  <c r="AN20"/>
  <c r="AM20"/>
  <c r="AL20"/>
  <c r="AP19"/>
  <c r="AO19"/>
  <c r="AN19"/>
  <c r="AM19"/>
  <c r="AL19"/>
  <c r="AK19"/>
  <c r="AP18"/>
  <c r="AO18"/>
  <c r="AN18"/>
  <c r="AM18"/>
  <c r="AL18"/>
  <c r="AK18"/>
  <c r="AP17"/>
  <c r="AO17"/>
  <c r="AN17"/>
  <c r="AM17"/>
  <c r="AL17"/>
  <c r="AK17"/>
  <c r="AP16"/>
  <c r="AO16"/>
  <c r="AN16"/>
  <c r="AM16"/>
  <c r="AL16"/>
  <c r="AK16"/>
  <c r="AP15"/>
  <c r="AO15"/>
  <c r="AN15"/>
  <c r="AM15"/>
  <c r="AL15"/>
  <c r="AK15"/>
  <c r="AP14"/>
  <c r="AO14"/>
  <c r="AN14"/>
  <c r="AM14"/>
  <c r="AL14"/>
  <c r="AK14"/>
  <c r="AP13"/>
  <c r="AO13"/>
  <c r="AN13"/>
  <c r="AM13"/>
  <c r="AL13"/>
  <c r="AK13"/>
  <c r="K13"/>
  <c r="F13"/>
  <c r="AS13" s="1"/>
  <c r="AP12"/>
  <c r="AO12"/>
  <c r="AN12"/>
  <c r="AM12"/>
  <c r="AL12"/>
  <c r="AK12"/>
  <c r="K12"/>
  <c r="F12"/>
  <c r="U12" s="1"/>
  <c r="AP11"/>
  <c r="AO11"/>
  <c r="AN11"/>
  <c r="AM11"/>
  <c r="AL11"/>
  <c r="AK11"/>
  <c r="K11"/>
  <c r="F11"/>
  <c r="AS11" s="1"/>
  <c r="AP10"/>
  <c r="AO10"/>
  <c r="AN10"/>
  <c r="AM10"/>
  <c r="AL10"/>
  <c r="AK10"/>
  <c r="K10"/>
  <c r="F10"/>
  <c r="J10" s="1"/>
  <c r="AP9"/>
  <c r="AO9"/>
  <c r="AN9"/>
  <c r="AM9"/>
  <c r="AL9"/>
  <c r="AK9"/>
  <c r="AP8"/>
  <c r="AO8"/>
  <c r="AN8"/>
  <c r="AM8"/>
  <c r="AL8"/>
  <c r="AK8"/>
  <c r="AP7"/>
  <c r="AO7"/>
  <c r="AN7"/>
  <c r="AM7"/>
  <c r="AL7"/>
  <c r="AK7"/>
  <c r="AP6"/>
  <c r="AO6"/>
  <c r="AN6"/>
  <c r="AM6"/>
  <c r="AL6"/>
  <c r="AK6"/>
  <c r="AU5"/>
  <c r="AT5"/>
  <c r="AS5"/>
  <c r="AR5"/>
  <c r="J5"/>
  <c r="I5"/>
  <c r="H5"/>
  <c r="G5"/>
  <c r="AL67" i="8"/>
  <c r="AJ67"/>
  <c r="AK67" s="1"/>
  <c r="AL66"/>
  <c r="AJ66" s="1"/>
  <c r="AK66" s="1"/>
  <c r="AL65"/>
  <c r="AJ65" s="1"/>
  <c r="AK65" s="1"/>
  <c r="AL64"/>
  <c r="AJ64"/>
  <c r="AK64" s="1"/>
  <c r="AL63"/>
  <c r="AJ63"/>
  <c r="AK63" s="1"/>
  <c r="AL62"/>
  <c r="AJ62" s="1"/>
  <c r="AK62" s="1"/>
  <c r="AL61"/>
  <c r="AJ61" s="1"/>
  <c r="AK61" s="1"/>
  <c r="AL60"/>
  <c r="AJ60"/>
  <c r="AK60" s="1"/>
  <c r="AL59"/>
  <c r="AJ59"/>
  <c r="AL58"/>
  <c r="AJ58" s="1"/>
  <c r="AK58" s="1"/>
  <c r="AL57"/>
  <c r="AK57" s="1"/>
  <c r="AL56"/>
  <c r="AK56" s="1"/>
  <c r="AL55"/>
  <c r="AK55" s="1"/>
  <c r="AL54"/>
  <c r="AK54" s="1"/>
  <c r="AL53"/>
  <c r="AK53"/>
  <c r="AL52"/>
  <c r="AK52" s="1"/>
  <c r="AL51"/>
  <c r="AK51"/>
  <c r="AL50"/>
  <c r="AK50" s="1"/>
  <c r="AL49"/>
  <c r="AK49" s="1"/>
  <c r="AL48"/>
  <c r="AK48" s="1"/>
  <c r="S38"/>
  <c r="S37"/>
  <c r="H37"/>
  <c r="S36"/>
  <c r="S35"/>
  <c r="H35"/>
  <c r="S34"/>
  <c r="O34"/>
  <c r="U31"/>
  <c r="K31"/>
  <c r="F31"/>
  <c r="J31" s="1"/>
  <c r="K30"/>
  <c r="F30"/>
  <c r="J30" s="1"/>
  <c r="K29"/>
  <c r="F29"/>
  <c r="U29" s="1"/>
  <c r="K28"/>
  <c r="F28"/>
  <c r="G28" s="1"/>
  <c r="K27"/>
  <c r="F27"/>
  <c r="J27" s="1"/>
  <c r="K26"/>
  <c r="F26"/>
  <c r="J26" s="1"/>
  <c r="K25"/>
  <c r="F25"/>
  <c r="J25" s="1"/>
  <c r="J24"/>
  <c r="I24"/>
  <c r="H24"/>
  <c r="G24"/>
  <c r="AP21"/>
  <c r="AO21"/>
  <c r="AN21"/>
  <c r="AM21"/>
  <c r="AL21"/>
  <c r="AP20"/>
  <c r="AO20"/>
  <c r="AN20"/>
  <c r="AM20"/>
  <c r="AL20"/>
  <c r="AP19"/>
  <c r="AO19"/>
  <c r="AN19"/>
  <c r="AM19"/>
  <c r="AL19"/>
  <c r="AK19"/>
  <c r="AP18"/>
  <c r="AO18"/>
  <c r="AN18"/>
  <c r="AM18"/>
  <c r="AL18"/>
  <c r="AP17"/>
  <c r="AO17"/>
  <c r="AN17"/>
  <c r="AM17"/>
  <c r="AL17"/>
  <c r="AP16"/>
  <c r="AO16"/>
  <c r="AN16"/>
  <c r="AM16"/>
  <c r="AL16"/>
  <c r="AK16"/>
  <c r="AP15"/>
  <c r="AO15"/>
  <c r="AN15"/>
  <c r="AM15"/>
  <c r="AL15"/>
  <c r="AK15"/>
  <c r="AP14"/>
  <c r="AO14"/>
  <c r="AN14"/>
  <c r="AM14"/>
  <c r="AL14"/>
  <c r="AP13"/>
  <c r="AO13"/>
  <c r="AN13"/>
  <c r="AM13"/>
  <c r="AL13"/>
  <c r="AK13"/>
  <c r="K13"/>
  <c r="F13"/>
  <c r="J13" s="1"/>
  <c r="AP12"/>
  <c r="AO12"/>
  <c r="AN12"/>
  <c r="AM12"/>
  <c r="AL12"/>
  <c r="AP11"/>
  <c r="AO11"/>
  <c r="AN11"/>
  <c r="AM11"/>
  <c r="AL11"/>
  <c r="AK11"/>
  <c r="K11"/>
  <c r="F11"/>
  <c r="AU11" s="1"/>
  <c r="AP10"/>
  <c r="AO10"/>
  <c r="AN10"/>
  <c r="AM10"/>
  <c r="AL10"/>
  <c r="AK10"/>
  <c r="K10"/>
  <c r="F10"/>
  <c r="AR10" s="1"/>
  <c r="AP9"/>
  <c r="AO9"/>
  <c r="AN9"/>
  <c r="AM9"/>
  <c r="AL9"/>
  <c r="AK9"/>
  <c r="K9"/>
  <c r="F9"/>
  <c r="R9" s="1"/>
  <c r="W9" s="1"/>
  <c r="AP8"/>
  <c r="AO8"/>
  <c r="AN8"/>
  <c r="AM8"/>
  <c r="AL8"/>
  <c r="AK8"/>
  <c r="K8"/>
  <c r="F8"/>
  <c r="AT8" s="1"/>
  <c r="AP7"/>
  <c r="AO7"/>
  <c r="AN7"/>
  <c r="AM7"/>
  <c r="AL7"/>
  <c r="AK7"/>
  <c r="AP6"/>
  <c r="AO6"/>
  <c r="AN6"/>
  <c r="AM6"/>
  <c r="AL6"/>
  <c r="AU5"/>
  <c r="AT5"/>
  <c r="AS5"/>
  <c r="AR5"/>
  <c r="J5"/>
  <c r="I5"/>
  <c r="H5"/>
  <c r="G5"/>
  <c r="AL67" i="7"/>
  <c r="AJ67" s="1"/>
  <c r="AK67" s="1"/>
  <c r="AL66"/>
  <c r="AJ66"/>
  <c r="AK66" s="1"/>
  <c r="AL65"/>
  <c r="AJ65"/>
  <c r="AK65" s="1"/>
  <c r="AL64"/>
  <c r="AJ64"/>
  <c r="AK64" s="1"/>
  <c r="AL63"/>
  <c r="AJ63" s="1"/>
  <c r="AK63" s="1"/>
  <c r="AL62"/>
  <c r="AJ62" s="1"/>
  <c r="AK62" s="1"/>
  <c r="AL61"/>
  <c r="AJ61"/>
  <c r="AL60"/>
  <c r="AJ60"/>
  <c r="AK60" s="1"/>
  <c r="AL59"/>
  <c r="AJ59" s="1"/>
  <c r="AK59" s="1"/>
  <c r="AL58"/>
  <c r="AJ58"/>
  <c r="AJ20" s="1"/>
  <c r="AL57"/>
  <c r="AK57"/>
  <c r="AL56"/>
  <c r="AK56" s="1"/>
  <c r="AL55"/>
  <c r="AK55"/>
  <c r="AL54"/>
  <c r="AK54" s="1"/>
  <c r="AL53"/>
  <c r="AK53"/>
  <c r="AL52"/>
  <c r="AK52" s="1"/>
  <c r="AL51"/>
  <c r="AK51"/>
  <c r="AL50"/>
  <c r="AK50" s="1"/>
  <c r="AL49"/>
  <c r="AK49"/>
  <c r="AL48"/>
  <c r="AK48" s="1"/>
  <c r="S38"/>
  <c r="S37"/>
  <c r="H37"/>
  <c r="S36"/>
  <c r="S35"/>
  <c r="H35"/>
  <c r="O34"/>
  <c r="S34" s="1"/>
  <c r="U31"/>
  <c r="K31"/>
  <c r="F31"/>
  <c r="J31" s="1"/>
  <c r="K30"/>
  <c r="G30"/>
  <c r="F30"/>
  <c r="S30" s="1"/>
  <c r="K29"/>
  <c r="F29"/>
  <c r="U29" s="1"/>
  <c r="K28"/>
  <c r="F28"/>
  <c r="K27"/>
  <c r="F27"/>
  <c r="J27" s="1"/>
  <c r="K26"/>
  <c r="F26"/>
  <c r="S26" s="1"/>
  <c r="K25"/>
  <c r="F25"/>
  <c r="U25" s="1"/>
  <c r="J24"/>
  <c r="I24"/>
  <c r="H24"/>
  <c r="G24"/>
  <c r="AP21"/>
  <c r="AO21"/>
  <c r="AN21"/>
  <c r="AM21"/>
  <c r="AL21"/>
  <c r="AK21"/>
  <c r="AJ21"/>
  <c r="AP20"/>
  <c r="AO20"/>
  <c r="AN20"/>
  <c r="AM20"/>
  <c r="AL20"/>
  <c r="AK20"/>
  <c r="AP19"/>
  <c r="AO19"/>
  <c r="AN19"/>
  <c r="AM19"/>
  <c r="AL19"/>
  <c r="AK19"/>
  <c r="AP18"/>
  <c r="AO18"/>
  <c r="AN18"/>
  <c r="AM18"/>
  <c r="AL18"/>
  <c r="AP17"/>
  <c r="AO17"/>
  <c r="AN17"/>
  <c r="AM17"/>
  <c r="AL17"/>
  <c r="AP16"/>
  <c r="AO16"/>
  <c r="AN16"/>
  <c r="AM16"/>
  <c r="AL16"/>
  <c r="AK16"/>
  <c r="AJ16"/>
  <c r="AP15"/>
  <c r="AO15"/>
  <c r="AN15"/>
  <c r="AM15"/>
  <c r="AL15"/>
  <c r="AK15"/>
  <c r="AP14"/>
  <c r="AO14"/>
  <c r="AN14"/>
  <c r="AM14"/>
  <c r="AL14"/>
  <c r="AK14"/>
  <c r="AP13"/>
  <c r="AO13"/>
  <c r="AN13"/>
  <c r="AM13"/>
  <c r="AL13"/>
  <c r="AK13"/>
  <c r="AP12"/>
  <c r="AO12"/>
  <c r="AN12"/>
  <c r="AM12"/>
  <c r="AL12"/>
  <c r="AK12"/>
  <c r="AP11"/>
  <c r="AO11"/>
  <c r="AN11"/>
  <c r="AM11"/>
  <c r="AL11"/>
  <c r="AK11"/>
  <c r="AP10"/>
  <c r="AO10"/>
  <c r="AN10"/>
  <c r="AM10"/>
  <c r="AL10"/>
  <c r="AK10"/>
  <c r="AP9"/>
  <c r="AO9"/>
  <c r="AN9"/>
  <c r="AM9"/>
  <c r="AL9"/>
  <c r="AK9"/>
  <c r="K9"/>
  <c r="F9"/>
  <c r="AS9" s="1"/>
  <c r="AP8"/>
  <c r="AO8"/>
  <c r="AN8"/>
  <c r="AM8"/>
  <c r="AL8"/>
  <c r="AK8"/>
  <c r="K8"/>
  <c r="F8"/>
  <c r="AU8" s="1"/>
  <c r="AP7"/>
  <c r="AO7"/>
  <c r="AN7"/>
  <c r="AM7"/>
  <c r="AL7"/>
  <c r="AK7"/>
  <c r="AP6"/>
  <c r="AO6"/>
  <c r="AN6"/>
  <c r="AM6"/>
  <c r="AL6"/>
  <c r="AU5"/>
  <c r="AT5"/>
  <c r="AS5"/>
  <c r="AR5"/>
  <c r="J5"/>
  <c r="I5"/>
  <c r="H5"/>
  <c r="G5"/>
  <c r="AL67" i="6"/>
  <c r="AJ67"/>
  <c r="AK67" s="1"/>
  <c r="AL66"/>
  <c r="AJ66" s="1"/>
  <c r="AK66" s="1"/>
  <c r="AL65"/>
  <c r="AJ65" s="1"/>
  <c r="AK65" s="1"/>
  <c r="AL64"/>
  <c r="AJ64"/>
  <c r="AK64" s="1"/>
  <c r="AL63"/>
  <c r="AJ63"/>
  <c r="AK63" s="1"/>
  <c r="AL62"/>
  <c r="AJ62" s="1"/>
  <c r="AK62" s="1"/>
  <c r="AL61"/>
  <c r="AJ61"/>
  <c r="AK61" s="1"/>
  <c r="AL60"/>
  <c r="AJ60"/>
  <c r="AK60" s="1"/>
  <c r="AL59"/>
  <c r="AJ59"/>
  <c r="AK59" s="1"/>
  <c r="AL58"/>
  <c r="AJ58" s="1"/>
  <c r="AK58" s="1"/>
  <c r="AL57"/>
  <c r="AK57"/>
  <c r="AL56"/>
  <c r="AK56" s="1"/>
  <c r="AL55"/>
  <c r="AK55" s="1"/>
  <c r="AL54"/>
  <c r="AK54" s="1"/>
  <c r="AL53"/>
  <c r="AK53"/>
  <c r="AL52"/>
  <c r="AK52" s="1"/>
  <c r="AL51"/>
  <c r="AK51" s="1"/>
  <c r="AL50"/>
  <c r="AK50" s="1"/>
  <c r="AL49"/>
  <c r="AK49"/>
  <c r="AL48"/>
  <c r="AK48" s="1"/>
  <c r="S38"/>
  <c r="S37"/>
  <c r="H37"/>
  <c r="S36"/>
  <c r="S35"/>
  <c r="H35"/>
  <c r="O34"/>
  <c r="S34" s="1"/>
  <c r="U31"/>
  <c r="K31"/>
  <c r="F31"/>
  <c r="I31" s="1"/>
  <c r="K30"/>
  <c r="F30"/>
  <c r="J30" s="1"/>
  <c r="K29"/>
  <c r="F29"/>
  <c r="K28"/>
  <c r="F28"/>
  <c r="K27"/>
  <c r="F27"/>
  <c r="G27" s="1"/>
  <c r="K26"/>
  <c r="F26"/>
  <c r="J26" s="1"/>
  <c r="K25"/>
  <c r="F25"/>
  <c r="J25" s="1"/>
  <c r="J24"/>
  <c r="I24"/>
  <c r="H24"/>
  <c r="G24"/>
  <c r="AP21"/>
  <c r="AO21"/>
  <c r="AN21"/>
  <c r="AM21"/>
  <c r="AL21"/>
  <c r="AK21"/>
  <c r="AP20"/>
  <c r="AO20"/>
  <c r="AN20"/>
  <c r="AM20"/>
  <c r="AL20"/>
  <c r="AK20"/>
  <c r="AP19"/>
  <c r="AO19"/>
  <c r="AN19"/>
  <c r="AM19"/>
  <c r="AL19"/>
  <c r="AK19"/>
  <c r="AP18"/>
  <c r="AO18"/>
  <c r="AN18"/>
  <c r="AM18"/>
  <c r="AL18"/>
  <c r="AK18"/>
  <c r="AP17"/>
  <c r="AO17"/>
  <c r="AN17"/>
  <c r="AM17"/>
  <c r="AL17"/>
  <c r="AK17"/>
  <c r="AP16"/>
  <c r="AO16"/>
  <c r="AN16"/>
  <c r="AM16"/>
  <c r="AL16"/>
  <c r="AK16"/>
  <c r="AP15"/>
  <c r="AO15"/>
  <c r="AN15"/>
  <c r="AM15"/>
  <c r="AL15"/>
  <c r="AK15"/>
  <c r="AP14"/>
  <c r="AO14"/>
  <c r="AN14"/>
  <c r="AM14"/>
  <c r="AL14"/>
  <c r="AK14"/>
  <c r="AP13"/>
  <c r="AO13"/>
  <c r="AN13"/>
  <c r="AM13"/>
  <c r="AL13"/>
  <c r="AK13"/>
  <c r="AP12"/>
  <c r="AO12"/>
  <c r="AN12"/>
  <c r="AM12"/>
  <c r="AL12"/>
  <c r="AP11"/>
  <c r="AO11"/>
  <c r="AN11"/>
  <c r="AM11"/>
  <c r="AL11"/>
  <c r="AK11"/>
  <c r="K11"/>
  <c r="F11"/>
  <c r="J11" s="1"/>
  <c r="AP10"/>
  <c r="AO10"/>
  <c r="AN10"/>
  <c r="AM10"/>
  <c r="AL10"/>
  <c r="AK10"/>
  <c r="K10"/>
  <c r="F10"/>
  <c r="AR10" s="1"/>
  <c r="AP9"/>
  <c r="AO9"/>
  <c r="AN9"/>
  <c r="AM9"/>
  <c r="AL9"/>
  <c r="AK9"/>
  <c r="AP8"/>
  <c r="AO8"/>
  <c r="AN8"/>
  <c r="AM8"/>
  <c r="AP7"/>
  <c r="AO7"/>
  <c r="AN7"/>
  <c r="AM7"/>
  <c r="AP6"/>
  <c r="AO6"/>
  <c r="AN6"/>
  <c r="AM6"/>
  <c r="AL6"/>
  <c r="AU5"/>
  <c r="AT5"/>
  <c r="AS5"/>
  <c r="AR5"/>
  <c r="J5"/>
  <c r="I5"/>
  <c r="H5"/>
  <c r="G5"/>
  <c r="Q503" i="5"/>
  <c r="F503" s="1"/>
  <c r="P503"/>
  <c r="E503" s="1"/>
  <c r="O503"/>
  <c r="N503"/>
  <c r="M503"/>
  <c r="L503"/>
  <c r="A503" s="1"/>
  <c r="K503"/>
  <c r="H503"/>
  <c r="G503"/>
  <c r="D503"/>
  <c r="C503"/>
  <c r="B503"/>
  <c r="Q502"/>
  <c r="F502" s="1"/>
  <c r="P502"/>
  <c r="O502"/>
  <c r="D502" s="1"/>
  <c r="N502"/>
  <c r="M502"/>
  <c r="L502"/>
  <c r="K502"/>
  <c r="H502"/>
  <c r="G502"/>
  <c r="E502"/>
  <c r="C502"/>
  <c r="B502"/>
  <c r="A502"/>
  <c r="Q501"/>
  <c r="P501"/>
  <c r="O501"/>
  <c r="D501" s="1"/>
  <c r="N501"/>
  <c r="C501" s="1"/>
  <c r="M501"/>
  <c r="L501"/>
  <c r="K501"/>
  <c r="H501"/>
  <c r="G501"/>
  <c r="F501"/>
  <c r="E501"/>
  <c r="B501"/>
  <c r="A501"/>
  <c r="Q500"/>
  <c r="F500" s="1"/>
  <c r="P500"/>
  <c r="O500"/>
  <c r="N500"/>
  <c r="M500"/>
  <c r="B500" s="1"/>
  <c r="L500"/>
  <c r="K500"/>
  <c r="H500"/>
  <c r="G500"/>
  <c r="E500"/>
  <c r="D500"/>
  <c r="C500"/>
  <c r="A500"/>
  <c r="Q499"/>
  <c r="P499"/>
  <c r="E499" s="1"/>
  <c r="O499"/>
  <c r="N499"/>
  <c r="M499"/>
  <c r="L499"/>
  <c r="A499" s="1"/>
  <c r="K499"/>
  <c r="H499"/>
  <c r="G499"/>
  <c r="F499"/>
  <c r="D499"/>
  <c r="C499"/>
  <c r="B499"/>
  <c r="Q498"/>
  <c r="P498"/>
  <c r="E498" s="1"/>
  <c r="O498"/>
  <c r="D498" s="1"/>
  <c r="N498"/>
  <c r="M498"/>
  <c r="L498"/>
  <c r="K498"/>
  <c r="H498"/>
  <c r="G498"/>
  <c r="F498"/>
  <c r="C498"/>
  <c r="B498"/>
  <c r="A498"/>
  <c r="Q497"/>
  <c r="P497"/>
  <c r="E497" s="1"/>
  <c r="O497"/>
  <c r="N497"/>
  <c r="C497" s="1"/>
  <c r="M497"/>
  <c r="L497"/>
  <c r="K497"/>
  <c r="H497"/>
  <c r="G497"/>
  <c r="F497"/>
  <c r="D497"/>
  <c r="B497"/>
  <c r="A497"/>
  <c r="Q496"/>
  <c r="F496" s="1"/>
  <c r="P496"/>
  <c r="O496"/>
  <c r="N496"/>
  <c r="M496"/>
  <c r="B496" s="1"/>
  <c r="L496"/>
  <c r="K496"/>
  <c r="H496"/>
  <c r="G496"/>
  <c r="E496"/>
  <c r="D496"/>
  <c r="C496"/>
  <c r="A496"/>
  <c r="Q495"/>
  <c r="F495" s="1"/>
  <c r="P495"/>
  <c r="E495" s="1"/>
  <c r="O495"/>
  <c r="N495"/>
  <c r="M495"/>
  <c r="L495"/>
  <c r="A495" s="1"/>
  <c r="K495"/>
  <c r="H495"/>
  <c r="G495"/>
  <c r="D495"/>
  <c r="C495"/>
  <c r="B495"/>
  <c r="Q494"/>
  <c r="P494"/>
  <c r="E494" s="1"/>
  <c r="O494"/>
  <c r="D494" s="1"/>
  <c r="N494"/>
  <c r="M494"/>
  <c r="L494"/>
  <c r="A494" s="1"/>
  <c r="K494"/>
  <c r="H494"/>
  <c r="G494"/>
  <c r="F494"/>
  <c r="C494"/>
  <c r="B494"/>
  <c r="Q493"/>
  <c r="P493"/>
  <c r="E493" s="1"/>
  <c r="O493"/>
  <c r="N493"/>
  <c r="C493" s="1"/>
  <c r="M493"/>
  <c r="L493"/>
  <c r="K493"/>
  <c r="H493"/>
  <c r="G493"/>
  <c r="F493"/>
  <c r="D493"/>
  <c r="B493"/>
  <c r="A493"/>
  <c r="Q492"/>
  <c r="F492" s="1"/>
  <c r="P492"/>
  <c r="O492"/>
  <c r="N492"/>
  <c r="M492"/>
  <c r="B492" s="1"/>
  <c r="L492"/>
  <c r="K492"/>
  <c r="H492"/>
  <c r="G492"/>
  <c r="E492"/>
  <c r="D492"/>
  <c r="C492"/>
  <c r="A492"/>
  <c r="Q491"/>
  <c r="F491" s="1"/>
  <c r="P491"/>
  <c r="E491" s="1"/>
  <c r="O491"/>
  <c r="N491"/>
  <c r="M491"/>
  <c r="B491" s="1"/>
  <c r="L491"/>
  <c r="A491" s="1"/>
  <c r="K491"/>
  <c r="H491"/>
  <c r="G491"/>
  <c r="D491"/>
  <c r="C491"/>
  <c r="Q490"/>
  <c r="P490"/>
  <c r="E490" s="1"/>
  <c r="O490"/>
  <c r="D490" s="1"/>
  <c r="N490"/>
  <c r="M490"/>
  <c r="L490"/>
  <c r="K490"/>
  <c r="H490"/>
  <c r="G490"/>
  <c r="F490"/>
  <c r="C490"/>
  <c r="B490"/>
  <c r="A490"/>
  <c r="Q489"/>
  <c r="P489"/>
  <c r="E489" s="1"/>
  <c r="O489"/>
  <c r="N489"/>
  <c r="C489" s="1"/>
  <c r="M489"/>
  <c r="L489"/>
  <c r="A489" s="1"/>
  <c r="K489"/>
  <c r="H489"/>
  <c r="G489"/>
  <c r="F489"/>
  <c r="D489"/>
  <c r="B489"/>
  <c r="Q488"/>
  <c r="F488" s="1"/>
  <c r="P488"/>
  <c r="O488"/>
  <c r="N488"/>
  <c r="M488"/>
  <c r="B488" s="1"/>
  <c r="L488"/>
  <c r="K488"/>
  <c r="H488"/>
  <c r="G488"/>
  <c r="E488"/>
  <c r="D488"/>
  <c r="C488"/>
  <c r="A488"/>
  <c r="Q487"/>
  <c r="F487" s="1"/>
  <c r="P487"/>
  <c r="E487" s="1"/>
  <c r="O487"/>
  <c r="N487"/>
  <c r="M487"/>
  <c r="L487"/>
  <c r="A487" s="1"/>
  <c r="K487"/>
  <c r="H487"/>
  <c r="G487"/>
  <c r="D487"/>
  <c r="C487"/>
  <c r="B487"/>
  <c r="Q486"/>
  <c r="P486"/>
  <c r="E486" s="1"/>
  <c r="O486"/>
  <c r="D486" s="1"/>
  <c r="N486"/>
  <c r="M486"/>
  <c r="L486"/>
  <c r="A486" s="1"/>
  <c r="K486"/>
  <c r="H486"/>
  <c r="G486"/>
  <c r="F486"/>
  <c r="C486"/>
  <c r="B486"/>
  <c r="Q485"/>
  <c r="P485"/>
  <c r="E485" s="1"/>
  <c r="O485"/>
  <c r="N485"/>
  <c r="C485" s="1"/>
  <c r="M485"/>
  <c r="L485"/>
  <c r="K485"/>
  <c r="H485"/>
  <c r="G485"/>
  <c r="F485"/>
  <c r="D485"/>
  <c r="B485"/>
  <c r="A485"/>
  <c r="Q484"/>
  <c r="F484" s="1"/>
  <c r="P484"/>
  <c r="O484"/>
  <c r="N484"/>
  <c r="M484"/>
  <c r="B484" s="1"/>
  <c r="L484"/>
  <c r="K484"/>
  <c r="H484"/>
  <c r="G484"/>
  <c r="E484"/>
  <c r="D484"/>
  <c r="C484"/>
  <c r="A484"/>
  <c r="Q483"/>
  <c r="F483" s="1"/>
  <c r="P483"/>
  <c r="E483" s="1"/>
  <c r="O483"/>
  <c r="N483"/>
  <c r="M483"/>
  <c r="B483" s="1"/>
  <c r="L483"/>
  <c r="A483" s="1"/>
  <c r="K483"/>
  <c r="H483"/>
  <c r="G483"/>
  <c r="D483"/>
  <c r="C483"/>
  <c r="Q482"/>
  <c r="P482"/>
  <c r="E482" s="1"/>
  <c r="O482"/>
  <c r="D482" s="1"/>
  <c r="N482"/>
  <c r="M482"/>
  <c r="L482"/>
  <c r="K482"/>
  <c r="H482"/>
  <c r="G482"/>
  <c r="F482"/>
  <c r="C482"/>
  <c r="B482"/>
  <c r="A482"/>
  <c r="Q481"/>
  <c r="P481"/>
  <c r="E481" s="1"/>
  <c r="O481"/>
  <c r="N481"/>
  <c r="C481" s="1"/>
  <c r="M481"/>
  <c r="L481"/>
  <c r="A481" s="1"/>
  <c r="K481"/>
  <c r="H481"/>
  <c r="G481"/>
  <c r="F481"/>
  <c r="D481"/>
  <c r="B481"/>
  <c r="Q480"/>
  <c r="F480" s="1"/>
  <c r="P480"/>
  <c r="O480"/>
  <c r="N480"/>
  <c r="M480"/>
  <c r="B480" s="1"/>
  <c r="L480"/>
  <c r="K480"/>
  <c r="H480"/>
  <c r="G480"/>
  <c r="E480"/>
  <c r="D480"/>
  <c r="C480"/>
  <c r="A480"/>
  <c r="Q479"/>
  <c r="F479" s="1"/>
  <c r="P479"/>
  <c r="E479" s="1"/>
  <c r="O479"/>
  <c r="N479"/>
  <c r="M479"/>
  <c r="L479"/>
  <c r="A479" s="1"/>
  <c r="K479"/>
  <c r="H479"/>
  <c r="G479"/>
  <c r="D479"/>
  <c r="C479"/>
  <c r="B479"/>
  <c r="Q478"/>
  <c r="P478"/>
  <c r="E478" s="1"/>
  <c r="O478"/>
  <c r="D478" s="1"/>
  <c r="N478"/>
  <c r="M478"/>
  <c r="L478"/>
  <c r="A478" s="1"/>
  <c r="K478"/>
  <c r="H478"/>
  <c r="G478"/>
  <c r="F478"/>
  <c r="C478"/>
  <c r="B478"/>
  <c r="Q477"/>
  <c r="P477"/>
  <c r="E477" s="1"/>
  <c r="O477"/>
  <c r="N477"/>
  <c r="C477" s="1"/>
  <c r="M477"/>
  <c r="L477"/>
  <c r="K477"/>
  <c r="H477"/>
  <c r="G477"/>
  <c r="F477"/>
  <c r="D477"/>
  <c r="B477"/>
  <c r="A477"/>
  <c r="Q476"/>
  <c r="F476" s="1"/>
  <c r="P476"/>
  <c r="O476"/>
  <c r="N476"/>
  <c r="M476"/>
  <c r="B476" s="1"/>
  <c r="L476"/>
  <c r="K476"/>
  <c r="H476"/>
  <c r="G476"/>
  <c r="E476"/>
  <c r="D476"/>
  <c r="C476"/>
  <c r="A476"/>
  <c r="Q475"/>
  <c r="F475" s="1"/>
  <c r="P475"/>
  <c r="E475" s="1"/>
  <c r="O475"/>
  <c r="N475"/>
  <c r="M475"/>
  <c r="B475" s="1"/>
  <c r="L475"/>
  <c r="A475" s="1"/>
  <c r="K475"/>
  <c r="H475"/>
  <c r="G475"/>
  <c r="D475"/>
  <c r="C475"/>
  <c r="Q474"/>
  <c r="P474"/>
  <c r="E474" s="1"/>
  <c r="O474"/>
  <c r="D474" s="1"/>
  <c r="N474"/>
  <c r="M474"/>
  <c r="L474"/>
  <c r="K474"/>
  <c r="H474"/>
  <c r="G474"/>
  <c r="F474"/>
  <c r="C474"/>
  <c r="B474"/>
  <c r="A474"/>
  <c r="Q473"/>
  <c r="P473"/>
  <c r="E473" s="1"/>
  <c r="O473"/>
  <c r="N473"/>
  <c r="C473" s="1"/>
  <c r="M473"/>
  <c r="L473"/>
  <c r="A473" s="1"/>
  <c r="K473"/>
  <c r="H473"/>
  <c r="G473"/>
  <c r="F473"/>
  <c r="D473"/>
  <c r="B473"/>
  <c r="Q472"/>
  <c r="F472" s="1"/>
  <c r="P472"/>
  <c r="O472"/>
  <c r="N472"/>
  <c r="M472"/>
  <c r="B472" s="1"/>
  <c r="L472"/>
  <c r="K472"/>
  <c r="H472"/>
  <c r="G472"/>
  <c r="E472"/>
  <c r="D472"/>
  <c r="C472"/>
  <c r="A472"/>
  <c r="Q471"/>
  <c r="F471" s="1"/>
  <c r="P471"/>
  <c r="E471" s="1"/>
  <c r="O471"/>
  <c r="N471"/>
  <c r="M471"/>
  <c r="L471"/>
  <c r="A471" s="1"/>
  <c r="K471"/>
  <c r="H471"/>
  <c r="G471"/>
  <c r="D471"/>
  <c r="C471"/>
  <c r="B471"/>
  <c r="Q470"/>
  <c r="P470"/>
  <c r="E470" s="1"/>
  <c r="O470"/>
  <c r="D470" s="1"/>
  <c r="N470"/>
  <c r="M470"/>
  <c r="L470"/>
  <c r="A470" s="1"/>
  <c r="K470"/>
  <c r="H470"/>
  <c r="G470"/>
  <c r="F470"/>
  <c r="C470"/>
  <c r="B470"/>
  <c r="Q469"/>
  <c r="P469"/>
  <c r="E469" s="1"/>
  <c r="O469"/>
  <c r="N469"/>
  <c r="C469" s="1"/>
  <c r="M469"/>
  <c r="L469"/>
  <c r="K469"/>
  <c r="H469"/>
  <c r="G469"/>
  <c r="F469"/>
  <c r="D469"/>
  <c r="B469"/>
  <c r="A469"/>
  <c r="Q468"/>
  <c r="F468" s="1"/>
  <c r="P468"/>
  <c r="O468"/>
  <c r="N468"/>
  <c r="M468"/>
  <c r="B468" s="1"/>
  <c r="L468"/>
  <c r="K468"/>
  <c r="H468"/>
  <c r="G468"/>
  <c r="E468"/>
  <c r="D468"/>
  <c r="C468"/>
  <c r="A468"/>
  <c r="Q467"/>
  <c r="F467" s="1"/>
  <c r="P467"/>
  <c r="E467" s="1"/>
  <c r="O467"/>
  <c r="N467"/>
  <c r="M467"/>
  <c r="B467" s="1"/>
  <c r="L467"/>
  <c r="A467" s="1"/>
  <c r="K467"/>
  <c r="H467"/>
  <c r="G467"/>
  <c r="D467"/>
  <c r="C467"/>
  <c r="Q466"/>
  <c r="P466"/>
  <c r="E466" s="1"/>
  <c r="O466"/>
  <c r="D466" s="1"/>
  <c r="N466"/>
  <c r="M466"/>
  <c r="L466"/>
  <c r="K466"/>
  <c r="H466"/>
  <c r="G466"/>
  <c r="F466"/>
  <c r="C466"/>
  <c r="B466"/>
  <c r="A466"/>
  <c r="Q465"/>
  <c r="P465"/>
  <c r="E465" s="1"/>
  <c r="O465"/>
  <c r="N465"/>
  <c r="C465" s="1"/>
  <c r="M465"/>
  <c r="L465"/>
  <c r="A465" s="1"/>
  <c r="K465"/>
  <c r="H465"/>
  <c r="G465"/>
  <c r="F465"/>
  <c r="D465"/>
  <c r="B465"/>
  <c r="Q464"/>
  <c r="F464" s="1"/>
  <c r="P464"/>
  <c r="O464"/>
  <c r="N464"/>
  <c r="M464"/>
  <c r="B464" s="1"/>
  <c r="L464"/>
  <c r="K464"/>
  <c r="H464"/>
  <c r="G464"/>
  <c r="E464"/>
  <c r="D464"/>
  <c r="C464"/>
  <c r="A464"/>
  <c r="Q463"/>
  <c r="F463" s="1"/>
  <c r="P463"/>
  <c r="E463" s="1"/>
  <c r="O463"/>
  <c r="N463"/>
  <c r="M463"/>
  <c r="L463"/>
  <c r="A463" s="1"/>
  <c r="K463"/>
  <c r="H463"/>
  <c r="G463"/>
  <c r="D463"/>
  <c r="C463"/>
  <c r="B463"/>
  <c r="Q462"/>
  <c r="P462"/>
  <c r="E462" s="1"/>
  <c r="O462"/>
  <c r="D462" s="1"/>
  <c r="N462"/>
  <c r="M462"/>
  <c r="L462"/>
  <c r="A462" s="1"/>
  <c r="K462"/>
  <c r="H462"/>
  <c r="G462"/>
  <c r="F462"/>
  <c r="C462"/>
  <c r="B462"/>
  <c r="Q461"/>
  <c r="P461"/>
  <c r="E461" s="1"/>
  <c r="O461"/>
  <c r="N461"/>
  <c r="C461" s="1"/>
  <c r="M461"/>
  <c r="L461"/>
  <c r="K461"/>
  <c r="H461"/>
  <c r="G461"/>
  <c r="F461"/>
  <c r="D461"/>
  <c r="B461"/>
  <c r="A461"/>
  <c r="Q460"/>
  <c r="F460" s="1"/>
  <c r="P460"/>
  <c r="O460"/>
  <c r="N460"/>
  <c r="M460"/>
  <c r="B460" s="1"/>
  <c r="L460"/>
  <c r="K460"/>
  <c r="H460"/>
  <c r="G460"/>
  <c r="E460"/>
  <c r="D460"/>
  <c r="C460"/>
  <c r="A460"/>
  <c r="Q459"/>
  <c r="F459" s="1"/>
  <c r="P459"/>
  <c r="E459" s="1"/>
  <c r="O459"/>
  <c r="N459"/>
  <c r="M459"/>
  <c r="B459" s="1"/>
  <c r="L459"/>
  <c r="A459" s="1"/>
  <c r="K459"/>
  <c r="H459"/>
  <c r="G459"/>
  <c r="D459"/>
  <c r="C459"/>
  <c r="Q458"/>
  <c r="P458"/>
  <c r="E458" s="1"/>
  <c r="O458"/>
  <c r="D458" s="1"/>
  <c r="N458"/>
  <c r="M458"/>
  <c r="L458"/>
  <c r="K458"/>
  <c r="H458"/>
  <c r="G458"/>
  <c r="F458"/>
  <c r="C458"/>
  <c r="B458"/>
  <c r="A458"/>
  <c r="Q457"/>
  <c r="P457"/>
  <c r="E457" s="1"/>
  <c r="O457"/>
  <c r="N457"/>
  <c r="C457" s="1"/>
  <c r="M457"/>
  <c r="L457"/>
  <c r="A457" s="1"/>
  <c r="K457"/>
  <c r="H457"/>
  <c r="G457"/>
  <c r="F457"/>
  <c r="D457"/>
  <c r="B457"/>
  <c r="Q456"/>
  <c r="F456" s="1"/>
  <c r="P456"/>
  <c r="O456"/>
  <c r="N456"/>
  <c r="M456"/>
  <c r="B456" s="1"/>
  <c r="L456"/>
  <c r="K456"/>
  <c r="H456"/>
  <c r="G456"/>
  <c r="E456"/>
  <c r="D456"/>
  <c r="C456"/>
  <c r="A456"/>
  <c r="Q455"/>
  <c r="F455" s="1"/>
  <c r="P455"/>
  <c r="E455" s="1"/>
  <c r="O455"/>
  <c r="N455"/>
  <c r="M455"/>
  <c r="L455"/>
  <c r="A455" s="1"/>
  <c r="K455"/>
  <c r="H455"/>
  <c r="G455"/>
  <c r="D455"/>
  <c r="C455"/>
  <c r="B455"/>
  <c r="Q454"/>
  <c r="P454"/>
  <c r="E454" s="1"/>
  <c r="O454"/>
  <c r="D454" s="1"/>
  <c r="N454"/>
  <c r="M454"/>
  <c r="L454"/>
  <c r="A454" s="1"/>
  <c r="K454"/>
  <c r="H454"/>
  <c r="G454"/>
  <c r="F454"/>
  <c r="C454"/>
  <c r="B454"/>
  <c r="Q453"/>
  <c r="P453"/>
  <c r="E453" s="1"/>
  <c r="O453"/>
  <c r="N453"/>
  <c r="C453" s="1"/>
  <c r="M453"/>
  <c r="L453"/>
  <c r="A453" s="1"/>
  <c r="K453"/>
  <c r="H453"/>
  <c r="G453"/>
  <c r="F453"/>
  <c r="D453"/>
  <c r="B453"/>
  <c r="Q452"/>
  <c r="F452" s="1"/>
  <c r="P452"/>
  <c r="O452"/>
  <c r="D452" s="1"/>
  <c r="N452"/>
  <c r="M452"/>
  <c r="B452" s="1"/>
  <c r="L452"/>
  <c r="K452"/>
  <c r="H452"/>
  <c r="G452"/>
  <c r="E452"/>
  <c r="C452"/>
  <c r="A452"/>
  <c r="Q451"/>
  <c r="P451"/>
  <c r="E451" s="1"/>
  <c r="O451"/>
  <c r="N451"/>
  <c r="C451" s="1"/>
  <c r="M451"/>
  <c r="L451"/>
  <c r="A451" s="1"/>
  <c r="K451"/>
  <c r="H451"/>
  <c r="G451"/>
  <c r="F451"/>
  <c r="D451"/>
  <c r="B451"/>
  <c r="Q450"/>
  <c r="F450" s="1"/>
  <c r="P450"/>
  <c r="O450"/>
  <c r="D450" s="1"/>
  <c r="N450"/>
  <c r="M450"/>
  <c r="B450" s="1"/>
  <c r="L450"/>
  <c r="K450"/>
  <c r="H450"/>
  <c r="G450"/>
  <c r="E450"/>
  <c r="C450"/>
  <c r="A450"/>
  <c r="Q449"/>
  <c r="P449"/>
  <c r="E449" s="1"/>
  <c r="O449"/>
  <c r="N449"/>
  <c r="C449" s="1"/>
  <c r="M449"/>
  <c r="L449"/>
  <c r="A449" s="1"/>
  <c r="K449"/>
  <c r="H449"/>
  <c r="G449"/>
  <c r="F449"/>
  <c r="D449"/>
  <c r="B449"/>
  <c r="Q448"/>
  <c r="F448" s="1"/>
  <c r="P448"/>
  <c r="O448"/>
  <c r="D448" s="1"/>
  <c r="N448"/>
  <c r="M448"/>
  <c r="B448" s="1"/>
  <c r="L448"/>
  <c r="K448"/>
  <c r="H448"/>
  <c r="G448"/>
  <c r="E448"/>
  <c r="C448"/>
  <c r="A448"/>
  <c r="Q447"/>
  <c r="P447"/>
  <c r="E447" s="1"/>
  <c r="O447"/>
  <c r="N447"/>
  <c r="C447" s="1"/>
  <c r="M447"/>
  <c r="L447"/>
  <c r="A447" s="1"/>
  <c r="K447"/>
  <c r="H447"/>
  <c r="G447"/>
  <c r="F447"/>
  <c r="D447"/>
  <c r="B447"/>
  <c r="Q446"/>
  <c r="F446" s="1"/>
  <c r="P446"/>
  <c r="O446"/>
  <c r="D446" s="1"/>
  <c r="N446"/>
  <c r="M446"/>
  <c r="B446" s="1"/>
  <c r="L446"/>
  <c r="K446"/>
  <c r="H446"/>
  <c r="G446"/>
  <c r="E446"/>
  <c r="C446"/>
  <c r="A446"/>
  <c r="Q445"/>
  <c r="P445"/>
  <c r="E445" s="1"/>
  <c r="O445"/>
  <c r="N445"/>
  <c r="C445" s="1"/>
  <c r="M445"/>
  <c r="L445"/>
  <c r="A445" s="1"/>
  <c r="K445"/>
  <c r="H445"/>
  <c r="G445"/>
  <c r="F445"/>
  <c r="D445"/>
  <c r="B445"/>
  <c r="Q444"/>
  <c r="F444" s="1"/>
  <c r="P444"/>
  <c r="O444"/>
  <c r="D444" s="1"/>
  <c r="N444"/>
  <c r="M444"/>
  <c r="B444" s="1"/>
  <c r="L444"/>
  <c r="K444"/>
  <c r="H444"/>
  <c r="G444"/>
  <c r="E444"/>
  <c r="C444"/>
  <c r="A444"/>
  <c r="Q443"/>
  <c r="P443"/>
  <c r="E443" s="1"/>
  <c r="O443"/>
  <c r="N443"/>
  <c r="C443" s="1"/>
  <c r="M443"/>
  <c r="L443"/>
  <c r="A443" s="1"/>
  <c r="K443"/>
  <c r="H443"/>
  <c r="G443"/>
  <c r="F443"/>
  <c r="D443"/>
  <c r="B443"/>
  <c r="Q442"/>
  <c r="F442" s="1"/>
  <c r="P442"/>
  <c r="O442"/>
  <c r="D442" s="1"/>
  <c r="N442"/>
  <c r="M442"/>
  <c r="B442" s="1"/>
  <c r="L442"/>
  <c r="K442"/>
  <c r="H442"/>
  <c r="G442"/>
  <c r="E442"/>
  <c r="C442"/>
  <c r="A442"/>
  <c r="Q441"/>
  <c r="P441"/>
  <c r="E441" s="1"/>
  <c r="O441"/>
  <c r="N441"/>
  <c r="C441" s="1"/>
  <c r="M441"/>
  <c r="L441"/>
  <c r="A441" s="1"/>
  <c r="K441"/>
  <c r="H441"/>
  <c r="G441"/>
  <c r="F441"/>
  <c r="D441"/>
  <c r="B441"/>
  <c r="Q440"/>
  <c r="F440" s="1"/>
  <c r="P440"/>
  <c r="O440"/>
  <c r="D440" s="1"/>
  <c r="N440"/>
  <c r="M440"/>
  <c r="B440" s="1"/>
  <c r="L440"/>
  <c r="K440"/>
  <c r="H440"/>
  <c r="G440"/>
  <c r="E440"/>
  <c r="C440"/>
  <c r="A440"/>
  <c r="Q439"/>
  <c r="P439"/>
  <c r="E439" s="1"/>
  <c r="O439"/>
  <c r="N439"/>
  <c r="C439" s="1"/>
  <c r="M439"/>
  <c r="L439"/>
  <c r="A439" s="1"/>
  <c r="K439"/>
  <c r="H439"/>
  <c r="G439"/>
  <c r="F439"/>
  <c r="D439"/>
  <c r="B439"/>
  <c r="Q438"/>
  <c r="F438" s="1"/>
  <c r="P438"/>
  <c r="O438"/>
  <c r="D438" s="1"/>
  <c r="N438"/>
  <c r="M438"/>
  <c r="B438" s="1"/>
  <c r="L438"/>
  <c r="K438"/>
  <c r="H438"/>
  <c r="G438"/>
  <c r="E438"/>
  <c r="C438"/>
  <c r="A438"/>
  <c r="Q437"/>
  <c r="P437"/>
  <c r="E437" s="1"/>
  <c r="O437"/>
  <c r="N437"/>
  <c r="C437" s="1"/>
  <c r="M437"/>
  <c r="L437"/>
  <c r="A437" s="1"/>
  <c r="K437"/>
  <c r="H437"/>
  <c r="G437"/>
  <c r="F437"/>
  <c r="D437"/>
  <c r="B437"/>
  <c r="Q436"/>
  <c r="F436" s="1"/>
  <c r="P436"/>
  <c r="O436"/>
  <c r="D436" s="1"/>
  <c r="N436"/>
  <c r="M436"/>
  <c r="B436" s="1"/>
  <c r="L436"/>
  <c r="K436"/>
  <c r="H436"/>
  <c r="G436"/>
  <c r="E436"/>
  <c r="C436"/>
  <c r="A436"/>
  <c r="Q435"/>
  <c r="P435"/>
  <c r="E435" s="1"/>
  <c r="O435"/>
  <c r="N435"/>
  <c r="C435" s="1"/>
  <c r="M435"/>
  <c r="L435"/>
  <c r="A435" s="1"/>
  <c r="K435"/>
  <c r="H435"/>
  <c r="G435"/>
  <c r="F435"/>
  <c r="D435"/>
  <c r="B435"/>
  <c r="Q434"/>
  <c r="F434" s="1"/>
  <c r="P434"/>
  <c r="O434"/>
  <c r="D434" s="1"/>
  <c r="N434"/>
  <c r="M434"/>
  <c r="B434" s="1"/>
  <c r="L434"/>
  <c r="K434"/>
  <c r="H434"/>
  <c r="G434"/>
  <c r="E434"/>
  <c r="C434"/>
  <c r="A434"/>
  <c r="Q433"/>
  <c r="P433"/>
  <c r="E433" s="1"/>
  <c r="O433"/>
  <c r="N433"/>
  <c r="C433" s="1"/>
  <c r="M433"/>
  <c r="L433"/>
  <c r="A433" s="1"/>
  <c r="K433"/>
  <c r="H433"/>
  <c r="G433"/>
  <c r="F433"/>
  <c r="D433"/>
  <c r="B433"/>
  <c r="Q432"/>
  <c r="F432" s="1"/>
  <c r="P432"/>
  <c r="O432"/>
  <c r="D432" s="1"/>
  <c r="N432"/>
  <c r="M432"/>
  <c r="B432" s="1"/>
  <c r="L432"/>
  <c r="K432"/>
  <c r="H432"/>
  <c r="G432"/>
  <c r="E432"/>
  <c r="C432"/>
  <c r="A432"/>
  <c r="Q431"/>
  <c r="P431"/>
  <c r="E431" s="1"/>
  <c r="O431"/>
  <c r="N431"/>
  <c r="C431" s="1"/>
  <c r="M431"/>
  <c r="L431"/>
  <c r="A431" s="1"/>
  <c r="K431"/>
  <c r="H431"/>
  <c r="G431"/>
  <c r="F431"/>
  <c r="D431"/>
  <c r="B431"/>
  <c r="Q430"/>
  <c r="F430" s="1"/>
  <c r="P430"/>
  <c r="O430"/>
  <c r="D430" s="1"/>
  <c r="N430"/>
  <c r="M430"/>
  <c r="B430" s="1"/>
  <c r="L430"/>
  <c r="K430"/>
  <c r="H430"/>
  <c r="G430"/>
  <c r="E430"/>
  <c r="C430"/>
  <c r="A430"/>
  <c r="Q429"/>
  <c r="P429"/>
  <c r="E429" s="1"/>
  <c r="O429"/>
  <c r="N429"/>
  <c r="C429" s="1"/>
  <c r="M429"/>
  <c r="L429"/>
  <c r="A429" s="1"/>
  <c r="K429"/>
  <c r="H429"/>
  <c r="G429"/>
  <c r="F429"/>
  <c r="D429"/>
  <c r="B429"/>
  <c r="Q428"/>
  <c r="F428" s="1"/>
  <c r="P428"/>
  <c r="O428"/>
  <c r="D428" s="1"/>
  <c r="N428"/>
  <c r="M428"/>
  <c r="B428" s="1"/>
  <c r="L428"/>
  <c r="K428"/>
  <c r="H428"/>
  <c r="G428"/>
  <c r="E428"/>
  <c r="C428"/>
  <c r="A428"/>
  <c r="Q427"/>
  <c r="P427"/>
  <c r="E427" s="1"/>
  <c r="O427"/>
  <c r="N427"/>
  <c r="C427" s="1"/>
  <c r="M427"/>
  <c r="L427"/>
  <c r="A427" s="1"/>
  <c r="K427"/>
  <c r="H427"/>
  <c r="G427"/>
  <c r="F427"/>
  <c r="D427"/>
  <c r="B427"/>
  <c r="Q426"/>
  <c r="F426" s="1"/>
  <c r="P426"/>
  <c r="O426"/>
  <c r="D426" s="1"/>
  <c r="N426"/>
  <c r="M426"/>
  <c r="B426" s="1"/>
  <c r="L426"/>
  <c r="K426"/>
  <c r="H426"/>
  <c r="G426"/>
  <c r="E426"/>
  <c r="C426"/>
  <c r="A426"/>
  <c r="Q425"/>
  <c r="P425"/>
  <c r="E425" s="1"/>
  <c r="O425"/>
  <c r="N425"/>
  <c r="C425" s="1"/>
  <c r="M425"/>
  <c r="L425"/>
  <c r="A425" s="1"/>
  <c r="K425"/>
  <c r="H425"/>
  <c r="G425"/>
  <c r="F425"/>
  <c r="D425"/>
  <c r="B425"/>
  <c r="Q424"/>
  <c r="F424" s="1"/>
  <c r="P424"/>
  <c r="O424"/>
  <c r="D424" s="1"/>
  <c r="N424"/>
  <c r="M424"/>
  <c r="B424" s="1"/>
  <c r="L424"/>
  <c r="K424"/>
  <c r="H424"/>
  <c r="G424"/>
  <c r="E424"/>
  <c r="C424"/>
  <c r="A424"/>
  <c r="Q423"/>
  <c r="P423"/>
  <c r="E423" s="1"/>
  <c r="O423"/>
  <c r="N423"/>
  <c r="C423" s="1"/>
  <c r="M423"/>
  <c r="L423"/>
  <c r="A423" s="1"/>
  <c r="K423"/>
  <c r="H423"/>
  <c r="G423"/>
  <c r="F423"/>
  <c r="D423"/>
  <c r="B423"/>
  <c r="Q422"/>
  <c r="F422" s="1"/>
  <c r="P422"/>
  <c r="O422"/>
  <c r="D422" s="1"/>
  <c r="N422"/>
  <c r="M422"/>
  <c r="B422" s="1"/>
  <c r="L422"/>
  <c r="K422"/>
  <c r="H422"/>
  <c r="G422"/>
  <c r="E422"/>
  <c r="C422"/>
  <c r="A422"/>
  <c r="Q421"/>
  <c r="P421"/>
  <c r="E421" s="1"/>
  <c r="O421"/>
  <c r="N421"/>
  <c r="C421" s="1"/>
  <c r="M421"/>
  <c r="L421"/>
  <c r="A421" s="1"/>
  <c r="K421"/>
  <c r="H421"/>
  <c r="G421"/>
  <c r="F421"/>
  <c r="D421"/>
  <c r="B421"/>
  <c r="Q420"/>
  <c r="F420" s="1"/>
  <c r="P420"/>
  <c r="O420"/>
  <c r="D420" s="1"/>
  <c r="N420"/>
  <c r="M420"/>
  <c r="B420" s="1"/>
  <c r="L420"/>
  <c r="K420"/>
  <c r="H420"/>
  <c r="G420"/>
  <c r="E420"/>
  <c r="C420"/>
  <c r="A420"/>
  <c r="Q419"/>
  <c r="P419"/>
  <c r="E419" s="1"/>
  <c r="O419"/>
  <c r="N419"/>
  <c r="C419" s="1"/>
  <c r="M419"/>
  <c r="L419"/>
  <c r="A419" s="1"/>
  <c r="K419"/>
  <c r="H419"/>
  <c r="G419"/>
  <c r="F419"/>
  <c r="D419"/>
  <c r="B419"/>
  <c r="Q418"/>
  <c r="F418" s="1"/>
  <c r="P418"/>
  <c r="O418"/>
  <c r="D418" s="1"/>
  <c r="N418"/>
  <c r="M418"/>
  <c r="B418" s="1"/>
  <c r="L418"/>
  <c r="K418"/>
  <c r="H418"/>
  <c r="G418"/>
  <c r="E418"/>
  <c r="C418"/>
  <c r="A418"/>
  <c r="Q417"/>
  <c r="P417"/>
  <c r="E417" s="1"/>
  <c r="O417"/>
  <c r="N417"/>
  <c r="C417" s="1"/>
  <c r="M417"/>
  <c r="L417"/>
  <c r="A417" s="1"/>
  <c r="K417"/>
  <c r="H417"/>
  <c r="G417"/>
  <c r="F417"/>
  <c r="D417"/>
  <c r="B417"/>
  <c r="Q416"/>
  <c r="F416" s="1"/>
  <c r="P416"/>
  <c r="O416"/>
  <c r="D416" s="1"/>
  <c r="N416"/>
  <c r="M416"/>
  <c r="B416" s="1"/>
  <c r="L416"/>
  <c r="K416"/>
  <c r="H416"/>
  <c r="G416"/>
  <c r="E416"/>
  <c r="C416"/>
  <c r="A416"/>
  <c r="Q415"/>
  <c r="P415"/>
  <c r="E415" s="1"/>
  <c r="O415"/>
  <c r="N415"/>
  <c r="C415" s="1"/>
  <c r="M415"/>
  <c r="L415"/>
  <c r="A415" s="1"/>
  <c r="K415"/>
  <c r="H415"/>
  <c r="G415"/>
  <c r="F415"/>
  <c r="D415"/>
  <c r="B415"/>
  <c r="Q414"/>
  <c r="F414" s="1"/>
  <c r="P414"/>
  <c r="O414"/>
  <c r="D414" s="1"/>
  <c r="N414"/>
  <c r="M414"/>
  <c r="B414" s="1"/>
  <c r="L414"/>
  <c r="K414"/>
  <c r="H414"/>
  <c r="G414"/>
  <c r="E414"/>
  <c r="C414"/>
  <c r="A414"/>
  <c r="Q413"/>
  <c r="P413"/>
  <c r="E413" s="1"/>
  <c r="O413"/>
  <c r="N413"/>
  <c r="C413" s="1"/>
  <c r="M413"/>
  <c r="L413"/>
  <c r="A413" s="1"/>
  <c r="K413"/>
  <c r="H413"/>
  <c r="G413"/>
  <c r="F413"/>
  <c r="D413"/>
  <c r="B413"/>
  <c r="Q412"/>
  <c r="F412" s="1"/>
  <c r="P412"/>
  <c r="O412"/>
  <c r="D412" s="1"/>
  <c r="N412"/>
  <c r="M412"/>
  <c r="B412" s="1"/>
  <c r="L412"/>
  <c r="K412"/>
  <c r="H412"/>
  <c r="G412"/>
  <c r="E412"/>
  <c r="C412"/>
  <c r="A412"/>
  <c r="Q411"/>
  <c r="P411"/>
  <c r="E411" s="1"/>
  <c r="O411"/>
  <c r="N411"/>
  <c r="C411" s="1"/>
  <c r="M411"/>
  <c r="L411"/>
  <c r="A411" s="1"/>
  <c r="K411"/>
  <c r="H411"/>
  <c r="G411"/>
  <c r="F411"/>
  <c r="D411"/>
  <c r="B411"/>
  <c r="Q410"/>
  <c r="F410" s="1"/>
  <c r="P410"/>
  <c r="O410"/>
  <c r="D410" s="1"/>
  <c r="N410"/>
  <c r="M410"/>
  <c r="B410" s="1"/>
  <c r="L410"/>
  <c r="K410"/>
  <c r="H410"/>
  <c r="G410"/>
  <c r="E410"/>
  <c r="C410"/>
  <c r="A410"/>
  <c r="Q409"/>
  <c r="P409"/>
  <c r="E409" s="1"/>
  <c r="O409"/>
  <c r="N409"/>
  <c r="C409" s="1"/>
  <c r="M409"/>
  <c r="L409"/>
  <c r="A409" s="1"/>
  <c r="K409"/>
  <c r="H409"/>
  <c r="G409"/>
  <c r="F409"/>
  <c r="D409"/>
  <c r="B409"/>
  <c r="Q408"/>
  <c r="F408" s="1"/>
  <c r="P408"/>
  <c r="O408"/>
  <c r="D408" s="1"/>
  <c r="N408"/>
  <c r="M408"/>
  <c r="B408" s="1"/>
  <c r="L408"/>
  <c r="K408"/>
  <c r="H408"/>
  <c r="G408"/>
  <c r="E408"/>
  <c r="C408"/>
  <c r="A408"/>
  <c r="Q407"/>
  <c r="P407"/>
  <c r="E407" s="1"/>
  <c r="O407"/>
  <c r="N407"/>
  <c r="C407" s="1"/>
  <c r="M407"/>
  <c r="L407"/>
  <c r="A407" s="1"/>
  <c r="K407"/>
  <c r="H407"/>
  <c r="G407"/>
  <c r="F407"/>
  <c r="D407"/>
  <c r="B407"/>
  <c r="Q406"/>
  <c r="F406" s="1"/>
  <c r="P406"/>
  <c r="O406"/>
  <c r="D406" s="1"/>
  <c r="N406"/>
  <c r="M406"/>
  <c r="B406" s="1"/>
  <c r="L406"/>
  <c r="K406"/>
  <c r="H406"/>
  <c r="G406"/>
  <c r="E406"/>
  <c r="C406"/>
  <c r="A406"/>
  <c r="Q405"/>
  <c r="P405"/>
  <c r="E405" s="1"/>
  <c r="O405"/>
  <c r="N405"/>
  <c r="C405" s="1"/>
  <c r="M405"/>
  <c r="L405"/>
  <c r="A405" s="1"/>
  <c r="K405"/>
  <c r="H405"/>
  <c r="G405"/>
  <c r="F405"/>
  <c r="D405"/>
  <c r="B405"/>
  <c r="Q404"/>
  <c r="F404" s="1"/>
  <c r="P404"/>
  <c r="O404"/>
  <c r="D404" s="1"/>
  <c r="N404"/>
  <c r="M404"/>
  <c r="B404" s="1"/>
  <c r="L404"/>
  <c r="K404"/>
  <c r="H404"/>
  <c r="G404"/>
  <c r="E404"/>
  <c r="C404"/>
  <c r="A404"/>
  <c r="T27" i="3"/>
  <c r="S27"/>
  <c r="R27"/>
  <c r="Q27"/>
  <c r="P27"/>
  <c r="O27"/>
  <c r="T26"/>
  <c r="S26"/>
  <c r="R26"/>
  <c r="Q26"/>
  <c r="P26"/>
  <c r="O26"/>
  <c r="T25"/>
  <c r="S25"/>
  <c r="R25"/>
  <c r="Q25"/>
  <c r="P25"/>
  <c r="O25"/>
  <c r="T24"/>
  <c r="S24"/>
  <c r="R24"/>
  <c r="Q24"/>
  <c r="P24"/>
  <c r="O24"/>
  <c r="T23"/>
  <c r="S23"/>
  <c r="R23"/>
  <c r="Q23"/>
  <c r="P23"/>
  <c r="O23"/>
  <c r="T22"/>
  <c r="S22"/>
  <c r="R22"/>
  <c r="Q22"/>
  <c r="P22"/>
  <c r="O22"/>
  <c r="T21"/>
  <c r="S21"/>
  <c r="R21"/>
  <c r="Q21"/>
  <c r="P21"/>
  <c r="O21"/>
  <c r="T20"/>
  <c r="S20"/>
  <c r="R20"/>
  <c r="Q20"/>
  <c r="P20"/>
  <c r="O20"/>
  <c r="T19"/>
  <c r="S19"/>
  <c r="R19"/>
  <c r="Q19"/>
  <c r="P19"/>
  <c r="O19"/>
  <c r="T18"/>
  <c r="S18"/>
  <c r="R18"/>
  <c r="Q18"/>
  <c r="P18"/>
  <c r="O18"/>
  <c r="T17"/>
  <c r="S17"/>
  <c r="R17"/>
  <c r="Q17"/>
  <c r="P17"/>
  <c r="O17"/>
  <c r="T16"/>
  <c r="S16"/>
  <c r="R16"/>
  <c r="Q16"/>
  <c r="P16"/>
  <c r="O16"/>
  <c r="T15"/>
  <c r="S15"/>
  <c r="R15"/>
  <c r="Q15"/>
  <c r="P15"/>
  <c r="O15"/>
  <c r="T14"/>
  <c r="S14"/>
  <c r="R14"/>
  <c r="Q14"/>
  <c r="P14"/>
  <c r="O14"/>
  <c r="T13"/>
  <c r="S13"/>
  <c r="R13"/>
  <c r="Q13"/>
  <c r="P13"/>
  <c r="O13"/>
  <c r="T12"/>
  <c r="S12"/>
  <c r="R12"/>
  <c r="Q12"/>
  <c r="P12"/>
  <c r="O12"/>
  <c r="T11"/>
  <c r="S11"/>
  <c r="R11"/>
  <c r="Q11"/>
  <c r="P11"/>
  <c r="O11"/>
  <c r="T10"/>
  <c r="S10"/>
  <c r="R10"/>
  <c r="Q10"/>
  <c r="P10"/>
  <c r="O10"/>
  <c r="T9"/>
  <c r="S9"/>
  <c r="R9"/>
  <c r="Q9"/>
  <c r="P9"/>
  <c r="O9"/>
  <c r="T8"/>
  <c r="S8"/>
  <c r="R8"/>
  <c r="Q8"/>
  <c r="P8"/>
  <c r="O8"/>
  <c r="T7"/>
  <c r="S7"/>
  <c r="R7"/>
  <c r="Q7"/>
  <c r="P7"/>
  <c r="O7"/>
  <c r="T6"/>
  <c r="S6"/>
  <c r="R6"/>
  <c r="Q6"/>
  <c r="P6"/>
  <c r="O6"/>
  <c r="T5"/>
  <c r="S5"/>
  <c r="R5"/>
  <c r="Q5"/>
  <c r="P5"/>
  <c r="O5"/>
  <c r="T4"/>
  <c r="S4"/>
  <c r="R4"/>
  <c r="Q4"/>
  <c r="P4"/>
  <c r="O4"/>
  <c r="T3"/>
  <c r="S3"/>
  <c r="R3"/>
  <c r="Q3"/>
  <c r="P3"/>
  <c r="O3"/>
  <c r="U503" i="2"/>
  <c r="T503"/>
  <c r="S503"/>
  <c r="R503"/>
  <c r="Q503"/>
  <c r="P503"/>
  <c r="O503"/>
  <c r="U502"/>
  <c r="T502"/>
  <c r="S502"/>
  <c r="R502"/>
  <c r="Q502"/>
  <c r="P502"/>
  <c r="O502"/>
  <c r="U501"/>
  <c r="T501"/>
  <c r="S501" s="1"/>
  <c r="R501"/>
  <c r="Q501"/>
  <c r="P501"/>
  <c r="O501"/>
  <c r="U500"/>
  <c r="T500"/>
  <c r="S500" s="1"/>
  <c r="R500"/>
  <c r="Q500"/>
  <c r="P500"/>
  <c r="O500"/>
  <c r="U499"/>
  <c r="T499"/>
  <c r="S499"/>
  <c r="R499"/>
  <c r="Q499"/>
  <c r="P499"/>
  <c r="O499"/>
  <c r="U498"/>
  <c r="T498"/>
  <c r="S498"/>
  <c r="R498"/>
  <c r="Q498"/>
  <c r="P498"/>
  <c r="O498"/>
  <c r="U497"/>
  <c r="T497"/>
  <c r="S497" s="1"/>
  <c r="R497"/>
  <c r="Q497"/>
  <c r="P497"/>
  <c r="O497"/>
  <c r="U496"/>
  <c r="T496"/>
  <c r="S496" s="1"/>
  <c r="R496"/>
  <c r="Q496"/>
  <c r="P496"/>
  <c r="O496"/>
  <c r="U495"/>
  <c r="T495"/>
  <c r="S495"/>
  <c r="R495"/>
  <c r="Q495"/>
  <c r="P495"/>
  <c r="O495"/>
  <c r="U494"/>
  <c r="T494"/>
  <c r="S494"/>
  <c r="R494"/>
  <c r="Q494"/>
  <c r="P494"/>
  <c r="O494"/>
  <c r="U493"/>
  <c r="T493"/>
  <c r="S493" s="1"/>
  <c r="R493"/>
  <c r="Q493"/>
  <c r="P493"/>
  <c r="O493"/>
  <c r="U492"/>
  <c r="T492"/>
  <c r="S492" s="1"/>
  <c r="R492"/>
  <c r="Q492"/>
  <c r="P492"/>
  <c r="O492"/>
  <c r="U491"/>
  <c r="T491"/>
  <c r="S491"/>
  <c r="R491"/>
  <c r="Q491"/>
  <c r="P491"/>
  <c r="O491"/>
  <c r="U490"/>
  <c r="T490"/>
  <c r="S490"/>
  <c r="R490"/>
  <c r="Q490"/>
  <c r="P490"/>
  <c r="O490"/>
  <c r="U489"/>
  <c r="T489"/>
  <c r="S489" s="1"/>
  <c r="R489"/>
  <c r="Q489"/>
  <c r="P489"/>
  <c r="O489"/>
  <c r="U488"/>
  <c r="T488"/>
  <c r="S488" s="1"/>
  <c r="R488"/>
  <c r="Q488"/>
  <c r="P488"/>
  <c r="O488"/>
  <c r="U487"/>
  <c r="T487"/>
  <c r="S487"/>
  <c r="R487"/>
  <c r="Q487"/>
  <c r="P487"/>
  <c r="O487"/>
  <c r="U486"/>
  <c r="T486"/>
  <c r="S486"/>
  <c r="R486"/>
  <c r="Q486"/>
  <c r="P486"/>
  <c r="O486"/>
  <c r="U485"/>
  <c r="T485"/>
  <c r="S485" s="1"/>
  <c r="R485"/>
  <c r="Q485"/>
  <c r="P485"/>
  <c r="O485"/>
  <c r="U484"/>
  <c r="T484"/>
  <c r="S484" s="1"/>
  <c r="R484"/>
  <c r="Q484"/>
  <c r="P484"/>
  <c r="O484"/>
  <c r="U483"/>
  <c r="T483"/>
  <c r="S483"/>
  <c r="R483"/>
  <c r="Q483"/>
  <c r="P483"/>
  <c r="O483"/>
  <c r="U482"/>
  <c r="T482"/>
  <c r="S482"/>
  <c r="R482"/>
  <c r="Q482"/>
  <c r="P482"/>
  <c r="O482"/>
  <c r="U481"/>
  <c r="T481"/>
  <c r="S481" s="1"/>
  <c r="R481"/>
  <c r="Q481"/>
  <c r="P481"/>
  <c r="O481"/>
  <c r="U480"/>
  <c r="T480"/>
  <c r="S480" s="1"/>
  <c r="R480"/>
  <c r="Q480"/>
  <c r="P480"/>
  <c r="O480"/>
  <c r="U479"/>
  <c r="T479"/>
  <c r="S479"/>
  <c r="R479"/>
  <c r="Q479"/>
  <c r="P479"/>
  <c r="O479"/>
  <c r="U478"/>
  <c r="T478"/>
  <c r="S478"/>
  <c r="R478"/>
  <c r="Q478"/>
  <c r="P478"/>
  <c r="O478"/>
  <c r="U477"/>
  <c r="T477"/>
  <c r="S477" s="1"/>
  <c r="R477"/>
  <c r="Q477"/>
  <c r="P477"/>
  <c r="O477"/>
  <c r="U476"/>
  <c r="T476"/>
  <c r="S476" s="1"/>
  <c r="R476"/>
  <c r="Q476"/>
  <c r="P476"/>
  <c r="O476"/>
  <c r="U475"/>
  <c r="T475"/>
  <c r="S475"/>
  <c r="R475"/>
  <c r="Q475"/>
  <c r="P475"/>
  <c r="O475"/>
  <c r="U474"/>
  <c r="T474"/>
  <c r="S474"/>
  <c r="R474"/>
  <c r="Q474"/>
  <c r="P474"/>
  <c r="O474"/>
  <c r="U473"/>
  <c r="T473"/>
  <c r="S473" s="1"/>
  <c r="R473"/>
  <c r="Q473"/>
  <c r="P473"/>
  <c r="O473"/>
  <c r="U472"/>
  <c r="T472"/>
  <c r="S472" s="1"/>
  <c r="R472"/>
  <c r="Q472"/>
  <c r="P472"/>
  <c r="O472"/>
  <c r="U471"/>
  <c r="T471"/>
  <c r="S471"/>
  <c r="R471"/>
  <c r="Q471"/>
  <c r="P471"/>
  <c r="O471"/>
  <c r="U470"/>
  <c r="T470"/>
  <c r="S470"/>
  <c r="R470"/>
  <c r="Q470"/>
  <c r="P470"/>
  <c r="O470"/>
  <c r="U469"/>
  <c r="T469"/>
  <c r="S469" s="1"/>
  <c r="R469"/>
  <c r="Q469"/>
  <c r="P469"/>
  <c r="O469"/>
  <c r="U468"/>
  <c r="T468"/>
  <c r="S468" s="1"/>
  <c r="R468"/>
  <c r="Q468"/>
  <c r="P468"/>
  <c r="O468"/>
  <c r="U467"/>
  <c r="T467"/>
  <c r="S467"/>
  <c r="R467"/>
  <c r="Q467"/>
  <c r="P467"/>
  <c r="O467"/>
  <c r="U466"/>
  <c r="T466"/>
  <c r="S466"/>
  <c r="R466"/>
  <c r="Q466"/>
  <c r="P466"/>
  <c r="O466"/>
  <c r="U465"/>
  <c r="T465"/>
  <c r="S465" s="1"/>
  <c r="R465"/>
  <c r="Q465"/>
  <c r="P465"/>
  <c r="O465"/>
  <c r="U464"/>
  <c r="T464"/>
  <c r="S464" s="1"/>
  <c r="R464"/>
  <c r="Q464"/>
  <c r="P464"/>
  <c r="O464"/>
  <c r="U463"/>
  <c r="T463"/>
  <c r="S463"/>
  <c r="R463"/>
  <c r="Q463"/>
  <c r="P463"/>
  <c r="O463"/>
  <c r="U462"/>
  <c r="T462"/>
  <c r="S462"/>
  <c r="R462"/>
  <c r="Q462"/>
  <c r="P462"/>
  <c r="O462"/>
  <c r="U461"/>
  <c r="T461"/>
  <c r="S461" s="1"/>
  <c r="R461"/>
  <c r="Q461"/>
  <c r="P461"/>
  <c r="O461"/>
  <c r="U460"/>
  <c r="T460"/>
  <c r="S460" s="1"/>
  <c r="R460"/>
  <c r="Q460"/>
  <c r="P460"/>
  <c r="O460"/>
  <c r="U459"/>
  <c r="T459"/>
  <c r="S459"/>
  <c r="R459"/>
  <c r="Q459"/>
  <c r="P459"/>
  <c r="O459"/>
  <c r="U458"/>
  <c r="T458"/>
  <c r="S458"/>
  <c r="R458"/>
  <c r="Q458"/>
  <c r="P458"/>
  <c r="O458"/>
  <c r="U457"/>
  <c r="T457"/>
  <c r="S457" s="1"/>
  <c r="R457"/>
  <c r="Q457"/>
  <c r="P457"/>
  <c r="O457"/>
  <c r="U456"/>
  <c r="T456"/>
  <c r="S456" s="1"/>
  <c r="R456"/>
  <c r="Q456"/>
  <c r="P456"/>
  <c r="O456"/>
  <c r="U455"/>
  <c r="T455"/>
  <c r="S455"/>
  <c r="R455"/>
  <c r="Q455"/>
  <c r="P455"/>
  <c r="O455"/>
  <c r="U454"/>
  <c r="T454"/>
  <c r="S454"/>
  <c r="R454"/>
  <c r="Q454"/>
  <c r="P454"/>
  <c r="O454"/>
  <c r="U453"/>
  <c r="T453"/>
  <c r="S453" s="1"/>
  <c r="R453"/>
  <c r="Q453"/>
  <c r="P453"/>
  <c r="O453"/>
  <c r="U452"/>
  <c r="T452"/>
  <c r="S452" s="1"/>
  <c r="R452"/>
  <c r="Q452"/>
  <c r="P452"/>
  <c r="O452"/>
  <c r="U451"/>
  <c r="T451"/>
  <c r="S451"/>
  <c r="R451"/>
  <c r="Q451"/>
  <c r="P451"/>
  <c r="O451"/>
  <c r="U450"/>
  <c r="T450"/>
  <c r="S450"/>
  <c r="R450"/>
  <c r="Q450"/>
  <c r="P450"/>
  <c r="O450"/>
  <c r="U449"/>
  <c r="T449"/>
  <c r="S449" s="1"/>
  <c r="R449"/>
  <c r="Q449"/>
  <c r="P449"/>
  <c r="O449"/>
  <c r="U448"/>
  <c r="T448"/>
  <c r="S448" s="1"/>
  <c r="R448"/>
  <c r="Q448"/>
  <c r="P448"/>
  <c r="O448"/>
  <c r="U447"/>
  <c r="T447"/>
  <c r="S447"/>
  <c r="R447"/>
  <c r="Q447"/>
  <c r="P447"/>
  <c r="O447"/>
  <c r="U446"/>
  <c r="T446"/>
  <c r="S446"/>
  <c r="R446"/>
  <c r="Q446"/>
  <c r="P446"/>
  <c r="O446"/>
  <c r="U445"/>
  <c r="T445"/>
  <c r="S445" s="1"/>
  <c r="R445"/>
  <c r="Q445"/>
  <c r="P445"/>
  <c r="O445"/>
  <c r="U444"/>
  <c r="T444"/>
  <c r="S444" s="1"/>
  <c r="R444"/>
  <c r="Q444"/>
  <c r="P444"/>
  <c r="O444"/>
  <c r="U443"/>
  <c r="T443"/>
  <c r="S443"/>
  <c r="R443"/>
  <c r="Q443"/>
  <c r="P443"/>
  <c r="O443"/>
  <c r="U442"/>
  <c r="T442"/>
  <c r="S442"/>
  <c r="R442"/>
  <c r="Q442"/>
  <c r="P442"/>
  <c r="O442"/>
  <c r="U441"/>
  <c r="T441"/>
  <c r="S441" s="1"/>
  <c r="R441"/>
  <c r="Q441"/>
  <c r="P441"/>
  <c r="O441"/>
  <c r="U440"/>
  <c r="T440"/>
  <c r="S440" s="1"/>
  <c r="R440"/>
  <c r="Q440"/>
  <c r="P440"/>
  <c r="O440"/>
  <c r="U439"/>
  <c r="T439"/>
  <c r="S439"/>
  <c r="R439"/>
  <c r="Q439"/>
  <c r="P439"/>
  <c r="O439"/>
  <c r="U438"/>
  <c r="T438"/>
  <c r="S438"/>
  <c r="R438"/>
  <c r="Q438"/>
  <c r="P438"/>
  <c r="O438"/>
  <c r="U437"/>
  <c r="T437"/>
  <c r="S437" s="1"/>
  <c r="R437"/>
  <c r="Q437"/>
  <c r="P437"/>
  <c r="O437"/>
  <c r="U436"/>
  <c r="T436"/>
  <c r="S436" s="1"/>
  <c r="R436"/>
  <c r="Q436"/>
  <c r="P436"/>
  <c r="O436"/>
  <c r="U435"/>
  <c r="T435"/>
  <c r="S435"/>
  <c r="R435"/>
  <c r="Q435"/>
  <c r="P435"/>
  <c r="O435"/>
  <c r="U434"/>
  <c r="T434"/>
  <c r="S434"/>
  <c r="R434"/>
  <c r="Q434"/>
  <c r="P434"/>
  <c r="O434"/>
  <c r="U433"/>
  <c r="T433"/>
  <c r="S433" s="1"/>
  <c r="R433"/>
  <c r="Q433"/>
  <c r="P433"/>
  <c r="O433"/>
  <c r="U432"/>
  <c r="T432"/>
  <c r="S432" s="1"/>
  <c r="R432"/>
  <c r="Q432"/>
  <c r="P432"/>
  <c r="O432"/>
  <c r="U431"/>
  <c r="T431"/>
  <c r="S431"/>
  <c r="R431"/>
  <c r="Q431"/>
  <c r="P431"/>
  <c r="O431"/>
  <c r="U430"/>
  <c r="T430"/>
  <c r="S430"/>
  <c r="R430"/>
  <c r="Q430"/>
  <c r="P430"/>
  <c r="O430"/>
  <c r="U429"/>
  <c r="T429"/>
  <c r="S429" s="1"/>
  <c r="R429"/>
  <c r="Q429"/>
  <c r="P429"/>
  <c r="O429"/>
  <c r="U428"/>
  <c r="T428"/>
  <c r="S428" s="1"/>
  <c r="R428"/>
  <c r="Q428"/>
  <c r="P428"/>
  <c r="O428"/>
  <c r="U427"/>
  <c r="T427"/>
  <c r="S427"/>
  <c r="R427"/>
  <c r="Q427"/>
  <c r="P427"/>
  <c r="O427"/>
  <c r="U426"/>
  <c r="T426"/>
  <c r="S426"/>
  <c r="R426"/>
  <c r="Q426"/>
  <c r="P426"/>
  <c r="O426"/>
  <c r="U425"/>
  <c r="T425"/>
  <c r="S425" s="1"/>
  <c r="R425"/>
  <c r="Q425"/>
  <c r="P425"/>
  <c r="O425"/>
  <c r="U424"/>
  <c r="T424"/>
  <c r="S424" s="1"/>
  <c r="R424"/>
  <c r="Q424"/>
  <c r="P424"/>
  <c r="O424"/>
  <c r="U423"/>
  <c r="T423"/>
  <c r="S423"/>
  <c r="R423"/>
  <c r="Q423"/>
  <c r="P423"/>
  <c r="O423"/>
  <c r="U422"/>
  <c r="T422"/>
  <c r="S422"/>
  <c r="R422"/>
  <c r="Q422"/>
  <c r="P422"/>
  <c r="O422"/>
  <c r="U421"/>
  <c r="T421"/>
  <c r="S421" s="1"/>
  <c r="R421"/>
  <c r="Q421"/>
  <c r="P421"/>
  <c r="O421"/>
  <c r="U420"/>
  <c r="T420"/>
  <c r="S420" s="1"/>
  <c r="R420"/>
  <c r="Q420"/>
  <c r="P420"/>
  <c r="O420"/>
  <c r="U419"/>
  <c r="T419"/>
  <c r="S419"/>
  <c r="R419"/>
  <c r="Q419"/>
  <c r="P419"/>
  <c r="O419"/>
  <c r="U418"/>
  <c r="T418"/>
  <c r="S418"/>
  <c r="R418"/>
  <c r="Q418"/>
  <c r="P418"/>
  <c r="O418"/>
  <c r="U417"/>
  <c r="T417"/>
  <c r="S417" s="1"/>
  <c r="R417"/>
  <c r="Q417"/>
  <c r="P417"/>
  <c r="O417"/>
  <c r="U416"/>
  <c r="T416"/>
  <c r="S416" s="1"/>
  <c r="R416"/>
  <c r="Q416"/>
  <c r="P416"/>
  <c r="O416"/>
  <c r="U415"/>
  <c r="T415"/>
  <c r="S415"/>
  <c r="R415"/>
  <c r="Q415"/>
  <c r="P415"/>
  <c r="O415"/>
  <c r="U414"/>
  <c r="T414"/>
  <c r="S414"/>
  <c r="R414"/>
  <c r="Q414"/>
  <c r="P414"/>
  <c r="O414"/>
  <c r="U413"/>
  <c r="T413"/>
  <c r="S413" s="1"/>
  <c r="R413"/>
  <c r="Q413"/>
  <c r="P413"/>
  <c r="O413"/>
  <c r="U412"/>
  <c r="T412"/>
  <c r="S412" s="1"/>
  <c r="R412"/>
  <c r="Q412"/>
  <c r="P412"/>
  <c r="O412"/>
  <c r="U411"/>
  <c r="T411"/>
  <c r="S411"/>
  <c r="R411"/>
  <c r="Q411"/>
  <c r="P411"/>
  <c r="O411"/>
  <c r="U410"/>
  <c r="T410"/>
  <c r="S410"/>
  <c r="R410"/>
  <c r="Q410"/>
  <c r="P410"/>
  <c r="O410"/>
  <c r="U409"/>
  <c r="T409"/>
  <c r="S409" s="1"/>
  <c r="R409"/>
  <c r="Q409"/>
  <c r="P409"/>
  <c r="O409"/>
  <c r="U408"/>
  <c r="T408"/>
  <c r="S408" s="1"/>
  <c r="R408"/>
  <c r="Q408"/>
  <c r="P408"/>
  <c r="O408"/>
  <c r="U407"/>
  <c r="T407"/>
  <c r="S407"/>
  <c r="R407"/>
  <c r="Q407"/>
  <c r="P407"/>
  <c r="O407"/>
  <c r="U406"/>
  <c r="T406"/>
  <c r="S406"/>
  <c r="R406"/>
  <c r="Q406"/>
  <c r="P406"/>
  <c r="O406"/>
  <c r="U405"/>
  <c r="T405"/>
  <c r="S405" s="1"/>
  <c r="R405"/>
  <c r="Q405"/>
  <c r="P405"/>
  <c r="O405"/>
  <c r="U404"/>
  <c r="T404"/>
  <c r="S404" s="1"/>
  <c r="R404"/>
  <c r="Q404"/>
  <c r="P404"/>
  <c r="O404"/>
  <c r="U403"/>
  <c r="T403"/>
  <c r="S403"/>
  <c r="R403"/>
  <c r="Q403"/>
  <c r="P403"/>
  <c r="O403"/>
  <c r="U402"/>
  <c r="T402"/>
  <c r="S402"/>
  <c r="R402"/>
  <c r="Q402"/>
  <c r="P402"/>
  <c r="O402"/>
  <c r="U401"/>
  <c r="T401"/>
  <c r="S401" s="1"/>
  <c r="R401"/>
  <c r="Q401"/>
  <c r="P401"/>
  <c r="O401"/>
  <c r="U400"/>
  <c r="T400"/>
  <c r="S400" s="1"/>
  <c r="R400"/>
  <c r="Q400"/>
  <c r="P400"/>
  <c r="O400"/>
  <c r="U399"/>
  <c r="T399"/>
  <c r="S399"/>
  <c r="R399"/>
  <c r="Q399"/>
  <c r="P399"/>
  <c r="O399"/>
  <c r="U398"/>
  <c r="T398"/>
  <c r="S398"/>
  <c r="R398"/>
  <c r="Q398"/>
  <c r="P398"/>
  <c r="O398"/>
  <c r="U397"/>
  <c r="T397"/>
  <c r="S397" s="1"/>
  <c r="R397"/>
  <c r="Q397"/>
  <c r="P397"/>
  <c r="O397"/>
  <c r="U396"/>
  <c r="T396"/>
  <c r="S396" s="1"/>
  <c r="R396"/>
  <c r="Q396"/>
  <c r="P396"/>
  <c r="O396"/>
  <c r="U395"/>
  <c r="T395"/>
  <c r="S395"/>
  <c r="R395"/>
  <c r="Q395"/>
  <c r="P395"/>
  <c r="O395"/>
  <c r="U394"/>
  <c r="T394"/>
  <c r="S394"/>
  <c r="R394"/>
  <c r="Q394"/>
  <c r="P394"/>
  <c r="O394"/>
  <c r="U393"/>
  <c r="T393"/>
  <c r="S393" s="1"/>
  <c r="R393"/>
  <c r="Q393"/>
  <c r="P393"/>
  <c r="O393"/>
  <c r="U392"/>
  <c r="T392"/>
  <c r="S392" s="1"/>
  <c r="R392"/>
  <c r="Q392"/>
  <c r="P392"/>
  <c r="O392"/>
  <c r="U391"/>
  <c r="T391"/>
  <c r="S391"/>
  <c r="R391"/>
  <c r="Q391"/>
  <c r="P391"/>
  <c r="O391"/>
  <c r="U390"/>
  <c r="T390"/>
  <c r="S390"/>
  <c r="R390"/>
  <c r="Q390"/>
  <c r="P390"/>
  <c r="O390"/>
  <c r="U389"/>
  <c r="T389"/>
  <c r="S389" s="1"/>
  <c r="R389"/>
  <c r="Q389"/>
  <c r="P389"/>
  <c r="O389"/>
  <c r="U388"/>
  <c r="T388"/>
  <c r="S388" s="1"/>
  <c r="R388"/>
  <c r="Q388"/>
  <c r="P388"/>
  <c r="O388"/>
  <c r="U387"/>
  <c r="T387"/>
  <c r="S387"/>
  <c r="R387"/>
  <c r="Q387"/>
  <c r="P387"/>
  <c r="O387"/>
  <c r="U386"/>
  <c r="T386"/>
  <c r="S386"/>
  <c r="R386"/>
  <c r="Q386"/>
  <c r="P386"/>
  <c r="O386"/>
  <c r="U385"/>
  <c r="T385"/>
  <c r="S385" s="1"/>
  <c r="R385"/>
  <c r="Q385"/>
  <c r="P385"/>
  <c r="O385"/>
  <c r="U384"/>
  <c r="T384"/>
  <c r="S384" s="1"/>
  <c r="R384"/>
  <c r="Q384"/>
  <c r="P384"/>
  <c r="O384"/>
  <c r="U383"/>
  <c r="T383"/>
  <c r="S383"/>
  <c r="R383"/>
  <c r="Q383"/>
  <c r="P383"/>
  <c r="O383"/>
  <c r="U382"/>
  <c r="T382"/>
  <c r="S382"/>
  <c r="R382"/>
  <c r="Q382"/>
  <c r="P382"/>
  <c r="O382"/>
  <c r="U381"/>
  <c r="T381"/>
  <c r="S381" s="1"/>
  <c r="R381"/>
  <c r="Q381"/>
  <c r="P381"/>
  <c r="O381"/>
  <c r="U380"/>
  <c r="T380"/>
  <c r="S380" s="1"/>
  <c r="R380"/>
  <c r="Q380"/>
  <c r="P380"/>
  <c r="O380"/>
  <c r="U379"/>
  <c r="T379"/>
  <c r="S379"/>
  <c r="R379"/>
  <c r="Q379"/>
  <c r="P379"/>
  <c r="O379"/>
  <c r="U378"/>
  <c r="T378"/>
  <c r="S378"/>
  <c r="R378"/>
  <c r="Q378"/>
  <c r="P378"/>
  <c r="O378"/>
  <c r="U377"/>
  <c r="T377"/>
  <c r="S377" s="1"/>
  <c r="R377"/>
  <c r="Q377"/>
  <c r="P377"/>
  <c r="O377"/>
  <c r="U376"/>
  <c r="T376"/>
  <c r="S376" s="1"/>
  <c r="R376"/>
  <c r="Q376"/>
  <c r="P376"/>
  <c r="O376"/>
  <c r="U375"/>
  <c r="T375"/>
  <c r="S375"/>
  <c r="R375"/>
  <c r="Q375"/>
  <c r="P375"/>
  <c r="O375"/>
  <c r="U374"/>
  <c r="T374"/>
  <c r="S374"/>
  <c r="R374"/>
  <c r="Q374"/>
  <c r="P374"/>
  <c r="O374"/>
  <c r="U373"/>
  <c r="T373"/>
  <c r="S373" s="1"/>
  <c r="R373"/>
  <c r="Q373"/>
  <c r="P373"/>
  <c r="O373"/>
  <c r="U372"/>
  <c r="T372"/>
  <c r="S372" s="1"/>
  <c r="R372"/>
  <c r="Q372"/>
  <c r="P372"/>
  <c r="O372"/>
  <c r="U371"/>
  <c r="T371"/>
  <c r="S371"/>
  <c r="R371"/>
  <c r="Q371"/>
  <c r="P371"/>
  <c r="O371"/>
  <c r="U370"/>
  <c r="T370"/>
  <c r="S370"/>
  <c r="R370"/>
  <c r="Q370"/>
  <c r="P370"/>
  <c r="O370"/>
  <c r="U369"/>
  <c r="T369"/>
  <c r="S369" s="1"/>
  <c r="R369"/>
  <c r="Q369"/>
  <c r="P369"/>
  <c r="O369"/>
  <c r="U368"/>
  <c r="T368"/>
  <c r="S368" s="1"/>
  <c r="R368"/>
  <c r="Q368"/>
  <c r="P368"/>
  <c r="O368"/>
  <c r="U367"/>
  <c r="T367"/>
  <c r="S367"/>
  <c r="R367"/>
  <c r="Q367"/>
  <c r="P367"/>
  <c r="O367"/>
  <c r="U366"/>
  <c r="T366"/>
  <c r="S366"/>
  <c r="R366"/>
  <c r="Q366"/>
  <c r="P366"/>
  <c r="O366"/>
  <c r="U365"/>
  <c r="T365"/>
  <c r="S365" s="1"/>
  <c r="R365"/>
  <c r="Q365"/>
  <c r="P365"/>
  <c r="O365"/>
  <c r="U364"/>
  <c r="T364"/>
  <c r="S364" s="1"/>
  <c r="R364"/>
  <c r="Q364"/>
  <c r="P364"/>
  <c r="O364"/>
  <c r="U363"/>
  <c r="T363"/>
  <c r="S363"/>
  <c r="R363"/>
  <c r="Q363"/>
  <c r="P363"/>
  <c r="O363"/>
  <c r="U362"/>
  <c r="T362"/>
  <c r="S362"/>
  <c r="R362"/>
  <c r="Q362"/>
  <c r="P362"/>
  <c r="O362"/>
  <c r="U361"/>
  <c r="T361"/>
  <c r="S361" s="1"/>
  <c r="R361"/>
  <c r="Q361"/>
  <c r="P361"/>
  <c r="O361"/>
  <c r="U360"/>
  <c r="T360"/>
  <c r="S360" s="1"/>
  <c r="R360"/>
  <c r="Q360"/>
  <c r="P360"/>
  <c r="O360"/>
  <c r="U359"/>
  <c r="T359"/>
  <c r="S359"/>
  <c r="R359"/>
  <c r="Q359"/>
  <c r="P359"/>
  <c r="O359"/>
  <c r="U358"/>
  <c r="T358"/>
  <c r="S358"/>
  <c r="R358"/>
  <c r="Q358"/>
  <c r="P358"/>
  <c r="O358"/>
  <c r="U357"/>
  <c r="T357"/>
  <c r="S357" s="1"/>
  <c r="R357"/>
  <c r="Q357"/>
  <c r="P357"/>
  <c r="O357"/>
  <c r="U356"/>
  <c r="T356"/>
  <c r="S356" s="1"/>
  <c r="R356"/>
  <c r="Q356"/>
  <c r="P356"/>
  <c r="O356"/>
  <c r="U355"/>
  <c r="T355"/>
  <c r="S355"/>
  <c r="R355"/>
  <c r="Q355"/>
  <c r="P355"/>
  <c r="O355"/>
  <c r="U354"/>
  <c r="T354"/>
  <c r="S354"/>
  <c r="R354"/>
  <c r="Q354"/>
  <c r="P354"/>
  <c r="O354"/>
  <c r="U353"/>
  <c r="T353"/>
  <c r="S353" s="1"/>
  <c r="R353"/>
  <c r="Q353"/>
  <c r="P353"/>
  <c r="O353"/>
  <c r="U352"/>
  <c r="T352"/>
  <c r="S352" s="1"/>
  <c r="R352"/>
  <c r="Q352"/>
  <c r="P352"/>
  <c r="O352"/>
  <c r="U351"/>
  <c r="T351"/>
  <c r="S351"/>
  <c r="R351"/>
  <c r="Q351"/>
  <c r="P351"/>
  <c r="O351"/>
  <c r="U350"/>
  <c r="T350"/>
  <c r="S350"/>
  <c r="R350"/>
  <c r="Q350"/>
  <c r="P350"/>
  <c r="O350"/>
  <c r="U349"/>
  <c r="T349"/>
  <c r="S349" s="1"/>
  <c r="R349"/>
  <c r="Q349"/>
  <c r="P349"/>
  <c r="O349"/>
  <c r="U348"/>
  <c r="T348"/>
  <c r="S348" s="1"/>
  <c r="R348"/>
  <c r="Q348"/>
  <c r="P348"/>
  <c r="O348"/>
  <c r="U347"/>
  <c r="T347"/>
  <c r="S347"/>
  <c r="R347"/>
  <c r="Q347"/>
  <c r="P347"/>
  <c r="O347"/>
  <c r="U346"/>
  <c r="T346"/>
  <c r="S346"/>
  <c r="R346"/>
  <c r="Q346"/>
  <c r="P346"/>
  <c r="O346"/>
  <c r="U345"/>
  <c r="T345"/>
  <c r="S345" s="1"/>
  <c r="R345"/>
  <c r="Q345"/>
  <c r="P345"/>
  <c r="O345"/>
  <c r="U344"/>
  <c r="T344"/>
  <c r="S344" s="1"/>
  <c r="R344"/>
  <c r="Q344"/>
  <c r="P344"/>
  <c r="O344"/>
  <c r="U343"/>
  <c r="T343"/>
  <c r="S343"/>
  <c r="R343"/>
  <c r="Q343"/>
  <c r="P343"/>
  <c r="O343"/>
  <c r="U342"/>
  <c r="T342"/>
  <c r="S342"/>
  <c r="R342"/>
  <c r="Q342"/>
  <c r="P342"/>
  <c r="O342"/>
  <c r="U341"/>
  <c r="T341"/>
  <c r="S341" s="1"/>
  <c r="R341"/>
  <c r="Q341"/>
  <c r="P341"/>
  <c r="O341"/>
  <c r="U340"/>
  <c r="T340"/>
  <c r="S340" s="1"/>
  <c r="R340"/>
  <c r="Q340"/>
  <c r="P340"/>
  <c r="O340"/>
  <c r="U339"/>
  <c r="T339"/>
  <c r="S339"/>
  <c r="R339"/>
  <c r="Q339"/>
  <c r="P339"/>
  <c r="O339"/>
  <c r="U338"/>
  <c r="T338"/>
  <c r="S338"/>
  <c r="R338"/>
  <c r="Q338"/>
  <c r="P338"/>
  <c r="O338"/>
  <c r="U337"/>
  <c r="T337"/>
  <c r="S337" s="1"/>
  <c r="R337"/>
  <c r="Q337"/>
  <c r="P337"/>
  <c r="O337"/>
  <c r="U336"/>
  <c r="T336"/>
  <c r="S336" s="1"/>
  <c r="R336"/>
  <c r="Q336"/>
  <c r="P336"/>
  <c r="O336"/>
  <c r="U335"/>
  <c r="T335"/>
  <c r="S335"/>
  <c r="R335"/>
  <c r="Q335"/>
  <c r="P335"/>
  <c r="O335"/>
  <c r="U334"/>
  <c r="T334"/>
  <c r="S334"/>
  <c r="R334"/>
  <c r="Q334"/>
  <c r="P334"/>
  <c r="O334"/>
  <c r="U333"/>
  <c r="T333"/>
  <c r="S333" s="1"/>
  <c r="R333"/>
  <c r="Q333"/>
  <c r="P333"/>
  <c r="O333"/>
  <c r="U332"/>
  <c r="T332"/>
  <c r="S332" s="1"/>
  <c r="R332"/>
  <c r="Q332"/>
  <c r="P332"/>
  <c r="O332"/>
  <c r="U331"/>
  <c r="T331"/>
  <c r="S331"/>
  <c r="R331"/>
  <c r="Q331"/>
  <c r="P331"/>
  <c r="O331"/>
  <c r="U330"/>
  <c r="T330"/>
  <c r="S330"/>
  <c r="R330"/>
  <c r="Q330"/>
  <c r="P330"/>
  <c r="O330"/>
  <c r="U329"/>
  <c r="T329"/>
  <c r="S329" s="1"/>
  <c r="R329"/>
  <c r="Q329"/>
  <c r="P329"/>
  <c r="O329"/>
  <c r="U328"/>
  <c r="T328"/>
  <c r="S328" s="1"/>
  <c r="R328"/>
  <c r="Q328"/>
  <c r="P328"/>
  <c r="O328"/>
  <c r="U327"/>
  <c r="T327"/>
  <c r="S327"/>
  <c r="R327"/>
  <c r="Q327"/>
  <c r="P327"/>
  <c r="O327"/>
  <c r="U326"/>
  <c r="T326"/>
  <c r="S326"/>
  <c r="R326"/>
  <c r="Q326"/>
  <c r="P326"/>
  <c r="O326"/>
  <c r="U325"/>
  <c r="T325"/>
  <c r="S325" s="1"/>
  <c r="R325"/>
  <c r="Q325"/>
  <c r="P325"/>
  <c r="O325"/>
  <c r="U324"/>
  <c r="T324"/>
  <c r="S324" s="1"/>
  <c r="R324"/>
  <c r="Q324"/>
  <c r="P324"/>
  <c r="O324"/>
  <c r="U323"/>
  <c r="T323"/>
  <c r="S323"/>
  <c r="R323"/>
  <c r="Q323"/>
  <c r="P323"/>
  <c r="O323"/>
  <c r="U322"/>
  <c r="T322"/>
  <c r="S322"/>
  <c r="R322"/>
  <c r="Q322"/>
  <c r="P322"/>
  <c r="O322"/>
  <c r="U321"/>
  <c r="T321"/>
  <c r="S321" s="1"/>
  <c r="R321"/>
  <c r="Q321"/>
  <c r="P321"/>
  <c r="O321"/>
  <c r="U320"/>
  <c r="T320"/>
  <c r="S320" s="1"/>
  <c r="R320"/>
  <c r="Q320"/>
  <c r="P320"/>
  <c r="O320"/>
  <c r="U319"/>
  <c r="T319"/>
  <c r="S319"/>
  <c r="R319"/>
  <c r="Q319"/>
  <c r="P319"/>
  <c r="O319"/>
  <c r="U318"/>
  <c r="T318"/>
  <c r="S318"/>
  <c r="R318"/>
  <c r="Q318"/>
  <c r="P318"/>
  <c r="O318"/>
  <c r="U317"/>
  <c r="T317"/>
  <c r="S317" s="1"/>
  <c r="R317"/>
  <c r="Q317"/>
  <c r="P317"/>
  <c r="O317"/>
  <c r="U316"/>
  <c r="T316"/>
  <c r="S316" s="1"/>
  <c r="R316"/>
  <c r="Q316"/>
  <c r="P316"/>
  <c r="O316"/>
  <c r="U315"/>
  <c r="T315"/>
  <c r="S315"/>
  <c r="R315"/>
  <c r="Q315"/>
  <c r="P315"/>
  <c r="O315"/>
  <c r="U314"/>
  <c r="T314"/>
  <c r="S314"/>
  <c r="R314"/>
  <c r="Q314"/>
  <c r="P314"/>
  <c r="O314"/>
  <c r="U313"/>
  <c r="T313"/>
  <c r="S313" s="1"/>
  <c r="R313"/>
  <c r="Q313"/>
  <c r="P313"/>
  <c r="O313"/>
  <c r="U312"/>
  <c r="T312"/>
  <c r="S312" s="1"/>
  <c r="R312"/>
  <c r="Q312"/>
  <c r="P312"/>
  <c r="O312"/>
  <c r="U311"/>
  <c r="T311"/>
  <c r="S311"/>
  <c r="R311"/>
  <c r="Q311"/>
  <c r="P311"/>
  <c r="O311"/>
  <c r="U310"/>
  <c r="T310"/>
  <c r="S310"/>
  <c r="R310"/>
  <c r="Q310"/>
  <c r="P310"/>
  <c r="O310"/>
  <c r="U309"/>
  <c r="T309"/>
  <c r="S309" s="1"/>
  <c r="R309"/>
  <c r="Q309"/>
  <c r="P309"/>
  <c r="O309"/>
  <c r="U308"/>
  <c r="T308"/>
  <c r="S308" s="1"/>
  <c r="R308"/>
  <c r="Q308"/>
  <c r="P308"/>
  <c r="O308"/>
  <c r="U307"/>
  <c r="T307"/>
  <c r="S307"/>
  <c r="R307"/>
  <c r="Q307"/>
  <c r="P307"/>
  <c r="O307"/>
  <c r="U306"/>
  <c r="T306"/>
  <c r="S306"/>
  <c r="R306"/>
  <c r="Q306"/>
  <c r="P306"/>
  <c r="O306"/>
  <c r="U305"/>
  <c r="T305"/>
  <c r="S305" s="1"/>
  <c r="R305"/>
  <c r="Q305"/>
  <c r="P305"/>
  <c r="O305"/>
  <c r="U304"/>
  <c r="T304"/>
  <c r="S304" s="1"/>
  <c r="R304"/>
  <c r="Q304"/>
  <c r="P304"/>
  <c r="O304"/>
  <c r="U303"/>
  <c r="T303"/>
  <c r="S303"/>
  <c r="R303"/>
  <c r="Q303"/>
  <c r="P303"/>
  <c r="O303"/>
  <c r="U302"/>
  <c r="T302"/>
  <c r="S302"/>
  <c r="R302"/>
  <c r="Q302"/>
  <c r="P302"/>
  <c r="O302"/>
  <c r="U301"/>
  <c r="T301"/>
  <c r="S301" s="1"/>
  <c r="R301"/>
  <c r="Q301"/>
  <c r="P301"/>
  <c r="O301"/>
  <c r="U300"/>
  <c r="T300"/>
  <c r="S300" s="1"/>
  <c r="R300"/>
  <c r="Q300"/>
  <c r="P300"/>
  <c r="O300"/>
  <c r="U299"/>
  <c r="T299"/>
  <c r="S299"/>
  <c r="R299"/>
  <c r="Q299"/>
  <c r="P299"/>
  <c r="O299"/>
  <c r="U298"/>
  <c r="T298"/>
  <c r="S298"/>
  <c r="R298"/>
  <c r="Q298"/>
  <c r="P298"/>
  <c r="O298"/>
  <c r="U297"/>
  <c r="T297"/>
  <c r="S297" s="1"/>
  <c r="R297"/>
  <c r="Q297"/>
  <c r="P297"/>
  <c r="O297"/>
  <c r="U296"/>
  <c r="T296"/>
  <c r="S296" s="1"/>
  <c r="R296"/>
  <c r="Q296"/>
  <c r="P296"/>
  <c r="O296"/>
  <c r="U295"/>
  <c r="T295"/>
  <c r="S295"/>
  <c r="R295"/>
  <c r="Q295"/>
  <c r="P295"/>
  <c r="O295"/>
  <c r="U294"/>
  <c r="T294"/>
  <c r="S294"/>
  <c r="R294"/>
  <c r="Q294"/>
  <c r="P294"/>
  <c r="O294"/>
  <c r="U293"/>
  <c r="T293"/>
  <c r="S293" s="1"/>
  <c r="R293"/>
  <c r="Q293"/>
  <c r="P293"/>
  <c r="O293"/>
  <c r="U292"/>
  <c r="T292"/>
  <c r="S292" s="1"/>
  <c r="R292"/>
  <c r="Q292"/>
  <c r="P292"/>
  <c r="O292"/>
  <c r="U291"/>
  <c r="T291"/>
  <c r="S291"/>
  <c r="R291"/>
  <c r="Q291"/>
  <c r="P291"/>
  <c r="O291"/>
  <c r="U290"/>
  <c r="T290"/>
  <c r="S290"/>
  <c r="R290"/>
  <c r="Q290"/>
  <c r="P290"/>
  <c r="O290"/>
  <c r="U289"/>
  <c r="T289"/>
  <c r="S289" s="1"/>
  <c r="R289"/>
  <c r="Q289"/>
  <c r="P289"/>
  <c r="O289"/>
  <c r="U288"/>
  <c r="T288"/>
  <c r="S288" s="1"/>
  <c r="R288"/>
  <c r="Q288"/>
  <c r="P288"/>
  <c r="O288"/>
  <c r="U287"/>
  <c r="T287"/>
  <c r="S287"/>
  <c r="R287"/>
  <c r="Q287"/>
  <c r="P287"/>
  <c r="O287"/>
  <c r="U286"/>
  <c r="T286"/>
  <c r="S286"/>
  <c r="R286"/>
  <c r="Q286"/>
  <c r="P286"/>
  <c r="O286"/>
  <c r="U285"/>
  <c r="T285"/>
  <c r="S285" s="1"/>
  <c r="R285"/>
  <c r="Q285"/>
  <c r="P285"/>
  <c r="O285"/>
  <c r="U284"/>
  <c r="T284"/>
  <c r="S284" s="1"/>
  <c r="R284"/>
  <c r="Q284"/>
  <c r="P284"/>
  <c r="O284"/>
  <c r="U283"/>
  <c r="T283"/>
  <c r="S283"/>
  <c r="R283"/>
  <c r="Q283"/>
  <c r="P283"/>
  <c r="O283"/>
  <c r="U282"/>
  <c r="T282"/>
  <c r="S282"/>
  <c r="R282"/>
  <c r="Q282"/>
  <c r="P282"/>
  <c r="O282"/>
  <c r="U281"/>
  <c r="T281"/>
  <c r="S281" s="1"/>
  <c r="R281"/>
  <c r="Q281"/>
  <c r="P281"/>
  <c r="O281"/>
  <c r="U280"/>
  <c r="T280"/>
  <c r="S280" s="1"/>
  <c r="R280"/>
  <c r="Q280"/>
  <c r="P280"/>
  <c r="O280"/>
  <c r="U279"/>
  <c r="T279"/>
  <c r="S279"/>
  <c r="R279"/>
  <c r="Q279"/>
  <c r="P279"/>
  <c r="O279"/>
  <c r="U278"/>
  <c r="T278"/>
  <c r="S278"/>
  <c r="R278"/>
  <c r="Q278"/>
  <c r="P278"/>
  <c r="O278"/>
  <c r="U277"/>
  <c r="T277"/>
  <c r="S277" s="1"/>
  <c r="R277"/>
  <c r="Q277"/>
  <c r="P277"/>
  <c r="O277"/>
  <c r="U276"/>
  <c r="T276"/>
  <c r="S276" s="1"/>
  <c r="R276"/>
  <c r="Q276"/>
  <c r="P276"/>
  <c r="O276"/>
  <c r="U275"/>
  <c r="T275"/>
  <c r="S275"/>
  <c r="R275"/>
  <c r="Q275"/>
  <c r="P275"/>
  <c r="O275"/>
  <c r="U274"/>
  <c r="T274"/>
  <c r="S274"/>
  <c r="R274"/>
  <c r="Q274"/>
  <c r="P274"/>
  <c r="O274"/>
  <c r="U273"/>
  <c r="T273"/>
  <c r="S273" s="1"/>
  <c r="R273"/>
  <c r="Q273"/>
  <c r="P273"/>
  <c r="O273"/>
  <c r="U272"/>
  <c r="T272"/>
  <c r="S272" s="1"/>
  <c r="R272"/>
  <c r="Q272"/>
  <c r="P272"/>
  <c r="O272"/>
  <c r="U271"/>
  <c r="T271"/>
  <c r="S271"/>
  <c r="R271"/>
  <c r="Q271"/>
  <c r="P271"/>
  <c r="O271"/>
  <c r="U270"/>
  <c r="T270"/>
  <c r="S270"/>
  <c r="R270"/>
  <c r="Q270"/>
  <c r="P270"/>
  <c r="O270"/>
  <c r="U269"/>
  <c r="T269"/>
  <c r="S269" s="1"/>
  <c r="R269"/>
  <c r="Q269"/>
  <c r="P269"/>
  <c r="O269"/>
  <c r="U268"/>
  <c r="T268"/>
  <c r="S268" s="1"/>
  <c r="R268"/>
  <c r="Q268"/>
  <c r="P268"/>
  <c r="O268"/>
  <c r="U267"/>
  <c r="T267"/>
  <c r="S267"/>
  <c r="R267"/>
  <c r="Q267"/>
  <c r="P267"/>
  <c r="O267"/>
  <c r="U266"/>
  <c r="T266"/>
  <c r="S266"/>
  <c r="R266"/>
  <c r="Q266"/>
  <c r="P266"/>
  <c r="O266"/>
  <c r="U265"/>
  <c r="T265"/>
  <c r="S265" s="1"/>
  <c r="R265"/>
  <c r="Q265"/>
  <c r="P265"/>
  <c r="O265"/>
  <c r="U264"/>
  <c r="T264"/>
  <c r="S264" s="1"/>
  <c r="R264"/>
  <c r="Q264"/>
  <c r="P264"/>
  <c r="O264"/>
  <c r="U263"/>
  <c r="T263"/>
  <c r="S263"/>
  <c r="R263"/>
  <c r="Q263"/>
  <c r="P263"/>
  <c r="O263"/>
  <c r="U262"/>
  <c r="T262"/>
  <c r="S262"/>
  <c r="R262"/>
  <c r="Q262"/>
  <c r="P262"/>
  <c r="O262"/>
  <c r="U261"/>
  <c r="T261"/>
  <c r="S261" s="1"/>
  <c r="R261"/>
  <c r="Q261"/>
  <c r="P261"/>
  <c r="O261"/>
  <c r="U260"/>
  <c r="T260"/>
  <c r="S260" s="1"/>
  <c r="R260"/>
  <c r="Q260"/>
  <c r="P260"/>
  <c r="O260"/>
  <c r="U259"/>
  <c r="T259"/>
  <c r="S259"/>
  <c r="R259"/>
  <c r="Q259"/>
  <c r="P259"/>
  <c r="O259"/>
  <c r="U258"/>
  <c r="T258"/>
  <c r="S258"/>
  <c r="R258"/>
  <c r="Q258"/>
  <c r="P258"/>
  <c r="O258"/>
  <c r="U257"/>
  <c r="T257"/>
  <c r="S257" s="1"/>
  <c r="R257"/>
  <c r="Q257"/>
  <c r="P257"/>
  <c r="O257"/>
  <c r="U256"/>
  <c r="T256"/>
  <c r="S256" s="1"/>
  <c r="R256"/>
  <c r="Q256"/>
  <c r="P256"/>
  <c r="O256"/>
  <c r="U255"/>
  <c r="T255"/>
  <c r="S255"/>
  <c r="R255"/>
  <c r="Q255"/>
  <c r="P255"/>
  <c r="O255"/>
  <c r="U254"/>
  <c r="T254"/>
  <c r="S254"/>
  <c r="R254"/>
  <c r="Q254"/>
  <c r="P254"/>
  <c r="O254"/>
  <c r="U253"/>
  <c r="T253"/>
  <c r="S253" s="1"/>
  <c r="R253"/>
  <c r="Q253"/>
  <c r="P253"/>
  <c r="O253"/>
  <c r="U252"/>
  <c r="T252"/>
  <c r="S252" s="1"/>
  <c r="R252"/>
  <c r="Q252"/>
  <c r="P252"/>
  <c r="O252"/>
  <c r="U251"/>
  <c r="T251"/>
  <c r="S251"/>
  <c r="R251"/>
  <c r="Q251"/>
  <c r="P251"/>
  <c r="O251"/>
  <c r="U250"/>
  <c r="T250"/>
  <c r="S250"/>
  <c r="R250"/>
  <c r="Q250"/>
  <c r="P250"/>
  <c r="O250"/>
  <c r="U249"/>
  <c r="T249"/>
  <c r="S249" s="1"/>
  <c r="R249"/>
  <c r="Q249"/>
  <c r="P249"/>
  <c r="O249"/>
  <c r="U248"/>
  <c r="T248"/>
  <c r="S248" s="1"/>
  <c r="R248"/>
  <c r="Q248"/>
  <c r="P248"/>
  <c r="O248"/>
  <c r="U247"/>
  <c r="T247"/>
  <c r="S247"/>
  <c r="R247"/>
  <c r="Q247"/>
  <c r="P247"/>
  <c r="O247"/>
  <c r="U246"/>
  <c r="T246"/>
  <c r="S246"/>
  <c r="R246"/>
  <c r="Q246"/>
  <c r="P246"/>
  <c r="O246"/>
  <c r="U245"/>
  <c r="T245"/>
  <c r="S245" s="1"/>
  <c r="R245"/>
  <c r="Q245"/>
  <c r="P245"/>
  <c r="O245"/>
  <c r="U244"/>
  <c r="T244"/>
  <c r="S244" s="1"/>
  <c r="R244"/>
  <c r="Q244"/>
  <c r="P244"/>
  <c r="O244"/>
  <c r="U243"/>
  <c r="T243"/>
  <c r="S243"/>
  <c r="R243"/>
  <c r="Q243"/>
  <c r="P243"/>
  <c r="O243"/>
  <c r="U242"/>
  <c r="T242"/>
  <c r="S242"/>
  <c r="R242"/>
  <c r="Q242"/>
  <c r="P242"/>
  <c r="O242"/>
  <c r="U241"/>
  <c r="T241"/>
  <c r="S241" s="1"/>
  <c r="R241"/>
  <c r="Q241"/>
  <c r="P241"/>
  <c r="O241"/>
  <c r="U240"/>
  <c r="T240"/>
  <c r="S240" s="1"/>
  <c r="R240"/>
  <c r="Q240"/>
  <c r="P240"/>
  <c r="O240"/>
  <c r="U239"/>
  <c r="T239"/>
  <c r="S239"/>
  <c r="R239"/>
  <c r="Q239"/>
  <c r="P239"/>
  <c r="O239"/>
  <c r="U238"/>
  <c r="T238"/>
  <c r="S238"/>
  <c r="R238"/>
  <c r="Q238"/>
  <c r="P238"/>
  <c r="O238"/>
  <c r="U237"/>
  <c r="T237"/>
  <c r="S237" s="1"/>
  <c r="R237"/>
  <c r="Q237"/>
  <c r="P237"/>
  <c r="O237"/>
  <c r="U236"/>
  <c r="T236"/>
  <c r="S236" s="1"/>
  <c r="R236"/>
  <c r="Q236"/>
  <c r="P236"/>
  <c r="O236"/>
  <c r="U235"/>
  <c r="T235"/>
  <c r="S235"/>
  <c r="R235"/>
  <c r="Q235"/>
  <c r="P235"/>
  <c r="O235"/>
  <c r="U234"/>
  <c r="T234"/>
  <c r="S234"/>
  <c r="R234"/>
  <c r="Q234"/>
  <c r="P234"/>
  <c r="O234"/>
  <c r="U233"/>
  <c r="T233"/>
  <c r="S233" s="1"/>
  <c r="R233"/>
  <c r="Q233"/>
  <c r="P233"/>
  <c r="O233"/>
  <c r="U232"/>
  <c r="T232"/>
  <c r="S232" s="1"/>
  <c r="R232"/>
  <c r="Q232"/>
  <c r="P232"/>
  <c r="O232"/>
  <c r="U231"/>
  <c r="T231"/>
  <c r="S231"/>
  <c r="R231"/>
  <c r="Q231"/>
  <c r="P231"/>
  <c r="O231"/>
  <c r="U230"/>
  <c r="T230"/>
  <c r="S230"/>
  <c r="R230"/>
  <c r="Q230"/>
  <c r="P230"/>
  <c r="O230"/>
  <c r="U229"/>
  <c r="T229"/>
  <c r="S229" s="1"/>
  <c r="R229"/>
  <c r="Q229"/>
  <c r="P229"/>
  <c r="O229"/>
  <c r="U228"/>
  <c r="T228"/>
  <c r="S228" s="1"/>
  <c r="R228"/>
  <c r="Q228"/>
  <c r="P228"/>
  <c r="O228"/>
  <c r="U227"/>
  <c r="T227"/>
  <c r="S227"/>
  <c r="R227"/>
  <c r="Q227"/>
  <c r="P227"/>
  <c r="O227"/>
  <c r="U226"/>
  <c r="T226"/>
  <c r="S226"/>
  <c r="R226"/>
  <c r="Q226"/>
  <c r="P226"/>
  <c r="O226"/>
  <c r="U225"/>
  <c r="T225"/>
  <c r="S225" s="1"/>
  <c r="R225"/>
  <c r="Q225"/>
  <c r="P225"/>
  <c r="O225"/>
  <c r="U224"/>
  <c r="T224"/>
  <c r="S224" s="1"/>
  <c r="R224"/>
  <c r="Q224"/>
  <c r="P224"/>
  <c r="O224"/>
  <c r="U223"/>
  <c r="T223"/>
  <c r="S223"/>
  <c r="R223"/>
  <c r="Q223"/>
  <c r="P223"/>
  <c r="O223"/>
  <c r="U222"/>
  <c r="T222"/>
  <c r="S222"/>
  <c r="R222"/>
  <c r="Q222"/>
  <c r="P222"/>
  <c r="O222"/>
  <c r="U221"/>
  <c r="T221"/>
  <c r="S221" s="1"/>
  <c r="R221"/>
  <c r="Q221"/>
  <c r="P221"/>
  <c r="O221"/>
  <c r="U220"/>
  <c r="T220"/>
  <c r="S220" s="1"/>
  <c r="R220"/>
  <c r="Q220"/>
  <c r="P220"/>
  <c r="O220"/>
  <c r="U219"/>
  <c r="T219"/>
  <c r="S219"/>
  <c r="R219"/>
  <c r="Q219"/>
  <c r="P219"/>
  <c r="O219"/>
  <c r="U218"/>
  <c r="T218"/>
  <c r="S218"/>
  <c r="R218"/>
  <c r="Q218"/>
  <c r="P218"/>
  <c r="O218"/>
  <c r="U217"/>
  <c r="T217"/>
  <c r="S217" s="1"/>
  <c r="R217"/>
  <c r="Q217"/>
  <c r="P217"/>
  <c r="O217"/>
  <c r="U216"/>
  <c r="T216"/>
  <c r="S216" s="1"/>
  <c r="R216"/>
  <c r="Q216"/>
  <c r="P216"/>
  <c r="O216"/>
  <c r="U215"/>
  <c r="T215"/>
  <c r="S215"/>
  <c r="R215"/>
  <c r="Q215"/>
  <c r="P215"/>
  <c r="O215"/>
  <c r="U214"/>
  <c r="T214"/>
  <c r="S214"/>
  <c r="R214"/>
  <c r="Q214"/>
  <c r="P214"/>
  <c r="O214"/>
  <c r="U213"/>
  <c r="T213"/>
  <c r="S213" s="1"/>
  <c r="R213"/>
  <c r="Q213"/>
  <c r="P213"/>
  <c r="O213"/>
  <c r="U212"/>
  <c r="T212"/>
  <c r="S212" s="1"/>
  <c r="R212"/>
  <c r="Q212"/>
  <c r="P212"/>
  <c r="O212"/>
  <c r="U211"/>
  <c r="T211"/>
  <c r="S211"/>
  <c r="R211"/>
  <c r="Q211"/>
  <c r="P211"/>
  <c r="O211"/>
  <c r="U210"/>
  <c r="T210"/>
  <c r="S210"/>
  <c r="R210"/>
  <c r="Q210"/>
  <c r="P210"/>
  <c r="O210"/>
  <c r="U209"/>
  <c r="T209"/>
  <c r="S209" s="1"/>
  <c r="R209"/>
  <c r="Q209"/>
  <c r="P209"/>
  <c r="O209"/>
  <c r="U208"/>
  <c r="T208"/>
  <c r="S208" s="1"/>
  <c r="R208"/>
  <c r="Q208"/>
  <c r="P208"/>
  <c r="O208"/>
  <c r="U207"/>
  <c r="T207"/>
  <c r="S207"/>
  <c r="R207"/>
  <c r="Q207"/>
  <c r="P207"/>
  <c r="O207"/>
  <c r="U206"/>
  <c r="T206"/>
  <c r="S206"/>
  <c r="R206"/>
  <c r="Q206"/>
  <c r="P206"/>
  <c r="O206"/>
  <c r="U205"/>
  <c r="T205"/>
  <c r="S205" s="1"/>
  <c r="R205"/>
  <c r="Q205"/>
  <c r="P205"/>
  <c r="O205"/>
  <c r="U204"/>
  <c r="T204"/>
  <c r="S204" s="1"/>
  <c r="R204"/>
  <c r="Q204"/>
  <c r="P204"/>
  <c r="O204"/>
  <c r="U203"/>
  <c r="T203"/>
  <c r="S203"/>
  <c r="R203"/>
  <c r="Q203"/>
  <c r="P203"/>
  <c r="O203"/>
  <c r="U202"/>
  <c r="T202"/>
  <c r="S202"/>
  <c r="R202"/>
  <c r="Q202"/>
  <c r="P202"/>
  <c r="O202"/>
  <c r="U201"/>
  <c r="T201"/>
  <c r="S201" s="1"/>
  <c r="R201"/>
  <c r="Q201"/>
  <c r="P201"/>
  <c r="O201"/>
  <c r="U200"/>
  <c r="T200"/>
  <c r="S200" s="1"/>
  <c r="R200"/>
  <c r="Q200"/>
  <c r="P200"/>
  <c r="O200"/>
  <c r="U199"/>
  <c r="T199"/>
  <c r="S199"/>
  <c r="R199"/>
  <c r="Q199"/>
  <c r="P199"/>
  <c r="O199"/>
  <c r="U198"/>
  <c r="T198"/>
  <c r="S198"/>
  <c r="R198"/>
  <c r="Q198"/>
  <c r="P198"/>
  <c r="O198"/>
  <c r="U197"/>
  <c r="T197"/>
  <c r="S197" s="1"/>
  <c r="R197"/>
  <c r="Q197"/>
  <c r="P197"/>
  <c r="O197"/>
  <c r="U196"/>
  <c r="T196"/>
  <c r="S196" s="1"/>
  <c r="R196"/>
  <c r="Q196"/>
  <c r="P196"/>
  <c r="O196"/>
  <c r="U195"/>
  <c r="T195"/>
  <c r="S195"/>
  <c r="R195"/>
  <c r="Q195"/>
  <c r="P195"/>
  <c r="O195"/>
  <c r="U194"/>
  <c r="T194"/>
  <c r="S194"/>
  <c r="R194"/>
  <c r="Q194"/>
  <c r="P194"/>
  <c r="O194"/>
  <c r="U193"/>
  <c r="T193"/>
  <c r="S193" s="1"/>
  <c r="R193"/>
  <c r="Q193"/>
  <c r="P193"/>
  <c r="O193"/>
  <c r="U192"/>
  <c r="T192"/>
  <c r="S192" s="1"/>
  <c r="R192"/>
  <c r="Q192"/>
  <c r="P192"/>
  <c r="O192"/>
  <c r="U191"/>
  <c r="T191"/>
  <c r="S191"/>
  <c r="R191"/>
  <c r="Q191"/>
  <c r="P191"/>
  <c r="O191"/>
  <c r="U190"/>
  <c r="T190"/>
  <c r="S190"/>
  <c r="R190"/>
  <c r="Q190"/>
  <c r="P190"/>
  <c r="O190"/>
  <c r="U189"/>
  <c r="T189"/>
  <c r="S189" s="1"/>
  <c r="R189"/>
  <c r="Q189"/>
  <c r="P189"/>
  <c r="O189"/>
  <c r="U188"/>
  <c r="T188"/>
  <c r="S188" s="1"/>
  <c r="R188"/>
  <c r="Q188"/>
  <c r="P188"/>
  <c r="O188"/>
  <c r="U187"/>
  <c r="T187"/>
  <c r="S187"/>
  <c r="R187"/>
  <c r="Q187"/>
  <c r="P187"/>
  <c r="O187"/>
  <c r="U186"/>
  <c r="T186"/>
  <c r="S186"/>
  <c r="R186"/>
  <c r="Q186"/>
  <c r="P186"/>
  <c r="O186"/>
  <c r="U185"/>
  <c r="T185"/>
  <c r="S185" s="1"/>
  <c r="R185"/>
  <c r="Q185"/>
  <c r="P185"/>
  <c r="O185"/>
  <c r="U184"/>
  <c r="T184"/>
  <c r="S184" s="1"/>
  <c r="R184"/>
  <c r="Q184"/>
  <c r="P184"/>
  <c r="O184"/>
  <c r="U183"/>
  <c r="T183"/>
  <c r="S183"/>
  <c r="R183"/>
  <c r="Q183"/>
  <c r="P183"/>
  <c r="O183"/>
  <c r="U182"/>
  <c r="T182"/>
  <c r="S182"/>
  <c r="R182"/>
  <c r="Q182"/>
  <c r="P182"/>
  <c r="O182"/>
  <c r="U181"/>
  <c r="T181"/>
  <c r="S181" s="1"/>
  <c r="R181"/>
  <c r="Q181"/>
  <c r="P181"/>
  <c r="O181"/>
  <c r="U180"/>
  <c r="T180"/>
  <c r="S180" s="1"/>
  <c r="R180"/>
  <c r="Q180"/>
  <c r="P180"/>
  <c r="O180"/>
  <c r="U179"/>
  <c r="T179"/>
  <c r="S179"/>
  <c r="R179"/>
  <c r="Q179"/>
  <c r="P179"/>
  <c r="O179"/>
  <c r="U178"/>
  <c r="T178"/>
  <c r="S178"/>
  <c r="R178"/>
  <c r="Q178"/>
  <c r="P178"/>
  <c r="O178"/>
  <c r="U177"/>
  <c r="T177"/>
  <c r="S177" s="1"/>
  <c r="R177"/>
  <c r="Q177"/>
  <c r="P177"/>
  <c r="O177"/>
  <c r="U176"/>
  <c r="T176"/>
  <c r="S176" s="1"/>
  <c r="R176"/>
  <c r="Q176"/>
  <c r="P176"/>
  <c r="O176"/>
  <c r="U175"/>
  <c r="T175"/>
  <c r="S175"/>
  <c r="R175"/>
  <c r="Q175"/>
  <c r="P175"/>
  <c r="O175"/>
  <c r="U174"/>
  <c r="T174"/>
  <c r="S174"/>
  <c r="R174"/>
  <c r="Q174"/>
  <c r="P174"/>
  <c r="O174"/>
  <c r="U173"/>
  <c r="T173"/>
  <c r="S173" s="1"/>
  <c r="R173"/>
  <c r="Q173"/>
  <c r="P173"/>
  <c r="O173"/>
  <c r="U172"/>
  <c r="T172"/>
  <c r="S172" s="1"/>
  <c r="R172"/>
  <c r="Q172"/>
  <c r="P172"/>
  <c r="O172"/>
  <c r="U171"/>
  <c r="T171"/>
  <c r="S171"/>
  <c r="R171"/>
  <c r="Q171"/>
  <c r="P171"/>
  <c r="O171"/>
  <c r="U170"/>
  <c r="T170"/>
  <c r="S170"/>
  <c r="R170"/>
  <c r="Q170"/>
  <c r="P170"/>
  <c r="O170"/>
  <c r="U169"/>
  <c r="T169"/>
  <c r="S169" s="1"/>
  <c r="R169"/>
  <c r="Q169"/>
  <c r="P169"/>
  <c r="O169"/>
  <c r="U168"/>
  <c r="T168"/>
  <c r="S168" s="1"/>
  <c r="R168"/>
  <c r="Q168"/>
  <c r="P168"/>
  <c r="O168"/>
  <c r="U167"/>
  <c r="T167"/>
  <c r="S167"/>
  <c r="R167"/>
  <c r="Q167"/>
  <c r="P167"/>
  <c r="O167"/>
  <c r="U166"/>
  <c r="T166"/>
  <c r="S166"/>
  <c r="R166"/>
  <c r="Q166"/>
  <c r="P166"/>
  <c r="O166"/>
  <c r="U165"/>
  <c r="T165"/>
  <c r="S165" s="1"/>
  <c r="R165"/>
  <c r="Q165"/>
  <c r="P165"/>
  <c r="O165"/>
  <c r="U164"/>
  <c r="T164"/>
  <c r="S164" s="1"/>
  <c r="R164"/>
  <c r="Q164"/>
  <c r="P164"/>
  <c r="O164"/>
  <c r="U163"/>
  <c r="T163"/>
  <c r="S163"/>
  <c r="R163"/>
  <c r="Q163"/>
  <c r="P163"/>
  <c r="O163"/>
  <c r="U162"/>
  <c r="T162"/>
  <c r="S162"/>
  <c r="R162"/>
  <c r="Q162"/>
  <c r="P162"/>
  <c r="O162"/>
  <c r="U161"/>
  <c r="T161"/>
  <c r="S161" s="1"/>
  <c r="R161"/>
  <c r="Q161"/>
  <c r="P161"/>
  <c r="O161"/>
  <c r="U160"/>
  <c r="T160"/>
  <c r="S160" s="1"/>
  <c r="R160"/>
  <c r="Q160"/>
  <c r="P160"/>
  <c r="O160"/>
  <c r="U159"/>
  <c r="T159"/>
  <c r="S159"/>
  <c r="R159"/>
  <c r="Q159"/>
  <c r="P159"/>
  <c r="O159"/>
  <c r="U158"/>
  <c r="T158"/>
  <c r="S158"/>
  <c r="R158"/>
  <c r="Q158"/>
  <c r="P158"/>
  <c r="O158"/>
  <c r="U157"/>
  <c r="T157"/>
  <c r="S157" s="1"/>
  <c r="R157"/>
  <c r="Q157"/>
  <c r="P157"/>
  <c r="O157"/>
  <c r="U156"/>
  <c r="T156"/>
  <c r="S156" s="1"/>
  <c r="R156"/>
  <c r="Q156"/>
  <c r="P156"/>
  <c r="O156"/>
  <c r="U155"/>
  <c r="T155"/>
  <c r="S155"/>
  <c r="R155"/>
  <c r="Q155"/>
  <c r="P155"/>
  <c r="O155"/>
  <c r="U154"/>
  <c r="T154"/>
  <c r="S154"/>
  <c r="R154"/>
  <c r="Q154"/>
  <c r="P154"/>
  <c r="O154"/>
  <c r="U153"/>
  <c r="T153"/>
  <c r="S153" s="1"/>
  <c r="R153"/>
  <c r="Q153"/>
  <c r="P153"/>
  <c r="O153"/>
  <c r="U152"/>
  <c r="T152"/>
  <c r="S152" s="1"/>
  <c r="R152"/>
  <c r="Q152"/>
  <c r="P152"/>
  <c r="O152"/>
  <c r="U151"/>
  <c r="T151"/>
  <c r="S151"/>
  <c r="R151"/>
  <c r="Q151"/>
  <c r="P151"/>
  <c r="O151"/>
  <c r="U150"/>
  <c r="T150"/>
  <c r="S150"/>
  <c r="R150"/>
  <c r="Q150"/>
  <c r="P150"/>
  <c r="O150"/>
  <c r="U149"/>
  <c r="T149"/>
  <c r="S149" s="1"/>
  <c r="R149"/>
  <c r="Q149"/>
  <c r="P149"/>
  <c r="O149"/>
  <c r="U148"/>
  <c r="T148"/>
  <c r="S148" s="1"/>
  <c r="R148"/>
  <c r="Q148"/>
  <c r="P148"/>
  <c r="O148"/>
  <c r="U147"/>
  <c r="T147"/>
  <c r="S147"/>
  <c r="R147"/>
  <c r="Q147"/>
  <c r="P147"/>
  <c r="O147"/>
  <c r="U146"/>
  <c r="T146"/>
  <c r="S146"/>
  <c r="R146"/>
  <c r="Q146"/>
  <c r="P146"/>
  <c r="O146"/>
  <c r="U145"/>
  <c r="T145"/>
  <c r="S145" s="1"/>
  <c r="R145"/>
  <c r="Q145"/>
  <c r="P145"/>
  <c r="O145"/>
  <c r="U144"/>
  <c r="T144"/>
  <c r="S144" s="1"/>
  <c r="R144"/>
  <c r="Q144"/>
  <c r="P144"/>
  <c r="O144"/>
  <c r="U143"/>
  <c r="T143"/>
  <c r="S143"/>
  <c r="R143"/>
  <c r="Q143"/>
  <c r="P143"/>
  <c r="O143"/>
  <c r="U142"/>
  <c r="T142"/>
  <c r="S142"/>
  <c r="R142"/>
  <c r="Q142"/>
  <c r="P142"/>
  <c r="O142"/>
  <c r="U141"/>
  <c r="T141"/>
  <c r="S141" s="1"/>
  <c r="R141"/>
  <c r="Q141"/>
  <c r="P141"/>
  <c r="O141"/>
  <c r="U140"/>
  <c r="T140"/>
  <c r="S140" s="1"/>
  <c r="R140"/>
  <c r="Q140"/>
  <c r="P140"/>
  <c r="O140"/>
  <c r="U139"/>
  <c r="T139"/>
  <c r="S139"/>
  <c r="R139"/>
  <c r="Q139"/>
  <c r="P139"/>
  <c r="O139"/>
  <c r="U138"/>
  <c r="T138"/>
  <c r="S138"/>
  <c r="R138"/>
  <c r="Q138"/>
  <c r="P138"/>
  <c r="O138"/>
  <c r="U137"/>
  <c r="T137"/>
  <c r="S137" s="1"/>
  <c r="R137"/>
  <c r="Q137"/>
  <c r="P137"/>
  <c r="O137"/>
  <c r="U136"/>
  <c r="T136"/>
  <c r="S136" s="1"/>
  <c r="R136"/>
  <c r="Q136"/>
  <c r="P136"/>
  <c r="O136"/>
  <c r="U135"/>
  <c r="T135"/>
  <c r="S135"/>
  <c r="R135"/>
  <c r="Q135"/>
  <c r="P135"/>
  <c r="O135"/>
  <c r="U134"/>
  <c r="T134"/>
  <c r="S134"/>
  <c r="R134"/>
  <c r="Q134"/>
  <c r="P134"/>
  <c r="O134"/>
  <c r="U133"/>
  <c r="T133"/>
  <c r="S133" s="1"/>
  <c r="R133"/>
  <c r="Q133"/>
  <c r="P133"/>
  <c r="O133"/>
  <c r="U132"/>
  <c r="T132"/>
  <c r="S132" s="1"/>
  <c r="R132"/>
  <c r="Q132"/>
  <c r="P132"/>
  <c r="O132"/>
  <c r="U131"/>
  <c r="T131"/>
  <c r="S131"/>
  <c r="R131"/>
  <c r="Q131"/>
  <c r="P131"/>
  <c r="O131"/>
  <c r="U130"/>
  <c r="T130"/>
  <c r="S130"/>
  <c r="R130"/>
  <c r="Q130"/>
  <c r="P130"/>
  <c r="O130"/>
  <c r="U129"/>
  <c r="T129"/>
  <c r="S129" s="1"/>
  <c r="R129"/>
  <c r="Q129"/>
  <c r="P129"/>
  <c r="O129"/>
  <c r="U128"/>
  <c r="T128"/>
  <c r="S128" s="1"/>
  <c r="R128"/>
  <c r="Q128"/>
  <c r="P128"/>
  <c r="O128"/>
  <c r="U127"/>
  <c r="T127"/>
  <c r="S127"/>
  <c r="R127"/>
  <c r="Q127"/>
  <c r="P127"/>
  <c r="O127"/>
  <c r="U126"/>
  <c r="T126"/>
  <c r="S126"/>
  <c r="R126"/>
  <c r="Q126"/>
  <c r="P126"/>
  <c r="O126"/>
  <c r="U125"/>
  <c r="T125"/>
  <c r="S125" s="1"/>
  <c r="R125"/>
  <c r="Q125"/>
  <c r="P125"/>
  <c r="O125"/>
  <c r="U124"/>
  <c r="T124"/>
  <c r="S124" s="1"/>
  <c r="R124"/>
  <c r="Q124"/>
  <c r="P124"/>
  <c r="O124"/>
  <c r="U123"/>
  <c r="T123"/>
  <c r="S123"/>
  <c r="R123"/>
  <c r="Q123"/>
  <c r="P123"/>
  <c r="O123"/>
  <c r="U122"/>
  <c r="T122"/>
  <c r="S122"/>
  <c r="R122"/>
  <c r="Q122"/>
  <c r="P122"/>
  <c r="O122"/>
  <c r="U121"/>
  <c r="T121"/>
  <c r="S121" s="1"/>
  <c r="R121"/>
  <c r="Q121"/>
  <c r="P121"/>
  <c r="O121"/>
  <c r="U120"/>
  <c r="T120"/>
  <c r="S120" s="1"/>
  <c r="R120"/>
  <c r="Q120"/>
  <c r="P120"/>
  <c r="O120"/>
  <c r="U119"/>
  <c r="T119"/>
  <c r="S119"/>
  <c r="R119"/>
  <c r="Q119"/>
  <c r="P119"/>
  <c r="O119"/>
  <c r="U118"/>
  <c r="T118"/>
  <c r="S118"/>
  <c r="R118"/>
  <c r="Q118"/>
  <c r="P118"/>
  <c r="O118"/>
  <c r="U117"/>
  <c r="T117"/>
  <c r="S117" s="1"/>
  <c r="R117"/>
  <c r="Q117"/>
  <c r="P117"/>
  <c r="O117"/>
  <c r="U116"/>
  <c r="T116"/>
  <c r="S116" s="1"/>
  <c r="R116"/>
  <c r="Q116"/>
  <c r="P116"/>
  <c r="O116"/>
  <c r="U115"/>
  <c r="T115"/>
  <c r="S115"/>
  <c r="R115"/>
  <c r="Q115"/>
  <c r="P115"/>
  <c r="O115"/>
  <c r="U114"/>
  <c r="T114"/>
  <c r="S114"/>
  <c r="R114"/>
  <c r="Q114"/>
  <c r="P114"/>
  <c r="O114"/>
  <c r="U113"/>
  <c r="T113"/>
  <c r="S113" s="1"/>
  <c r="R113"/>
  <c r="Q113"/>
  <c r="P113"/>
  <c r="O113"/>
  <c r="U112"/>
  <c r="T112"/>
  <c r="S112" s="1"/>
  <c r="R112"/>
  <c r="Q112"/>
  <c r="P112"/>
  <c r="O112"/>
  <c r="U111"/>
  <c r="T111"/>
  <c r="S111"/>
  <c r="R111"/>
  <c r="Q111"/>
  <c r="P111"/>
  <c r="O111"/>
  <c r="U110"/>
  <c r="T110"/>
  <c r="S110"/>
  <c r="R110"/>
  <c r="Q110"/>
  <c r="P110"/>
  <c r="O110"/>
  <c r="U109"/>
  <c r="T109"/>
  <c r="S109" s="1"/>
  <c r="R109"/>
  <c r="Q109"/>
  <c r="P109"/>
  <c r="O109"/>
  <c r="U108"/>
  <c r="T108"/>
  <c r="S108" s="1"/>
  <c r="R108"/>
  <c r="Q108"/>
  <c r="P108"/>
  <c r="O108"/>
  <c r="U107"/>
  <c r="T107"/>
  <c r="S107"/>
  <c r="R107"/>
  <c r="Q107"/>
  <c r="P107"/>
  <c r="O107"/>
  <c r="U106"/>
  <c r="T106"/>
  <c r="S106"/>
  <c r="R106"/>
  <c r="Q106"/>
  <c r="P106"/>
  <c r="O106"/>
  <c r="U105"/>
  <c r="T105"/>
  <c r="S105" s="1"/>
  <c r="R105"/>
  <c r="Q105"/>
  <c r="P105"/>
  <c r="O105"/>
  <c r="U104"/>
  <c r="T104"/>
  <c r="S104" s="1"/>
  <c r="R104"/>
  <c r="Q104"/>
  <c r="P104"/>
  <c r="O104"/>
  <c r="U103"/>
  <c r="T103"/>
  <c r="S103"/>
  <c r="R103"/>
  <c r="Q103"/>
  <c r="P103"/>
  <c r="O103"/>
  <c r="U102"/>
  <c r="T102"/>
  <c r="S102"/>
  <c r="R102"/>
  <c r="Q102"/>
  <c r="P102"/>
  <c r="O102"/>
  <c r="U101"/>
  <c r="T101"/>
  <c r="S101" s="1"/>
  <c r="R101"/>
  <c r="Q101"/>
  <c r="P101"/>
  <c r="O101"/>
  <c r="U100"/>
  <c r="T100"/>
  <c r="S100" s="1"/>
  <c r="R100"/>
  <c r="Q100"/>
  <c r="P100"/>
  <c r="O100"/>
  <c r="U99"/>
  <c r="T99"/>
  <c r="S99"/>
  <c r="R99"/>
  <c r="Q99"/>
  <c r="P99"/>
  <c r="O99"/>
  <c r="U98"/>
  <c r="T98"/>
  <c r="S98"/>
  <c r="R98"/>
  <c r="Q98"/>
  <c r="P98"/>
  <c r="O98"/>
  <c r="U97"/>
  <c r="T97"/>
  <c r="S97" s="1"/>
  <c r="R97"/>
  <c r="Q97"/>
  <c r="P97"/>
  <c r="O97"/>
  <c r="U96"/>
  <c r="T96"/>
  <c r="S96" s="1"/>
  <c r="R96"/>
  <c r="Q96"/>
  <c r="P96"/>
  <c r="O96"/>
  <c r="U95"/>
  <c r="T95"/>
  <c r="S95"/>
  <c r="R95"/>
  <c r="Q95"/>
  <c r="P95"/>
  <c r="O95"/>
  <c r="U94"/>
  <c r="T94"/>
  <c r="S94"/>
  <c r="R94"/>
  <c r="Q94"/>
  <c r="P94"/>
  <c r="O94"/>
  <c r="U93"/>
  <c r="T93"/>
  <c r="S93" s="1"/>
  <c r="R93"/>
  <c r="Q93"/>
  <c r="P93"/>
  <c r="O93"/>
  <c r="U92"/>
  <c r="T92"/>
  <c r="S92" s="1"/>
  <c r="R92"/>
  <c r="Q92"/>
  <c r="P92"/>
  <c r="O92"/>
  <c r="U91"/>
  <c r="T91"/>
  <c r="S91"/>
  <c r="R91"/>
  <c r="Q91"/>
  <c r="P91"/>
  <c r="O91"/>
  <c r="U90"/>
  <c r="T90"/>
  <c r="S90"/>
  <c r="R90"/>
  <c r="Q90"/>
  <c r="P90"/>
  <c r="O90"/>
  <c r="U89"/>
  <c r="T89"/>
  <c r="S89" s="1"/>
  <c r="R89"/>
  <c r="Q89"/>
  <c r="P89"/>
  <c r="O89"/>
  <c r="U88"/>
  <c r="T88"/>
  <c r="S88" s="1"/>
  <c r="R88"/>
  <c r="Q88"/>
  <c r="P88"/>
  <c r="O88"/>
  <c r="U87"/>
  <c r="T87"/>
  <c r="S87"/>
  <c r="R87"/>
  <c r="Q87"/>
  <c r="P87"/>
  <c r="O87"/>
  <c r="U86"/>
  <c r="T86"/>
  <c r="S86"/>
  <c r="R86"/>
  <c r="Q86"/>
  <c r="P86"/>
  <c r="O86"/>
  <c r="U85"/>
  <c r="T85"/>
  <c r="S85" s="1"/>
  <c r="R85"/>
  <c r="Q85"/>
  <c r="P85"/>
  <c r="O85"/>
  <c r="U84"/>
  <c r="T84"/>
  <c r="S84" s="1"/>
  <c r="R84"/>
  <c r="Q84"/>
  <c r="P84"/>
  <c r="O84"/>
  <c r="U83"/>
  <c r="T83"/>
  <c r="S83"/>
  <c r="R83"/>
  <c r="Q83"/>
  <c r="P83"/>
  <c r="O83"/>
  <c r="U82"/>
  <c r="T82"/>
  <c r="S82"/>
  <c r="R82"/>
  <c r="Q82"/>
  <c r="P82"/>
  <c r="O82"/>
  <c r="U81"/>
  <c r="T81"/>
  <c r="S81" s="1"/>
  <c r="R81"/>
  <c r="Q81"/>
  <c r="P81"/>
  <c r="O81"/>
  <c r="U80"/>
  <c r="T80"/>
  <c r="S80" s="1"/>
  <c r="R80"/>
  <c r="Q80"/>
  <c r="P80"/>
  <c r="O80"/>
  <c r="U79"/>
  <c r="T79"/>
  <c r="S79"/>
  <c r="R79"/>
  <c r="Q79"/>
  <c r="P79"/>
  <c r="O79"/>
  <c r="U78"/>
  <c r="T78"/>
  <c r="S78"/>
  <c r="R78"/>
  <c r="Q78"/>
  <c r="P78"/>
  <c r="O78"/>
  <c r="U77"/>
  <c r="T77"/>
  <c r="S77" s="1"/>
  <c r="R77"/>
  <c r="Q77"/>
  <c r="P77"/>
  <c r="O77"/>
  <c r="U76"/>
  <c r="T76"/>
  <c r="S76" s="1"/>
  <c r="R76"/>
  <c r="Q76"/>
  <c r="P76"/>
  <c r="O76"/>
  <c r="U75"/>
  <c r="T75"/>
  <c r="S75"/>
  <c r="R75"/>
  <c r="Q75"/>
  <c r="P75"/>
  <c r="O75"/>
  <c r="U74"/>
  <c r="T74"/>
  <c r="S74"/>
  <c r="R74"/>
  <c r="Q74"/>
  <c r="P74"/>
  <c r="O74"/>
  <c r="U73"/>
  <c r="T73"/>
  <c r="S73" s="1"/>
  <c r="R73"/>
  <c r="Q73"/>
  <c r="P73"/>
  <c r="O73"/>
  <c r="U72"/>
  <c r="T72"/>
  <c r="S72" s="1"/>
  <c r="R72"/>
  <c r="Q72"/>
  <c r="P72"/>
  <c r="O72"/>
  <c r="U71"/>
  <c r="T71"/>
  <c r="S71"/>
  <c r="R71"/>
  <c r="Q71"/>
  <c r="P71"/>
  <c r="O71"/>
  <c r="U70"/>
  <c r="T70"/>
  <c r="S70"/>
  <c r="R70"/>
  <c r="Q70"/>
  <c r="P70"/>
  <c r="O70"/>
  <c r="U69"/>
  <c r="T69"/>
  <c r="S69" s="1"/>
  <c r="R69"/>
  <c r="Q69"/>
  <c r="P69"/>
  <c r="O69"/>
  <c r="U68"/>
  <c r="T68"/>
  <c r="S68" s="1"/>
  <c r="R68"/>
  <c r="Q68"/>
  <c r="P68"/>
  <c r="O68"/>
  <c r="U67"/>
  <c r="T67"/>
  <c r="S67"/>
  <c r="R67"/>
  <c r="Q67"/>
  <c r="P67"/>
  <c r="O67"/>
  <c r="U66"/>
  <c r="T66"/>
  <c r="S66"/>
  <c r="R66"/>
  <c r="Q66"/>
  <c r="P66"/>
  <c r="O66"/>
  <c r="U65"/>
  <c r="T65"/>
  <c r="S65" s="1"/>
  <c r="R65"/>
  <c r="Q65"/>
  <c r="P65"/>
  <c r="O65"/>
  <c r="U64"/>
  <c r="T64"/>
  <c r="S64" s="1"/>
  <c r="R64"/>
  <c r="Q64"/>
  <c r="P64"/>
  <c r="O64"/>
  <c r="U63"/>
  <c r="T63"/>
  <c r="S63"/>
  <c r="R63"/>
  <c r="Q63"/>
  <c r="P63"/>
  <c r="O63"/>
  <c r="U62"/>
  <c r="T62"/>
  <c r="S62"/>
  <c r="R62"/>
  <c r="Q62"/>
  <c r="P62"/>
  <c r="O62"/>
  <c r="U61"/>
  <c r="T61"/>
  <c r="S61" s="1"/>
  <c r="R61"/>
  <c r="Q61"/>
  <c r="P61"/>
  <c r="O61"/>
  <c r="U60"/>
  <c r="T60"/>
  <c r="S60" s="1"/>
  <c r="R60"/>
  <c r="Q60"/>
  <c r="P60"/>
  <c r="O60"/>
  <c r="U59"/>
  <c r="T59"/>
  <c r="S59"/>
  <c r="R59"/>
  <c r="Q59"/>
  <c r="P59"/>
  <c r="O59"/>
  <c r="U58"/>
  <c r="T58"/>
  <c r="S58"/>
  <c r="R58"/>
  <c r="Q58"/>
  <c r="P58"/>
  <c r="O58"/>
  <c r="U57"/>
  <c r="T57"/>
  <c r="S57" s="1"/>
  <c r="R57"/>
  <c r="Q57"/>
  <c r="P57"/>
  <c r="O57"/>
  <c r="U56"/>
  <c r="T56"/>
  <c r="S56" s="1"/>
  <c r="R56"/>
  <c r="Q56"/>
  <c r="P56"/>
  <c r="O56"/>
  <c r="U55"/>
  <c r="T55"/>
  <c r="S55"/>
  <c r="R55"/>
  <c r="Q55"/>
  <c r="P55"/>
  <c r="O55"/>
  <c r="U54"/>
  <c r="T54"/>
  <c r="S54"/>
  <c r="R54"/>
  <c r="Q54"/>
  <c r="P54"/>
  <c r="O54"/>
  <c r="U53"/>
  <c r="T53"/>
  <c r="S53" s="1"/>
  <c r="R53"/>
  <c r="Q53"/>
  <c r="P53"/>
  <c r="O53"/>
  <c r="U52"/>
  <c r="T52"/>
  <c r="S52"/>
  <c r="R52"/>
  <c r="Q52"/>
  <c r="P52"/>
  <c r="O52"/>
  <c r="U51"/>
  <c r="T51"/>
  <c r="S51"/>
  <c r="R51"/>
  <c r="Q51"/>
  <c r="P51"/>
  <c r="O51"/>
  <c r="U50"/>
  <c r="T50"/>
  <c r="S50"/>
  <c r="R50"/>
  <c r="Q50"/>
  <c r="P50"/>
  <c r="O50"/>
  <c r="U49"/>
  <c r="T49"/>
  <c r="S49" s="1"/>
  <c r="R49"/>
  <c r="Q49"/>
  <c r="P49"/>
  <c r="O49"/>
  <c r="U48"/>
  <c r="T48"/>
  <c r="S48" s="1"/>
  <c r="R48"/>
  <c r="Q48"/>
  <c r="P48"/>
  <c r="O48"/>
  <c r="U47"/>
  <c r="T47"/>
  <c r="S47"/>
  <c r="R47"/>
  <c r="Q47"/>
  <c r="P47"/>
  <c r="O47"/>
  <c r="U46"/>
  <c r="T46"/>
  <c r="S46"/>
  <c r="R46"/>
  <c r="Q46"/>
  <c r="P46"/>
  <c r="O46"/>
  <c r="U45"/>
  <c r="T45"/>
  <c r="S45" s="1"/>
  <c r="R45"/>
  <c r="Q45"/>
  <c r="P45"/>
  <c r="O45"/>
  <c r="U44"/>
  <c r="T44"/>
  <c r="S44" s="1"/>
  <c r="R44"/>
  <c r="Q44"/>
  <c r="P44"/>
  <c r="O44"/>
  <c r="U43"/>
  <c r="T43"/>
  <c r="S43"/>
  <c r="R43"/>
  <c r="Q43"/>
  <c r="P43"/>
  <c r="O43"/>
  <c r="U42"/>
  <c r="T42"/>
  <c r="S42"/>
  <c r="R42"/>
  <c r="Q42"/>
  <c r="P42"/>
  <c r="O42"/>
  <c r="U41"/>
  <c r="T41"/>
  <c r="S41" s="1"/>
  <c r="R41"/>
  <c r="Q41"/>
  <c r="P41"/>
  <c r="O41"/>
  <c r="U40"/>
  <c r="T40"/>
  <c r="S40" s="1"/>
  <c r="R40"/>
  <c r="Q40"/>
  <c r="P40"/>
  <c r="O40"/>
  <c r="U39"/>
  <c r="T39"/>
  <c r="S39"/>
  <c r="R39"/>
  <c r="Q39"/>
  <c r="P39"/>
  <c r="O39"/>
  <c r="U38"/>
  <c r="T38"/>
  <c r="S38"/>
  <c r="R38"/>
  <c r="Q38"/>
  <c r="P38"/>
  <c r="O38"/>
  <c r="U37"/>
  <c r="T37"/>
  <c r="S37" s="1"/>
  <c r="R37"/>
  <c r="Q37"/>
  <c r="P37"/>
  <c r="O37"/>
  <c r="U36"/>
  <c r="T36"/>
  <c r="S36"/>
  <c r="R36"/>
  <c r="Q36"/>
  <c r="P36"/>
  <c r="O36"/>
  <c r="U35"/>
  <c r="T35"/>
  <c r="S35"/>
  <c r="R35"/>
  <c r="Q35"/>
  <c r="P35"/>
  <c r="O35"/>
  <c r="U34"/>
  <c r="T34"/>
  <c r="S34"/>
  <c r="R34"/>
  <c r="Q34"/>
  <c r="P34"/>
  <c r="O34"/>
  <c r="U33"/>
  <c r="T33"/>
  <c r="S33" s="1"/>
  <c r="R33"/>
  <c r="Q33"/>
  <c r="P33"/>
  <c r="O33"/>
  <c r="U32"/>
  <c r="T32"/>
  <c r="S32" s="1"/>
  <c r="R32"/>
  <c r="Q32"/>
  <c r="P32"/>
  <c r="O32"/>
  <c r="U31"/>
  <c r="T31"/>
  <c r="S31"/>
  <c r="R31"/>
  <c r="Q31"/>
  <c r="P31"/>
  <c r="O31"/>
  <c r="U30"/>
  <c r="T30"/>
  <c r="S30"/>
  <c r="R30"/>
  <c r="Q30"/>
  <c r="P30"/>
  <c r="O30"/>
  <c r="U29"/>
  <c r="T29"/>
  <c r="S29" s="1"/>
  <c r="R29"/>
  <c r="Q29"/>
  <c r="P29"/>
  <c r="O29"/>
  <c r="U28"/>
  <c r="T28"/>
  <c r="S28" s="1"/>
  <c r="R28"/>
  <c r="Q28"/>
  <c r="P28"/>
  <c r="O28"/>
  <c r="U27"/>
  <c r="T27"/>
  <c r="S27"/>
  <c r="R27"/>
  <c r="Q27"/>
  <c r="P27"/>
  <c r="O27"/>
  <c r="U26"/>
  <c r="T26"/>
  <c r="S26"/>
  <c r="R26"/>
  <c r="Q26"/>
  <c r="P26"/>
  <c r="O26"/>
  <c r="U25"/>
  <c r="T25"/>
  <c r="R25"/>
  <c r="Q25"/>
  <c r="O25" s="1"/>
  <c r="U24"/>
  <c r="T24"/>
  <c r="R24"/>
  <c r="Q24"/>
  <c r="P24"/>
  <c r="O24"/>
  <c r="U23"/>
  <c r="T23"/>
  <c r="R23"/>
  <c r="P23" s="1"/>
  <c r="Q23"/>
  <c r="U22"/>
  <c r="T22"/>
  <c r="R22"/>
  <c r="P22" s="1"/>
  <c r="Q22"/>
  <c r="U21"/>
  <c r="T21"/>
  <c r="R21"/>
  <c r="Q21"/>
  <c r="O21" s="1"/>
  <c r="U20"/>
  <c r="T20"/>
  <c r="S20" s="1"/>
  <c r="R20"/>
  <c r="Q20"/>
  <c r="P20"/>
  <c r="O20"/>
  <c r="U19"/>
  <c r="T19"/>
  <c r="R19"/>
  <c r="P19" s="1"/>
  <c r="Q19"/>
  <c r="O19"/>
  <c r="U18"/>
  <c r="T18"/>
  <c r="R18"/>
  <c r="Q18"/>
  <c r="O18" s="1"/>
  <c r="U17"/>
  <c r="T17"/>
  <c r="R17"/>
  <c r="Q17"/>
  <c r="O17" s="1"/>
  <c r="U16"/>
  <c r="T16"/>
  <c r="R16"/>
  <c r="Q16"/>
  <c r="P16"/>
  <c r="O16"/>
  <c r="U15"/>
  <c r="T15"/>
  <c r="R15"/>
  <c r="P15" s="1"/>
  <c r="Q15"/>
  <c r="U14"/>
  <c r="T14"/>
  <c r="R14"/>
  <c r="P14" s="1"/>
  <c r="Q14"/>
  <c r="U13"/>
  <c r="T13"/>
  <c r="R13"/>
  <c r="Q13"/>
  <c r="O13" s="1"/>
  <c r="U12"/>
  <c r="T12"/>
  <c r="S12" s="1"/>
  <c r="R12"/>
  <c r="Q12"/>
  <c r="P12"/>
  <c r="O12"/>
  <c r="U11"/>
  <c r="T11"/>
  <c r="R11"/>
  <c r="P11" s="1"/>
  <c r="Q11"/>
  <c r="O11"/>
  <c r="U10"/>
  <c r="T10"/>
  <c r="R10"/>
  <c r="Q10"/>
  <c r="O10" s="1"/>
  <c r="U9"/>
  <c r="T9"/>
  <c r="R9"/>
  <c r="Q9"/>
  <c r="O9" s="1"/>
  <c r="U8"/>
  <c r="T8"/>
  <c r="R8"/>
  <c r="Q8"/>
  <c r="P8"/>
  <c r="O8"/>
  <c r="U7"/>
  <c r="T7"/>
  <c r="R7"/>
  <c r="P7" s="1"/>
  <c r="Q7"/>
  <c r="U6"/>
  <c r="T6"/>
  <c r="R6"/>
  <c r="P6" s="1"/>
  <c r="Q6"/>
  <c r="U5"/>
  <c r="T5"/>
  <c r="S5" s="1"/>
  <c r="R5"/>
  <c r="Q5"/>
  <c r="O5" s="1"/>
  <c r="U4"/>
  <c r="T4"/>
  <c r="R4"/>
  <c r="Q4"/>
  <c r="P4"/>
  <c r="O4"/>
  <c r="N28" i="1"/>
  <c r="M28"/>
  <c r="J28"/>
  <c r="I28"/>
  <c r="N27"/>
  <c r="M27" s="1"/>
  <c r="J27"/>
  <c r="I27"/>
  <c r="N26"/>
  <c r="M26"/>
  <c r="J26"/>
  <c r="I26"/>
  <c r="N25"/>
  <c r="M25" s="1"/>
  <c r="J25"/>
  <c r="I25"/>
  <c r="N24"/>
  <c r="M24"/>
  <c r="J24"/>
  <c r="I24"/>
  <c r="N23"/>
  <c r="M23" s="1"/>
  <c r="J23"/>
  <c r="I23"/>
  <c r="N22"/>
  <c r="M22"/>
  <c r="J22"/>
  <c r="I22"/>
  <c r="N21"/>
  <c r="M21" s="1"/>
  <c r="J21"/>
  <c r="I21"/>
  <c r="N20"/>
  <c r="M20"/>
  <c r="J20"/>
  <c r="I20"/>
  <c r="N19"/>
  <c r="M19" s="1"/>
  <c r="J19"/>
  <c r="I19"/>
  <c r="N18"/>
  <c r="M18"/>
  <c r="J18"/>
  <c r="I18"/>
  <c r="N17"/>
  <c r="M17" s="1"/>
  <c r="J17"/>
  <c r="I17"/>
  <c r="N16"/>
  <c r="M16"/>
  <c r="J16"/>
  <c r="I16"/>
  <c r="N15"/>
  <c r="M15" s="1"/>
  <c r="J15"/>
  <c r="I15"/>
  <c r="N14"/>
  <c r="M14"/>
  <c r="J14"/>
  <c r="I14"/>
  <c r="N13"/>
  <c r="M13" s="1"/>
  <c r="J13"/>
  <c r="I13"/>
  <c r="N12"/>
  <c r="M12"/>
  <c r="J12"/>
  <c r="I12"/>
  <c r="N11"/>
  <c r="M11" s="1"/>
  <c r="J11"/>
  <c r="I11"/>
  <c r="N10"/>
  <c r="M10"/>
  <c r="J10"/>
  <c r="I10"/>
  <c r="N9"/>
  <c r="M9" s="1"/>
  <c r="J9"/>
  <c r="I9"/>
  <c r="N8"/>
  <c r="M8"/>
  <c r="J8"/>
  <c r="I8"/>
  <c r="N7"/>
  <c r="M7" s="1"/>
  <c r="J7"/>
  <c r="I7"/>
  <c r="N6"/>
  <c r="M6"/>
  <c r="J6"/>
  <c r="I6"/>
  <c r="N5"/>
  <c r="M5" s="1"/>
  <c r="J5"/>
  <c r="I5"/>
  <c r="N4"/>
  <c r="M4"/>
  <c r="J4"/>
  <c r="I4"/>
  <c r="AC61" i="19"/>
  <c r="AC48"/>
  <c r="AC54"/>
  <c r="AC55"/>
  <c r="AC64"/>
  <c r="AC52"/>
  <c r="F27" i="1"/>
  <c r="F23"/>
  <c r="F19"/>
  <c r="F15"/>
  <c r="D8"/>
  <c r="N26" i="4"/>
  <c r="N22"/>
  <c r="N18"/>
  <c r="N14"/>
  <c r="N10"/>
  <c r="N6"/>
  <c r="E28" i="1"/>
  <c r="E20"/>
  <c r="D19"/>
  <c r="F8"/>
  <c r="D25"/>
  <c r="F24"/>
  <c r="F26"/>
  <c r="E15"/>
  <c r="D11"/>
  <c r="AC65" i="19"/>
  <c r="AC53"/>
  <c r="AC63"/>
  <c r="AC59"/>
  <c r="AC68"/>
  <c r="AC58"/>
  <c r="D28" i="1"/>
  <c r="D24"/>
  <c r="D20"/>
  <c r="D16"/>
  <c r="D10"/>
  <c r="F10" s="1"/>
  <c r="N27" i="4"/>
  <c r="N23"/>
  <c r="N19"/>
  <c r="N15"/>
  <c r="N11"/>
  <c r="N7"/>
  <c r="N3"/>
  <c r="E22" i="1"/>
  <c r="E14"/>
  <c r="F22"/>
  <c r="F18"/>
  <c r="F28"/>
  <c r="AC69" i="19"/>
  <c r="AC56"/>
  <c r="AC66"/>
  <c r="AC67"/>
  <c r="AC49"/>
  <c r="AC60"/>
  <c r="AC47"/>
  <c r="F25" i="1"/>
  <c r="F21"/>
  <c r="F17"/>
  <c r="D12"/>
  <c r="D4"/>
  <c r="N24" i="4"/>
  <c r="N20"/>
  <c r="N16"/>
  <c r="N12"/>
  <c r="N8"/>
  <c r="N4"/>
  <c r="E24" i="1"/>
  <c r="E16"/>
  <c r="E8"/>
  <c r="E25"/>
  <c r="F14"/>
  <c r="D13"/>
  <c r="E13" s="1"/>
  <c r="D23"/>
  <c r="F20"/>
  <c r="E19"/>
  <c r="D15"/>
  <c r="F13"/>
  <c r="F16"/>
  <c r="AC57" i="19"/>
  <c r="AC70"/>
  <c r="AC71"/>
  <c r="AC51"/>
  <c r="AC62"/>
  <c r="AC50"/>
  <c r="D26" i="1"/>
  <c r="D22"/>
  <c r="D18"/>
  <c r="D14"/>
  <c r="D6"/>
  <c r="N25" i="4"/>
  <c r="N21"/>
  <c r="N17"/>
  <c r="N13"/>
  <c r="N9"/>
  <c r="N5"/>
  <c r="E26" i="1"/>
  <c r="E18"/>
  <c r="E10"/>
  <c r="D27"/>
  <c r="E17"/>
  <c r="E27"/>
  <c r="D5"/>
  <c r="E5" s="1"/>
  <c r="D7"/>
  <c r="E23"/>
  <c r="D9"/>
  <c r="F9" s="1"/>
  <c r="D21"/>
  <c r="E21"/>
  <c r="F11"/>
  <c r="E9"/>
  <c r="E11"/>
  <c r="D17"/>
  <c r="F5"/>
  <c r="F12"/>
  <c r="E12"/>
  <c r="F4"/>
  <c r="E4"/>
  <c r="E6"/>
  <c r="F6"/>
  <c r="E7"/>
  <c r="F7"/>
  <c r="G21" i="11" l="1"/>
  <c r="AK70" i="6" a="1"/>
  <c r="AK70" s="1"/>
  <c r="AK70" i="9" a="1"/>
  <c r="AK70" s="1"/>
  <c r="AJ25" i="13"/>
  <c r="AQ25" s="1" a="1"/>
  <c r="AQ25" s="1"/>
  <c r="G27" i="15"/>
  <c r="I27" i="7"/>
  <c r="AJ25" i="8"/>
  <c r="AQ25" s="1" a="1"/>
  <c r="AQ25" s="1"/>
  <c r="AJ25" i="9"/>
  <c r="AQ25" s="1" a="1"/>
  <c r="AQ25" s="1"/>
  <c r="H28" i="11"/>
  <c r="H18" i="13"/>
  <c r="AT18"/>
  <c r="H29"/>
  <c r="H30" i="12"/>
  <c r="I26"/>
  <c r="S9" i="15"/>
  <c r="I7" i="17"/>
  <c r="I11"/>
  <c r="AT12"/>
  <c r="H16"/>
  <c r="S16"/>
  <c r="AS16"/>
  <c r="AT18"/>
  <c r="AT20"/>
  <c r="J26"/>
  <c r="H10" i="6"/>
  <c r="G25"/>
  <c r="H26"/>
  <c r="H26" i="7"/>
  <c r="G29"/>
  <c r="AR20" i="10"/>
  <c r="I25"/>
  <c r="S21" i="11"/>
  <c r="I30"/>
  <c r="H29" i="12"/>
  <c r="I28" i="13"/>
  <c r="J16" i="14"/>
  <c r="AJ6" i="15"/>
  <c r="AQ6" s="1" a="1"/>
  <c r="AQ6" s="1"/>
  <c r="J26"/>
  <c r="J27"/>
  <c r="H7" i="17"/>
  <c r="H11"/>
  <c r="I12"/>
  <c r="V14"/>
  <c r="G16"/>
  <c r="R16"/>
  <c r="W16" s="1"/>
  <c r="I18"/>
  <c r="I20"/>
  <c r="I27"/>
  <c r="V7"/>
  <c r="V11"/>
  <c r="S25" i="6"/>
  <c r="H30" i="9"/>
  <c r="AJ7" i="11"/>
  <c r="H21"/>
  <c r="G28"/>
  <c r="AT7" i="17"/>
  <c r="AT11"/>
  <c r="V12"/>
  <c r="I16"/>
  <c r="V16"/>
  <c r="AT16"/>
  <c r="V18"/>
  <c r="AS19"/>
  <c r="V20"/>
  <c r="J18" i="10"/>
  <c r="S20"/>
  <c r="H28"/>
  <c r="U28"/>
  <c r="S28"/>
  <c r="S18"/>
  <c r="J10" i="8"/>
  <c r="I9"/>
  <c r="AR9"/>
  <c r="U10"/>
  <c r="H29"/>
  <c r="G29"/>
  <c r="AT10"/>
  <c r="H30" i="6"/>
  <c r="U30"/>
  <c r="U27" i="7"/>
  <c r="J8" i="8"/>
  <c r="H10"/>
  <c r="R10"/>
  <c r="W10" s="1"/>
  <c r="I26" i="9"/>
  <c r="S30"/>
  <c r="I31"/>
  <c r="H18" i="11"/>
  <c r="S18"/>
  <c r="AS18"/>
  <c r="AS20"/>
  <c r="H13" i="12"/>
  <c r="H15"/>
  <c r="S30"/>
  <c r="U18" i="13"/>
  <c r="I27"/>
  <c r="I10" i="14"/>
  <c r="U10"/>
  <c r="AS10"/>
  <c r="J11"/>
  <c r="I14"/>
  <c r="U14"/>
  <c r="AS14"/>
  <c r="J15"/>
  <c r="AU18"/>
  <c r="I27"/>
  <c r="G30"/>
  <c r="I9" i="15"/>
  <c r="J10"/>
  <c r="AR13"/>
  <c r="U14"/>
  <c r="H16"/>
  <c r="I18"/>
  <c r="S21"/>
  <c r="I29"/>
  <c r="U29"/>
  <c r="V6" i="17"/>
  <c r="S7"/>
  <c r="AS7"/>
  <c r="H8"/>
  <c r="S8"/>
  <c r="AS8"/>
  <c r="AT10"/>
  <c r="G12"/>
  <c r="R12"/>
  <c r="W12" s="1"/>
  <c r="I14"/>
  <c r="I15"/>
  <c r="H19"/>
  <c r="G20"/>
  <c r="R20"/>
  <c r="W20" s="1"/>
  <c r="H28"/>
  <c r="G29"/>
  <c r="S29"/>
  <c r="U26" i="6"/>
  <c r="G30"/>
  <c r="S30"/>
  <c r="AJ7" i="7"/>
  <c r="G8"/>
  <c r="I25"/>
  <c r="H8" i="8"/>
  <c r="I26"/>
  <c r="J12" i="9"/>
  <c r="AR12"/>
  <c r="H31"/>
  <c r="G18" i="11"/>
  <c r="R18"/>
  <c r="W18" s="1"/>
  <c r="I20"/>
  <c r="I25"/>
  <c r="G13" i="12"/>
  <c r="G15"/>
  <c r="I31"/>
  <c r="J8" i="13"/>
  <c r="H27"/>
  <c r="U27"/>
  <c r="J31"/>
  <c r="G10" i="14"/>
  <c r="S10"/>
  <c r="I11"/>
  <c r="G14"/>
  <c r="S14"/>
  <c r="I15"/>
  <c r="J18"/>
  <c r="S30"/>
  <c r="J8" i="15"/>
  <c r="I10"/>
  <c r="U10"/>
  <c r="I13"/>
  <c r="U16"/>
  <c r="H18"/>
  <c r="S18"/>
  <c r="H29"/>
  <c r="S29"/>
  <c r="G8" i="17"/>
  <c r="R8"/>
  <c r="W8" s="1"/>
  <c r="I10"/>
  <c r="H15"/>
  <c r="V15"/>
  <c r="AT15"/>
  <c r="S19"/>
  <c r="U8" i="8"/>
  <c r="V13" i="12"/>
  <c r="V15"/>
  <c r="S27" i="13"/>
  <c r="V11" i="14"/>
  <c r="V15"/>
  <c r="S10" i="15"/>
  <c r="R18"/>
  <c r="W18" s="1"/>
  <c r="S15" i="17"/>
  <c r="AS15"/>
  <c r="I26" i="6"/>
  <c r="I30"/>
  <c r="S8" i="7"/>
  <c r="I9"/>
  <c r="AJ12"/>
  <c r="H27"/>
  <c r="J29"/>
  <c r="I10" i="8"/>
  <c r="S10"/>
  <c r="J13" i="9"/>
  <c r="G30"/>
  <c r="U30"/>
  <c r="AJ10" i="10"/>
  <c r="I18" i="11"/>
  <c r="V18"/>
  <c r="AU18"/>
  <c r="V20"/>
  <c r="R21"/>
  <c r="W21" s="1"/>
  <c r="AU21"/>
  <c r="AT13" i="12"/>
  <c r="AT15"/>
  <c r="G29"/>
  <c r="G30"/>
  <c r="U30"/>
  <c r="G18" i="13"/>
  <c r="G28"/>
  <c r="G29"/>
  <c r="G9" i="14"/>
  <c r="AR9"/>
  <c r="J10"/>
  <c r="V10"/>
  <c r="J14"/>
  <c r="V14"/>
  <c r="V18"/>
  <c r="J29"/>
  <c r="H30"/>
  <c r="I31"/>
  <c r="AR9" i="15"/>
  <c r="S13"/>
  <c r="J16"/>
  <c r="J29"/>
  <c r="I8" i="17"/>
  <c r="V8"/>
  <c r="AT8"/>
  <c r="V10"/>
  <c r="S11"/>
  <c r="AS11"/>
  <c r="H12"/>
  <c r="S12"/>
  <c r="AS12"/>
  <c r="AT14"/>
  <c r="I19"/>
  <c r="H20"/>
  <c r="S20"/>
  <c r="AS20"/>
  <c r="H29"/>
  <c r="U29"/>
  <c r="S27" i="6"/>
  <c r="AT17" i="11"/>
  <c r="AU19"/>
  <c r="AT6" i="15"/>
  <c r="AU13" i="17"/>
  <c r="J10" i="6"/>
  <c r="G11"/>
  <c r="H25"/>
  <c r="H27"/>
  <c r="I8" i="7"/>
  <c r="U8"/>
  <c r="AS8"/>
  <c r="AU9"/>
  <c r="AJ11"/>
  <c r="AJ15"/>
  <c r="AJ18"/>
  <c r="J30"/>
  <c r="G31"/>
  <c r="AK58"/>
  <c r="H13" i="8"/>
  <c r="U13"/>
  <c r="H25"/>
  <c r="I27"/>
  <c r="G30"/>
  <c r="S30"/>
  <c r="G11" i="9"/>
  <c r="H27"/>
  <c r="U27"/>
  <c r="J29"/>
  <c r="S27" i="10"/>
  <c r="AJ6" i="11"/>
  <c r="AJ10"/>
  <c r="AJ14"/>
  <c r="G17"/>
  <c r="R17"/>
  <c r="W17" s="1"/>
  <c r="AU17"/>
  <c r="G19"/>
  <c r="R19"/>
  <c r="W19" s="1"/>
  <c r="AT20"/>
  <c r="I26"/>
  <c r="G29"/>
  <c r="S29"/>
  <c r="R9" i="12"/>
  <c r="W9" s="1"/>
  <c r="AS9"/>
  <c r="R12"/>
  <c r="W12" s="1"/>
  <c r="AS12"/>
  <c r="R14"/>
  <c r="W14" s="1"/>
  <c r="AS14"/>
  <c r="R16"/>
  <c r="W16" s="1"/>
  <c r="AS16"/>
  <c r="G25"/>
  <c r="I27"/>
  <c r="G26" i="13"/>
  <c r="S26"/>
  <c r="G30"/>
  <c r="S30"/>
  <c r="U7" i="14"/>
  <c r="AU7"/>
  <c r="U19"/>
  <c r="AU19"/>
  <c r="I28"/>
  <c r="H6" i="15"/>
  <c r="R6"/>
  <c r="R12"/>
  <c r="W12" s="1"/>
  <c r="AT12"/>
  <c r="AJ14"/>
  <c r="AQ14" s="1" a="1"/>
  <c r="AQ14" s="1"/>
  <c r="AR14"/>
  <c r="I17"/>
  <c r="H20"/>
  <c r="U20"/>
  <c r="G28"/>
  <c r="S28"/>
  <c r="AU6" i="17"/>
  <c r="G9"/>
  <c r="R9"/>
  <c r="W9" s="1"/>
  <c r="AU10"/>
  <c r="G13"/>
  <c r="R13"/>
  <c r="W13" s="1"/>
  <c r="AU14"/>
  <c r="G17"/>
  <c r="R17"/>
  <c r="W17" s="1"/>
  <c r="AU18"/>
  <c r="V19"/>
  <c r="AT19"/>
  <c r="G21"/>
  <c r="R21"/>
  <c r="W21" s="1"/>
  <c r="G25"/>
  <c r="S25"/>
  <c r="V11" i="6"/>
  <c r="R13" i="8"/>
  <c r="W13" s="1"/>
  <c r="S27" i="9"/>
  <c r="R20" i="15"/>
  <c r="W20" s="1"/>
  <c r="AT20"/>
  <c r="AU17" i="17"/>
  <c r="V10" i="6"/>
  <c r="AT10"/>
  <c r="AS11"/>
  <c r="AJ29"/>
  <c r="AQ29" s="1" a="1"/>
  <c r="AQ29" s="1"/>
  <c r="AJ13" i="7"/>
  <c r="AJ17"/>
  <c r="AJ19"/>
  <c r="I31"/>
  <c r="H26" i="8"/>
  <c r="U26"/>
  <c r="S29"/>
  <c r="I30"/>
  <c r="AR10" i="9"/>
  <c r="V11"/>
  <c r="H26"/>
  <c r="U26"/>
  <c r="AJ19" i="10"/>
  <c r="AQ19" s="1" a="1"/>
  <c r="AQ19" s="1"/>
  <c r="H27"/>
  <c r="H31"/>
  <c r="AJ15" i="11"/>
  <c r="I17"/>
  <c r="V17"/>
  <c r="AS17"/>
  <c r="I19"/>
  <c r="V19"/>
  <c r="AT19"/>
  <c r="H20"/>
  <c r="S20"/>
  <c r="AT21"/>
  <c r="H25"/>
  <c r="U25"/>
  <c r="U26"/>
  <c r="S28"/>
  <c r="I29"/>
  <c r="H9" i="12"/>
  <c r="H12"/>
  <c r="R13"/>
  <c r="W13" s="1"/>
  <c r="AS13"/>
  <c r="H14"/>
  <c r="R15"/>
  <c r="W15" s="1"/>
  <c r="AS15"/>
  <c r="H16"/>
  <c r="H26"/>
  <c r="U26"/>
  <c r="U27"/>
  <c r="I26" i="13"/>
  <c r="I30"/>
  <c r="J7" i="14"/>
  <c r="I18"/>
  <c r="U18"/>
  <c r="AS18"/>
  <c r="J19"/>
  <c r="H27"/>
  <c r="U27"/>
  <c r="I29"/>
  <c r="H31"/>
  <c r="J6" i="15"/>
  <c r="U6"/>
  <c r="AR6"/>
  <c r="H8"/>
  <c r="U8"/>
  <c r="H10"/>
  <c r="R10"/>
  <c r="W10" s="1"/>
  <c r="AT10"/>
  <c r="J12"/>
  <c r="I14"/>
  <c r="S14"/>
  <c r="R16"/>
  <c r="W16" s="1"/>
  <c r="S17"/>
  <c r="AJ18"/>
  <c r="AQ18" s="1" a="1"/>
  <c r="AQ18" s="1"/>
  <c r="AT18"/>
  <c r="AR21"/>
  <c r="G26"/>
  <c r="I28"/>
  <c r="H6" i="17"/>
  <c r="S6"/>
  <c r="AS6"/>
  <c r="G7"/>
  <c r="R7"/>
  <c r="W7" s="1"/>
  <c r="AU8"/>
  <c r="I9"/>
  <c r="V9"/>
  <c r="AT9"/>
  <c r="H10"/>
  <c r="S10"/>
  <c r="AS10"/>
  <c r="G11"/>
  <c r="R11"/>
  <c r="W11" s="1"/>
  <c r="AU12"/>
  <c r="I13"/>
  <c r="V13"/>
  <c r="AT13"/>
  <c r="H14"/>
  <c r="S14"/>
  <c r="AS14"/>
  <c r="G15"/>
  <c r="R15"/>
  <c r="W15" s="1"/>
  <c r="AU16"/>
  <c r="I17"/>
  <c r="V17"/>
  <c r="AT17"/>
  <c r="H18"/>
  <c r="S18"/>
  <c r="AS18"/>
  <c r="G19"/>
  <c r="R19"/>
  <c r="W19" s="1"/>
  <c r="AU20"/>
  <c r="I21"/>
  <c r="V21"/>
  <c r="AT21"/>
  <c r="I25"/>
  <c r="G27"/>
  <c r="J30"/>
  <c r="I31"/>
  <c r="AT13" i="8"/>
  <c r="S25" i="12"/>
  <c r="U28" i="14"/>
  <c r="AU9" i="17"/>
  <c r="AU21"/>
  <c r="G26" i="6"/>
  <c r="S26"/>
  <c r="J27"/>
  <c r="J8" i="7"/>
  <c r="V8"/>
  <c r="U9"/>
  <c r="AJ10"/>
  <c r="AJ14"/>
  <c r="G27"/>
  <c r="S27"/>
  <c r="H31"/>
  <c r="AJ6" i="8"/>
  <c r="AQ6" s="1" a="1"/>
  <c r="AQ6" s="1"/>
  <c r="F6" s="1"/>
  <c r="AJ7"/>
  <c r="R8"/>
  <c r="W8" s="1"/>
  <c r="S9"/>
  <c r="G26"/>
  <c r="S26"/>
  <c r="H30"/>
  <c r="U30"/>
  <c r="G26" i="9"/>
  <c r="S26"/>
  <c r="I27"/>
  <c r="I30"/>
  <c r="G27" i="10"/>
  <c r="G31"/>
  <c r="AJ8" i="11"/>
  <c r="AJ13"/>
  <c r="AJ16"/>
  <c r="H17"/>
  <c r="S17"/>
  <c r="AT18"/>
  <c r="H19"/>
  <c r="S19"/>
  <c r="AS19"/>
  <c r="G20"/>
  <c r="R20"/>
  <c r="W20" s="1"/>
  <c r="AU20"/>
  <c r="I21"/>
  <c r="V21"/>
  <c r="AS21"/>
  <c r="G25"/>
  <c r="S25"/>
  <c r="H29"/>
  <c r="U29"/>
  <c r="U30"/>
  <c r="AJ9"/>
  <c r="G9" i="12"/>
  <c r="V9"/>
  <c r="AT9"/>
  <c r="G12"/>
  <c r="V12"/>
  <c r="AT12"/>
  <c r="G14"/>
  <c r="V14"/>
  <c r="AT14"/>
  <c r="G16"/>
  <c r="V16"/>
  <c r="AT16"/>
  <c r="H25"/>
  <c r="G26"/>
  <c r="S26"/>
  <c r="S29"/>
  <c r="I30"/>
  <c r="R18" i="13"/>
  <c r="W18" s="1"/>
  <c r="H26"/>
  <c r="U26"/>
  <c r="J27"/>
  <c r="H30"/>
  <c r="U30"/>
  <c r="I7" i="14"/>
  <c r="V7"/>
  <c r="U11"/>
  <c r="AU11"/>
  <c r="U15"/>
  <c r="AU15"/>
  <c r="G18"/>
  <c r="I19"/>
  <c r="V19"/>
  <c r="G27"/>
  <c r="S27"/>
  <c r="J28"/>
  <c r="G29"/>
  <c r="G31"/>
  <c r="I6" i="15"/>
  <c r="R8"/>
  <c r="W8" s="1"/>
  <c r="AJ10"/>
  <c r="AQ10" s="1" a="1"/>
  <c r="AQ10" s="1"/>
  <c r="H12"/>
  <c r="H14"/>
  <c r="R14"/>
  <c r="W14" s="1"/>
  <c r="AR17"/>
  <c r="J18"/>
  <c r="U18"/>
  <c r="I21"/>
  <c r="H28"/>
  <c r="U28"/>
  <c r="G6" i="17"/>
  <c r="R6"/>
  <c r="AU7"/>
  <c r="H9"/>
  <c r="S9"/>
  <c r="AS9"/>
  <c r="G10"/>
  <c r="R10"/>
  <c r="W10" s="1"/>
  <c r="AU11"/>
  <c r="H13"/>
  <c r="S13"/>
  <c r="AS13"/>
  <c r="G14"/>
  <c r="R14"/>
  <c r="W14" s="1"/>
  <c r="AU15"/>
  <c r="H17"/>
  <c r="S17"/>
  <c r="AS17"/>
  <c r="G18"/>
  <c r="R18"/>
  <c r="W18" s="1"/>
  <c r="AU19"/>
  <c r="H21"/>
  <c r="S21"/>
  <c r="AS21"/>
  <c r="H25"/>
  <c r="U25"/>
  <c r="U27"/>
  <c r="G31"/>
  <c r="L9" i="1"/>
  <c r="K9"/>
  <c r="L7"/>
  <c r="K7"/>
  <c r="L5"/>
  <c r="K5"/>
  <c r="L13"/>
  <c r="K13"/>
  <c r="L11"/>
  <c r="K11"/>
  <c r="O15"/>
  <c r="K26"/>
  <c r="L26"/>
  <c r="K16"/>
  <c r="L16"/>
  <c r="O21"/>
  <c r="K24"/>
  <c r="L24"/>
  <c r="K4"/>
  <c r="L4"/>
  <c r="O9"/>
  <c r="K12"/>
  <c r="L12"/>
  <c r="O17"/>
  <c r="K20"/>
  <c r="L20"/>
  <c r="O25"/>
  <c r="K28"/>
  <c r="L28"/>
  <c r="O7"/>
  <c r="K10"/>
  <c r="L10"/>
  <c r="K18"/>
  <c r="L18"/>
  <c r="O23"/>
  <c r="O5"/>
  <c r="K8"/>
  <c r="L8"/>
  <c r="O13"/>
  <c r="K6"/>
  <c r="L6"/>
  <c r="O11"/>
  <c r="K14"/>
  <c r="L14"/>
  <c r="O19"/>
  <c r="K22"/>
  <c r="L22"/>
  <c r="O27"/>
  <c r="K15" i="5" a="1"/>
  <c r="K15" s="1"/>
  <c r="K11" a="1"/>
  <c r="K11" s="1"/>
  <c r="K18" a="1"/>
  <c r="K18" s="1"/>
  <c r="K14" a="1"/>
  <c r="K14" s="1"/>
  <c r="K10" a="1"/>
  <c r="K10" s="1"/>
  <c r="K17" a="1"/>
  <c r="K17" s="1"/>
  <c r="K13" a="1"/>
  <c r="K13" s="1"/>
  <c r="K9" a="1"/>
  <c r="K9" s="1"/>
  <c r="K5" a="1"/>
  <c r="K5" s="1"/>
  <c r="K7" a="1"/>
  <c r="K7" s="1"/>
  <c r="K16" a="1"/>
  <c r="K16" s="1"/>
  <c r="K6" a="1"/>
  <c r="K6" s="1"/>
  <c r="Y3" i="4" a="1"/>
  <c r="Y3" s="1"/>
  <c r="T3" s="1" a="1"/>
  <c r="T3" s="1"/>
  <c r="K12" i="5" a="1"/>
  <c r="K12" s="1"/>
  <c r="K4" a="1"/>
  <c r="K4" s="1"/>
  <c r="K8" a="1"/>
  <c r="K8" s="1"/>
  <c r="K3" a="1"/>
  <c r="K3" s="1"/>
  <c r="B3" i="3"/>
  <c r="K31" i="5" a="1"/>
  <c r="K31" s="1"/>
  <c r="K27" a="1"/>
  <c r="K27" s="1"/>
  <c r="K23" a="1"/>
  <c r="K23" s="1"/>
  <c r="K19" a="1"/>
  <c r="K19" s="1"/>
  <c r="K34" a="1"/>
  <c r="K34" s="1"/>
  <c r="K30" a="1"/>
  <c r="K30" s="1"/>
  <c r="K26" a="1"/>
  <c r="K26" s="1"/>
  <c r="K22" a="1"/>
  <c r="K22" s="1"/>
  <c r="K33" a="1"/>
  <c r="K33" s="1"/>
  <c r="K29" a="1"/>
  <c r="K29" s="1"/>
  <c r="K25" a="1"/>
  <c r="K25" s="1"/>
  <c r="K21" a="1"/>
  <c r="K21" s="1"/>
  <c r="K20" a="1"/>
  <c r="K20" s="1"/>
  <c r="Y4" i="4" a="1"/>
  <c r="Y4" s="1"/>
  <c r="T4" s="1" a="1"/>
  <c r="T4" s="1"/>
  <c r="B4" i="3"/>
  <c r="K28" i="5" a="1"/>
  <c r="K28" s="1"/>
  <c r="K32" a="1"/>
  <c r="K32" s="1"/>
  <c r="K24" a="1"/>
  <c r="K24" s="1"/>
  <c r="K47" a="1"/>
  <c r="K47" s="1"/>
  <c r="K43" a="1"/>
  <c r="K43" s="1"/>
  <c r="K39" a="1"/>
  <c r="K39" s="1"/>
  <c r="K35" a="1"/>
  <c r="K35" s="1"/>
  <c r="K50" a="1"/>
  <c r="K50" s="1"/>
  <c r="K46" a="1"/>
  <c r="K46" s="1"/>
  <c r="K42" a="1"/>
  <c r="K42" s="1"/>
  <c r="K38" a="1"/>
  <c r="K38" s="1"/>
  <c r="K49" a="1"/>
  <c r="K49" s="1"/>
  <c r="K45" a="1"/>
  <c r="K45" s="1"/>
  <c r="K41" a="1"/>
  <c r="K41" s="1"/>
  <c r="K37" a="1"/>
  <c r="K37" s="1"/>
  <c r="K44" a="1"/>
  <c r="K44" s="1"/>
  <c r="K40" a="1"/>
  <c r="K40" s="1"/>
  <c r="Y5" i="4" a="1"/>
  <c r="Y5" s="1"/>
  <c r="T5" s="1" a="1"/>
  <c r="T5" s="1"/>
  <c r="K36" i="5" a="1"/>
  <c r="K36" s="1"/>
  <c r="K48" a="1"/>
  <c r="K48" s="1"/>
  <c r="B5" i="3"/>
  <c r="K63" i="5" a="1"/>
  <c r="K63" s="1"/>
  <c r="K59" a="1"/>
  <c r="K59" s="1"/>
  <c r="K55" a="1"/>
  <c r="K55" s="1"/>
  <c r="K51" a="1"/>
  <c r="K51" s="1"/>
  <c r="K66" a="1"/>
  <c r="K66" s="1"/>
  <c r="K62" a="1"/>
  <c r="K62" s="1"/>
  <c r="K58" a="1"/>
  <c r="K58" s="1"/>
  <c r="K54" a="1"/>
  <c r="K54" s="1"/>
  <c r="K65" a="1"/>
  <c r="K65" s="1"/>
  <c r="K61" a="1"/>
  <c r="K61" s="1"/>
  <c r="K57" a="1"/>
  <c r="K57" s="1"/>
  <c r="K53" a="1"/>
  <c r="K53" s="1"/>
  <c r="K64" a="1"/>
  <c r="K64" s="1"/>
  <c r="K56" a="1"/>
  <c r="K56" s="1"/>
  <c r="Y6" i="4" a="1"/>
  <c r="Y6" s="1"/>
  <c r="O6" s="1" a="1"/>
  <c r="O6" s="1"/>
  <c r="B6" i="3"/>
  <c r="K60" i="5" a="1"/>
  <c r="K60" s="1"/>
  <c r="K52" a="1"/>
  <c r="K52" s="1"/>
  <c r="K79" a="1"/>
  <c r="K79" s="1"/>
  <c r="K75" a="1"/>
  <c r="K75" s="1"/>
  <c r="K71" a="1"/>
  <c r="K71" s="1"/>
  <c r="K67" a="1"/>
  <c r="K67" s="1"/>
  <c r="K82" a="1"/>
  <c r="K82" s="1"/>
  <c r="K78" a="1"/>
  <c r="K78" s="1"/>
  <c r="K74" a="1"/>
  <c r="K74" s="1"/>
  <c r="K70" a="1"/>
  <c r="K70" s="1"/>
  <c r="K81" a="1"/>
  <c r="K81" s="1"/>
  <c r="K77" a="1"/>
  <c r="K77" s="1"/>
  <c r="K73" a="1"/>
  <c r="K73" s="1"/>
  <c r="K69" a="1"/>
  <c r="K69" s="1"/>
  <c r="K68" a="1"/>
  <c r="K68" s="1"/>
  <c r="K80" a="1"/>
  <c r="K80" s="1"/>
  <c r="Y7" i="4" a="1"/>
  <c r="Y7" s="1"/>
  <c r="U7" s="1" a="1"/>
  <c r="U7" s="1"/>
  <c r="K76" i="5" a="1"/>
  <c r="K76" s="1"/>
  <c r="B7" i="3"/>
  <c r="K72" i="5" a="1"/>
  <c r="K72" s="1"/>
  <c r="K95" a="1"/>
  <c r="K95" s="1"/>
  <c r="K91" a="1"/>
  <c r="K91" s="1"/>
  <c r="K87" a="1"/>
  <c r="K87" s="1"/>
  <c r="K83" a="1"/>
  <c r="K83" s="1"/>
  <c r="K98" a="1"/>
  <c r="K98" s="1"/>
  <c r="K94" a="1"/>
  <c r="K94" s="1"/>
  <c r="K90" a="1"/>
  <c r="K90" s="1"/>
  <c r="K86" a="1"/>
  <c r="K86" s="1"/>
  <c r="K97" a="1"/>
  <c r="K97" s="1"/>
  <c r="K93" a="1"/>
  <c r="K93" s="1"/>
  <c r="K89" a="1"/>
  <c r="K89" s="1"/>
  <c r="K85" a="1"/>
  <c r="K85" s="1"/>
  <c r="K84" a="1"/>
  <c r="K84" s="1"/>
  <c r="K96" a="1"/>
  <c r="K96" s="1"/>
  <c r="Y8" i="4" a="1"/>
  <c r="Y8" s="1"/>
  <c r="U8" s="1" a="1"/>
  <c r="U8" s="1"/>
  <c r="B8" i="3"/>
  <c r="K92" i="5" a="1"/>
  <c r="K92" s="1"/>
  <c r="K88" a="1"/>
  <c r="K88" s="1"/>
  <c r="K111" a="1"/>
  <c r="K111" s="1"/>
  <c r="K107" a="1"/>
  <c r="K107" s="1"/>
  <c r="K103" a="1"/>
  <c r="K103" s="1"/>
  <c r="K99" a="1"/>
  <c r="K99" s="1"/>
  <c r="K114" a="1"/>
  <c r="K114" s="1"/>
  <c r="K110" a="1"/>
  <c r="K110" s="1"/>
  <c r="K106" a="1"/>
  <c r="K106" s="1"/>
  <c r="K102" a="1"/>
  <c r="K102" s="1"/>
  <c r="K113" a="1"/>
  <c r="K113" s="1"/>
  <c r="K109" a="1"/>
  <c r="K109" s="1"/>
  <c r="K105" a="1"/>
  <c r="K105" s="1"/>
  <c r="K101" a="1"/>
  <c r="K101" s="1"/>
  <c r="K100" a="1"/>
  <c r="K100" s="1"/>
  <c r="K112" a="1"/>
  <c r="K112" s="1"/>
  <c r="Y9" i="4" a="1"/>
  <c r="Y9" s="1"/>
  <c r="P9" s="1" a="1"/>
  <c r="P9" s="1"/>
  <c r="K108" i="5" a="1"/>
  <c r="K108" s="1"/>
  <c r="B9" i="3"/>
  <c r="K104" i="5" a="1"/>
  <c r="K104" s="1"/>
  <c r="K127" a="1"/>
  <c r="K127" s="1"/>
  <c r="K130" a="1"/>
  <c r="K130" s="1"/>
  <c r="K123" a="1"/>
  <c r="K123" s="1"/>
  <c r="K119" a="1"/>
  <c r="K119" s="1"/>
  <c r="K115" a="1"/>
  <c r="K115" s="1"/>
  <c r="K124" a="1"/>
  <c r="K124" s="1"/>
  <c r="K122" a="1"/>
  <c r="K122" s="1"/>
  <c r="K118" a="1"/>
  <c r="K118" s="1"/>
  <c r="K128" a="1"/>
  <c r="K128" s="1"/>
  <c r="K125" a="1"/>
  <c r="K125" s="1"/>
  <c r="K121" a="1"/>
  <c r="K121" s="1"/>
  <c r="K117" a="1"/>
  <c r="K117" s="1"/>
  <c r="K116" a="1"/>
  <c r="K116" s="1"/>
  <c r="Y10" i="4" a="1"/>
  <c r="Y10" s="1"/>
  <c r="P10" s="1" a="1"/>
  <c r="P10" s="1"/>
  <c r="B10" i="3"/>
  <c r="K126" i="5" a="1"/>
  <c r="K126" s="1"/>
  <c r="K120" a="1"/>
  <c r="K120" s="1"/>
  <c r="K129" a="1"/>
  <c r="K129" s="1"/>
  <c r="K143" a="1"/>
  <c r="K143" s="1"/>
  <c r="K139" a="1"/>
  <c r="K139" s="1"/>
  <c r="K135" a="1"/>
  <c r="K135" s="1"/>
  <c r="K131" a="1"/>
  <c r="K131" s="1"/>
  <c r="K146" a="1"/>
  <c r="K146" s="1"/>
  <c r="K136" a="1"/>
  <c r="K136" s="1"/>
  <c r="K133" a="1"/>
  <c r="K133" s="1"/>
  <c r="K140" a="1"/>
  <c r="K140" s="1"/>
  <c r="K137" a="1"/>
  <c r="K137" s="1"/>
  <c r="K134" a="1"/>
  <c r="K134" s="1"/>
  <c r="K144" a="1"/>
  <c r="K144" s="1"/>
  <c r="K141" a="1"/>
  <c r="K141" s="1"/>
  <c r="K138" a="1"/>
  <c r="K138" s="1"/>
  <c r="K145" a="1"/>
  <c r="K145" s="1"/>
  <c r="K132" a="1"/>
  <c r="K132" s="1"/>
  <c r="Y11" i="4" a="1"/>
  <c r="Y11" s="1"/>
  <c r="B11" i="3"/>
  <c r="K142" i="5" a="1"/>
  <c r="K142" s="1"/>
  <c r="K161" a="1"/>
  <c r="K161" s="1"/>
  <c r="K158" a="1"/>
  <c r="K158" s="1"/>
  <c r="K162" a="1"/>
  <c r="K162" s="1"/>
  <c r="K157" a="1"/>
  <c r="K157" s="1"/>
  <c r="K159" a="1"/>
  <c r="K159" s="1"/>
  <c r="K155" a="1"/>
  <c r="K155" s="1"/>
  <c r="K151" a="1"/>
  <c r="K151" s="1"/>
  <c r="K147" a="1"/>
  <c r="K147" s="1"/>
  <c r="K160" a="1"/>
  <c r="K160" s="1"/>
  <c r="K152" a="1"/>
  <c r="K152" s="1"/>
  <c r="K149" a="1"/>
  <c r="K149" s="1"/>
  <c r="K156" a="1"/>
  <c r="K156" s="1"/>
  <c r="K153" a="1"/>
  <c r="K153" s="1"/>
  <c r="K150" a="1"/>
  <c r="K150" s="1"/>
  <c r="K154" a="1"/>
  <c r="K154" s="1"/>
  <c r="K148" a="1"/>
  <c r="K148" s="1"/>
  <c r="Y12" i="4" a="1"/>
  <c r="Y12" s="1"/>
  <c r="U12" s="1" a="1"/>
  <c r="U12" s="1"/>
  <c r="B12" i="3"/>
  <c r="K176" i="5" a="1"/>
  <c r="K176" s="1"/>
  <c r="K172" a="1"/>
  <c r="K172" s="1"/>
  <c r="K175" a="1"/>
  <c r="K175" s="1"/>
  <c r="K171" a="1"/>
  <c r="K171" s="1"/>
  <c r="K167" a="1"/>
  <c r="K167" s="1"/>
  <c r="K163" a="1"/>
  <c r="K163" s="1"/>
  <c r="K178" a="1"/>
  <c r="K178" s="1"/>
  <c r="K164" a="1"/>
  <c r="K164" s="1"/>
  <c r="K177" a="1"/>
  <c r="K177" s="1"/>
  <c r="K168" a="1"/>
  <c r="K168" s="1"/>
  <c r="K165" a="1"/>
  <c r="K165" s="1"/>
  <c r="K173" a="1"/>
  <c r="K173" s="1"/>
  <c r="K170" a="1"/>
  <c r="K170" s="1"/>
  <c r="K174" a="1"/>
  <c r="K174" s="1"/>
  <c r="K166" a="1"/>
  <c r="K166" s="1"/>
  <c r="Y13" i="4" a="1"/>
  <c r="Y13" s="1"/>
  <c r="AB13" s="1"/>
  <c r="B13" i="3"/>
  <c r="K169" i="5" a="1"/>
  <c r="K169" s="1"/>
  <c r="K193" a="1"/>
  <c r="K193" s="1"/>
  <c r="K189" a="1"/>
  <c r="K189" s="1"/>
  <c r="K185" a="1"/>
  <c r="K185" s="1"/>
  <c r="K181" a="1"/>
  <c r="K181" s="1"/>
  <c r="K192" a="1"/>
  <c r="K192" s="1"/>
  <c r="K188" a="1"/>
  <c r="K188" s="1"/>
  <c r="K184" a="1"/>
  <c r="K184" s="1"/>
  <c r="K180" a="1"/>
  <c r="K180" s="1"/>
  <c r="K191" a="1"/>
  <c r="K191" s="1"/>
  <c r="K187" a="1"/>
  <c r="K187" s="1"/>
  <c r="K183" a="1"/>
  <c r="K183" s="1"/>
  <c r="K179" a="1"/>
  <c r="K179" s="1"/>
  <c r="K190" a="1"/>
  <c r="K190" s="1"/>
  <c r="K186" a="1"/>
  <c r="K186" s="1"/>
  <c r="K194" a="1"/>
  <c r="K194" s="1"/>
  <c r="K182" a="1"/>
  <c r="K182" s="1"/>
  <c r="AB14" i="4"/>
  <c r="Y14" a="1"/>
  <c r="Y14" s="1"/>
  <c r="U14" s="1" a="1"/>
  <c r="U14" s="1"/>
  <c r="B14" i="3"/>
  <c r="K209" i="5" a="1"/>
  <c r="K209" s="1"/>
  <c r="K205" a="1"/>
  <c r="K205" s="1"/>
  <c r="K201" a="1"/>
  <c r="K201" s="1"/>
  <c r="K197" a="1"/>
  <c r="K197" s="1"/>
  <c r="K208" a="1"/>
  <c r="K208" s="1"/>
  <c r="K204" a="1"/>
  <c r="K204" s="1"/>
  <c r="K200" a="1"/>
  <c r="K200" s="1"/>
  <c r="K196" a="1"/>
  <c r="K196" s="1"/>
  <c r="K207" a="1"/>
  <c r="K207" s="1"/>
  <c r="K203" a="1"/>
  <c r="K203" s="1"/>
  <c r="K199" a="1"/>
  <c r="K199" s="1"/>
  <c r="K195" a="1"/>
  <c r="K195" s="1"/>
  <c r="K206" a="1"/>
  <c r="K206" s="1"/>
  <c r="K202" a="1"/>
  <c r="K202" s="1"/>
  <c r="K210" a="1"/>
  <c r="K210" s="1"/>
  <c r="K198" a="1"/>
  <c r="K198" s="1"/>
  <c r="Y15" i="4" a="1"/>
  <c r="Y15" s="1"/>
  <c r="U15" s="1" a="1"/>
  <c r="U15" s="1"/>
  <c r="B15" i="3"/>
  <c r="K225" i="5" a="1"/>
  <c r="K225" s="1"/>
  <c r="K221" a="1"/>
  <c r="K221" s="1"/>
  <c r="K217" a="1"/>
  <c r="K217" s="1"/>
  <c r="K213" a="1"/>
  <c r="K213" s="1"/>
  <c r="K224" a="1"/>
  <c r="K224" s="1"/>
  <c r="K220" a="1"/>
  <c r="K220" s="1"/>
  <c r="K216" a="1"/>
  <c r="K216" s="1"/>
  <c r="K212" a="1"/>
  <c r="K212" s="1"/>
  <c r="K223" a="1"/>
  <c r="K223" s="1"/>
  <c r="K219" a="1"/>
  <c r="K219" s="1"/>
  <c r="K215" a="1"/>
  <c r="K215" s="1"/>
  <c r="K211" a="1"/>
  <c r="K211" s="1"/>
  <c r="K222" a="1"/>
  <c r="K222" s="1"/>
  <c r="K218" a="1"/>
  <c r="K218" s="1"/>
  <c r="K226" a="1"/>
  <c r="K226" s="1"/>
  <c r="K214" a="1"/>
  <c r="K214" s="1"/>
  <c r="Y16" i="4" a="1"/>
  <c r="Y16" s="1"/>
  <c r="AB16" s="1"/>
  <c r="B16" i="3"/>
  <c r="K241" i="5" a="1"/>
  <c r="K241" s="1"/>
  <c r="K237" a="1"/>
  <c r="K237" s="1"/>
  <c r="K233" a="1"/>
  <c r="K233" s="1"/>
  <c r="K229" a="1"/>
  <c r="K229" s="1"/>
  <c r="K240" a="1"/>
  <c r="K240" s="1"/>
  <c r="K236" a="1"/>
  <c r="K236" s="1"/>
  <c r="K232" a="1"/>
  <c r="K232" s="1"/>
  <c r="K228" a="1"/>
  <c r="K228" s="1"/>
  <c r="K239" a="1"/>
  <c r="K239" s="1"/>
  <c r="K235" a="1"/>
  <c r="K235" s="1"/>
  <c r="K231" a="1"/>
  <c r="K231" s="1"/>
  <c r="K227" a="1"/>
  <c r="K227" s="1"/>
  <c r="K238" a="1"/>
  <c r="K238" s="1"/>
  <c r="K234" a="1"/>
  <c r="K234" s="1"/>
  <c r="K242" a="1"/>
  <c r="K242" s="1"/>
  <c r="K230" a="1"/>
  <c r="K230" s="1"/>
  <c r="Y17" i="4" a="1"/>
  <c r="Y17" s="1"/>
  <c r="AB17" s="1"/>
  <c r="B17" i="3"/>
  <c r="K257" i="5" a="1"/>
  <c r="K257" s="1"/>
  <c r="K253" a="1"/>
  <c r="K253" s="1"/>
  <c r="K249" a="1"/>
  <c r="K249" s="1"/>
  <c r="K245" a="1"/>
  <c r="K245" s="1"/>
  <c r="K256" a="1"/>
  <c r="K256" s="1"/>
  <c r="K252" a="1"/>
  <c r="K252" s="1"/>
  <c r="K248" a="1"/>
  <c r="K248" s="1"/>
  <c r="K244" a="1"/>
  <c r="K244" s="1"/>
  <c r="K255" a="1"/>
  <c r="K255" s="1"/>
  <c r="K251" a="1"/>
  <c r="K251" s="1"/>
  <c r="K247" a="1"/>
  <c r="K247" s="1"/>
  <c r="K243" a="1"/>
  <c r="K243" s="1"/>
  <c r="K254" a="1"/>
  <c r="K254" s="1"/>
  <c r="K250" a="1"/>
  <c r="K250" s="1"/>
  <c r="K258" a="1"/>
  <c r="K258" s="1"/>
  <c r="Y18" i="4" a="1"/>
  <c r="Y18" s="1"/>
  <c r="AB18" s="1"/>
  <c r="B18" i="3"/>
  <c r="K246" i="5" a="1"/>
  <c r="K246" s="1"/>
  <c r="K273" a="1"/>
  <c r="K273" s="1"/>
  <c r="K269" a="1"/>
  <c r="K269" s="1"/>
  <c r="K265" a="1"/>
  <c r="K265" s="1"/>
  <c r="K261" a="1"/>
  <c r="K261" s="1"/>
  <c r="K272" a="1"/>
  <c r="K272" s="1"/>
  <c r="K268" a="1"/>
  <c r="K268" s="1"/>
  <c r="K264" a="1"/>
  <c r="K264" s="1"/>
  <c r="K260" a="1"/>
  <c r="K260" s="1"/>
  <c r="K271" a="1"/>
  <c r="K271" s="1"/>
  <c r="K267" a="1"/>
  <c r="K267" s="1"/>
  <c r="K263" a="1"/>
  <c r="K263" s="1"/>
  <c r="K259" a="1"/>
  <c r="K259" s="1"/>
  <c r="K270" a="1"/>
  <c r="K270" s="1"/>
  <c r="K266" a="1"/>
  <c r="K266" s="1"/>
  <c r="K274" a="1"/>
  <c r="K274" s="1"/>
  <c r="K262" a="1"/>
  <c r="K262" s="1"/>
  <c r="Y19" i="4" a="1"/>
  <c r="Y19" s="1"/>
  <c r="AB19" s="1"/>
  <c r="B19" i="3"/>
  <c r="K289" i="5" a="1"/>
  <c r="K289" s="1"/>
  <c r="K285" a="1"/>
  <c r="K285" s="1"/>
  <c r="K281" a="1"/>
  <c r="K281" s="1"/>
  <c r="K277" a="1"/>
  <c r="K277" s="1"/>
  <c r="K288" a="1"/>
  <c r="K288" s="1"/>
  <c r="K284" a="1"/>
  <c r="K284" s="1"/>
  <c r="K280" a="1"/>
  <c r="K280" s="1"/>
  <c r="K276" a="1"/>
  <c r="K276" s="1"/>
  <c r="K287" a="1"/>
  <c r="K287" s="1"/>
  <c r="K283" a="1"/>
  <c r="K283" s="1"/>
  <c r="K279" a="1"/>
  <c r="K279" s="1"/>
  <c r="K275" a="1"/>
  <c r="K275" s="1"/>
  <c r="K286" a="1"/>
  <c r="K286" s="1"/>
  <c r="K282" a="1"/>
  <c r="K282" s="1"/>
  <c r="K290" a="1"/>
  <c r="K290" s="1"/>
  <c r="K278" a="1"/>
  <c r="K278" s="1"/>
  <c r="Y20" i="4" a="1"/>
  <c r="Y20" s="1"/>
  <c r="AB20" s="1"/>
  <c r="B20" i="3"/>
  <c r="K305" i="5" a="1"/>
  <c r="K305" s="1"/>
  <c r="K301" a="1"/>
  <c r="K301" s="1"/>
  <c r="K297" a="1"/>
  <c r="K297" s="1"/>
  <c r="K293" a="1"/>
  <c r="K293" s="1"/>
  <c r="K304" a="1"/>
  <c r="K304" s="1"/>
  <c r="K300" a="1"/>
  <c r="K300" s="1"/>
  <c r="K296" a="1"/>
  <c r="K296" s="1"/>
  <c r="K292" a="1"/>
  <c r="K292" s="1"/>
  <c r="K303" a="1"/>
  <c r="K303" s="1"/>
  <c r="K299" a="1"/>
  <c r="K299" s="1"/>
  <c r="K295" a="1"/>
  <c r="K295" s="1"/>
  <c r="K291" a="1"/>
  <c r="K291" s="1"/>
  <c r="K302" a="1"/>
  <c r="K302" s="1"/>
  <c r="K298" a="1"/>
  <c r="K298" s="1"/>
  <c r="K306" a="1"/>
  <c r="K306" s="1"/>
  <c r="K294" a="1"/>
  <c r="K294" s="1"/>
  <c r="Y21" i="4" a="1"/>
  <c r="Y21" s="1"/>
  <c r="AB21" s="1"/>
  <c r="B21" i="3"/>
  <c r="K322" i="5" a="1"/>
  <c r="K322" s="1"/>
  <c r="K318" a="1"/>
  <c r="K318" s="1"/>
  <c r="K314" a="1"/>
  <c r="K314" s="1"/>
  <c r="K320" a="1"/>
  <c r="K320" s="1"/>
  <c r="K316" a="1"/>
  <c r="K316" s="1"/>
  <c r="K317" a="1"/>
  <c r="K317" s="1"/>
  <c r="K313" a="1"/>
  <c r="K313" s="1"/>
  <c r="K309" a="1"/>
  <c r="K309" s="1"/>
  <c r="K315" a="1"/>
  <c r="K315" s="1"/>
  <c r="K312" a="1"/>
  <c r="K312" s="1"/>
  <c r="K308" a="1"/>
  <c r="K308" s="1"/>
  <c r="K321" a="1"/>
  <c r="K321" s="1"/>
  <c r="K311" a="1"/>
  <c r="K311" s="1"/>
  <c r="K307" a="1"/>
  <c r="K307" s="1"/>
  <c r="K319" a="1"/>
  <c r="K319" s="1"/>
  <c r="Y22" i="4" a="1"/>
  <c r="Y22" s="1"/>
  <c r="AA22" s="1"/>
  <c r="B22" i="3"/>
  <c r="K310" i="5" a="1"/>
  <c r="K310" s="1"/>
  <c r="K338" a="1"/>
  <c r="K338" s="1"/>
  <c r="K334" a="1"/>
  <c r="K334" s="1"/>
  <c r="K330" a="1"/>
  <c r="K330" s="1"/>
  <c r="K326" a="1"/>
  <c r="K326" s="1"/>
  <c r="K337" a="1"/>
  <c r="K337" s="1"/>
  <c r="K333" a="1"/>
  <c r="K333" s="1"/>
  <c r="K336" a="1"/>
  <c r="K336" s="1"/>
  <c r="K332" a="1"/>
  <c r="K332" s="1"/>
  <c r="K328" a="1"/>
  <c r="K328" s="1"/>
  <c r="K324" a="1"/>
  <c r="K324" s="1"/>
  <c r="K325" a="1"/>
  <c r="K325" s="1"/>
  <c r="K323" a="1"/>
  <c r="K323" s="1"/>
  <c r="K335" a="1"/>
  <c r="K335" s="1"/>
  <c r="K329" a="1"/>
  <c r="K329" s="1"/>
  <c r="K327" a="1"/>
  <c r="K327" s="1"/>
  <c r="K331" a="1"/>
  <c r="K331" s="1"/>
  <c r="Y23" i="4" a="1"/>
  <c r="Y23" s="1"/>
  <c r="AB23" s="1"/>
  <c r="B23" i="3"/>
  <c r="K354" i="5" a="1"/>
  <c r="K354" s="1"/>
  <c r="K350" a="1"/>
  <c r="K350" s="1"/>
  <c r="K346" a="1"/>
  <c r="K346" s="1"/>
  <c r="K342" a="1"/>
  <c r="K342" s="1"/>
  <c r="K353" a="1"/>
  <c r="K353" s="1"/>
  <c r="K349" a="1"/>
  <c r="K349" s="1"/>
  <c r="K345" a="1"/>
  <c r="K345" s="1"/>
  <c r="K341" a="1"/>
  <c r="K341" s="1"/>
  <c r="K352" a="1"/>
  <c r="K352" s="1"/>
  <c r="K348" a="1"/>
  <c r="K348" s="1"/>
  <c r="K344" a="1"/>
  <c r="K344" s="1"/>
  <c r="K340" a="1"/>
  <c r="K340" s="1"/>
  <c r="K343" a="1"/>
  <c r="K343" s="1"/>
  <c r="K339" a="1"/>
  <c r="K339" s="1"/>
  <c r="K351" a="1"/>
  <c r="K351" s="1"/>
  <c r="K347" a="1"/>
  <c r="K347" s="1"/>
  <c r="Y24" i="4" a="1"/>
  <c r="Y24" s="1"/>
  <c r="AB24" s="1"/>
  <c r="B24" i="3"/>
  <c r="K370" i="5" a="1"/>
  <c r="K370" s="1"/>
  <c r="K366" a="1"/>
  <c r="K366" s="1"/>
  <c r="K362" a="1"/>
  <c r="K362" s="1"/>
  <c r="K358" a="1"/>
  <c r="K358" s="1"/>
  <c r="K369" a="1"/>
  <c r="K369" s="1"/>
  <c r="K365" a="1"/>
  <c r="K365" s="1"/>
  <c r="K361" a="1"/>
  <c r="K361" s="1"/>
  <c r="K357" a="1"/>
  <c r="K357" s="1"/>
  <c r="K368" a="1"/>
  <c r="K368" s="1"/>
  <c r="K364" a="1"/>
  <c r="K364" s="1"/>
  <c r="K360" a="1"/>
  <c r="K360" s="1"/>
  <c r="K356" a="1"/>
  <c r="K356" s="1"/>
  <c r="K359" a="1"/>
  <c r="K359" s="1"/>
  <c r="K355" a="1"/>
  <c r="K355" s="1"/>
  <c r="K367" a="1"/>
  <c r="K367" s="1"/>
  <c r="K363" a="1"/>
  <c r="K363" s="1"/>
  <c r="Y25" i="4" a="1"/>
  <c r="Y25" s="1"/>
  <c r="AB25" s="1"/>
  <c r="B25" i="3"/>
  <c r="K386" i="5" a="1"/>
  <c r="K386" s="1"/>
  <c r="K382" a="1"/>
  <c r="K382" s="1"/>
  <c r="K378" a="1"/>
  <c r="K378" s="1"/>
  <c r="K374" a="1"/>
  <c r="K374" s="1"/>
  <c r="K385" a="1"/>
  <c r="K385" s="1"/>
  <c r="K381" a="1"/>
  <c r="K381" s="1"/>
  <c r="K377" a="1"/>
  <c r="K377" s="1"/>
  <c r="K373" a="1"/>
  <c r="K373" s="1"/>
  <c r="K384" a="1"/>
  <c r="K384" s="1"/>
  <c r="K380" a="1"/>
  <c r="K380" s="1"/>
  <c r="K376" a="1"/>
  <c r="K376" s="1"/>
  <c r="K372" a="1"/>
  <c r="K372" s="1"/>
  <c r="K375" a="1"/>
  <c r="K375" s="1"/>
  <c r="K371" a="1"/>
  <c r="K371" s="1"/>
  <c r="K383" a="1"/>
  <c r="K383" s="1"/>
  <c r="K379" a="1"/>
  <c r="K379" s="1"/>
  <c r="Y26" i="4" a="1"/>
  <c r="Y26" s="1"/>
  <c r="AB26" s="1"/>
  <c r="B26" i="3"/>
  <c r="K401" i="5" a="1"/>
  <c r="K401" s="1"/>
  <c r="K397" a="1"/>
  <c r="K397" s="1"/>
  <c r="K393" a="1"/>
  <c r="K393" s="1"/>
  <c r="K389" a="1"/>
  <c r="K389" s="1"/>
  <c r="K399" a="1"/>
  <c r="K399" s="1"/>
  <c r="K395" a="1"/>
  <c r="K395" s="1"/>
  <c r="K391" a="1"/>
  <c r="K391" s="1"/>
  <c r="K402" a="1"/>
  <c r="K402" s="1"/>
  <c r="K394" a="1"/>
  <c r="K394" s="1"/>
  <c r="K400" a="1"/>
  <c r="K400" s="1"/>
  <c r="K392" a="1"/>
  <c r="K392" s="1"/>
  <c r="K398" a="1"/>
  <c r="K398" s="1"/>
  <c r="K390" a="1"/>
  <c r="K390" s="1"/>
  <c r="K396" a="1"/>
  <c r="K396" s="1"/>
  <c r="K388" a="1"/>
  <c r="K388" s="1"/>
  <c r="K387" a="1"/>
  <c r="K387" s="1"/>
  <c r="Y27" i="4" a="1"/>
  <c r="Y27" s="1"/>
  <c r="AB27" s="1"/>
  <c r="B27" i="3"/>
  <c r="O4" i="1"/>
  <c r="O6"/>
  <c r="O8"/>
  <c r="O10"/>
  <c r="O12"/>
  <c r="O14"/>
  <c r="L15"/>
  <c r="K15"/>
  <c r="O16"/>
  <c r="L17"/>
  <c r="K17"/>
  <c r="O18"/>
  <c r="L19"/>
  <c r="K19"/>
  <c r="O20"/>
  <c r="L21"/>
  <c r="K21"/>
  <c r="O22"/>
  <c r="L23"/>
  <c r="K23"/>
  <c r="O24"/>
  <c r="L25"/>
  <c r="K25"/>
  <c r="O26"/>
  <c r="L27"/>
  <c r="K27"/>
  <c r="O28"/>
  <c r="G193" i="5" a="1"/>
  <c r="G193" s="1"/>
  <c r="H191" a="1"/>
  <c r="H191" s="1"/>
  <c r="N191" s="1" a="1"/>
  <c r="N191" s="1"/>
  <c r="C191" s="1"/>
  <c r="G189" a="1"/>
  <c r="G189" s="1"/>
  <c r="H187" a="1"/>
  <c r="H187" s="1"/>
  <c r="N187" s="1" a="1"/>
  <c r="N187" s="1"/>
  <c r="C187" s="1"/>
  <c r="G185" a="1"/>
  <c r="G185" s="1"/>
  <c r="H183" a="1"/>
  <c r="H183" s="1"/>
  <c r="L183" s="1" a="1"/>
  <c r="L183" s="1"/>
  <c r="G181" a="1"/>
  <c r="G181" s="1"/>
  <c r="H194" a="1"/>
  <c r="H194" s="1"/>
  <c r="N194" s="1" a="1"/>
  <c r="N194" s="1"/>
  <c r="C194" s="1"/>
  <c r="G192" a="1"/>
  <c r="G192" s="1"/>
  <c r="H190" a="1"/>
  <c r="H190" s="1"/>
  <c r="L190" s="1" a="1"/>
  <c r="L190" s="1"/>
  <c r="G188" a="1"/>
  <c r="G188" s="1"/>
  <c r="H186" a="1"/>
  <c r="H186" s="1"/>
  <c r="L186" s="1" a="1"/>
  <c r="L186" s="1"/>
  <c r="G184" a="1"/>
  <c r="G184" s="1"/>
  <c r="H182" a="1"/>
  <c r="H182" s="1"/>
  <c r="N182" s="1" a="1"/>
  <c r="N182" s="1"/>
  <c r="C182" s="1"/>
  <c r="G180" a="1"/>
  <c r="G180" s="1"/>
  <c r="H193" a="1"/>
  <c r="H193" s="1"/>
  <c r="N193" s="1" a="1"/>
  <c r="N193" s="1"/>
  <c r="C193" s="1"/>
  <c r="G191" a="1"/>
  <c r="G191" s="1"/>
  <c r="H189" a="1"/>
  <c r="H189" s="1"/>
  <c r="M189" s="1" a="1"/>
  <c r="M189" s="1"/>
  <c r="B189" s="1"/>
  <c r="G187" a="1"/>
  <c r="G187" s="1"/>
  <c r="H185" a="1"/>
  <c r="H185" s="1"/>
  <c r="M185" s="1" a="1"/>
  <c r="M185" s="1"/>
  <c r="B185" s="1"/>
  <c r="G183" a="1"/>
  <c r="G183" s="1"/>
  <c r="H181" a="1"/>
  <c r="H181" s="1"/>
  <c r="N181" s="1" a="1"/>
  <c r="N181" s="1"/>
  <c r="C181" s="1"/>
  <c r="G179" a="1"/>
  <c r="G179" s="1"/>
  <c r="H188" a="1"/>
  <c r="H188" s="1"/>
  <c r="P188" s="1" a="1"/>
  <c r="P188" s="1"/>
  <c r="E188" s="1"/>
  <c r="G186" a="1"/>
  <c r="G186" s="1"/>
  <c r="H184" a="1"/>
  <c r="H184" s="1"/>
  <c r="M184" s="1" a="1"/>
  <c r="M184" s="1"/>
  <c r="B184" s="1"/>
  <c r="G182" a="1"/>
  <c r="G182" s="1"/>
  <c r="H192" a="1"/>
  <c r="H192" s="1"/>
  <c r="M192" s="1" a="1"/>
  <c r="M192" s="1"/>
  <c r="B192" s="1"/>
  <c r="G190" a="1"/>
  <c r="G190" s="1"/>
  <c r="H179" a="1"/>
  <c r="H179" s="1"/>
  <c r="P179" s="1" a="1"/>
  <c r="P179" s="1"/>
  <c r="E179" s="1"/>
  <c r="G194" a="1"/>
  <c r="G194" s="1"/>
  <c r="H180" a="1"/>
  <c r="H180" s="1"/>
  <c r="O180" s="1" a="1"/>
  <c r="O180" s="1"/>
  <c r="D180" s="1"/>
  <c r="G225" a="1"/>
  <c r="G225" s="1"/>
  <c r="H223" a="1"/>
  <c r="H223" s="1"/>
  <c r="N223" s="1" a="1"/>
  <c r="N223" s="1"/>
  <c r="C223" s="1"/>
  <c r="G221" a="1"/>
  <c r="G221" s="1"/>
  <c r="H219" a="1"/>
  <c r="H219" s="1"/>
  <c r="N219" s="1" a="1"/>
  <c r="N219" s="1"/>
  <c r="C219" s="1"/>
  <c r="G217" a="1"/>
  <c r="G217" s="1"/>
  <c r="H215" a="1"/>
  <c r="H215" s="1"/>
  <c r="L215" s="1" a="1"/>
  <c r="L215" s="1"/>
  <c r="G213" a="1"/>
  <c r="G213" s="1"/>
  <c r="H211" a="1"/>
  <c r="H211" s="1"/>
  <c r="P211" s="1" a="1"/>
  <c r="P211" s="1"/>
  <c r="E211" s="1"/>
  <c r="H226" a="1"/>
  <c r="H226" s="1"/>
  <c r="P226" s="1" a="1"/>
  <c r="P226" s="1"/>
  <c r="E226" s="1"/>
  <c r="G224" a="1"/>
  <c r="G224" s="1"/>
  <c r="H222" a="1"/>
  <c r="H222" s="1"/>
  <c r="N222" s="1" a="1"/>
  <c r="N222" s="1"/>
  <c r="C222" s="1"/>
  <c r="G220" a="1"/>
  <c r="G220" s="1"/>
  <c r="H218" a="1"/>
  <c r="H218" s="1"/>
  <c r="N218" s="1" a="1"/>
  <c r="N218" s="1"/>
  <c r="C218" s="1"/>
  <c r="G216" a="1"/>
  <c r="G216" s="1"/>
  <c r="H214" a="1"/>
  <c r="H214" s="1"/>
  <c r="L214" s="1" a="1"/>
  <c r="L214" s="1"/>
  <c r="G212" a="1"/>
  <c r="G212" s="1"/>
  <c r="H225" a="1"/>
  <c r="H225" s="1"/>
  <c r="M225" s="1" a="1"/>
  <c r="M225" s="1"/>
  <c r="B225" s="1"/>
  <c r="G223" a="1"/>
  <c r="G223" s="1"/>
  <c r="H221" a="1"/>
  <c r="H221" s="1"/>
  <c r="M221" s="1" a="1"/>
  <c r="M221" s="1"/>
  <c r="B221" s="1"/>
  <c r="G219" a="1"/>
  <c r="G219" s="1"/>
  <c r="H217" a="1"/>
  <c r="H217" s="1"/>
  <c r="M217" s="1" a="1"/>
  <c r="M217" s="1"/>
  <c r="B217" s="1"/>
  <c r="G215" a="1"/>
  <c r="G215" s="1"/>
  <c r="H213" a="1"/>
  <c r="H213" s="1"/>
  <c r="L213" s="1" a="1"/>
  <c r="L213" s="1"/>
  <c r="G211" a="1"/>
  <c r="G211" s="1"/>
  <c r="H220" a="1"/>
  <c r="H220" s="1"/>
  <c r="M220" s="1" a="1"/>
  <c r="M220" s="1"/>
  <c r="B220" s="1"/>
  <c r="G218" a="1"/>
  <c r="G218" s="1"/>
  <c r="H216" a="1"/>
  <c r="H216" s="1"/>
  <c r="M216" s="1" a="1"/>
  <c r="M216" s="1"/>
  <c r="B216" s="1"/>
  <c r="G214" a="1"/>
  <c r="G214" s="1"/>
  <c r="H224" a="1"/>
  <c r="H224" s="1"/>
  <c r="O224" s="1" a="1"/>
  <c r="O224" s="1"/>
  <c r="D224" s="1"/>
  <c r="G222" a="1"/>
  <c r="G222" s="1"/>
  <c r="N216" a="1"/>
  <c r="N216" s="1"/>
  <c r="C216" s="1"/>
  <c r="G226" a="1"/>
  <c r="G226" s="1"/>
  <c r="H212" a="1"/>
  <c r="H212" s="1"/>
  <c r="L212" s="1" a="1"/>
  <c r="L212" s="1"/>
  <c r="G257" a="1"/>
  <c r="G257" s="1"/>
  <c r="H255" a="1"/>
  <c r="H255" s="1"/>
  <c r="N255" s="1" a="1"/>
  <c r="N255" s="1"/>
  <c r="C255" s="1"/>
  <c r="G253" a="1"/>
  <c r="G253" s="1"/>
  <c r="H251" a="1"/>
  <c r="H251" s="1"/>
  <c r="N251" s="1" a="1"/>
  <c r="N251" s="1"/>
  <c r="C251" s="1"/>
  <c r="G249" a="1"/>
  <c r="G249" s="1"/>
  <c r="H247" a="1"/>
  <c r="H247" s="1"/>
  <c r="L247" s="1" a="1"/>
  <c r="L247" s="1"/>
  <c r="G245" a="1"/>
  <c r="G245" s="1"/>
  <c r="H243" a="1"/>
  <c r="H243" s="1"/>
  <c r="N243" s="1" a="1"/>
  <c r="N243" s="1"/>
  <c r="C243" s="1"/>
  <c r="H258" a="1"/>
  <c r="H258" s="1"/>
  <c r="N258" s="1" a="1"/>
  <c r="N258" s="1"/>
  <c r="C258" s="1"/>
  <c r="G256" a="1"/>
  <c r="G256" s="1"/>
  <c r="H254" a="1"/>
  <c r="H254" s="1"/>
  <c r="N254" s="1" a="1"/>
  <c r="N254" s="1"/>
  <c r="C254" s="1"/>
  <c r="G252" a="1"/>
  <c r="G252" s="1"/>
  <c r="H250" a="1"/>
  <c r="H250" s="1"/>
  <c r="N250" s="1" a="1"/>
  <c r="N250" s="1"/>
  <c r="C250" s="1"/>
  <c r="G248" a="1"/>
  <c r="G248" s="1"/>
  <c r="H246" a="1"/>
  <c r="H246" s="1"/>
  <c r="L246" s="1" a="1"/>
  <c r="L246" s="1"/>
  <c r="G244" a="1"/>
  <c r="G244" s="1"/>
  <c r="H257" a="1"/>
  <c r="H257" s="1"/>
  <c r="P257" s="1" a="1"/>
  <c r="P257" s="1"/>
  <c r="E257" s="1"/>
  <c r="G255" a="1"/>
  <c r="G255" s="1"/>
  <c r="H253" a="1"/>
  <c r="H253" s="1"/>
  <c r="M253" s="1" a="1"/>
  <c r="M253" s="1"/>
  <c r="B253" s="1"/>
  <c r="G251" a="1"/>
  <c r="G251" s="1"/>
  <c r="H249" a="1"/>
  <c r="H249" s="1"/>
  <c r="M249" s="1" a="1"/>
  <c r="M249" s="1"/>
  <c r="B249" s="1"/>
  <c r="G247" a="1"/>
  <c r="G247" s="1"/>
  <c r="H245" a="1"/>
  <c r="H245" s="1"/>
  <c r="L245" s="1" a="1"/>
  <c r="L245" s="1"/>
  <c r="G243" a="1"/>
  <c r="G243" s="1"/>
  <c r="H252" a="1"/>
  <c r="H252" s="1"/>
  <c r="M252" s="1" a="1"/>
  <c r="M252" s="1"/>
  <c r="B252" s="1"/>
  <c r="G250" a="1"/>
  <c r="G250" s="1"/>
  <c r="H248" a="1"/>
  <c r="H248" s="1"/>
  <c r="M248" s="1" a="1"/>
  <c r="M248" s="1"/>
  <c r="B248" s="1"/>
  <c r="G246" a="1"/>
  <c r="G246" s="1"/>
  <c r="H256" a="1"/>
  <c r="H256" s="1"/>
  <c r="O256" s="1" a="1"/>
  <c r="O256" s="1"/>
  <c r="D256" s="1"/>
  <c r="G254" a="1"/>
  <c r="G254" s="1"/>
  <c r="G258" a="1"/>
  <c r="G258" s="1"/>
  <c r="H244" a="1"/>
  <c r="H244" s="1"/>
  <c r="L244" s="1" a="1"/>
  <c r="L244" s="1"/>
  <c r="G289" a="1"/>
  <c r="G289" s="1"/>
  <c r="H287" a="1"/>
  <c r="H287" s="1"/>
  <c r="N287" s="1" a="1"/>
  <c r="N287" s="1"/>
  <c r="C287" s="1"/>
  <c r="G285" a="1"/>
  <c r="G285" s="1"/>
  <c r="H283" a="1"/>
  <c r="H283" s="1"/>
  <c r="N283" s="1" a="1"/>
  <c r="N283" s="1"/>
  <c r="C283" s="1"/>
  <c r="G281" a="1"/>
  <c r="G281" s="1"/>
  <c r="H279" a="1"/>
  <c r="H279" s="1"/>
  <c r="L279" s="1" a="1"/>
  <c r="L279" s="1"/>
  <c r="G277" a="1"/>
  <c r="G277" s="1"/>
  <c r="H275" a="1"/>
  <c r="H275" s="1"/>
  <c r="P275" s="1" a="1"/>
  <c r="P275" s="1"/>
  <c r="E275" s="1"/>
  <c r="H290" a="1"/>
  <c r="H290" s="1"/>
  <c r="P290" s="1" a="1"/>
  <c r="P290" s="1"/>
  <c r="E290" s="1"/>
  <c r="G288" a="1"/>
  <c r="G288" s="1"/>
  <c r="H286" a="1"/>
  <c r="H286" s="1"/>
  <c r="N286" s="1" a="1"/>
  <c r="N286" s="1"/>
  <c r="C286" s="1"/>
  <c r="G284" a="1"/>
  <c r="G284" s="1"/>
  <c r="H282" a="1"/>
  <c r="H282" s="1"/>
  <c r="N282" s="1" a="1"/>
  <c r="N282" s="1"/>
  <c r="C282" s="1"/>
  <c r="G280" a="1"/>
  <c r="G280" s="1"/>
  <c r="H278" a="1"/>
  <c r="H278" s="1"/>
  <c r="L278" s="1" a="1"/>
  <c r="L278" s="1"/>
  <c r="G276" a="1"/>
  <c r="G276" s="1"/>
  <c r="H289" a="1"/>
  <c r="H289" s="1"/>
  <c r="N289" s="1" a="1"/>
  <c r="N289" s="1"/>
  <c r="C289" s="1"/>
  <c r="G287" a="1"/>
  <c r="G287" s="1"/>
  <c r="H285" a="1"/>
  <c r="H285" s="1"/>
  <c r="M285" s="1" a="1"/>
  <c r="M285" s="1"/>
  <c r="B285" s="1"/>
  <c r="G283" a="1"/>
  <c r="G283" s="1"/>
  <c r="H281" a="1"/>
  <c r="H281" s="1"/>
  <c r="M281" s="1" a="1"/>
  <c r="M281" s="1"/>
  <c r="B281" s="1"/>
  <c r="G279" a="1"/>
  <c r="G279" s="1"/>
  <c r="H277" a="1"/>
  <c r="H277" s="1"/>
  <c r="L277" s="1" a="1"/>
  <c r="L277" s="1"/>
  <c r="G275" a="1"/>
  <c r="G275" s="1"/>
  <c r="H284" a="1"/>
  <c r="H284" s="1"/>
  <c r="M284" s="1" a="1"/>
  <c r="M284" s="1"/>
  <c r="B284" s="1"/>
  <c r="G282" a="1"/>
  <c r="G282" s="1"/>
  <c r="H280" a="1"/>
  <c r="H280" s="1"/>
  <c r="M280" s="1" a="1"/>
  <c r="M280" s="1"/>
  <c r="B280" s="1"/>
  <c r="G278" a="1"/>
  <c r="G278" s="1"/>
  <c r="H288" a="1"/>
  <c r="H288" s="1"/>
  <c r="O288" s="1" a="1"/>
  <c r="O288" s="1"/>
  <c r="D288" s="1"/>
  <c r="G286" a="1"/>
  <c r="G286" s="1"/>
  <c r="G290" a="1"/>
  <c r="G290" s="1"/>
  <c r="H276" a="1"/>
  <c r="H276" s="1"/>
  <c r="L276" s="1" a="1"/>
  <c r="L276" s="1"/>
  <c r="G354" a="1"/>
  <c r="G354" s="1"/>
  <c r="H352" a="1"/>
  <c r="H352" s="1"/>
  <c r="N352" s="1" a="1"/>
  <c r="N352" s="1"/>
  <c r="C352" s="1"/>
  <c r="G350" a="1"/>
  <c r="G350" s="1"/>
  <c r="H348" a="1"/>
  <c r="H348" s="1"/>
  <c r="N348" s="1" a="1"/>
  <c r="N348" s="1"/>
  <c r="C348" s="1"/>
  <c r="G346" a="1"/>
  <c r="G346" s="1"/>
  <c r="H344" a="1"/>
  <c r="H344" s="1"/>
  <c r="L344" s="1" a="1"/>
  <c r="L344" s="1"/>
  <c r="G342" a="1"/>
  <c r="G342" s="1"/>
  <c r="H340" a="1"/>
  <c r="H340" s="1"/>
  <c r="L340" s="1" a="1"/>
  <c r="L340" s="1"/>
  <c r="G353" a="1"/>
  <c r="G353" s="1"/>
  <c r="H351" a="1"/>
  <c r="H351" s="1"/>
  <c r="N351" s="1" a="1"/>
  <c r="N351" s="1"/>
  <c r="C351" s="1"/>
  <c r="G349" a="1"/>
  <c r="G349" s="1"/>
  <c r="H347" a="1"/>
  <c r="H347" s="1"/>
  <c r="N347" s="1" a="1"/>
  <c r="N347" s="1"/>
  <c r="C347" s="1"/>
  <c r="G345" a="1"/>
  <c r="G345" s="1"/>
  <c r="H343" a="1"/>
  <c r="H343" s="1"/>
  <c r="L343" s="1" a="1"/>
  <c r="L343" s="1"/>
  <c r="G341" a="1"/>
  <c r="G341" s="1"/>
  <c r="H339" a="1"/>
  <c r="H339" s="1"/>
  <c r="N339" s="1" a="1"/>
  <c r="N339" s="1"/>
  <c r="C339" s="1"/>
  <c r="H354" a="1"/>
  <c r="H354" s="1"/>
  <c r="O354" s="1" a="1"/>
  <c r="O354" s="1"/>
  <c r="D354" s="1"/>
  <c r="G352" a="1"/>
  <c r="G352" s="1"/>
  <c r="H350" a="1"/>
  <c r="H350" s="1"/>
  <c r="M350" s="1" a="1"/>
  <c r="M350" s="1"/>
  <c r="B350" s="1"/>
  <c r="G348" a="1"/>
  <c r="G348" s="1"/>
  <c r="H346" a="1"/>
  <c r="H346" s="1"/>
  <c r="M346" s="1" a="1"/>
  <c r="M346" s="1"/>
  <c r="B346" s="1"/>
  <c r="G344" a="1"/>
  <c r="G344" s="1"/>
  <c r="H342" a="1"/>
  <c r="H342" s="1"/>
  <c r="L342" s="1" a="1"/>
  <c r="L342" s="1"/>
  <c r="G340" a="1"/>
  <c r="G340" s="1"/>
  <c r="H341" a="1"/>
  <c r="H341" s="1"/>
  <c r="N341" s="1" a="1"/>
  <c r="N341" s="1"/>
  <c r="C341" s="1"/>
  <c r="G339" a="1"/>
  <c r="G339" s="1"/>
  <c r="H353" a="1"/>
  <c r="H353" s="1"/>
  <c r="M353" s="1" a="1"/>
  <c r="M353" s="1"/>
  <c r="B353" s="1"/>
  <c r="G351" a="1"/>
  <c r="G351" s="1"/>
  <c r="H349" a="1"/>
  <c r="H349" s="1"/>
  <c r="O349" s="1" a="1"/>
  <c r="O349" s="1"/>
  <c r="D349" s="1"/>
  <c r="G347" a="1"/>
  <c r="G347" s="1"/>
  <c r="H345" a="1"/>
  <c r="H345" s="1"/>
  <c r="M345" s="1" a="1"/>
  <c r="M345" s="1"/>
  <c r="B345" s="1"/>
  <c r="G343" a="1"/>
  <c r="G343" s="1"/>
  <c r="G209" a="1"/>
  <c r="G209" s="1"/>
  <c r="H207" a="1"/>
  <c r="H207" s="1"/>
  <c r="N207" s="1" a="1"/>
  <c r="N207" s="1"/>
  <c r="C207" s="1"/>
  <c r="G205" a="1"/>
  <c r="G205" s="1"/>
  <c r="H203" a="1"/>
  <c r="H203" s="1"/>
  <c r="N203" s="1" a="1"/>
  <c r="N203" s="1"/>
  <c r="C203" s="1"/>
  <c r="G201" a="1"/>
  <c r="G201" s="1"/>
  <c r="H199" a="1"/>
  <c r="H199" s="1"/>
  <c r="L199" s="1" a="1"/>
  <c r="L199" s="1"/>
  <c r="G197" a="1"/>
  <c r="G197" s="1"/>
  <c r="H195" a="1"/>
  <c r="H195" s="1"/>
  <c r="P195" s="1" a="1"/>
  <c r="P195" s="1"/>
  <c r="E195" s="1"/>
  <c r="H210" a="1"/>
  <c r="H210" s="1"/>
  <c r="P210" s="1" a="1"/>
  <c r="P210" s="1"/>
  <c r="E210" s="1"/>
  <c r="G208" a="1"/>
  <c r="G208" s="1"/>
  <c r="H206" a="1"/>
  <c r="H206" s="1"/>
  <c r="N206" s="1" a="1"/>
  <c r="N206" s="1"/>
  <c r="C206" s="1"/>
  <c r="G204" a="1"/>
  <c r="G204" s="1"/>
  <c r="H202" a="1"/>
  <c r="H202" s="1"/>
  <c r="N202" s="1" a="1"/>
  <c r="N202" s="1"/>
  <c r="C202" s="1"/>
  <c r="G200" a="1"/>
  <c r="G200" s="1"/>
  <c r="H198" a="1"/>
  <c r="H198" s="1"/>
  <c r="L198" s="1" a="1"/>
  <c r="L198" s="1"/>
  <c r="G196" a="1"/>
  <c r="G196" s="1"/>
  <c r="H209" a="1"/>
  <c r="H209" s="1"/>
  <c r="N209" s="1" a="1"/>
  <c r="N209" s="1"/>
  <c r="C209" s="1"/>
  <c r="G207" a="1"/>
  <c r="G207" s="1"/>
  <c r="H205" a="1"/>
  <c r="H205" s="1"/>
  <c r="M205" s="1" a="1"/>
  <c r="M205" s="1"/>
  <c r="B205" s="1"/>
  <c r="G203" a="1"/>
  <c r="G203" s="1"/>
  <c r="H201" a="1"/>
  <c r="H201" s="1"/>
  <c r="M201" s="1" a="1"/>
  <c r="M201" s="1"/>
  <c r="B201" s="1"/>
  <c r="G199" a="1"/>
  <c r="G199" s="1"/>
  <c r="H197" a="1"/>
  <c r="H197" s="1"/>
  <c r="L197" s="1" a="1"/>
  <c r="L197" s="1"/>
  <c r="G195" a="1"/>
  <c r="G195" s="1"/>
  <c r="H204" a="1"/>
  <c r="H204" s="1"/>
  <c r="M204" s="1" a="1"/>
  <c r="M204" s="1"/>
  <c r="B204" s="1"/>
  <c r="G202" a="1"/>
  <c r="G202" s="1"/>
  <c r="H200" a="1"/>
  <c r="H200" s="1"/>
  <c r="M200" s="1" a="1"/>
  <c r="M200" s="1"/>
  <c r="B200" s="1"/>
  <c r="G198" a="1"/>
  <c r="G198" s="1"/>
  <c r="H208" a="1"/>
  <c r="H208" s="1"/>
  <c r="O208" s="1" a="1"/>
  <c r="O208" s="1"/>
  <c r="D208" s="1"/>
  <c r="G206" a="1"/>
  <c r="G206" s="1"/>
  <c r="H196" a="1"/>
  <c r="H196" s="1"/>
  <c r="L196" s="1" a="1"/>
  <c r="L196" s="1"/>
  <c r="G210" a="1"/>
  <c r="G210" s="1"/>
  <c r="G338" a="1"/>
  <c r="G338" s="1"/>
  <c r="H336" a="1"/>
  <c r="H336" s="1"/>
  <c r="N336" s="1" a="1"/>
  <c r="N336" s="1"/>
  <c r="C336" s="1"/>
  <c r="G334" a="1"/>
  <c r="G334" s="1"/>
  <c r="H332" a="1"/>
  <c r="H332" s="1"/>
  <c r="N332" s="1" a="1"/>
  <c r="N332" s="1"/>
  <c r="C332" s="1"/>
  <c r="G330" a="1"/>
  <c r="G330" s="1"/>
  <c r="H328" a="1"/>
  <c r="H328" s="1"/>
  <c r="L328" s="1" a="1"/>
  <c r="L328" s="1"/>
  <c r="G326" a="1"/>
  <c r="G326" s="1"/>
  <c r="H324" a="1"/>
  <c r="H324" s="1"/>
  <c r="P324" s="1" a="1"/>
  <c r="P324" s="1"/>
  <c r="E324" s="1"/>
  <c r="G337" a="1"/>
  <c r="G337" s="1"/>
  <c r="H335" a="1"/>
  <c r="H335" s="1"/>
  <c r="N335" s="1" a="1"/>
  <c r="N335" s="1"/>
  <c r="C335" s="1"/>
  <c r="G333" a="1"/>
  <c r="G333" s="1"/>
  <c r="H331" a="1"/>
  <c r="H331" s="1"/>
  <c r="N331" s="1" a="1"/>
  <c r="N331" s="1"/>
  <c r="C331" s="1"/>
  <c r="H338" a="1"/>
  <c r="H338" s="1"/>
  <c r="O338" s="1" a="1"/>
  <c r="O338" s="1"/>
  <c r="D338" s="1"/>
  <c r="G336" a="1"/>
  <c r="G336" s="1"/>
  <c r="H334" a="1"/>
  <c r="H334" s="1"/>
  <c r="O334" s="1" a="1"/>
  <c r="O334" s="1"/>
  <c r="D334" s="1"/>
  <c r="G332" a="1"/>
  <c r="G332" s="1"/>
  <c r="H330" a="1"/>
  <c r="H330" s="1"/>
  <c r="M330" s="1" a="1"/>
  <c r="M330" s="1"/>
  <c r="B330" s="1"/>
  <c r="G328" a="1"/>
  <c r="G328" s="1"/>
  <c r="H326" a="1"/>
  <c r="H326" s="1"/>
  <c r="O326" s="1" a="1"/>
  <c r="O326" s="1"/>
  <c r="D326" s="1"/>
  <c r="G324" a="1"/>
  <c r="G324" s="1"/>
  <c r="G329" a="1"/>
  <c r="G329" s="1"/>
  <c r="H323" a="1"/>
  <c r="H323" s="1"/>
  <c r="O323" s="1" a="1"/>
  <c r="O323" s="1"/>
  <c r="D323" s="1"/>
  <c r="H337" a="1"/>
  <c r="H337" s="1"/>
  <c r="O337" s="1" a="1"/>
  <c r="O337" s="1"/>
  <c r="D337" s="1"/>
  <c r="G335" a="1"/>
  <c r="G335" s="1"/>
  <c r="H329" a="1"/>
  <c r="H329" s="1"/>
  <c r="M329" s="1" a="1"/>
  <c r="M329" s="1"/>
  <c r="B329" s="1"/>
  <c r="G327" a="1"/>
  <c r="G327" s="1"/>
  <c r="H333" a="1"/>
  <c r="H333" s="1"/>
  <c r="M333" s="1" a="1"/>
  <c r="M333" s="1"/>
  <c r="B333" s="1"/>
  <c r="G331" a="1"/>
  <c r="G331" s="1"/>
  <c r="H327" a="1"/>
  <c r="H327" s="1"/>
  <c r="M327" s="1" a="1"/>
  <c r="M327" s="1"/>
  <c r="B327" s="1"/>
  <c r="G325" a="1"/>
  <c r="G325" s="1"/>
  <c r="G323" a="1"/>
  <c r="G323" s="1"/>
  <c r="H325" a="1"/>
  <c r="H325" s="1"/>
  <c r="O325" s="1" a="1"/>
  <c r="O325" s="1"/>
  <c r="D325" s="1"/>
  <c r="G401" a="1"/>
  <c r="G401" s="1"/>
  <c r="H399" a="1"/>
  <c r="H399" s="1"/>
  <c r="N399" s="1" a="1"/>
  <c r="N399" s="1"/>
  <c r="C399" s="1"/>
  <c r="G397" a="1"/>
  <c r="G397" s="1"/>
  <c r="H395" a="1"/>
  <c r="H395" s="1"/>
  <c r="N395" s="1" a="1"/>
  <c r="N395" s="1"/>
  <c r="C395" s="1"/>
  <c r="G393" a="1"/>
  <c r="G393" s="1"/>
  <c r="H391" a="1"/>
  <c r="H391" s="1"/>
  <c r="L391" s="1" a="1"/>
  <c r="L391" s="1"/>
  <c r="G389" a="1"/>
  <c r="G389" s="1"/>
  <c r="H401" a="1"/>
  <c r="H401" s="1"/>
  <c r="O401" s="1" a="1"/>
  <c r="O401" s="1"/>
  <c r="D401" s="1"/>
  <c r="G399" a="1"/>
  <c r="G399" s="1"/>
  <c r="H397" a="1"/>
  <c r="H397" s="1"/>
  <c r="O397" s="1" a="1"/>
  <c r="O397" s="1"/>
  <c r="D397" s="1"/>
  <c r="G395" a="1"/>
  <c r="G395" s="1"/>
  <c r="H393" a="1"/>
  <c r="H393" s="1"/>
  <c r="N393" s="1" a="1"/>
  <c r="N393" s="1"/>
  <c r="C393" s="1"/>
  <c r="G391" a="1"/>
  <c r="G391" s="1"/>
  <c r="H389" a="1"/>
  <c r="H389" s="1"/>
  <c r="N389" s="1" a="1"/>
  <c r="N389" s="1"/>
  <c r="C389" s="1"/>
  <c r="H400" a="1"/>
  <c r="H400" s="1"/>
  <c r="N400" s="1" a="1"/>
  <c r="N400" s="1"/>
  <c r="C400" s="1"/>
  <c r="G398" a="1"/>
  <c r="G398" s="1"/>
  <c r="H392" a="1"/>
  <c r="H392" s="1"/>
  <c r="O392" s="1" a="1"/>
  <c r="O392" s="1"/>
  <c r="D392" s="1"/>
  <c r="G390" a="1"/>
  <c r="G390" s="1"/>
  <c r="H398" a="1"/>
  <c r="H398" s="1"/>
  <c r="N398" s="1" a="1"/>
  <c r="N398" s="1"/>
  <c r="C398" s="1"/>
  <c r="G396" a="1"/>
  <c r="G396" s="1"/>
  <c r="H390" a="1"/>
  <c r="H390" s="1"/>
  <c r="M390" s="1" a="1"/>
  <c r="M390" s="1"/>
  <c r="B390" s="1"/>
  <c r="G388" a="1"/>
  <c r="G388" s="1"/>
  <c r="H387" a="1"/>
  <c r="H387" s="1"/>
  <c r="P387" s="1" a="1"/>
  <c r="P387" s="1"/>
  <c r="E387" s="1"/>
  <c r="G402" a="1"/>
  <c r="G402" s="1"/>
  <c r="H396" a="1"/>
  <c r="H396" s="1"/>
  <c r="P396" s="1" a="1"/>
  <c r="P396" s="1"/>
  <c r="E396" s="1"/>
  <c r="G394" a="1"/>
  <c r="G394" s="1"/>
  <c r="H388" a="1"/>
  <c r="H388" s="1"/>
  <c r="M388" s="1" a="1"/>
  <c r="M388" s="1"/>
  <c r="B388" s="1"/>
  <c r="G392" a="1"/>
  <c r="G392" s="1"/>
  <c r="G387" a="1"/>
  <c r="G387" s="1"/>
  <c r="H402" a="1"/>
  <c r="H402" s="1"/>
  <c r="L402" s="1" a="1"/>
  <c r="L402" s="1"/>
  <c r="H394" a="1"/>
  <c r="H394" s="1"/>
  <c r="L394" s="1" a="1"/>
  <c r="L394" s="1"/>
  <c r="G400" a="1"/>
  <c r="G400" s="1"/>
  <c r="G273" a="1"/>
  <c r="G273" s="1"/>
  <c r="H271" a="1"/>
  <c r="H271" s="1"/>
  <c r="N271" s="1" a="1"/>
  <c r="N271" s="1"/>
  <c r="C271" s="1"/>
  <c r="G269" a="1"/>
  <c r="G269" s="1"/>
  <c r="H267" a="1"/>
  <c r="H267" s="1"/>
  <c r="N267" s="1" a="1"/>
  <c r="N267" s="1"/>
  <c r="C267" s="1"/>
  <c r="G265" a="1"/>
  <c r="G265" s="1"/>
  <c r="H263" a="1"/>
  <c r="H263" s="1"/>
  <c r="L263" s="1" a="1"/>
  <c r="L263" s="1"/>
  <c r="G261" a="1"/>
  <c r="G261" s="1"/>
  <c r="H259" a="1"/>
  <c r="H259" s="1"/>
  <c r="N259" s="1" a="1"/>
  <c r="N259" s="1"/>
  <c r="C259" s="1"/>
  <c r="H274" a="1"/>
  <c r="H274" s="1"/>
  <c r="N274" s="1" a="1"/>
  <c r="N274" s="1"/>
  <c r="C274" s="1"/>
  <c r="G272" a="1"/>
  <c r="G272" s="1"/>
  <c r="H270" a="1"/>
  <c r="H270" s="1"/>
  <c r="N270" s="1" a="1"/>
  <c r="N270" s="1"/>
  <c r="C270" s="1"/>
  <c r="G268" a="1"/>
  <c r="G268" s="1"/>
  <c r="H266" a="1"/>
  <c r="H266" s="1"/>
  <c r="N266" s="1" a="1"/>
  <c r="N266" s="1"/>
  <c r="C266" s="1"/>
  <c r="G264" a="1"/>
  <c r="G264" s="1"/>
  <c r="H262" a="1"/>
  <c r="H262" s="1"/>
  <c r="L262" s="1" a="1"/>
  <c r="L262" s="1"/>
  <c r="G260" a="1"/>
  <c r="G260" s="1"/>
  <c r="H273" a="1"/>
  <c r="H273" s="1"/>
  <c r="N273" s="1" a="1"/>
  <c r="N273" s="1"/>
  <c r="C273" s="1"/>
  <c r="G271" a="1"/>
  <c r="G271" s="1"/>
  <c r="H269" a="1"/>
  <c r="H269" s="1"/>
  <c r="M269" s="1" a="1"/>
  <c r="M269" s="1"/>
  <c r="B269" s="1"/>
  <c r="G267" a="1"/>
  <c r="G267" s="1"/>
  <c r="H265" a="1"/>
  <c r="H265" s="1"/>
  <c r="M265" s="1" a="1"/>
  <c r="M265" s="1"/>
  <c r="B265" s="1"/>
  <c r="G263" a="1"/>
  <c r="G263" s="1"/>
  <c r="H261" a="1"/>
  <c r="H261" s="1"/>
  <c r="L261" s="1" a="1"/>
  <c r="L261" s="1"/>
  <c r="G259" a="1"/>
  <c r="G259" s="1"/>
  <c r="H268" a="1"/>
  <c r="H268" s="1"/>
  <c r="M268" s="1" a="1"/>
  <c r="M268" s="1"/>
  <c r="B268" s="1"/>
  <c r="G266" a="1"/>
  <c r="G266" s="1"/>
  <c r="H264" a="1"/>
  <c r="H264" s="1"/>
  <c r="M264" s="1" a="1"/>
  <c r="M264" s="1"/>
  <c r="B264" s="1"/>
  <c r="G262" a="1"/>
  <c r="G262" s="1"/>
  <c r="H272" a="1"/>
  <c r="H272" s="1"/>
  <c r="O272" s="1" a="1"/>
  <c r="O272" s="1"/>
  <c r="D272" s="1"/>
  <c r="G270" a="1"/>
  <c r="G270" s="1"/>
  <c r="H260" a="1"/>
  <c r="H260" s="1"/>
  <c r="O260" s="1" a="1"/>
  <c r="O260" s="1"/>
  <c r="D260" s="1"/>
  <c r="G274" a="1"/>
  <c r="G274" s="1"/>
  <c r="G322" a="1"/>
  <c r="G322" s="1"/>
  <c r="H320" a="1"/>
  <c r="H320" s="1"/>
  <c r="N320" s="1" a="1"/>
  <c r="N320" s="1"/>
  <c r="C320" s="1"/>
  <c r="G318" a="1"/>
  <c r="G318" s="1"/>
  <c r="H316" a="1"/>
  <c r="H316" s="1"/>
  <c r="N316" s="1" a="1"/>
  <c r="N316" s="1"/>
  <c r="C316" s="1"/>
  <c r="G314" a="1"/>
  <c r="G314" s="1"/>
  <c r="H322" a="1"/>
  <c r="H322" s="1"/>
  <c r="O322" s="1" a="1"/>
  <c r="O322" s="1"/>
  <c r="D322" s="1"/>
  <c r="G320" a="1"/>
  <c r="G320" s="1"/>
  <c r="H318" a="1"/>
  <c r="H318" s="1"/>
  <c r="O318" s="1" a="1"/>
  <c r="O318" s="1"/>
  <c r="D318" s="1"/>
  <c r="G316" a="1"/>
  <c r="G316" s="1"/>
  <c r="H314" a="1"/>
  <c r="H314" s="1"/>
  <c r="N314" s="1" a="1"/>
  <c r="N314" s="1"/>
  <c r="C314" s="1"/>
  <c r="G321" a="1"/>
  <c r="G321" s="1"/>
  <c r="H315" a="1"/>
  <c r="H315" s="1"/>
  <c r="L315" s="1" a="1"/>
  <c r="L315" s="1"/>
  <c r="G313" a="1"/>
  <c r="G313" s="1"/>
  <c r="H311" a="1"/>
  <c r="H311" s="1"/>
  <c r="N311" s="1" a="1"/>
  <c r="N311" s="1"/>
  <c r="C311" s="1"/>
  <c r="G309" a="1"/>
  <c r="G309" s="1"/>
  <c r="H307" a="1"/>
  <c r="H307" s="1"/>
  <c r="N307" s="1" a="1"/>
  <c r="N307" s="1"/>
  <c r="C307" s="1"/>
  <c r="H321" a="1"/>
  <c r="H321" s="1"/>
  <c r="M321" s="1" a="1"/>
  <c r="M321" s="1"/>
  <c r="B321" s="1"/>
  <c r="G319" a="1"/>
  <c r="G319" s="1"/>
  <c r="G312" a="1"/>
  <c r="G312" s="1"/>
  <c r="H310" a="1"/>
  <c r="H310" s="1"/>
  <c r="N310" s="1" a="1"/>
  <c r="N310" s="1"/>
  <c r="C310" s="1"/>
  <c r="G308" a="1"/>
  <c r="G308" s="1"/>
  <c r="H319" a="1"/>
  <c r="H319" s="1"/>
  <c r="N319" s="1" a="1"/>
  <c r="N319" s="1"/>
  <c r="C319" s="1"/>
  <c r="G317" a="1"/>
  <c r="G317" s="1"/>
  <c r="H313" a="1"/>
  <c r="H313" s="1"/>
  <c r="P313" s="1" a="1"/>
  <c r="P313" s="1"/>
  <c r="E313" s="1"/>
  <c r="G311" a="1"/>
  <c r="G311" s="1"/>
  <c r="H309" a="1"/>
  <c r="H309" s="1"/>
  <c r="O309" s="1" a="1"/>
  <c r="O309" s="1"/>
  <c r="D309" s="1"/>
  <c r="M307" a="1"/>
  <c r="M307" s="1"/>
  <c r="B307" s="1"/>
  <c r="G307" a="1"/>
  <c r="G307" s="1"/>
  <c r="G315" a="1"/>
  <c r="G315" s="1"/>
  <c r="H312" a="1"/>
  <c r="H312" s="1"/>
  <c r="M312" s="1" a="1"/>
  <c r="M312" s="1"/>
  <c r="B312" s="1"/>
  <c r="G310" a="1"/>
  <c r="G310" s="1"/>
  <c r="H317" a="1"/>
  <c r="H317" s="1"/>
  <c r="L317" s="1" a="1"/>
  <c r="L317" s="1"/>
  <c r="H308" a="1"/>
  <c r="H308" s="1"/>
  <c r="M308" s="1" a="1"/>
  <c r="M308" s="1"/>
  <c r="B308" s="1"/>
  <c r="G386" a="1"/>
  <c r="G386" s="1"/>
  <c r="H384" a="1"/>
  <c r="H384" s="1"/>
  <c r="N384" s="1" a="1"/>
  <c r="N384" s="1"/>
  <c r="C384" s="1"/>
  <c r="G382" a="1"/>
  <c r="G382" s="1"/>
  <c r="H380" a="1"/>
  <c r="H380" s="1"/>
  <c r="N380" s="1" a="1"/>
  <c r="N380" s="1"/>
  <c r="C380" s="1"/>
  <c r="G378" a="1"/>
  <c r="G378" s="1"/>
  <c r="H376" a="1"/>
  <c r="H376" s="1"/>
  <c r="L376" s="1" a="1"/>
  <c r="L376" s="1"/>
  <c r="G374" a="1"/>
  <c r="G374" s="1"/>
  <c r="H372" a="1"/>
  <c r="H372" s="1"/>
  <c r="N372" s="1" a="1"/>
  <c r="N372" s="1"/>
  <c r="C372" s="1"/>
  <c r="G385" a="1"/>
  <c r="G385" s="1"/>
  <c r="H383" a="1"/>
  <c r="H383" s="1"/>
  <c r="N383" s="1" a="1"/>
  <c r="N383" s="1"/>
  <c r="C383" s="1"/>
  <c r="G381" a="1"/>
  <c r="G381" s="1"/>
  <c r="H379" a="1"/>
  <c r="H379" s="1"/>
  <c r="N379" s="1" a="1"/>
  <c r="N379" s="1"/>
  <c r="C379" s="1"/>
  <c r="G377" a="1"/>
  <c r="G377" s="1"/>
  <c r="H375" a="1"/>
  <c r="H375" s="1"/>
  <c r="L375" s="1" a="1"/>
  <c r="L375" s="1"/>
  <c r="G373" a="1"/>
  <c r="G373" s="1"/>
  <c r="H371" a="1"/>
  <c r="H371" s="1"/>
  <c r="L371" s="1" a="1"/>
  <c r="L371" s="1"/>
  <c r="H386" a="1"/>
  <c r="H386" s="1"/>
  <c r="O386" s="1" a="1"/>
  <c r="O386" s="1"/>
  <c r="D386" s="1"/>
  <c r="G384" a="1"/>
  <c r="G384" s="1"/>
  <c r="H382" a="1"/>
  <c r="H382" s="1"/>
  <c r="M382" s="1" a="1"/>
  <c r="M382" s="1"/>
  <c r="B382" s="1"/>
  <c r="G380" a="1"/>
  <c r="G380" s="1"/>
  <c r="H378" a="1"/>
  <c r="H378" s="1"/>
  <c r="M378" s="1" a="1"/>
  <c r="M378" s="1"/>
  <c r="B378" s="1"/>
  <c r="G376" a="1"/>
  <c r="G376" s="1"/>
  <c r="H374" a="1"/>
  <c r="H374" s="1"/>
  <c r="L374" s="1" a="1"/>
  <c r="L374" s="1"/>
  <c r="G372" a="1"/>
  <c r="G372" s="1"/>
  <c r="H373" a="1"/>
  <c r="H373" s="1"/>
  <c r="N373" s="1" a="1"/>
  <c r="N373" s="1"/>
  <c r="C373" s="1"/>
  <c r="G371" a="1"/>
  <c r="G371" s="1"/>
  <c r="H385" a="1"/>
  <c r="H385" s="1"/>
  <c r="M385" s="1" a="1"/>
  <c r="M385" s="1"/>
  <c r="B385" s="1"/>
  <c r="G383" a="1"/>
  <c r="G383" s="1"/>
  <c r="H381" a="1"/>
  <c r="H381" s="1"/>
  <c r="O381" s="1" a="1"/>
  <c r="O381" s="1"/>
  <c r="D381" s="1"/>
  <c r="G379" a="1"/>
  <c r="G379" s="1"/>
  <c r="G375" a="1"/>
  <c r="G375" s="1"/>
  <c r="H377" a="1"/>
  <c r="H377" s="1"/>
  <c r="M377" s="1" a="1"/>
  <c r="M377" s="1"/>
  <c r="B377" s="1"/>
  <c r="H178" a="1"/>
  <c r="H178" s="1"/>
  <c r="N178" s="1" a="1"/>
  <c r="N178" s="1"/>
  <c r="C178" s="1"/>
  <c r="G176" a="1"/>
  <c r="G176" s="1"/>
  <c r="H174" a="1"/>
  <c r="H174" s="1"/>
  <c r="N174" s="1" a="1"/>
  <c r="N174" s="1"/>
  <c r="C174" s="1"/>
  <c r="G172" a="1"/>
  <c r="G172" s="1"/>
  <c r="H177" a="1"/>
  <c r="H177" s="1"/>
  <c r="N177" s="1" a="1"/>
  <c r="N177" s="1"/>
  <c r="C177" s="1"/>
  <c r="G175" a="1"/>
  <c r="G175" s="1"/>
  <c r="H173" a="1"/>
  <c r="H173" s="1"/>
  <c r="L173" s="1" a="1"/>
  <c r="L173" s="1"/>
  <c r="G171" a="1"/>
  <c r="G171" s="1"/>
  <c r="H169" a="1"/>
  <c r="H169" s="1"/>
  <c r="N169" s="1" a="1"/>
  <c r="N169" s="1"/>
  <c r="C169" s="1"/>
  <c r="G167" a="1"/>
  <c r="G167" s="1"/>
  <c r="H165" a="1"/>
  <c r="H165" s="1"/>
  <c r="N165" s="1" a="1"/>
  <c r="N165" s="1"/>
  <c r="C165" s="1"/>
  <c r="G163" a="1"/>
  <c r="G163" s="1"/>
  <c r="H176" a="1"/>
  <c r="H176" s="1"/>
  <c r="O176" s="1" a="1"/>
  <c r="O176" s="1"/>
  <c r="D176" s="1"/>
  <c r="G174" a="1"/>
  <c r="G174" s="1"/>
  <c r="G170" a="1"/>
  <c r="G170" s="1"/>
  <c r="H175" a="1"/>
  <c r="H175" s="1"/>
  <c r="L175" s="1" a="1"/>
  <c r="L175" s="1"/>
  <c r="G173" a="1"/>
  <c r="G173" s="1"/>
  <c r="H166" a="1"/>
  <c r="H166" s="1"/>
  <c r="O166" s="1" a="1"/>
  <c r="O166" s="1"/>
  <c r="D166" s="1"/>
  <c r="G164" a="1"/>
  <c r="G164" s="1"/>
  <c r="H163" a="1"/>
  <c r="H163" s="1"/>
  <c r="M163" s="1" a="1"/>
  <c r="M163" s="1"/>
  <c r="B163" s="1"/>
  <c r="G177" a="1"/>
  <c r="G177" s="1"/>
  <c r="H171" a="1"/>
  <c r="H171" s="1"/>
  <c r="M171" s="1" a="1"/>
  <c r="M171" s="1"/>
  <c r="B171" s="1"/>
  <c r="G169" a="1"/>
  <c r="G169" s="1"/>
  <c r="H168" a="1"/>
  <c r="H168" s="1"/>
  <c r="M168" s="1" a="1"/>
  <c r="M168" s="1"/>
  <c r="B168" s="1"/>
  <c r="G166" a="1"/>
  <c r="G166" s="1"/>
  <c r="G165" a="1"/>
  <c r="G165" s="1"/>
  <c r="H164" a="1"/>
  <c r="H164" s="1"/>
  <c r="P164" s="1" a="1"/>
  <c r="P164" s="1"/>
  <c r="E164" s="1"/>
  <c r="H172" a="1"/>
  <c r="H172" s="1"/>
  <c r="M172" s="1" a="1"/>
  <c r="M172" s="1"/>
  <c r="B172" s="1"/>
  <c r="G168" a="1"/>
  <c r="G168" s="1"/>
  <c r="H167" a="1"/>
  <c r="H167" s="1"/>
  <c r="O167" s="1" a="1"/>
  <c r="O167" s="1"/>
  <c r="D167" s="1"/>
  <c r="H170" a="1"/>
  <c r="H170" s="1"/>
  <c r="O170" s="1" a="1"/>
  <c r="O170" s="1"/>
  <c r="D170" s="1"/>
  <c r="G178" a="1"/>
  <c r="G178" s="1"/>
  <c r="G241" a="1"/>
  <c r="G241" s="1"/>
  <c r="H239" a="1"/>
  <c r="H239" s="1"/>
  <c r="N239" s="1" a="1"/>
  <c r="N239" s="1"/>
  <c r="C239" s="1"/>
  <c r="G237" a="1"/>
  <c r="G237" s="1"/>
  <c r="H235" a="1"/>
  <c r="H235" s="1"/>
  <c r="N235" s="1" a="1"/>
  <c r="N235" s="1"/>
  <c r="C235" s="1"/>
  <c r="G233" a="1"/>
  <c r="G233" s="1"/>
  <c r="H231" a="1"/>
  <c r="H231" s="1"/>
  <c r="L231" s="1" a="1"/>
  <c r="L231" s="1"/>
  <c r="G229" a="1"/>
  <c r="G229" s="1"/>
  <c r="H227" a="1"/>
  <c r="H227" s="1"/>
  <c r="P227" s="1" a="1"/>
  <c r="P227" s="1"/>
  <c r="E227" s="1"/>
  <c r="H242" a="1"/>
  <c r="H242" s="1"/>
  <c r="P242" s="1" a="1"/>
  <c r="P242" s="1"/>
  <c r="E242" s="1"/>
  <c r="G240" a="1"/>
  <c r="G240" s="1"/>
  <c r="H238" a="1"/>
  <c r="H238" s="1"/>
  <c r="N238" s="1" a="1"/>
  <c r="N238" s="1"/>
  <c r="C238" s="1"/>
  <c r="G236" a="1"/>
  <c r="G236" s="1"/>
  <c r="H234" a="1"/>
  <c r="H234" s="1"/>
  <c r="N234" s="1" a="1"/>
  <c r="N234" s="1"/>
  <c r="C234" s="1"/>
  <c r="G232" a="1"/>
  <c r="G232" s="1"/>
  <c r="H230" a="1"/>
  <c r="H230" s="1"/>
  <c r="L230" s="1" a="1"/>
  <c r="L230" s="1"/>
  <c r="G228" a="1"/>
  <c r="G228" s="1"/>
  <c r="H241" a="1"/>
  <c r="H241" s="1"/>
  <c r="M241" s="1" a="1"/>
  <c r="M241" s="1"/>
  <c r="B241" s="1"/>
  <c r="G239" a="1"/>
  <c r="G239" s="1"/>
  <c r="H237" a="1"/>
  <c r="H237" s="1"/>
  <c r="M237" s="1" a="1"/>
  <c r="M237" s="1"/>
  <c r="B237" s="1"/>
  <c r="G235" a="1"/>
  <c r="G235" s="1"/>
  <c r="H233" a="1"/>
  <c r="H233" s="1"/>
  <c r="M233" s="1" a="1"/>
  <c r="M233" s="1"/>
  <c r="B233" s="1"/>
  <c r="G231" a="1"/>
  <c r="G231" s="1"/>
  <c r="H229" a="1"/>
  <c r="H229" s="1"/>
  <c r="L229" s="1" a="1"/>
  <c r="L229" s="1"/>
  <c r="G227" a="1"/>
  <c r="G227" s="1"/>
  <c r="H236" a="1"/>
  <c r="H236" s="1"/>
  <c r="M236" s="1" a="1"/>
  <c r="M236" s="1"/>
  <c r="B236" s="1"/>
  <c r="G234" a="1"/>
  <c r="G234" s="1"/>
  <c r="H232" a="1"/>
  <c r="H232" s="1"/>
  <c r="M232" s="1" a="1"/>
  <c r="M232" s="1"/>
  <c r="B232" s="1"/>
  <c r="G230" a="1"/>
  <c r="G230" s="1"/>
  <c r="H240" a="1"/>
  <c r="H240" s="1"/>
  <c r="O240" s="1" a="1"/>
  <c r="O240" s="1"/>
  <c r="D240" s="1"/>
  <c r="G238" a="1"/>
  <c r="G238" s="1"/>
  <c r="G242" a="1"/>
  <c r="G242" s="1"/>
  <c r="H228" a="1"/>
  <c r="H228" s="1"/>
  <c r="L228" s="1" a="1"/>
  <c r="L228" s="1"/>
  <c r="G305" a="1"/>
  <c r="G305" s="1"/>
  <c r="H303" a="1"/>
  <c r="H303" s="1"/>
  <c r="N303" s="1" a="1"/>
  <c r="N303" s="1"/>
  <c r="C303" s="1"/>
  <c r="G301" a="1"/>
  <c r="G301" s="1"/>
  <c r="H299" a="1"/>
  <c r="H299" s="1"/>
  <c r="N299" s="1" a="1"/>
  <c r="N299" s="1"/>
  <c r="C299" s="1"/>
  <c r="G297" a="1"/>
  <c r="G297" s="1"/>
  <c r="H295" a="1"/>
  <c r="H295" s="1"/>
  <c r="L295" s="1" a="1"/>
  <c r="L295" s="1"/>
  <c r="G293" a="1"/>
  <c r="G293" s="1"/>
  <c r="H291" a="1"/>
  <c r="H291" s="1"/>
  <c r="N291" s="1" a="1"/>
  <c r="N291" s="1"/>
  <c r="C291" s="1"/>
  <c r="H306" a="1"/>
  <c r="H306" s="1"/>
  <c r="N306" s="1" a="1"/>
  <c r="N306" s="1"/>
  <c r="C306" s="1"/>
  <c r="G304" a="1"/>
  <c r="G304" s="1"/>
  <c r="H302" a="1"/>
  <c r="H302" s="1"/>
  <c r="N302" s="1" a="1"/>
  <c r="N302" s="1"/>
  <c r="C302" s="1"/>
  <c r="G300" a="1"/>
  <c r="G300" s="1"/>
  <c r="H298" a="1"/>
  <c r="H298" s="1"/>
  <c r="N298" s="1" a="1"/>
  <c r="N298" s="1"/>
  <c r="C298" s="1"/>
  <c r="G296" a="1"/>
  <c r="G296" s="1"/>
  <c r="H294" a="1"/>
  <c r="H294" s="1"/>
  <c r="L294" s="1" a="1"/>
  <c r="L294" s="1"/>
  <c r="G292" a="1"/>
  <c r="G292" s="1"/>
  <c r="H305" a="1"/>
  <c r="H305" s="1"/>
  <c r="N305" s="1" a="1"/>
  <c r="N305" s="1"/>
  <c r="C305" s="1"/>
  <c r="G303" a="1"/>
  <c r="G303" s="1"/>
  <c r="H301" a="1"/>
  <c r="H301" s="1"/>
  <c r="M301" s="1" a="1"/>
  <c r="M301" s="1"/>
  <c r="B301" s="1"/>
  <c r="G299" a="1"/>
  <c r="G299" s="1"/>
  <c r="H297" a="1"/>
  <c r="H297" s="1"/>
  <c r="M297" s="1" a="1"/>
  <c r="M297" s="1"/>
  <c r="B297" s="1"/>
  <c r="G295" a="1"/>
  <c r="G295" s="1"/>
  <c r="H293" a="1"/>
  <c r="H293" s="1"/>
  <c r="L293" s="1" a="1"/>
  <c r="L293" s="1"/>
  <c r="G291" a="1"/>
  <c r="G291" s="1"/>
  <c r="H300" a="1"/>
  <c r="H300" s="1"/>
  <c r="M300" s="1" a="1"/>
  <c r="M300" s="1"/>
  <c r="B300" s="1"/>
  <c r="G298" a="1"/>
  <c r="G298" s="1"/>
  <c r="H296" a="1"/>
  <c r="H296" s="1"/>
  <c r="M296" s="1" a="1"/>
  <c r="M296" s="1"/>
  <c r="B296" s="1"/>
  <c r="G294" a="1"/>
  <c r="G294" s="1"/>
  <c r="H304" a="1"/>
  <c r="H304" s="1"/>
  <c r="O304" s="1" a="1"/>
  <c r="O304" s="1"/>
  <c r="D304" s="1"/>
  <c r="G302" a="1"/>
  <c r="G302" s="1"/>
  <c r="G306" a="1"/>
  <c r="G306" s="1"/>
  <c r="H292" a="1"/>
  <c r="H292" s="1"/>
  <c r="L292" s="1" a="1"/>
  <c r="L292" s="1"/>
  <c r="G370" a="1"/>
  <c r="G370" s="1"/>
  <c r="H368" a="1"/>
  <c r="H368" s="1"/>
  <c r="N368" s="1" a="1"/>
  <c r="N368" s="1"/>
  <c r="C368" s="1"/>
  <c r="G366" a="1"/>
  <c r="G366" s="1"/>
  <c r="H364" a="1"/>
  <c r="H364" s="1"/>
  <c r="N364" s="1" a="1"/>
  <c r="N364" s="1"/>
  <c r="C364" s="1"/>
  <c r="G362" a="1"/>
  <c r="G362" s="1"/>
  <c r="H360" a="1"/>
  <c r="H360" s="1"/>
  <c r="L360" s="1" a="1"/>
  <c r="L360" s="1"/>
  <c r="G358" a="1"/>
  <c r="G358" s="1"/>
  <c r="H356" a="1"/>
  <c r="H356" s="1"/>
  <c r="N356" s="1" a="1"/>
  <c r="N356" s="1"/>
  <c r="C356" s="1"/>
  <c r="G369" a="1"/>
  <c r="G369" s="1"/>
  <c r="H367" a="1"/>
  <c r="H367" s="1"/>
  <c r="N367" s="1" a="1"/>
  <c r="N367" s="1"/>
  <c r="C367" s="1"/>
  <c r="G365" a="1"/>
  <c r="G365" s="1"/>
  <c r="H363" a="1"/>
  <c r="H363" s="1"/>
  <c r="N363" s="1" a="1"/>
  <c r="N363" s="1"/>
  <c r="C363" s="1"/>
  <c r="G361" a="1"/>
  <c r="G361" s="1"/>
  <c r="H359" a="1"/>
  <c r="H359" s="1"/>
  <c r="L359" s="1" a="1"/>
  <c r="L359" s="1"/>
  <c r="G357" a="1"/>
  <c r="G357" s="1"/>
  <c r="H355" a="1"/>
  <c r="H355" s="1"/>
  <c r="N355" s="1" a="1"/>
  <c r="N355" s="1"/>
  <c r="C355" s="1"/>
  <c r="H370" a="1"/>
  <c r="H370" s="1"/>
  <c r="M370" s="1" a="1"/>
  <c r="M370" s="1"/>
  <c r="B370" s="1"/>
  <c r="G368" a="1"/>
  <c r="G368" s="1"/>
  <c r="H366" a="1"/>
  <c r="H366" s="1"/>
  <c r="M366" s="1" a="1"/>
  <c r="M366" s="1"/>
  <c r="B366" s="1"/>
  <c r="G364" a="1"/>
  <c r="G364" s="1"/>
  <c r="H362" a="1"/>
  <c r="H362" s="1"/>
  <c r="M362" s="1" a="1"/>
  <c r="M362" s="1"/>
  <c r="B362" s="1"/>
  <c r="G360" a="1"/>
  <c r="G360" s="1"/>
  <c r="H358" a="1"/>
  <c r="H358" s="1"/>
  <c r="L358" s="1" a="1"/>
  <c r="L358" s="1"/>
  <c r="G356" a="1"/>
  <c r="G356" s="1"/>
  <c r="H357" a="1"/>
  <c r="H357" s="1"/>
  <c r="N357" s="1" a="1"/>
  <c r="N357" s="1"/>
  <c r="C357" s="1"/>
  <c r="G355" a="1"/>
  <c r="G355" s="1"/>
  <c r="H369" a="1"/>
  <c r="H369" s="1"/>
  <c r="N369" s="1" a="1"/>
  <c r="N369" s="1"/>
  <c r="C369" s="1"/>
  <c r="G367" a="1"/>
  <c r="G367" s="1"/>
  <c r="H365" a="1"/>
  <c r="H365" s="1"/>
  <c r="O365" s="1" a="1"/>
  <c r="O365" s="1"/>
  <c r="D365" s="1"/>
  <c r="G363" a="1"/>
  <c r="G363" s="1"/>
  <c r="H361" a="1"/>
  <c r="H361" s="1"/>
  <c r="L361" s="1" a="1"/>
  <c r="L361" s="1"/>
  <c r="G359" a="1"/>
  <c r="G359" s="1"/>
  <c r="S8" i="2"/>
  <c r="S13"/>
  <c r="S21"/>
  <c r="S24"/>
  <c r="P9"/>
  <c r="O7"/>
  <c r="S9"/>
  <c r="O14"/>
  <c r="S22"/>
  <c r="S18"/>
  <c r="S14"/>
  <c r="S10"/>
  <c r="S6"/>
  <c r="S16"/>
  <c r="S11"/>
  <c r="P17"/>
  <c r="S19"/>
  <c r="P25"/>
  <c r="S4"/>
  <c r="O6"/>
  <c r="O15"/>
  <c r="S17"/>
  <c r="O22"/>
  <c r="O23"/>
  <c r="S25"/>
  <c r="P5"/>
  <c r="S7"/>
  <c r="P10"/>
  <c r="P13"/>
  <c r="S15"/>
  <c r="P18"/>
  <c r="P21"/>
  <c r="S23"/>
  <c r="S28" i="6"/>
  <c r="H28"/>
  <c r="U28"/>
  <c r="G28"/>
  <c r="J28"/>
  <c r="I28"/>
  <c r="AK59" i="10"/>
  <c r="AJ9"/>
  <c r="AJ27" i="7"/>
  <c r="AQ27" s="1" a="1"/>
  <c r="AQ27" s="1"/>
  <c r="AK70" a="1"/>
  <c r="AK70" s="1"/>
  <c r="AJ26"/>
  <c r="AQ26" s="1" a="1"/>
  <c r="AQ26" s="1"/>
  <c r="AJ25"/>
  <c r="AQ25" s="1" a="1"/>
  <c r="AQ25" s="1"/>
  <c r="U29" i="6"/>
  <c r="I29"/>
  <c r="S29"/>
  <c r="G29"/>
  <c r="J29"/>
  <c r="H29"/>
  <c r="AJ28"/>
  <c r="AQ28" s="1" a="1"/>
  <c r="AQ28" s="1"/>
  <c r="AJ27"/>
  <c r="AQ27" s="1" a="1"/>
  <c r="AQ27" s="1"/>
  <c r="S26" i="10"/>
  <c r="H26"/>
  <c r="U26"/>
  <c r="I26"/>
  <c r="J26"/>
  <c r="G26"/>
  <c r="AJ10" i="8"/>
  <c r="AQ10" s="1" a="1"/>
  <c r="AQ10" s="1"/>
  <c r="AJ15" i="10"/>
  <c r="AU10" i="6"/>
  <c r="S10"/>
  <c r="I10"/>
  <c r="AS10"/>
  <c r="R10"/>
  <c r="W10" s="1"/>
  <c r="G10"/>
  <c r="AU11"/>
  <c r="S11"/>
  <c r="I11"/>
  <c r="AT11"/>
  <c r="U11"/>
  <c r="H11"/>
  <c r="G28" i="7"/>
  <c r="U28"/>
  <c r="I28"/>
  <c r="J28"/>
  <c r="S28"/>
  <c r="H28"/>
  <c r="AJ28"/>
  <c r="AQ28" s="1" a="1"/>
  <c r="AQ28" s="1"/>
  <c r="AJ9"/>
  <c r="AQ9" s="1" a="1"/>
  <c r="AQ9" s="1"/>
  <c r="AJ8"/>
  <c r="AQ8" s="1" a="1"/>
  <c r="AQ8" s="1"/>
  <c r="AK61"/>
  <c r="AJ29" s="1"/>
  <c r="AQ29" s="1" a="1"/>
  <c r="AQ29" s="1"/>
  <c r="AJ6"/>
  <c r="AQ7" s="1" a="1"/>
  <c r="AQ7" s="1"/>
  <c r="F7" s="1"/>
  <c r="AS6" i="8"/>
  <c r="V6"/>
  <c r="G6"/>
  <c r="AR6"/>
  <c r="H6"/>
  <c r="AT6"/>
  <c r="U6"/>
  <c r="I6"/>
  <c r="R6"/>
  <c r="G29" i="10"/>
  <c r="S29"/>
  <c r="H29"/>
  <c r="I29"/>
  <c r="U29"/>
  <c r="J29"/>
  <c r="U10" i="6"/>
  <c r="R11"/>
  <c r="W11" s="1"/>
  <c r="AJ6" i="10"/>
  <c r="AQ9" i="11" a="1"/>
  <c r="AQ9" s="1"/>
  <c r="F9" s="1"/>
  <c r="AS11" i="8"/>
  <c r="V11"/>
  <c r="G11"/>
  <c r="AR11"/>
  <c r="S11"/>
  <c r="I11"/>
  <c r="AT11"/>
  <c r="U11"/>
  <c r="J11"/>
  <c r="R11"/>
  <c r="W11" s="1"/>
  <c r="H11"/>
  <c r="S25" i="9"/>
  <c r="H25"/>
  <c r="U25"/>
  <c r="I25"/>
  <c r="J25"/>
  <c r="Q31" s="1"/>
  <c r="G25"/>
  <c r="AS19" i="10"/>
  <c r="V19"/>
  <c r="G19"/>
  <c r="AT19"/>
  <c r="R19"/>
  <c r="W19" s="1"/>
  <c r="H19"/>
  <c r="U19"/>
  <c r="I19"/>
  <c r="AR19"/>
  <c r="S19"/>
  <c r="J19"/>
  <c r="AJ21"/>
  <c r="AJ13"/>
  <c r="AJ7"/>
  <c r="AJ17"/>
  <c r="AQ17" s="1" a="1"/>
  <c r="AQ17" s="1"/>
  <c r="AJ12"/>
  <c r="AJ18"/>
  <c r="AQ18" s="1" a="1"/>
  <c r="AQ18" s="1"/>
  <c r="AJ14"/>
  <c r="AJ8"/>
  <c r="AK58"/>
  <c r="AJ29" s="1"/>
  <c r="AQ29" s="1" a="1"/>
  <c r="AQ29" s="1"/>
  <c r="AJ20"/>
  <c r="AQ20" s="1" a="1"/>
  <c r="AQ20" s="1"/>
  <c r="AJ16"/>
  <c r="AJ11"/>
  <c r="AQ7" i="11" a="1"/>
  <c r="AQ7" s="1"/>
  <c r="F7" s="1"/>
  <c r="AJ30" i="6"/>
  <c r="AQ30" s="1" a="1"/>
  <c r="AQ30" s="1"/>
  <c r="G31"/>
  <c r="J31"/>
  <c r="H31"/>
  <c r="AJ26"/>
  <c r="AQ26" s="1" a="1"/>
  <c r="AQ26" s="1"/>
  <c r="AJ25"/>
  <c r="AQ25" s="1" a="1"/>
  <c r="AQ25" s="1"/>
  <c r="AK59" i="8"/>
  <c r="AK69" s="1" a="1"/>
  <c r="AK69" s="1"/>
  <c r="AJ21"/>
  <c r="AJ20"/>
  <c r="AJ19"/>
  <c r="AJ18"/>
  <c r="AJ17"/>
  <c r="AJ16"/>
  <c r="AJ15"/>
  <c r="AJ14"/>
  <c r="AJ13"/>
  <c r="AQ13" s="1" a="1"/>
  <c r="AQ13" s="1"/>
  <c r="AJ8"/>
  <c r="AQ8" s="1" a="1"/>
  <c r="AQ8" s="1"/>
  <c r="AJ9"/>
  <c r="AQ9" s="1" a="1"/>
  <c r="AQ9" s="1"/>
  <c r="AJ12"/>
  <c r="AJ11"/>
  <c r="AQ11" s="1" a="1"/>
  <c r="AQ11" s="1"/>
  <c r="S30" i="10"/>
  <c r="H30"/>
  <c r="U30"/>
  <c r="I30"/>
  <c r="J30"/>
  <c r="G30"/>
  <c r="F8" i="11"/>
  <c r="AQ8" a="1"/>
  <c r="AQ8" s="1"/>
  <c r="AR11" i="6"/>
  <c r="AK69" a="1"/>
  <c r="AK69" s="1"/>
  <c r="AJ25" i="10"/>
  <c r="AQ25" s="1" a="1"/>
  <c r="AQ25" s="1"/>
  <c r="S29" i="7"/>
  <c r="H29"/>
  <c r="U30"/>
  <c r="I30"/>
  <c r="AS8" i="8"/>
  <c r="V8"/>
  <c r="G8"/>
  <c r="AS13"/>
  <c r="V13"/>
  <c r="G13"/>
  <c r="AT11" i="9"/>
  <c r="R11"/>
  <c r="W11" s="1"/>
  <c r="H11"/>
  <c r="AU11"/>
  <c r="S11"/>
  <c r="I11"/>
  <c r="AS20" i="10"/>
  <c r="V20"/>
  <c r="G20"/>
  <c r="AT20"/>
  <c r="R20"/>
  <c r="W20" s="1"/>
  <c r="H20"/>
  <c r="U20"/>
  <c r="I20"/>
  <c r="AQ10" i="11" a="1"/>
  <c r="AQ10" s="1"/>
  <c r="F10" s="1"/>
  <c r="J9" i="7"/>
  <c r="V9"/>
  <c r="J25"/>
  <c r="J26"/>
  <c r="AU8" i="8"/>
  <c r="J9"/>
  <c r="U9"/>
  <c r="AT9"/>
  <c r="AU13"/>
  <c r="U10" i="9"/>
  <c r="U11"/>
  <c r="AR11"/>
  <c r="U28"/>
  <c r="S17" i="10"/>
  <c r="AR17"/>
  <c r="AU20"/>
  <c r="U25" i="6"/>
  <c r="I25"/>
  <c r="AJ21"/>
  <c r="AJ20"/>
  <c r="AJ19"/>
  <c r="AJ18"/>
  <c r="AJ17"/>
  <c r="AJ16"/>
  <c r="AJ15"/>
  <c r="AJ14"/>
  <c r="AJ13"/>
  <c r="AJ12"/>
  <c r="AJ11"/>
  <c r="AQ11" s="1" a="1"/>
  <c r="AQ11" s="1"/>
  <c r="AJ10"/>
  <c r="AQ10" s="1" a="1"/>
  <c r="AQ10" s="1"/>
  <c r="AJ9"/>
  <c r="AJ8"/>
  <c r="AJ7"/>
  <c r="AJ6"/>
  <c r="AT8" i="7"/>
  <c r="R8"/>
  <c r="W8" s="1"/>
  <c r="H8"/>
  <c r="AS10" i="8"/>
  <c r="V10"/>
  <c r="G10"/>
  <c r="U25"/>
  <c r="I25"/>
  <c r="S25"/>
  <c r="G25"/>
  <c r="S28"/>
  <c r="H28"/>
  <c r="U28"/>
  <c r="I28"/>
  <c r="J28"/>
  <c r="G31"/>
  <c r="H31"/>
  <c r="I31"/>
  <c r="AT12" i="9"/>
  <c r="R12"/>
  <c r="W12" s="1"/>
  <c r="H12"/>
  <c r="AU12"/>
  <c r="S12"/>
  <c r="I12"/>
  <c r="AS12"/>
  <c r="V12"/>
  <c r="G12"/>
  <c r="AJ21"/>
  <c r="AJ20"/>
  <c r="AJ19"/>
  <c r="AJ18"/>
  <c r="AJ17"/>
  <c r="AJ16"/>
  <c r="AJ15"/>
  <c r="AJ14"/>
  <c r="AJ13"/>
  <c r="AQ13" s="1" a="1"/>
  <c r="AQ13" s="1"/>
  <c r="AJ12"/>
  <c r="AQ12" s="1" a="1"/>
  <c r="AQ12" s="1"/>
  <c r="AJ11"/>
  <c r="AQ11" s="1" a="1"/>
  <c r="AQ11" s="1"/>
  <c r="AJ10"/>
  <c r="AQ10" s="1" a="1"/>
  <c r="AQ10" s="1"/>
  <c r="AJ9"/>
  <c r="AJ8"/>
  <c r="AJ7"/>
  <c r="AJ6"/>
  <c r="AK58"/>
  <c r="AK69" s="1" a="1"/>
  <c r="AK69" s="1"/>
  <c r="AS18" i="10"/>
  <c r="V18"/>
  <c r="G18"/>
  <c r="AT18"/>
  <c r="R18"/>
  <c r="W18" s="1"/>
  <c r="H18"/>
  <c r="U18"/>
  <c r="I18"/>
  <c r="I27" i="6"/>
  <c r="U27"/>
  <c r="AR8" i="7"/>
  <c r="G9"/>
  <c r="S9"/>
  <c r="G25"/>
  <c r="G26"/>
  <c r="I29"/>
  <c r="H30"/>
  <c r="I8" i="8"/>
  <c r="S8"/>
  <c r="AR8"/>
  <c r="H9"/>
  <c r="AU10"/>
  <c r="I13"/>
  <c r="S13"/>
  <c r="AR13"/>
  <c r="AJ26"/>
  <c r="AQ26" s="1" a="1"/>
  <c r="AQ26" s="1"/>
  <c r="J11" i="9"/>
  <c r="G13"/>
  <c r="V13"/>
  <c r="AU18" i="10"/>
  <c r="AT9" i="7"/>
  <c r="R9"/>
  <c r="W9" s="1"/>
  <c r="H9"/>
  <c r="S25"/>
  <c r="H25"/>
  <c r="U26"/>
  <c r="I26"/>
  <c r="AS9" i="8"/>
  <c r="V9"/>
  <c r="G9"/>
  <c r="AT10" i="9"/>
  <c r="R10"/>
  <c r="W10" s="1"/>
  <c r="H10"/>
  <c r="AU10"/>
  <c r="S10"/>
  <c r="I10"/>
  <c r="AS10"/>
  <c r="V10"/>
  <c r="G10"/>
  <c r="AT13"/>
  <c r="R13"/>
  <c r="W13" s="1"/>
  <c r="H13"/>
  <c r="AU13"/>
  <c r="S13"/>
  <c r="I13"/>
  <c r="G28"/>
  <c r="S28"/>
  <c r="H28"/>
  <c r="I28"/>
  <c r="S29"/>
  <c r="H29"/>
  <c r="U29"/>
  <c r="I29"/>
  <c r="AS17" i="10"/>
  <c r="V17"/>
  <c r="G17"/>
  <c r="AT17"/>
  <c r="R17"/>
  <c r="W17" s="1"/>
  <c r="H17"/>
  <c r="U17"/>
  <c r="I17"/>
  <c r="AR9" i="7"/>
  <c r="AU9" i="8"/>
  <c r="AK70" a="1"/>
  <c r="AK70" s="1"/>
  <c r="U13" i="9"/>
  <c r="AR13"/>
  <c r="AU17" i="10"/>
  <c r="AK70" a="1"/>
  <c r="AK70" s="1"/>
  <c r="AQ6" i="11" a="1"/>
  <c r="AQ6" s="1"/>
  <c r="F6" s="1"/>
  <c r="H31"/>
  <c r="I31"/>
  <c r="G31"/>
  <c r="AJ21" i="13"/>
  <c r="AJ20"/>
  <c r="AJ19"/>
  <c r="AJ18"/>
  <c r="AQ18" s="1" a="1"/>
  <c r="AQ18" s="1"/>
  <c r="AJ17"/>
  <c r="AQ17" s="1" a="1"/>
  <c r="AQ17" s="1"/>
  <c r="AJ16"/>
  <c r="AJ15"/>
  <c r="AJ14"/>
  <c r="AJ13"/>
  <c r="AJ12"/>
  <c r="AJ11"/>
  <c r="AJ10"/>
  <c r="AJ9"/>
  <c r="AJ8"/>
  <c r="AQ8" s="1" a="1"/>
  <c r="AQ8" s="1"/>
  <c r="AJ7"/>
  <c r="AK58"/>
  <c r="AK69" s="1" a="1"/>
  <c r="AK69" s="1"/>
  <c r="AJ6"/>
  <c r="AJ9" i="14"/>
  <c r="AQ9" s="1" a="1"/>
  <c r="AQ9" s="1"/>
  <c r="AK66"/>
  <c r="AJ17"/>
  <c r="AQ17" s="1" a="1"/>
  <c r="AQ17" s="1"/>
  <c r="AJ21"/>
  <c r="AQ21" s="1" a="1"/>
  <c r="AQ21" s="1"/>
  <c r="AJ13"/>
  <c r="AQ13" s="1" a="1"/>
  <c r="AQ13" s="1"/>
  <c r="AJ8"/>
  <c r="AQ8" s="1" a="1"/>
  <c r="AQ8" s="1"/>
  <c r="AS15" i="15"/>
  <c r="V15"/>
  <c r="G15"/>
  <c r="AR15"/>
  <c r="S15"/>
  <c r="I15"/>
  <c r="AT15"/>
  <c r="U15"/>
  <c r="J15"/>
  <c r="R15"/>
  <c r="W15" s="1"/>
  <c r="H15"/>
  <c r="AU15"/>
  <c r="AK70" i="11" a="1"/>
  <c r="AK70" s="1"/>
  <c r="S28" i="12"/>
  <c r="H28"/>
  <c r="U28"/>
  <c r="I28"/>
  <c r="G28"/>
  <c r="AK70" a="1"/>
  <c r="AK70" s="1"/>
  <c r="AJ25"/>
  <c r="AQ25" s="1" a="1"/>
  <c r="AQ25" s="1"/>
  <c r="U25" i="13"/>
  <c r="I25"/>
  <c r="H25"/>
  <c r="J25"/>
  <c r="S25"/>
  <c r="G25"/>
  <c r="AJ28" i="15"/>
  <c r="AQ28" s="1" a="1"/>
  <c r="AQ28" s="1"/>
  <c r="AJ27"/>
  <c r="AQ27" s="1" a="1"/>
  <c r="AQ27" s="1"/>
  <c r="AJ30"/>
  <c r="AQ30" s="1" a="1"/>
  <c r="AQ30" s="1"/>
  <c r="AJ29"/>
  <c r="AQ29" s="1" a="1"/>
  <c r="AQ29" s="1"/>
  <c r="AK70" i="17" a="1"/>
  <c r="AK70" s="1"/>
  <c r="AJ25"/>
  <c r="AQ25" s="1" a="1"/>
  <c r="AQ25" s="1"/>
  <c r="AK58"/>
  <c r="AK69" s="1" a="1"/>
  <c r="AK69" s="1"/>
  <c r="AJ20"/>
  <c r="AQ20" s="1" a="1"/>
  <c r="AQ20" s="1"/>
  <c r="AJ16"/>
  <c r="AQ16" s="1" a="1"/>
  <c r="AQ16" s="1"/>
  <c r="AJ12"/>
  <c r="AQ12" s="1" a="1"/>
  <c r="AQ12" s="1"/>
  <c r="AJ8"/>
  <c r="AQ8" s="1" a="1"/>
  <c r="AQ8" s="1"/>
  <c r="AJ19"/>
  <c r="AQ19" s="1" a="1"/>
  <c r="AQ19" s="1"/>
  <c r="AJ15"/>
  <c r="AQ15" s="1" a="1"/>
  <c r="AQ15" s="1"/>
  <c r="AJ11"/>
  <c r="AQ11" s="1" a="1"/>
  <c r="AQ11" s="1"/>
  <c r="AJ7"/>
  <c r="AQ7" s="1" a="1"/>
  <c r="AQ7" s="1"/>
  <c r="AJ21"/>
  <c r="AQ21" s="1" a="1"/>
  <c r="AQ21" s="1"/>
  <c r="AJ17"/>
  <c r="AQ17" s="1" a="1"/>
  <c r="AQ17" s="1"/>
  <c r="AJ13"/>
  <c r="AQ13" s="1" a="1"/>
  <c r="AQ13" s="1"/>
  <c r="AJ9"/>
  <c r="AQ9" s="1" a="1"/>
  <c r="AQ9" s="1"/>
  <c r="AJ14"/>
  <c r="AQ14" s="1" a="1"/>
  <c r="AQ14" s="1"/>
  <c r="AJ6"/>
  <c r="AQ6" s="1" a="1"/>
  <c r="AQ6" s="1"/>
  <c r="AJ18"/>
  <c r="AQ18" s="1" a="1"/>
  <c r="AQ18" s="1"/>
  <c r="AJ10"/>
  <c r="AQ10" s="1" a="1"/>
  <c r="AQ10" s="1"/>
  <c r="G27" i="8"/>
  <c r="S27"/>
  <c r="H27"/>
  <c r="G25" i="10"/>
  <c r="S25"/>
  <c r="H25"/>
  <c r="S27" i="11"/>
  <c r="H27"/>
  <c r="U27"/>
  <c r="I27"/>
  <c r="G27"/>
  <c r="AJ21" i="12"/>
  <c r="AJ20"/>
  <c r="AJ19"/>
  <c r="AJ18"/>
  <c r="AJ17"/>
  <c r="AJ16"/>
  <c r="AQ16" s="1" a="1"/>
  <c r="AQ16" s="1"/>
  <c r="AJ15"/>
  <c r="AQ15" s="1" a="1"/>
  <c r="AQ15" s="1"/>
  <c r="AJ14"/>
  <c r="AQ14" s="1" a="1"/>
  <c r="AQ14" s="1"/>
  <c r="AJ13"/>
  <c r="AQ13" s="1" a="1"/>
  <c r="AQ13" s="1"/>
  <c r="AJ12"/>
  <c r="AQ12" s="1" a="1"/>
  <c r="AQ12" s="1"/>
  <c r="AJ11"/>
  <c r="AJ10"/>
  <c r="AJ9"/>
  <c r="AQ9" s="1" a="1"/>
  <c r="AQ9" s="1"/>
  <c r="AJ8"/>
  <c r="AJ7"/>
  <c r="AJ6"/>
  <c r="AK58"/>
  <c r="AK69" s="1" a="1"/>
  <c r="AK69" s="1"/>
  <c r="U27" i="8"/>
  <c r="U25" i="10"/>
  <c r="AJ26" i="11"/>
  <c r="AQ26" s="1" a="1"/>
  <c r="AQ26" s="1"/>
  <c r="AJ30" i="12"/>
  <c r="AQ30" s="1" a="1"/>
  <c r="AQ30" s="1"/>
  <c r="AK59" i="11"/>
  <c r="AK69" s="1" a="1"/>
  <c r="AK69" s="1"/>
  <c r="AJ21"/>
  <c r="AQ21" s="1" a="1"/>
  <c r="AQ21" s="1"/>
  <c r="AJ20"/>
  <c r="AQ20" s="1" a="1"/>
  <c r="AQ20" s="1"/>
  <c r="AJ19"/>
  <c r="AQ19" s="1" a="1"/>
  <c r="AQ19" s="1"/>
  <c r="AJ18"/>
  <c r="AQ18" s="1" a="1"/>
  <c r="AQ18" s="1"/>
  <c r="AJ17"/>
  <c r="AQ17" s="1" a="1"/>
  <c r="AQ17" s="1"/>
  <c r="AJ12"/>
  <c r="AJ11"/>
  <c r="AU17" i="13"/>
  <c r="S17"/>
  <c r="I17"/>
  <c r="AT17"/>
  <c r="U17"/>
  <c r="H17"/>
  <c r="V17"/>
  <c r="J17"/>
  <c r="AS17"/>
  <c r="R17"/>
  <c r="W17" s="1"/>
  <c r="G17"/>
  <c r="J31" i="11"/>
  <c r="AK70" i="13" a="1"/>
  <c r="AK70" s="1"/>
  <c r="AU8"/>
  <c r="S8"/>
  <c r="I8"/>
  <c r="AT6" i="14"/>
  <c r="V6"/>
  <c r="G6"/>
  <c r="AR6"/>
  <c r="R6"/>
  <c r="H6"/>
  <c r="AT8"/>
  <c r="R8"/>
  <c r="W8" s="1"/>
  <c r="H8"/>
  <c r="AS8"/>
  <c r="S8"/>
  <c r="G8"/>
  <c r="AU8"/>
  <c r="U8"/>
  <c r="I8"/>
  <c r="AT17"/>
  <c r="R17"/>
  <c r="W17" s="1"/>
  <c r="H17"/>
  <c r="AU17"/>
  <c r="U17"/>
  <c r="I17"/>
  <c r="V17"/>
  <c r="J17"/>
  <c r="AS17"/>
  <c r="S17"/>
  <c r="G17"/>
  <c r="U26"/>
  <c r="I26"/>
  <c r="H26"/>
  <c r="J26"/>
  <c r="S26"/>
  <c r="G26"/>
  <c r="W6" i="15"/>
  <c r="AS19"/>
  <c r="V19"/>
  <c r="G19"/>
  <c r="AR19"/>
  <c r="S19"/>
  <c r="I19"/>
  <c r="AT19"/>
  <c r="U19"/>
  <c r="J19"/>
  <c r="R19"/>
  <c r="W19" s="1"/>
  <c r="H19"/>
  <c r="I31"/>
  <c r="H31"/>
  <c r="J31"/>
  <c r="G31"/>
  <c r="J26" i="11"/>
  <c r="J30"/>
  <c r="J27" i="12"/>
  <c r="J31"/>
  <c r="AR8" i="13"/>
  <c r="S6" i="14"/>
  <c r="AS6"/>
  <c r="AR8"/>
  <c r="AK70" i="15" a="1"/>
  <c r="AK70" s="1"/>
  <c r="R31" i="17"/>
  <c r="AU18" i="13"/>
  <c r="S18"/>
  <c r="I18"/>
  <c r="S28"/>
  <c r="H28"/>
  <c r="U29"/>
  <c r="I29"/>
  <c r="AT13" i="14"/>
  <c r="R13"/>
  <c r="W13" s="1"/>
  <c r="H13"/>
  <c r="AU13"/>
  <c r="U13"/>
  <c r="I13"/>
  <c r="V13"/>
  <c r="J13"/>
  <c r="AS13"/>
  <c r="S13"/>
  <c r="G13"/>
  <c r="AT21"/>
  <c r="R21"/>
  <c r="W21" s="1"/>
  <c r="H21"/>
  <c r="AU21"/>
  <c r="U21"/>
  <c r="I21"/>
  <c r="V21"/>
  <c r="J21"/>
  <c r="AS21"/>
  <c r="S21"/>
  <c r="G21"/>
  <c r="S25"/>
  <c r="H25"/>
  <c r="I25"/>
  <c r="J25"/>
  <c r="U25"/>
  <c r="G25"/>
  <c r="AK70" a="1"/>
  <c r="AK70" s="1"/>
  <c r="AJ25"/>
  <c r="AQ25" s="1" a="1"/>
  <c r="AQ25" s="1"/>
  <c r="AJ19"/>
  <c r="AQ19" s="1" a="1"/>
  <c r="AQ19" s="1"/>
  <c r="AJ15"/>
  <c r="AQ15" s="1" a="1"/>
  <c r="AQ15" s="1"/>
  <c r="AJ11"/>
  <c r="AQ11" s="1" a="1"/>
  <c r="AQ11" s="1"/>
  <c r="AJ7"/>
  <c r="AQ7" s="1" a="1"/>
  <c r="AQ7" s="1"/>
  <c r="AJ18"/>
  <c r="AQ18" s="1" a="1"/>
  <c r="AQ18" s="1"/>
  <c r="AJ14"/>
  <c r="AQ14" s="1" a="1"/>
  <c r="AQ14" s="1"/>
  <c r="AJ10"/>
  <c r="AQ10" s="1" a="1"/>
  <c r="AQ10" s="1"/>
  <c r="AJ6"/>
  <c r="AQ6" s="1" a="1"/>
  <c r="AQ6" s="1"/>
  <c r="AJ20"/>
  <c r="AQ20" s="1" a="1"/>
  <c r="AQ20" s="1"/>
  <c r="AJ16"/>
  <c r="AQ16" s="1" a="1"/>
  <c r="AQ16" s="1"/>
  <c r="AJ12"/>
  <c r="AQ12" s="1" a="1"/>
  <c r="AQ12" s="1"/>
  <c r="AS11" i="15"/>
  <c r="V11"/>
  <c r="G11"/>
  <c r="AR11"/>
  <c r="S11"/>
  <c r="I11"/>
  <c r="AT11"/>
  <c r="U11"/>
  <c r="J11"/>
  <c r="R11"/>
  <c r="W11" s="1"/>
  <c r="H11"/>
  <c r="S30"/>
  <c r="H30"/>
  <c r="I30"/>
  <c r="J30"/>
  <c r="U30"/>
  <c r="G30"/>
  <c r="AK63"/>
  <c r="AK69" s="1" a="1"/>
  <c r="AK69" s="1"/>
  <c r="AJ20"/>
  <c r="AQ20" s="1" a="1"/>
  <c r="AQ20" s="1"/>
  <c r="AJ16"/>
  <c r="AQ16" s="1" a="1"/>
  <c r="AQ16" s="1"/>
  <c r="AJ12"/>
  <c r="AQ12" s="1" a="1"/>
  <c r="AQ12" s="1"/>
  <c r="AJ8"/>
  <c r="AQ8" s="1" a="1"/>
  <c r="AQ8" s="1"/>
  <c r="AJ17"/>
  <c r="AQ17" s="1" a="1"/>
  <c r="AQ17" s="1"/>
  <c r="AJ13"/>
  <c r="AQ13" s="1" a="1"/>
  <c r="AQ13" s="1"/>
  <c r="AJ9"/>
  <c r="AQ9" s="1" a="1"/>
  <c r="AQ9" s="1"/>
  <c r="AJ19"/>
  <c r="AQ19" s="1" a="1"/>
  <c r="AQ19" s="1"/>
  <c r="AJ15"/>
  <c r="AQ15" s="1" a="1"/>
  <c r="AQ15" s="1"/>
  <c r="AJ11"/>
  <c r="AQ11" s="1" a="1"/>
  <c r="AQ11" s="1"/>
  <c r="AJ7"/>
  <c r="AQ7" s="1" a="1"/>
  <c r="AQ7" s="1"/>
  <c r="J29" i="8"/>
  <c r="G27" i="9"/>
  <c r="G31"/>
  <c r="J27" i="10"/>
  <c r="J31"/>
  <c r="H26" i="11"/>
  <c r="S26"/>
  <c r="J28"/>
  <c r="H30"/>
  <c r="S30"/>
  <c r="J9" i="12"/>
  <c r="U9"/>
  <c r="AR9"/>
  <c r="J12"/>
  <c r="U12"/>
  <c r="AR12"/>
  <c r="J13"/>
  <c r="U13"/>
  <c r="AR13"/>
  <c r="J14"/>
  <c r="U14"/>
  <c r="AR14"/>
  <c r="J15"/>
  <c r="U15"/>
  <c r="AR15"/>
  <c r="J16"/>
  <c r="U16"/>
  <c r="AR16"/>
  <c r="J25"/>
  <c r="H27"/>
  <c r="S27"/>
  <c r="J29"/>
  <c r="H31"/>
  <c r="H8" i="13"/>
  <c r="U8"/>
  <c r="AT8"/>
  <c r="AR18"/>
  <c r="I31"/>
  <c r="J6" i="14"/>
  <c r="AU19" i="15"/>
  <c r="AT9" i="14"/>
  <c r="R9"/>
  <c r="W9" s="1"/>
  <c r="H9"/>
  <c r="AU9"/>
  <c r="U9"/>
  <c r="I9"/>
  <c r="V9"/>
  <c r="J9"/>
  <c r="AS7" i="15"/>
  <c r="V7"/>
  <c r="G7"/>
  <c r="AR7"/>
  <c r="S7"/>
  <c r="I7"/>
  <c r="AT7"/>
  <c r="U7"/>
  <c r="J7"/>
  <c r="R7"/>
  <c r="H7"/>
  <c r="G25"/>
  <c r="U25"/>
  <c r="I25"/>
  <c r="J25"/>
  <c r="S25"/>
  <c r="H25"/>
  <c r="I29" i="8"/>
  <c r="I27" i="10"/>
  <c r="J17" i="11"/>
  <c r="U17"/>
  <c r="J18"/>
  <c r="U18"/>
  <c r="J19"/>
  <c r="U19"/>
  <c r="J20"/>
  <c r="U20"/>
  <c r="J21"/>
  <c r="U21"/>
  <c r="AJ25"/>
  <c r="AQ25" s="1" a="1"/>
  <c r="AQ25" s="1"/>
  <c r="I28"/>
  <c r="I9" i="12"/>
  <c r="S9"/>
  <c r="I12"/>
  <c r="S12"/>
  <c r="I13"/>
  <c r="S13"/>
  <c r="I14"/>
  <c r="S14"/>
  <c r="I15"/>
  <c r="S15"/>
  <c r="I16"/>
  <c r="S16"/>
  <c r="I25"/>
  <c r="I29"/>
  <c r="G8" i="13"/>
  <c r="R8"/>
  <c r="W8" s="1"/>
  <c r="AS8"/>
  <c r="J18"/>
  <c r="V18"/>
  <c r="J28"/>
  <c r="J29"/>
  <c r="H31"/>
  <c r="I6" i="14"/>
  <c r="U6"/>
  <c r="AU6"/>
  <c r="J8"/>
  <c r="AS9"/>
  <c r="AR17"/>
  <c r="AK58"/>
  <c r="AJ30" s="1"/>
  <c r="AQ30" s="1" a="1"/>
  <c r="AQ30" s="1"/>
  <c r="AJ26" i="15"/>
  <c r="AQ26" s="1" a="1"/>
  <c r="AQ26" s="1"/>
  <c r="AT12" i="14"/>
  <c r="R12"/>
  <c r="W12" s="1"/>
  <c r="H12"/>
  <c r="AT16"/>
  <c r="R16"/>
  <c r="W16" s="1"/>
  <c r="H16"/>
  <c r="AT20"/>
  <c r="R20"/>
  <c r="W20" s="1"/>
  <c r="H20"/>
  <c r="AS8" i="15"/>
  <c r="V8"/>
  <c r="G8"/>
  <c r="AS12"/>
  <c r="V12"/>
  <c r="G12"/>
  <c r="AS16"/>
  <c r="V16"/>
  <c r="G16"/>
  <c r="AS20"/>
  <c r="V20"/>
  <c r="G20"/>
  <c r="S26"/>
  <c r="H26"/>
  <c r="U27"/>
  <c r="I27"/>
  <c r="AR12" i="14"/>
  <c r="AR16"/>
  <c r="AR20"/>
  <c r="AU8" i="15"/>
  <c r="J9"/>
  <c r="U9"/>
  <c r="AT9"/>
  <c r="AU12"/>
  <c r="J13"/>
  <c r="U13"/>
  <c r="AT13"/>
  <c r="AU16"/>
  <c r="J17"/>
  <c r="U17"/>
  <c r="AT17"/>
  <c r="AU20"/>
  <c r="J21"/>
  <c r="U21"/>
  <c r="AT21"/>
  <c r="AQ22" i="17" a="1"/>
  <c r="AQ22" s="1"/>
  <c r="AT10" i="14"/>
  <c r="R10"/>
  <c r="W10" s="1"/>
  <c r="H10"/>
  <c r="AT14"/>
  <c r="R14"/>
  <c r="W14" s="1"/>
  <c r="H14"/>
  <c r="AT18"/>
  <c r="R18"/>
  <c r="W18" s="1"/>
  <c r="H18"/>
  <c r="S29"/>
  <c r="H29"/>
  <c r="U30"/>
  <c r="I30"/>
  <c r="AS6" i="15"/>
  <c r="V6"/>
  <c r="G6"/>
  <c r="AS10"/>
  <c r="V10"/>
  <c r="G10"/>
  <c r="AS14"/>
  <c r="V14"/>
  <c r="G14"/>
  <c r="AS18"/>
  <c r="V18"/>
  <c r="G18"/>
  <c r="U28" i="17"/>
  <c r="I28"/>
  <c r="G28"/>
  <c r="G7" i="14"/>
  <c r="S7"/>
  <c r="AR10"/>
  <c r="G11"/>
  <c r="S11"/>
  <c r="I12"/>
  <c r="U12"/>
  <c r="AU12"/>
  <c r="AR14"/>
  <c r="G15"/>
  <c r="S15"/>
  <c r="I16"/>
  <c r="U16"/>
  <c r="AU16"/>
  <c r="AR18"/>
  <c r="G19"/>
  <c r="S19"/>
  <c r="I20"/>
  <c r="U20"/>
  <c r="AU20"/>
  <c r="H28"/>
  <c r="S28"/>
  <c r="AU6" i="15"/>
  <c r="I8"/>
  <c r="S8"/>
  <c r="AR8"/>
  <c r="H9"/>
  <c r="AU10"/>
  <c r="I12"/>
  <c r="S12"/>
  <c r="AR12"/>
  <c r="H13"/>
  <c r="AU14"/>
  <c r="I16"/>
  <c r="S16"/>
  <c r="AR16"/>
  <c r="H17"/>
  <c r="AU18"/>
  <c r="I20"/>
  <c r="S20"/>
  <c r="AR20"/>
  <c r="H21"/>
  <c r="AJ21"/>
  <c r="AQ21" s="1" a="1"/>
  <c r="AQ21" s="1"/>
  <c r="AJ25"/>
  <c r="AQ25" s="1" a="1"/>
  <c r="AQ25" s="1"/>
  <c r="I26"/>
  <c r="H27"/>
  <c r="S28" i="17"/>
  <c r="AT7" i="14"/>
  <c r="R7"/>
  <c r="W7" s="1"/>
  <c r="H7"/>
  <c r="AT11"/>
  <c r="R11"/>
  <c r="W11" s="1"/>
  <c r="H11"/>
  <c r="AT15"/>
  <c r="R15"/>
  <c r="W15" s="1"/>
  <c r="H15"/>
  <c r="AT19"/>
  <c r="R19"/>
  <c r="W19" s="1"/>
  <c r="H19"/>
  <c r="AS9" i="15"/>
  <c r="V9"/>
  <c r="G9"/>
  <c r="AS13"/>
  <c r="V13"/>
  <c r="G13"/>
  <c r="AS17"/>
  <c r="V17"/>
  <c r="G17"/>
  <c r="AS21"/>
  <c r="V21"/>
  <c r="G21"/>
  <c r="S22" i="17"/>
  <c r="F22"/>
  <c r="G26"/>
  <c r="U26"/>
  <c r="I26"/>
  <c r="G30"/>
  <c r="U30"/>
  <c r="I30"/>
  <c r="AR7" i="14"/>
  <c r="AR11"/>
  <c r="G12"/>
  <c r="S12"/>
  <c r="AS12"/>
  <c r="AR15"/>
  <c r="G16"/>
  <c r="S16"/>
  <c r="AS16"/>
  <c r="AR19"/>
  <c r="G20"/>
  <c r="S20"/>
  <c r="AS20"/>
  <c r="AU9" i="15"/>
  <c r="AU13"/>
  <c r="AU17"/>
  <c r="AU21"/>
  <c r="S26" i="17"/>
  <c r="S30"/>
  <c r="R40"/>
  <c r="W6"/>
  <c r="M22"/>
  <c r="Q22"/>
  <c r="J27"/>
  <c r="J31"/>
  <c r="J6"/>
  <c r="U6"/>
  <c r="J7"/>
  <c r="U7"/>
  <c r="J8"/>
  <c r="U8"/>
  <c r="J9"/>
  <c r="U9"/>
  <c r="J10"/>
  <c r="U10"/>
  <c r="J11"/>
  <c r="U11"/>
  <c r="J12"/>
  <c r="U12"/>
  <c r="J13"/>
  <c r="U13"/>
  <c r="J14"/>
  <c r="U14"/>
  <c r="J15"/>
  <c r="U15"/>
  <c r="J16"/>
  <c r="U16"/>
  <c r="J17"/>
  <c r="U17"/>
  <c r="J18"/>
  <c r="U18"/>
  <c r="J19"/>
  <c r="U19"/>
  <c r="J20"/>
  <c r="U20"/>
  <c r="J21"/>
  <c r="U21"/>
  <c r="H27"/>
  <c r="H16" i="5" a="1"/>
  <c r="H14" a="1"/>
  <c r="G55" a="1"/>
  <c r="G57" a="1"/>
  <c r="H54" a="1"/>
  <c r="H88" a="1"/>
  <c r="H94" a="1"/>
  <c r="H40" a="1"/>
  <c r="H38" a="1"/>
  <c r="H72" a="1"/>
  <c r="H78" a="1"/>
  <c r="H135" a="1"/>
  <c r="H126" a="1"/>
  <c r="G23" a="1"/>
  <c r="G25" a="1"/>
  <c r="H101" a="1"/>
  <c r="H103" a="1"/>
  <c r="H147" a="1"/>
  <c r="G154" a="1"/>
  <c r="H12" a="1"/>
  <c r="H5" a="1"/>
  <c r="H52" a="1"/>
  <c r="G83" a="1"/>
  <c r="H83" a="1"/>
  <c r="G38" a="1"/>
  <c r="H42" a="1"/>
  <c r="G67" a="1"/>
  <c r="H67" a="1"/>
  <c r="H144" a="1"/>
  <c r="H136" a="1"/>
  <c r="G123" a="1"/>
  <c r="G120" a="1"/>
  <c r="G22" a="1"/>
  <c r="H34" a="1"/>
  <c r="G99" a="1"/>
  <c r="H99" a="1"/>
  <c r="G159" a="1"/>
  <c r="G152" a="1"/>
  <c r="G33" a="1"/>
  <c r="H112" a="1"/>
  <c r="G155" a="1"/>
  <c r="G160" a="1"/>
  <c r="G17" a="1"/>
  <c r="G6" a="1"/>
  <c r="G62" a="1"/>
  <c r="G64" a="1"/>
  <c r="G91" a="1"/>
  <c r="G93" a="1"/>
  <c r="H90" a="1"/>
  <c r="H44" a="1"/>
  <c r="G75" a="1"/>
  <c r="G77" a="1"/>
  <c r="H74" a="1"/>
  <c r="H134" a="1"/>
  <c r="G126" a="1"/>
  <c r="G121" a="1"/>
  <c r="H25" a="1"/>
  <c r="H27" a="1"/>
  <c r="G110" a="1"/>
  <c r="G112" a="1"/>
  <c r="H162" a="1"/>
  <c r="H149" a="1"/>
  <c r="G150" a="1"/>
  <c r="H8" a="1"/>
  <c r="G8" a="1"/>
  <c r="H64" a="1"/>
  <c r="G95" a="1"/>
  <c r="G97" a="1"/>
  <c r="G47" a="1"/>
  <c r="G49" a="1"/>
  <c r="G79" a="1"/>
  <c r="G81" a="1"/>
  <c r="G143" a="1"/>
  <c r="G133" a="1"/>
  <c r="G141" a="1"/>
  <c r="H128" a="1"/>
  <c r="H120" a="1"/>
  <c r="H122" a="1"/>
  <c r="G34" a="1"/>
  <c r="G114" a="1"/>
  <c r="H153" a="1"/>
  <c r="G18" a="1"/>
  <c r="H6" a="1"/>
  <c r="H58" a="1"/>
  <c r="H98" a="1"/>
  <c r="G40" a="1"/>
  <c r="H82" a="1"/>
  <c r="H131" a="1"/>
  <c r="G128" a="1"/>
  <c r="G103" a="1"/>
  <c r="G147" a="1"/>
  <c r="G14" a="1"/>
  <c r="G54" a="1"/>
  <c r="H97" a="1"/>
  <c r="G35" a="1"/>
  <c r="H81" a="1"/>
  <c r="G131" a="1"/>
  <c r="H129" a="1"/>
  <c r="G19" a="1"/>
  <c r="H113" a="1"/>
  <c r="H160" a="1"/>
  <c r="H32" a="1"/>
  <c r="H159" a="1"/>
  <c r="H152" a="1"/>
  <c r="H10" a="1"/>
  <c r="H59" a="1"/>
  <c r="H92" a="1"/>
  <c r="G46" a="1"/>
  <c r="H76" a="1"/>
  <c r="G145" a="1"/>
  <c r="H116" a="1"/>
  <c r="G29" a="1"/>
  <c r="H107" a="1"/>
  <c r="G151" a="1"/>
  <c r="G10" a="1"/>
  <c r="G66" a="1"/>
  <c r="H96" a="1"/>
  <c r="H48" a="1"/>
  <c r="H80" a="1"/>
  <c r="G146" a="1"/>
  <c r="H125" a="1"/>
  <c r="G125" a="1"/>
  <c r="G111" a="1"/>
  <c r="AB4" i="4"/>
  <c r="G89" i="5" a="1"/>
  <c r="G71" a="1"/>
  <c r="G135" a="1"/>
  <c r="G117" a="1"/>
  <c r="H23" a="1"/>
  <c r="H114" a="1"/>
  <c r="G9" a="1"/>
  <c r="G53" a="1"/>
  <c r="H86" a="1"/>
  <c r="G48" a="1"/>
  <c r="G68" a="1"/>
  <c r="H146" a="1"/>
  <c r="H118" a="1"/>
  <c r="G24" a="1"/>
  <c r="G100" a="1"/>
  <c r="H155" a="1"/>
  <c r="G113" a="1"/>
  <c r="AB5" i="4"/>
  <c r="G56" i="5" a="1"/>
  <c r="H91" a="1"/>
  <c r="G45" a="1"/>
  <c r="H75" a="1"/>
  <c r="H138" a="1"/>
  <c r="H119" a="1"/>
  <c r="H30" a="1"/>
  <c r="G161" a="1"/>
  <c r="G15" a="1"/>
  <c r="G63" a="1"/>
  <c r="H93" a="1"/>
  <c r="H45" a="1"/>
  <c r="H77" a="1"/>
  <c r="H141" a="1"/>
  <c r="G144" a="1"/>
  <c r="G124" a="1"/>
  <c r="H130" a="1"/>
  <c r="H111" a="1"/>
  <c r="G16" a="1"/>
  <c r="H56" a="1"/>
  <c r="G90" a="1"/>
  <c r="G42" a="1"/>
  <c r="G74" a="1"/>
  <c r="G129" a="1"/>
  <c r="H24" a="1"/>
  <c r="G105" a="1"/>
  <c r="G153" a="1"/>
  <c r="H18" a="1"/>
  <c r="G85" a="1"/>
  <c r="H35" a="1"/>
  <c r="G69" a="1"/>
  <c r="H139" a="1"/>
  <c r="H124" a="1"/>
  <c r="H19" a="1"/>
  <c r="G101" a="1"/>
  <c r="G148" a="1"/>
  <c r="H109" a="1"/>
  <c r="H9" a="1"/>
  <c r="H57" a="1"/>
  <c r="G52" a="1"/>
  <c r="G92" a="1"/>
  <c r="G36" a="1"/>
  <c r="G76" a="1"/>
  <c r="H143" a="1"/>
  <c r="G27" a="1"/>
  <c r="H105" a="1"/>
  <c r="H102" a="1"/>
  <c r="H154" a="1"/>
  <c r="G3" a="1"/>
  <c r="G60" a="1"/>
  <c r="G84" a="1"/>
  <c r="H46" a="1"/>
  <c r="H70" a="1"/>
  <c r="G138" a="1"/>
  <c r="G122" a="1"/>
  <c r="G31" a="1"/>
  <c r="G158" a="1"/>
  <c r="AB10" i="4"/>
  <c r="H11" i="5" a="1"/>
  <c r="H4" a="1"/>
  <c r="G58" a="1"/>
  <c r="H66" a="1"/>
  <c r="H85" a="1"/>
  <c r="H87" a="1"/>
  <c r="H37" a="1"/>
  <c r="H39" a="1"/>
  <c r="H69" a="1"/>
  <c r="H71" a="1"/>
  <c r="H133" a="1"/>
  <c r="H142" a="1"/>
  <c r="H115" a="1"/>
  <c r="G26" a="1"/>
  <c r="G32" a="1"/>
  <c r="H104" a="1"/>
  <c r="H110" a="1"/>
  <c r="H148" a="1"/>
  <c r="H17" a="1"/>
  <c r="H7" a="1"/>
  <c r="G51" a="1"/>
  <c r="H51" a="1"/>
  <c r="H84" a="1"/>
  <c r="H49" a="1"/>
  <c r="G37" a="1"/>
  <c r="G44" a="1"/>
  <c r="H68" a="1"/>
  <c r="H145" a="1"/>
  <c r="G136" a="1"/>
  <c r="H140" a="1"/>
  <c r="G130" a="1"/>
  <c r="H33" a="1"/>
  <c r="G21" a="1"/>
  <c r="G20" a="1"/>
  <c r="H100" a="1"/>
  <c r="H161" a="1"/>
  <c r="G156" a="1"/>
  <c r="H29" a="1"/>
  <c r="H22" a="1"/>
  <c r="H156" a="1"/>
  <c r="G149" a="1"/>
  <c r="G11" a="1"/>
  <c r="G12" a="1"/>
  <c r="G59" a="1"/>
  <c r="G61" a="1"/>
  <c r="H62" a="1"/>
  <c r="G94" a="1"/>
  <c r="G96" a="1"/>
  <c r="H41" a="1"/>
  <c r="H43" a="1"/>
  <c r="G78" a="1"/>
  <c r="G80" a="1"/>
  <c r="H137" a="1"/>
  <c r="G137" a="1"/>
  <c r="G118" a="1"/>
  <c r="H127" a="1"/>
  <c r="H28" a="1"/>
  <c r="G107" a="1"/>
  <c r="G109" a="1"/>
  <c r="H106" a="1"/>
  <c r="G157" a="1"/>
  <c r="H150" a="1"/>
  <c r="H13" a="1"/>
  <c r="H3" a="1"/>
  <c r="H61" a="1"/>
  <c r="H63" a="1"/>
  <c r="G98" a="1"/>
  <c r="G88" a="1"/>
  <c r="G50" a="1"/>
  <c r="H50" a="1"/>
  <c r="G82" a="1"/>
  <c r="G72" a="1"/>
  <c r="G142" a="1"/>
  <c r="G134" a="1"/>
  <c r="G127" a="1"/>
  <c r="H117" a="1"/>
  <c r="H123" a="1"/>
  <c r="G116" a="1"/>
  <c r="H26" a="1"/>
  <c r="G104" a="1"/>
  <c r="AB7" i="4"/>
  <c r="G13" i="5" a="1"/>
  <c r="G7" a="1"/>
  <c r="H53" a="1"/>
  <c r="H55" a="1"/>
  <c r="G87" a="1"/>
  <c r="G39" a="1"/>
  <c r="G41" a="1"/>
  <c r="G73" a="1"/>
  <c r="H132" a="1"/>
  <c r="H21" a="1"/>
  <c r="G106" a="1"/>
  <c r="H151" a="1"/>
  <c r="H65" a="1"/>
  <c r="G86" a="1"/>
  <c r="H36" a="1"/>
  <c r="G70" a="1"/>
  <c r="G132" a="1"/>
  <c r="H121" a="1"/>
  <c r="H20" a="1"/>
  <c r="G102" a="1"/>
  <c r="H157" a="1"/>
  <c r="G28" a="1"/>
  <c r="H158" a="1"/>
  <c r="H15" a="1"/>
  <c r="G4" a="1"/>
  <c r="H60" a="1"/>
  <c r="H89" a="1"/>
  <c r="G43" a="1"/>
  <c r="H73" a="1"/>
  <c r="G139" a="1"/>
  <c r="G115" a="1"/>
  <c r="G30" a="1"/>
  <c r="H108" a="1"/>
  <c r="G108" a="1"/>
  <c r="G162" a="1"/>
  <c r="G5" a="1"/>
  <c r="G65" a="1"/>
  <c r="H95" a="1"/>
  <c r="H47" a="1"/>
  <c r="H79" a="1"/>
  <c r="G140" a="1"/>
  <c r="G119" a="1"/>
  <c r="H31" a="1"/>
  <c r="AB8" i="4"/>
  <c r="AB11"/>
  <c r="N374" i="5" l="1" a="1"/>
  <c r="N374" s="1"/>
  <c r="C374" s="1"/>
  <c r="L372" a="1"/>
  <c r="L372" s="1"/>
  <c r="M315" a="1"/>
  <c r="M315" s="1"/>
  <c r="B315" s="1"/>
  <c r="O315" a="1"/>
  <c r="O315" s="1"/>
  <c r="D315" s="1"/>
  <c r="N315" a="1"/>
  <c r="N315" s="1"/>
  <c r="C315" s="1"/>
  <c r="L257" a="1"/>
  <c r="L257" s="1"/>
  <c r="F22" i="15"/>
  <c r="Q31"/>
  <c r="Q31" i="7"/>
  <c r="L364" i="5" a="1"/>
  <c r="L364" s="1"/>
  <c r="L233" a="1"/>
  <c r="L233" s="1"/>
  <c r="N215" a="1"/>
  <c r="N215" s="1"/>
  <c r="C215" s="1"/>
  <c r="O187" a="1"/>
  <c r="O187" s="1"/>
  <c r="D187" s="1"/>
  <c r="L187" a="1"/>
  <c r="L187" s="1"/>
  <c r="L296" a="1"/>
  <c r="L296" s="1"/>
  <c r="L220" a="1"/>
  <c r="L220" s="1"/>
  <c r="A220" s="1"/>
  <c r="O14" i="4" a="1"/>
  <c r="O14" s="1"/>
  <c r="O8" a="1"/>
  <c r="O8" s="1"/>
  <c r="L242" i="5" a="1"/>
  <c r="L242" s="1"/>
  <c r="U20" i="4" a="1"/>
  <c r="U20" s="1"/>
  <c r="T14" a="1"/>
  <c r="T14" s="1"/>
  <c r="T10" a="1"/>
  <c r="T10" s="1"/>
  <c r="O9" a="1"/>
  <c r="O9" s="1"/>
  <c r="U9" a="1"/>
  <c r="U9" s="1"/>
  <c r="F42" i="12"/>
  <c r="R41" s="1"/>
  <c r="M211" i="5" a="1"/>
  <c r="M211" s="1"/>
  <c r="B211" s="1"/>
  <c r="N294" a="1"/>
  <c r="N294" s="1"/>
  <c r="C294" s="1"/>
  <c r="L291" a="1"/>
  <c r="L291" s="1"/>
  <c r="A291" s="1"/>
  <c r="L378" a="1"/>
  <c r="L378" s="1"/>
  <c r="A378" s="1"/>
  <c r="M391" a="1"/>
  <c r="M391" s="1"/>
  <c r="B391" s="1"/>
  <c r="N328" a="1"/>
  <c r="N328" s="1"/>
  <c r="C328" s="1"/>
  <c r="L204" a="1"/>
  <c r="L204" s="1"/>
  <c r="L195" a="1"/>
  <c r="L195" s="1"/>
  <c r="L290" a="1"/>
  <c r="L290" s="1"/>
  <c r="L185" a="1"/>
  <c r="L185" s="1"/>
  <c r="N295" a="1"/>
  <c r="N295" s="1"/>
  <c r="C295" s="1"/>
  <c r="L316" a="1"/>
  <c r="L316" s="1"/>
  <c r="Q316" s="1"/>
  <c r="F316" s="1"/>
  <c r="N392" a="1"/>
  <c r="N392" s="1"/>
  <c r="C392" s="1"/>
  <c r="N213" a="1"/>
  <c r="N213" s="1"/>
  <c r="C213" s="1"/>
  <c r="U25" i="4" a="1"/>
  <c r="U25" s="1"/>
  <c r="U10" a="1"/>
  <c r="U10" s="1"/>
  <c r="W10" s="1"/>
  <c r="T8" a="1"/>
  <c r="T8" s="1"/>
  <c r="AJ29" i="12"/>
  <c r="AQ29" s="1" a="1"/>
  <c r="AQ29" s="1"/>
  <c r="O376" i="5" a="1"/>
  <c r="O376" s="1"/>
  <c r="D376" s="1"/>
  <c r="O390" a="1"/>
  <c r="O390" s="1"/>
  <c r="D390" s="1"/>
  <c r="O247" a="1"/>
  <c r="O247" s="1"/>
  <c r="D247" s="1"/>
  <c r="P192" a="1"/>
  <c r="P192" s="1"/>
  <c r="E192" s="1"/>
  <c r="O3" i="4" a="1"/>
  <c r="O3" s="1"/>
  <c r="AQ14" i="11" a="1"/>
  <c r="AQ14" s="1"/>
  <c r="F14" s="1"/>
  <c r="U14" s="1"/>
  <c r="AJ26" i="12"/>
  <c r="AQ26" s="1" a="1"/>
  <c r="AQ26" s="1"/>
  <c r="AJ28"/>
  <c r="AQ28" s="1" a="1"/>
  <c r="AQ28" s="1"/>
  <c r="Q31" i="6"/>
  <c r="Q31" i="17"/>
  <c r="N359" i="5" a="1"/>
  <c r="N359" s="1"/>
  <c r="C359" s="1"/>
  <c r="L305" a="1"/>
  <c r="L305" s="1"/>
  <c r="M242" a="1"/>
  <c r="M242" s="1"/>
  <c r="B242" s="1"/>
  <c r="O169" a="1"/>
  <c r="O169" s="1"/>
  <c r="D169" s="1"/>
  <c r="L169" a="1"/>
  <c r="L169" s="1"/>
  <c r="N376" a="1"/>
  <c r="N376" s="1"/>
  <c r="C376" s="1"/>
  <c r="N390" a="1"/>
  <c r="N390" s="1"/>
  <c r="C390" s="1"/>
  <c r="N401" a="1"/>
  <c r="N401" s="1"/>
  <c r="C401" s="1"/>
  <c r="L347" a="1"/>
  <c r="L347" s="1"/>
  <c r="L289" a="1"/>
  <c r="L289" s="1"/>
  <c r="U26" i="4" a="1"/>
  <c r="U26" s="1"/>
  <c r="U23" a="1"/>
  <c r="U23" s="1"/>
  <c r="M380" i="5" a="1"/>
  <c r="M380" s="1"/>
  <c r="B380" s="1"/>
  <c r="P380" a="1"/>
  <c r="P380" s="1"/>
  <c r="E380" s="1"/>
  <c r="M316" a="1"/>
  <c r="M316" s="1"/>
  <c r="B316" s="1"/>
  <c r="N188" a="1"/>
  <c r="N188" s="1"/>
  <c r="C188" s="1"/>
  <c r="M356" a="1"/>
  <c r="M356" s="1"/>
  <c r="B356" s="1"/>
  <c r="L235" a="1"/>
  <c r="L235" s="1"/>
  <c r="N166" a="1"/>
  <c r="N166" s="1"/>
  <c r="C166" s="1"/>
  <c r="M166" a="1"/>
  <c r="M166" s="1"/>
  <c r="B166" s="1"/>
  <c r="L178" a="1"/>
  <c r="L178" s="1"/>
  <c r="L380" a="1"/>
  <c r="L380" s="1"/>
  <c r="L267" a="1"/>
  <c r="L267" s="1"/>
  <c r="N391" a="1"/>
  <c r="N391" s="1"/>
  <c r="C391" s="1"/>
  <c r="L324" a="1"/>
  <c r="L324" s="1"/>
  <c r="L339" a="1"/>
  <c r="L339" s="1"/>
  <c r="N344" a="1"/>
  <c r="N344" s="1"/>
  <c r="C344" s="1"/>
  <c r="N246" a="1"/>
  <c r="N246" s="1"/>
  <c r="C246" s="1"/>
  <c r="L243" a="1"/>
  <c r="L243" s="1"/>
  <c r="L217" a="1"/>
  <c r="L217" s="1"/>
  <c r="M182" a="1"/>
  <c r="M182" s="1"/>
  <c r="B182" s="1"/>
  <c r="N185" a="1"/>
  <c r="N185" s="1"/>
  <c r="C185" s="1"/>
  <c r="N190" a="1"/>
  <c r="N190" s="1"/>
  <c r="C190" s="1"/>
  <c r="O26" i="4" a="1"/>
  <c r="O26" s="1"/>
  <c r="U21" a="1"/>
  <c r="U21" s="1"/>
  <c r="M331" i="5" a="1"/>
  <c r="M331" s="1"/>
  <c r="B331" s="1"/>
  <c r="M219" a="1"/>
  <c r="M219" s="1"/>
  <c r="B219" s="1"/>
  <c r="P8" i="4" a="1"/>
  <c r="P8" s="1"/>
  <c r="O7" a="1"/>
  <c r="O7" s="1"/>
  <c r="R7" s="1"/>
  <c r="P7" a="1"/>
  <c r="P7" s="1"/>
  <c r="S7" s="1"/>
  <c r="O227" i="5" a="1"/>
  <c r="O227" s="1"/>
  <c r="D227" s="1"/>
  <c r="O178" a="1"/>
  <c r="O178" s="1"/>
  <c r="D178" s="1"/>
  <c r="O372" a="1"/>
  <c r="O372" s="1"/>
  <c r="D372" s="1"/>
  <c r="P392" a="1"/>
  <c r="P392" s="1"/>
  <c r="E392" s="1"/>
  <c r="O324" a="1"/>
  <c r="O324" s="1"/>
  <c r="D324" s="1"/>
  <c r="L280" a="1"/>
  <c r="L280" s="1"/>
  <c r="M275" a="1"/>
  <c r="M275" s="1"/>
  <c r="B275" s="1"/>
  <c r="O226" a="1"/>
  <c r="O226" s="1"/>
  <c r="D226" s="1"/>
  <c r="M226" a="1"/>
  <c r="M226" s="1"/>
  <c r="B226" s="1"/>
  <c r="N226" a="1"/>
  <c r="N226" s="1"/>
  <c r="C226" s="1"/>
  <c r="N211" a="1"/>
  <c r="N211" s="1"/>
  <c r="C211" s="1"/>
  <c r="L355" a="1"/>
  <c r="L355" s="1"/>
  <c r="A355" s="1"/>
  <c r="N230" a="1"/>
  <c r="N230" s="1"/>
  <c r="C230" s="1"/>
  <c r="N242" a="1"/>
  <c r="N242" s="1"/>
  <c r="C242" s="1"/>
  <c r="N375" a="1"/>
  <c r="N375" s="1"/>
  <c r="C375" s="1"/>
  <c r="L318" a="1"/>
  <c r="L318" s="1"/>
  <c r="A318" s="1"/>
  <c r="L400" a="1"/>
  <c r="L400" s="1"/>
  <c r="O400" a="1"/>
  <c r="O400" s="1"/>
  <c r="D400" s="1"/>
  <c r="N323" a="1"/>
  <c r="N323" s="1"/>
  <c r="C323" s="1"/>
  <c r="M324" a="1"/>
  <c r="M324" s="1"/>
  <c r="B324" s="1"/>
  <c r="M328" a="1"/>
  <c r="M328" s="1"/>
  <c r="B328" s="1"/>
  <c r="N324" a="1"/>
  <c r="N324" s="1"/>
  <c r="C324" s="1"/>
  <c r="M340" a="1"/>
  <c r="M340" s="1"/>
  <c r="B340" s="1"/>
  <c r="L275" a="1"/>
  <c r="L275" s="1"/>
  <c r="A275" s="1"/>
  <c r="N245" a="1"/>
  <c r="N245" s="1"/>
  <c r="C245" s="1"/>
  <c r="L249" a="1"/>
  <c r="L249" s="1"/>
  <c r="L250" a="1"/>
  <c r="L250" s="1"/>
  <c r="L251" a="1"/>
  <c r="L251" s="1"/>
  <c r="A251" s="1"/>
  <c r="O211" a="1"/>
  <c r="O211" s="1"/>
  <c r="D211" s="1"/>
  <c r="L226" a="1"/>
  <c r="L226" s="1"/>
  <c r="L211" a="1"/>
  <c r="L211" s="1"/>
  <c r="A211" s="1"/>
  <c r="L219" a="1"/>
  <c r="L219" s="1"/>
  <c r="A219" s="1"/>
  <c r="O27" i="4" a="1"/>
  <c r="O27" s="1"/>
  <c r="U24" a="1"/>
  <c r="U24" s="1"/>
  <c r="T22" a="1"/>
  <c r="T22" s="1"/>
  <c r="AB22"/>
  <c r="O20" a="1"/>
  <c r="O20" s="1"/>
  <c r="O4" a="1"/>
  <c r="O4" s="1"/>
  <c r="AQ7" i="8" a="1"/>
  <c r="AQ7" s="1"/>
  <c r="F7" s="1"/>
  <c r="O355" i="5" a="1"/>
  <c r="O355" s="1"/>
  <c r="D355" s="1"/>
  <c r="P323" a="1"/>
  <c r="P323" s="1"/>
  <c r="E323" s="1"/>
  <c r="M251" a="1"/>
  <c r="M251" s="1"/>
  <c r="B251" s="1"/>
  <c r="L216" a="1"/>
  <c r="L216" s="1"/>
  <c r="A216" s="1"/>
  <c r="P216" a="1"/>
  <c r="P216" s="1"/>
  <c r="E216" s="1"/>
  <c r="O216" a="1"/>
  <c r="O216" s="1"/>
  <c r="D216" s="1"/>
  <c r="O186" a="1"/>
  <c r="O186" s="1"/>
  <c r="D186" s="1"/>
  <c r="L323" a="1"/>
  <c r="L323" s="1"/>
  <c r="A323" s="1"/>
  <c r="N275" a="1"/>
  <c r="N275" s="1"/>
  <c r="C275" s="1"/>
  <c r="L248" a="1"/>
  <c r="L248" s="1"/>
  <c r="P250" a="1"/>
  <c r="P250" s="1"/>
  <c r="E250" s="1"/>
  <c r="U22" i="4" a="1"/>
  <c r="U22" s="1"/>
  <c r="N292" i="5" a="1"/>
  <c r="N292" s="1"/>
  <c r="C292" s="1"/>
  <c r="P241" a="1"/>
  <c r="P241" s="1"/>
  <c r="E241" s="1"/>
  <c r="L377" a="1"/>
  <c r="L377" s="1"/>
  <c r="O311" a="1"/>
  <c r="O311" s="1"/>
  <c r="D311" s="1"/>
  <c r="O5" i="4" a="1"/>
  <c r="O5" s="1"/>
  <c r="R5" s="1"/>
  <c r="O241" i="5" a="1"/>
  <c r="O241" s="1"/>
  <c r="D241" s="1"/>
  <c r="O298" a="1"/>
  <c r="O298" s="1"/>
  <c r="D298" s="1"/>
  <c r="P298" a="1"/>
  <c r="P298" s="1"/>
  <c r="E298" s="1"/>
  <c r="M234" a="1"/>
  <c r="M234" s="1"/>
  <c r="B234" s="1"/>
  <c r="L236" a="1"/>
  <c r="L236" s="1"/>
  <c r="N241" a="1"/>
  <c r="N241" s="1"/>
  <c r="C241" s="1"/>
  <c r="N227" a="1"/>
  <c r="N227" s="1"/>
  <c r="C227" s="1"/>
  <c r="M169" a="1"/>
  <c r="M169" s="1"/>
  <c r="B169" s="1"/>
  <c r="P168" a="1"/>
  <c r="P168" s="1"/>
  <c r="E168" s="1"/>
  <c r="P379" a="1"/>
  <c r="P379" s="1"/>
  <c r="E379" s="1"/>
  <c r="O266" a="1"/>
  <c r="O266" s="1"/>
  <c r="D266" s="1"/>
  <c r="L390" a="1"/>
  <c r="L390" s="1"/>
  <c r="Q390" s="1"/>
  <c r="F390" s="1"/>
  <c r="O396" a="1"/>
  <c r="O396" s="1"/>
  <c r="D396" s="1"/>
  <c r="P332" a="1"/>
  <c r="P332" s="1"/>
  <c r="E332" s="1"/>
  <c r="N353" a="1"/>
  <c r="N353" s="1"/>
  <c r="C353" s="1"/>
  <c r="M349" a="1"/>
  <c r="M349" s="1"/>
  <c r="B349" s="1"/>
  <c r="O290" a="1"/>
  <c r="O290" s="1"/>
  <c r="D290" s="1"/>
  <c r="O280" a="1"/>
  <c r="O280" s="1"/>
  <c r="D280" s="1"/>
  <c r="M187" a="1"/>
  <c r="M187" s="1"/>
  <c r="B187" s="1"/>
  <c r="O191" a="1"/>
  <c r="O191" s="1"/>
  <c r="D191" s="1"/>
  <c r="P194" a="1"/>
  <c r="P194" s="1"/>
  <c r="E194" s="1"/>
  <c r="P26" i="4" a="1"/>
  <c r="P26" s="1"/>
  <c r="M298" i="5" a="1"/>
  <c r="M298" s="1"/>
  <c r="B298" s="1"/>
  <c r="M227" a="1"/>
  <c r="M227" s="1"/>
  <c r="B227" s="1"/>
  <c r="M387" a="1"/>
  <c r="M387" s="1"/>
  <c r="B387" s="1"/>
  <c r="P27" i="4" a="1"/>
  <c r="P27" s="1"/>
  <c r="T25" a="1"/>
  <c r="T25" s="1"/>
  <c r="O16" a="1"/>
  <c r="O16" s="1"/>
  <c r="O356" i="5" a="1"/>
  <c r="O356" s="1"/>
  <c r="D356" s="1"/>
  <c r="L370" a="1"/>
  <c r="L370" s="1"/>
  <c r="L356" a="1"/>
  <c r="L356" s="1"/>
  <c r="A356" s="1"/>
  <c r="O295" a="1"/>
  <c r="O295" s="1"/>
  <c r="D295" s="1"/>
  <c r="L298" a="1"/>
  <c r="L298" s="1"/>
  <c r="P240" a="1"/>
  <c r="P240" s="1"/>
  <c r="E240" s="1"/>
  <c r="O234" a="1"/>
  <c r="O234" s="1"/>
  <c r="D234" s="1"/>
  <c r="L241" a="1"/>
  <c r="L241" s="1"/>
  <c r="Q241" s="1"/>
  <c r="F241" s="1"/>
  <c r="L234" a="1"/>
  <c r="L234" s="1"/>
  <c r="L227" a="1"/>
  <c r="L227" s="1"/>
  <c r="N231" a="1"/>
  <c r="N231" s="1"/>
  <c r="C231" s="1"/>
  <c r="L168" a="1"/>
  <c r="L168" s="1"/>
  <c r="A168" s="1"/>
  <c r="O174" a="1"/>
  <c r="O174" s="1"/>
  <c r="D174" s="1"/>
  <c r="O168" a="1"/>
  <c r="O168" s="1"/>
  <c r="D168" s="1"/>
  <c r="N168" a="1"/>
  <c r="N168" s="1"/>
  <c r="C168" s="1"/>
  <c r="O177" a="1"/>
  <c r="O177" s="1"/>
  <c r="D177" s="1"/>
  <c r="L177" a="1"/>
  <c r="L177" s="1"/>
  <c r="M372" a="1"/>
  <c r="M372" s="1"/>
  <c r="B372" s="1"/>
  <c r="P378" a="1"/>
  <c r="P378" s="1"/>
  <c r="E378" s="1"/>
  <c r="L379" a="1"/>
  <c r="L379" s="1"/>
  <c r="A379" s="1"/>
  <c r="M374" a="1"/>
  <c r="M374" s="1"/>
  <c r="B374" s="1"/>
  <c r="O378" a="1"/>
  <c r="O378" s="1"/>
  <c r="D378" s="1"/>
  <c r="N309" a="1"/>
  <c r="N309" s="1"/>
  <c r="C309" s="1"/>
  <c r="P315" a="1"/>
  <c r="P315" s="1"/>
  <c r="E315" s="1"/>
  <c r="L311" a="1"/>
  <c r="L311" s="1"/>
  <c r="M318" a="1"/>
  <c r="M318" s="1"/>
  <c r="B318" s="1"/>
  <c r="L274" a="1"/>
  <c r="L274" s="1"/>
  <c r="A274" s="1"/>
  <c r="N263" a="1"/>
  <c r="N263" s="1"/>
  <c r="C263" s="1"/>
  <c r="P267" a="1"/>
  <c r="P267" s="1"/>
  <c r="E267" s="1"/>
  <c r="M392" a="1"/>
  <c r="M392" s="1"/>
  <c r="B392" s="1"/>
  <c r="P390" a="1"/>
  <c r="P390" s="1"/>
  <c r="E390" s="1"/>
  <c r="L392" a="1"/>
  <c r="L392" s="1"/>
  <c r="A392" s="1"/>
  <c r="N396" a="1"/>
  <c r="N396" s="1"/>
  <c r="C396" s="1"/>
  <c r="N387" a="1"/>
  <c r="N387" s="1"/>
  <c r="C387" s="1"/>
  <c r="N325" a="1"/>
  <c r="N325" s="1"/>
  <c r="C325" s="1"/>
  <c r="O332" a="1"/>
  <c r="O332" s="1"/>
  <c r="D332" s="1"/>
  <c r="L332" a="1"/>
  <c r="L332" s="1"/>
  <c r="O210" a="1"/>
  <c r="O210" s="1"/>
  <c r="D210" s="1"/>
  <c r="M203" a="1"/>
  <c r="M203" s="1"/>
  <c r="B203" s="1"/>
  <c r="L209" a="1"/>
  <c r="L209" s="1"/>
  <c r="A209" s="1"/>
  <c r="O200" a="1"/>
  <c r="O200" s="1"/>
  <c r="D200" s="1"/>
  <c r="P349" a="1"/>
  <c r="P349" s="1"/>
  <c r="E349" s="1"/>
  <c r="N342" a="1"/>
  <c r="N342" s="1"/>
  <c r="C342" s="1"/>
  <c r="M348" a="1"/>
  <c r="M348" s="1"/>
  <c r="B348" s="1"/>
  <c r="L354" a="1"/>
  <c r="L354" s="1"/>
  <c r="L284" a="1"/>
  <c r="L284" s="1"/>
  <c r="N257" a="1"/>
  <c r="N257" s="1"/>
  <c r="C257" s="1"/>
  <c r="N247" a="1"/>
  <c r="N247" s="1"/>
  <c r="C247" s="1"/>
  <c r="P251" a="1"/>
  <c r="P251" s="1"/>
  <c r="E251" s="1"/>
  <c r="M257" a="1"/>
  <c r="M257" s="1"/>
  <c r="B257" s="1"/>
  <c r="L194" a="1"/>
  <c r="L194" s="1"/>
  <c r="N183" a="1"/>
  <c r="N183" s="1"/>
  <c r="C183" s="1"/>
  <c r="P187" a="1"/>
  <c r="P187" s="1"/>
  <c r="E187" s="1"/>
  <c r="O24" i="4" a="1"/>
  <c r="O24" s="1"/>
  <c r="O23" a="1"/>
  <c r="O23" s="1"/>
  <c r="O22" a="1"/>
  <c r="O22" s="1"/>
  <c r="P22" a="1"/>
  <c r="P22" s="1"/>
  <c r="L396" i="5" a="1"/>
  <c r="L396" s="1"/>
  <c r="M365" a="1"/>
  <c r="M365" s="1"/>
  <c r="B365" s="1"/>
  <c r="L381" a="1"/>
  <c r="L381" s="1"/>
  <c r="A381" s="1"/>
  <c r="O360" a="1"/>
  <c r="O360" s="1"/>
  <c r="D360" s="1"/>
  <c r="O306" a="1"/>
  <c r="O306" s="1"/>
  <c r="D306" s="1"/>
  <c r="O264" a="1"/>
  <c r="O264" s="1"/>
  <c r="D264" s="1"/>
  <c r="O395" a="1"/>
  <c r="O395" s="1"/>
  <c r="D395" s="1"/>
  <c r="M210" a="1"/>
  <c r="M210" s="1"/>
  <c r="B210" s="1"/>
  <c r="P345" a="1"/>
  <c r="P345" s="1"/>
  <c r="E345" s="1"/>
  <c r="N365" a="1"/>
  <c r="N365" s="1"/>
  <c r="C365" s="1"/>
  <c r="O330" a="1"/>
  <c r="O330" s="1"/>
  <c r="D330" s="1"/>
  <c r="P365" a="1"/>
  <c r="P365" s="1"/>
  <c r="E365" s="1"/>
  <c r="M306" a="1"/>
  <c r="M306" s="1"/>
  <c r="B306" s="1"/>
  <c r="N264" a="1"/>
  <c r="N264" s="1"/>
  <c r="C264" s="1"/>
  <c r="P402" a="1"/>
  <c r="P402" s="1"/>
  <c r="E402" s="1"/>
  <c r="O402" a="1"/>
  <c r="O402" s="1"/>
  <c r="D402" s="1"/>
  <c r="L341" a="1"/>
  <c r="L341" s="1"/>
  <c r="N252" a="1"/>
  <c r="N252" s="1"/>
  <c r="C252" s="1"/>
  <c r="F42" i="14"/>
  <c r="R41" s="1"/>
  <c r="L365" i="5" a="1"/>
  <c r="L365" s="1"/>
  <c r="M359" a="1"/>
  <c r="M359" s="1"/>
  <c r="B359" s="1"/>
  <c r="P299" a="1"/>
  <c r="P299" s="1"/>
  <c r="E299" s="1"/>
  <c r="N163" a="1"/>
  <c r="N163" s="1"/>
  <c r="C163" s="1"/>
  <c r="P178" a="1"/>
  <c r="P178" s="1"/>
  <c r="E178" s="1"/>
  <c r="O308" a="1"/>
  <c r="O308" s="1"/>
  <c r="D308" s="1"/>
  <c r="P266" a="1"/>
  <c r="P266" s="1"/>
  <c r="E266" s="1"/>
  <c r="P395" a="1"/>
  <c r="P395" s="1"/>
  <c r="E395" s="1"/>
  <c r="M202" a="1"/>
  <c r="M202" s="1"/>
  <c r="B202" s="1"/>
  <c r="O343" a="1"/>
  <c r="O343" s="1"/>
  <c r="D343" s="1"/>
  <c r="L353" a="1"/>
  <c r="L353" s="1"/>
  <c r="A353" s="1"/>
  <c r="P353" a="1"/>
  <c r="P353" s="1"/>
  <c r="E353" s="1"/>
  <c r="N244" a="1"/>
  <c r="N244" s="1"/>
  <c r="C244" s="1"/>
  <c r="T18" i="4" a="1"/>
  <c r="T18" s="1"/>
  <c r="T17" a="1"/>
  <c r="T17" s="1"/>
  <c r="O273" i="5" a="1"/>
  <c r="O273" s="1"/>
  <c r="D273" s="1"/>
  <c r="AK6" i="8"/>
  <c r="S6" s="1"/>
  <c r="M299" i="5" a="1"/>
  <c r="M299" s="1"/>
  <c r="B299" s="1"/>
  <c r="P381" a="1"/>
  <c r="P381" s="1"/>
  <c r="E381" s="1"/>
  <c r="O259" a="1"/>
  <c r="O259" s="1"/>
  <c r="D259" s="1"/>
  <c r="M260" a="1"/>
  <c r="M260" s="1"/>
  <c r="B260" s="1"/>
  <c r="F42" i="6"/>
  <c r="R41" s="1"/>
  <c r="O359" i="5" a="1"/>
  <c r="O359" s="1"/>
  <c r="D359" s="1"/>
  <c r="M364" a="1"/>
  <c r="M364" s="1"/>
  <c r="B364" s="1"/>
  <c r="M357" a="1"/>
  <c r="M357" s="1"/>
  <c r="B357" s="1"/>
  <c r="P356" a="1"/>
  <c r="P356" s="1"/>
  <c r="E356" s="1"/>
  <c r="O305" a="1"/>
  <c r="O305" s="1"/>
  <c r="D305" s="1"/>
  <c r="P169" a="1"/>
  <c r="P169" s="1"/>
  <c r="E169" s="1"/>
  <c r="O375" a="1"/>
  <c r="O375" s="1"/>
  <c r="D375" s="1"/>
  <c r="M375" a="1"/>
  <c r="M375" s="1"/>
  <c r="B375" s="1"/>
  <c r="M381" a="1"/>
  <c r="M381" s="1"/>
  <c r="B381" s="1"/>
  <c r="P321" a="1"/>
  <c r="P321" s="1"/>
  <c r="E321" s="1"/>
  <c r="M266" a="1"/>
  <c r="M266" s="1"/>
  <c r="B266" s="1"/>
  <c r="N260" a="1"/>
  <c r="N260" s="1"/>
  <c r="C260" s="1"/>
  <c r="O263" a="1"/>
  <c r="O263" s="1"/>
  <c r="D263" s="1"/>
  <c r="M395" a="1"/>
  <c r="M395" s="1"/>
  <c r="B395" s="1"/>
  <c r="L329" a="1"/>
  <c r="L329" s="1"/>
  <c r="P334" a="1"/>
  <c r="P334" s="1"/>
  <c r="E334" s="1"/>
  <c r="O195" a="1"/>
  <c r="O195" s="1"/>
  <c r="D195" s="1"/>
  <c r="N210" a="1"/>
  <c r="N210" s="1"/>
  <c r="C210" s="1"/>
  <c r="O339" a="1"/>
  <c r="O339" s="1"/>
  <c r="D339" s="1"/>
  <c r="P346" a="1"/>
  <c r="P346" s="1"/>
  <c r="E346" s="1"/>
  <c r="P354" a="1"/>
  <c r="P354" s="1"/>
  <c r="E354" s="1"/>
  <c r="P339" a="1"/>
  <c r="P339" s="1"/>
  <c r="E339" s="1"/>
  <c r="O353" a="1"/>
  <c r="O353" s="1"/>
  <c r="D353" s="1"/>
  <c r="P348" a="1"/>
  <c r="P348" s="1"/>
  <c r="E348" s="1"/>
  <c r="M354" a="1"/>
  <c r="M354" s="1"/>
  <c r="B354" s="1"/>
  <c r="M290" a="1"/>
  <c r="M290" s="1"/>
  <c r="B290" s="1"/>
  <c r="M283" a="1"/>
  <c r="M283" s="1"/>
  <c r="B283" s="1"/>
  <c r="O244" a="1"/>
  <c r="O244" s="1"/>
  <c r="D244" s="1"/>
  <c r="N225" a="1"/>
  <c r="N225" s="1"/>
  <c r="C225" s="1"/>
  <c r="N180" a="1"/>
  <c r="N180" s="1"/>
  <c r="C180" s="1"/>
  <c r="M180" a="1"/>
  <c r="M180" s="1"/>
  <c r="B180" s="1"/>
  <c r="AJ30" i="17"/>
  <c r="AQ30" s="1" a="1"/>
  <c r="AQ30" s="1"/>
  <c r="AJ27" i="12"/>
  <c r="AQ27" s="1" a="1"/>
  <c r="AQ27" s="1"/>
  <c r="AJ30" i="13"/>
  <c r="AQ30" s="1" a="1"/>
  <c r="AQ30" s="1"/>
  <c r="F42" i="10"/>
  <c r="R41" s="1"/>
  <c r="AJ28" i="13"/>
  <c r="AQ28" s="1" a="1"/>
  <c r="AQ28" s="1"/>
  <c r="L357" i="5" a="1"/>
  <c r="L357" s="1"/>
  <c r="A357" s="1"/>
  <c r="P369" a="1"/>
  <c r="P369" s="1"/>
  <c r="E369" s="1"/>
  <c r="N360" a="1"/>
  <c r="N360" s="1"/>
  <c r="C360" s="1"/>
  <c r="P304" a="1"/>
  <c r="P304" s="1"/>
  <c r="E304" s="1"/>
  <c r="N296" a="1"/>
  <c r="N296" s="1"/>
  <c r="C296" s="1"/>
  <c r="O291" a="1"/>
  <c r="O291" s="1"/>
  <c r="D291" s="1"/>
  <c r="M292" a="1"/>
  <c r="M292" s="1"/>
  <c r="B292" s="1"/>
  <c r="O296" a="1"/>
  <c r="O296" s="1"/>
  <c r="D296" s="1"/>
  <c r="L306" a="1"/>
  <c r="L306" s="1"/>
  <c r="A306" s="1"/>
  <c r="L299" a="1"/>
  <c r="L299" s="1"/>
  <c r="A299" s="1"/>
  <c r="O242" a="1"/>
  <c r="O242" s="1"/>
  <c r="D242" s="1"/>
  <c r="N229" a="1"/>
  <c r="N229" s="1"/>
  <c r="C229" s="1"/>
  <c r="P233" a="1"/>
  <c r="P233" s="1"/>
  <c r="E233" s="1"/>
  <c r="M178" a="1"/>
  <c r="M178" s="1"/>
  <c r="B178" s="1"/>
  <c r="N171" a="1"/>
  <c r="N171" s="1"/>
  <c r="C171" s="1"/>
  <c r="P171" a="1"/>
  <c r="P171" s="1"/>
  <c r="E171" s="1"/>
  <c r="N164" a="1"/>
  <c r="N164" s="1"/>
  <c r="C164" s="1"/>
  <c r="L373" a="1"/>
  <c r="L373" s="1"/>
  <c r="A373" s="1"/>
  <c r="N381" a="1"/>
  <c r="N381" s="1"/>
  <c r="C381" s="1"/>
  <c r="M310" a="1"/>
  <c r="M310" s="1"/>
  <c r="B310" s="1"/>
  <c r="N318" a="1"/>
  <c r="N318" s="1"/>
  <c r="C318" s="1"/>
  <c r="L264" a="1"/>
  <c r="L264" s="1"/>
  <c r="A264" s="1"/>
  <c r="O274" a="1"/>
  <c r="O274" s="1"/>
  <c r="D274" s="1"/>
  <c r="M274" a="1"/>
  <c r="M274" s="1"/>
  <c r="B274" s="1"/>
  <c r="M267" a="1"/>
  <c r="M267" s="1"/>
  <c r="B267" s="1"/>
  <c r="L273" a="1"/>
  <c r="L273" s="1"/>
  <c r="A273" s="1"/>
  <c r="N262" a="1"/>
  <c r="N262" s="1"/>
  <c r="C262" s="1"/>
  <c r="L266" a="1"/>
  <c r="L266" s="1"/>
  <c r="L259" a="1"/>
  <c r="L259" s="1"/>
  <c r="N402" a="1"/>
  <c r="N402" s="1"/>
  <c r="C402" s="1"/>
  <c r="M402" a="1"/>
  <c r="M402" s="1"/>
  <c r="B402" s="1"/>
  <c r="L389" a="1"/>
  <c r="L389" s="1"/>
  <c r="L395" a="1"/>
  <c r="L395" s="1"/>
  <c r="M323" a="1"/>
  <c r="M323" s="1"/>
  <c r="B323" s="1"/>
  <c r="N330" a="1"/>
  <c r="N330" s="1"/>
  <c r="C330" s="1"/>
  <c r="L334" a="1"/>
  <c r="L334" s="1"/>
  <c r="L200" a="1"/>
  <c r="L200" s="1"/>
  <c r="M195" a="1"/>
  <c r="M195" s="1"/>
  <c r="B195" s="1"/>
  <c r="L210" a="1"/>
  <c r="L210" s="1"/>
  <c r="N195" a="1"/>
  <c r="N195" s="1"/>
  <c r="C195" s="1"/>
  <c r="M339" a="1"/>
  <c r="M339" s="1"/>
  <c r="B339" s="1"/>
  <c r="L345" a="1"/>
  <c r="L345" s="1"/>
  <c r="A345" s="1"/>
  <c r="L346" a="1"/>
  <c r="L346" s="1"/>
  <c r="N354" a="1"/>
  <c r="N354" s="1"/>
  <c r="C354" s="1"/>
  <c r="N343" a="1"/>
  <c r="N343" s="1"/>
  <c r="C343" s="1"/>
  <c r="L348" a="1"/>
  <c r="L348" s="1"/>
  <c r="A348" s="1"/>
  <c r="O275" a="1"/>
  <c r="O275" s="1"/>
  <c r="D275" s="1"/>
  <c r="N290" a="1"/>
  <c r="N290" s="1"/>
  <c r="C290" s="1"/>
  <c r="M250" a="1"/>
  <c r="M250" s="1"/>
  <c r="B250" s="1"/>
  <c r="O250" a="1"/>
  <c r="O250" s="1"/>
  <c r="D250" s="1"/>
  <c r="M258" a="1"/>
  <c r="M258" s="1"/>
  <c r="B258" s="1"/>
  <c r="M244" a="1"/>
  <c r="M244" s="1"/>
  <c r="B244" s="1"/>
  <c r="L258" a="1"/>
  <c r="L258" s="1"/>
  <c r="A258" s="1"/>
  <c r="M245" a="1"/>
  <c r="M245" s="1"/>
  <c r="B245" s="1"/>
  <c r="O249" a="1"/>
  <c r="O249" s="1"/>
  <c r="D249" s="1"/>
  <c r="O257" a="1"/>
  <c r="O257" s="1"/>
  <c r="D257" s="1"/>
  <c r="L225" a="1"/>
  <c r="L225" s="1"/>
  <c r="Q225" s="1"/>
  <c r="F225" s="1"/>
  <c r="N214" a="1"/>
  <c r="N214" s="1"/>
  <c r="C214" s="1"/>
  <c r="L218" a="1"/>
  <c r="L218" s="1"/>
  <c r="O194" a="1"/>
  <c r="O194" s="1"/>
  <c r="D194" s="1"/>
  <c r="M194" a="1"/>
  <c r="M194" s="1"/>
  <c r="B194" s="1"/>
  <c r="O183" a="1"/>
  <c r="O183" s="1"/>
  <c r="D183" s="1"/>
  <c r="P185" a="1"/>
  <c r="P185" s="1"/>
  <c r="E185" s="1"/>
  <c r="T23" i="4" a="1"/>
  <c r="T23" s="1"/>
  <c r="O17" a="1"/>
  <c r="O17" s="1"/>
  <c r="T16" a="1"/>
  <c r="T16" s="1"/>
  <c r="O10" a="1"/>
  <c r="O10" s="1"/>
  <c r="AU6" i="8"/>
  <c r="J6"/>
  <c r="P5" i="4" a="1"/>
  <c r="P5" s="1"/>
  <c r="S5" s="1"/>
  <c r="O22" i="17"/>
  <c r="P22"/>
  <c r="R22"/>
  <c r="N22"/>
  <c r="AJ27" i="14"/>
  <c r="AQ27" s="1" a="1"/>
  <c r="AQ27" s="1"/>
  <c r="Q31" i="11"/>
  <c r="AJ28"/>
  <c r="AQ28" s="1" a="1"/>
  <c r="AQ28" s="1"/>
  <c r="N385" i="5" a="1"/>
  <c r="N385" s="1"/>
  <c r="C385" s="1"/>
  <c r="P386" a="1"/>
  <c r="P386" s="1"/>
  <c r="E386" s="1"/>
  <c r="M386" a="1"/>
  <c r="M386" s="1"/>
  <c r="B386" s="1"/>
  <c r="O319" a="1"/>
  <c r="O319" s="1"/>
  <c r="D319" s="1"/>
  <c r="L260" a="1"/>
  <c r="L260" s="1"/>
  <c r="A260" s="1"/>
  <c r="P326" a="1"/>
  <c r="P326" s="1"/>
  <c r="E326" s="1"/>
  <c r="O329" a="1"/>
  <c r="O329" s="1"/>
  <c r="D329" s="1"/>
  <c r="O201" a="1"/>
  <c r="O201" s="1"/>
  <c r="D201" s="1"/>
  <c r="O279" a="1"/>
  <c r="O279" s="1"/>
  <c r="D279" s="1"/>
  <c r="M277" a="1"/>
  <c r="M277" s="1"/>
  <c r="B277" s="1"/>
  <c r="O281" a="1"/>
  <c r="O281" s="1"/>
  <c r="D281" s="1"/>
  <c r="O289" a="1"/>
  <c r="O289" s="1"/>
  <c r="D289" s="1"/>
  <c r="L184" a="1"/>
  <c r="L184" s="1"/>
  <c r="A184" s="1"/>
  <c r="O184" a="1"/>
  <c r="O184" s="1"/>
  <c r="D184" s="1"/>
  <c r="P186" a="1"/>
  <c r="P186" s="1"/>
  <c r="E186" s="1"/>
  <c r="AQ22" i="15" a="1"/>
  <c r="AQ22" s="1"/>
  <c r="AM22" s="1"/>
  <c r="H22" s="1"/>
  <c r="AJ26" i="13"/>
  <c r="AQ26" s="1" a="1"/>
  <c r="AQ26" s="1"/>
  <c r="AJ30" i="9"/>
  <c r="AQ30" s="1" a="1"/>
  <c r="AQ30" s="1"/>
  <c r="AQ15" i="7" a="1"/>
  <c r="AQ15" s="1"/>
  <c r="F15" s="1"/>
  <c r="T27" i="4" a="1"/>
  <c r="T27" s="1"/>
  <c r="T19" a="1"/>
  <c r="T19" s="1"/>
  <c r="O15" a="1"/>
  <c r="O15" s="1"/>
  <c r="T12" a="1"/>
  <c r="T12" s="1"/>
  <c r="T6" a="1"/>
  <c r="T6" s="1"/>
  <c r="P6" a="1"/>
  <c r="P6" s="1"/>
  <c r="Q6" s="1"/>
  <c r="U5" a="1"/>
  <c r="U5" s="1"/>
  <c r="O369" i="5" a="1"/>
  <c r="O369" s="1"/>
  <c r="D369" s="1"/>
  <c r="M293" a="1"/>
  <c r="M293" s="1"/>
  <c r="B293" s="1"/>
  <c r="O297" a="1"/>
  <c r="O297" s="1"/>
  <c r="D297" s="1"/>
  <c r="N313" a="1"/>
  <c r="N313" s="1"/>
  <c r="C313" s="1"/>
  <c r="P319" a="1"/>
  <c r="P319" s="1"/>
  <c r="E319" s="1"/>
  <c r="M261" a="1"/>
  <c r="M261" s="1"/>
  <c r="B261" s="1"/>
  <c r="P248" a="1"/>
  <c r="P248" s="1"/>
  <c r="E248" s="1"/>
  <c r="O248" a="1"/>
  <c r="O248" s="1"/>
  <c r="D248" s="1"/>
  <c r="O193" a="1"/>
  <c r="O193" s="1"/>
  <c r="D193" s="1"/>
  <c r="Q31" i="12"/>
  <c r="F42" i="8"/>
  <c r="R41" s="1"/>
  <c r="M369" i="5" a="1"/>
  <c r="M369" s="1"/>
  <c r="B369" s="1"/>
  <c r="M305" a="1"/>
  <c r="M305" s="1"/>
  <c r="B305" s="1"/>
  <c r="P232" a="1"/>
  <c r="P232" s="1"/>
  <c r="E232" s="1"/>
  <c r="L171" a="1"/>
  <c r="L171" s="1"/>
  <c r="Q171" s="1"/>
  <c r="F171" s="1"/>
  <c r="O171" a="1"/>
  <c r="O171" s="1"/>
  <c r="D171" s="1"/>
  <c r="P371" a="1"/>
  <c r="P371" s="1"/>
  <c r="E371" s="1"/>
  <c r="M313" a="1"/>
  <c r="M313" s="1"/>
  <c r="B313" s="1"/>
  <c r="M319" a="1"/>
  <c r="M319" s="1"/>
  <c r="B319" s="1"/>
  <c r="L319" a="1"/>
  <c r="L319" s="1"/>
  <c r="M320" a="1"/>
  <c r="M320" s="1"/>
  <c r="B320" s="1"/>
  <c r="M273" a="1"/>
  <c r="M273" s="1"/>
  <c r="B273" s="1"/>
  <c r="P397" a="1"/>
  <c r="P397" s="1"/>
  <c r="E397" s="1"/>
  <c r="M326" a="1"/>
  <c r="M326" s="1"/>
  <c r="B326" s="1"/>
  <c r="P208" a="1"/>
  <c r="P208" s="1"/>
  <c r="E208" s="1"/>
  <c r="O199" a="1"/>
  <c r="O199" s="1"/>
  <c r="D199" s="1"/>
  <c r="M197" a="1"/>
  <c r="M197" s="1"/>
  <c r="B197" s="1"/>
  <c r="O209" a="1"/>
  <c r="O209" s="1"/>
  <c r="D209" s="1"/>
  <c r="P340" a="1"/>
  <c r="P340" s="1"/>
  <c r="E340" s="1"/>
  <c r="N184" a="1"/>
  <c r="N184" s="1"/>
  <c r="C184" s="1"/>
  <c r="F42" i="17"/>
  <c r="R41" s="1"/>
  <c r="R31" i="15"/>
  <c r="M355" i="5" a="1"/>
  <c r="M355" s="1"/>
  <c r="B355" s="1"/>
  <c r="L369" a="1"/>
  <c r="L369" s="1"/>
  <c r="P362" a="1"/>
  <c r="P362" s="1"/>
  <c r="E362" s="1"/>
  <c r="P370" a="1"/>
  <c r="P370" s="1"/>
  <c r="E370" s="1"/>
  <c r="P355" a="1"/>
  <c r="P355" s="1"/>
  <c r="E355" s="1"/>
  <c r="P363" a="1"/>
  <c r="P363" s="1"/>
  <c r="E363" s="1"/>
  <c r="M358" a="1"/>
  <c r="M358" s="1"/>
  <c r="B358" s="1"/>
  <c r="O362" a="1"/>
  <c r="O362" s="1"/>
  <c r="D362" s="1"/>
  <c r="O370" a="1"/>
  <c r="O370" s="1"/>
  <c r="D370" s="1"/>
  <c r="L300" a="1"/>
  <c r="L300" s="1"/>
  <c r="A300" s="1"/>
  <c r="M291" a="1"/>
  <c r="M291" s="1"/>
  <c r="B291" s="1"/>
  <c r="P297" a="1"/>
  <c r="P297" s="1"/>
  <c r="E297" s="1"/>
  <c r="P305" a="1"/>
  <c r="P305" s="1"/>
  <c r="E305" s="1"/>
  <c r="P306" a="1"/>
  <c r="P306" s="1"/>
  <c r="E306" s="1"/>
  <c r="P291" a="1"/>
  <c r="P291" s="1"/>
  <c r="E291" s="1"/>
  <c r="N232" a="1"/>
  <c r="N232" s="1"/>
  <c r="C232" s="1"/>
  <c r="N228" a="1"/>
  <c r="N228" s="1"/>
  <c r="C228" s="1"/>
  <c r="M235" a="1"/>
  <c r="M235" s="1"/>
  <c r="B235" s="1"/>
  <c r="M228" a="1"/>
  <c r="M228" s="1"/>
  <c r="B228" s="1"/>
  <c r="O232" a="1"/>
  <c r="O232" s="1"/>
  <c r="D232" s="1"/>
  <c r="M229" a="1"/>
  <c r="M229" s="1"/>
  <c r="B229" s="1"/>
  <c r="O233" a="1"/>
  <c r="O233" s="1"/>
  <c r="D233" s="1"/>
  <c r="M170" a="1"/>
  <c r="M170" s="1"/>
  <c r="B170" s="1"/>
  <c r="P170" a="1"/>
  <c r="P170" s="1"/>
  <c r="E170" s="1"/>
  <c r="M177" a="1"/>
  <c r="M177" s="1"/>
  <c r="B177" s="1"/>
  <c r="L170" a="1"/>
  <c r="L170" s="1"/>
  <c r="N167" a="1"/>
  <c r="N167" s="1"/>
  <c r="C167" s="1"/>
  <c r="M371" a="1"/>
  <c r="M371" s="1"/>
  <c r="B371" s="1"/>
  <c r="L385" a="1"/>
  <c r="L385" s="1"/>
  <c r="N386" a="1"/>
  <c r="N386" s="1"/>
  <c r="C386" s="1"/>
  <c r="N371" a="1"/>
  <c r="N371" s="1"/>
  <c r="C371" s="1"/>
  <c r="O385" a="1"/>
  <c r="O385" s="1"/>
  <c r="D385" s="1"/>
  <c r="P372" a="1"/>
  <c r="P372" s="1"/>
  <c r="E372" s="1"/>
  <c r="P308" a="1"/>
  <c r="P308" s="1"/>
  <c r="E308" s="1"/>
  <c r="O310" a="1"/>
  <c r="O310" s="1"/>
  <c r="D310" s="1"/>
  <c r="M311" a="1"/>
  <c r="M311" s="1"/>
  <c r="B311" s="1"/>
  <c r="P310" a="1"/>
  <c r="P310" s="1"/>
  <c r="E310" s="1"/>
  <c r="P311" a="1"/>
  <c r="P311" s="1"/>
  <c r="E311" s="1"/>
  <c r="L268" a="1"/>
  <c r="L268" s="1"/>
  <c r="M259" a="1"/>
  <c r="M259" s="1"/>
  <c r="B259" s="1"/>
  <c r="P265" a="1"/>
  <c r="P265" s="1"/>
  <c r="E265" s="1"/>
  <c r="P273" a="1"/>
  <c r="P273" s="1"/>
  <c r="E273" s="1"/>
  <c r="P274" a="1"/>
  <c r="P274" s="1"/>
  <c r="E274" s="1"/>
  <c r="P259" a="1"/>
  <c r="P259" s="1"/>
  <c r="E259" s="1"/>
  <c r="M396" a="1"/>
  <c r="M396" s="1"/>
  <c r="B396" s="1"/>
  <c r="N397" a="1"/>
  <c r="N397" s="1"/>
  <c r="C397" s="1"/>
  <c r="P329" a="1"/>
  <c r="P329" s="1"/>
  <c r="E329" s="1"/>
  <c r="P325" a="1"/>
  <c r="P325" s="1"/>
  <c r="E325" s="1"/>
  <c r="O331" a="1"/>
  <c r="O331" s="1"/>
  <c r="D331" s="1"/>
  <c r="N326" a="1"/>
  <c r="N326" s="1"/>
  <c r="C326" s="1"/>
  <c r="P331" a="1"/>
  <c r="P331" s="1"/>
  <c r="E331" s="1"/>
  <c r="O202" a="1"/>
  <c r="O202" s="1"/>
  <c r="D202" s="1"/>
  <c r="P201" a="1"/>
  <c r="P201" s="1"/>
  <c r="E201" s="1"/>
  <c r="P209" a="1"/>
  <c r="P209" s="1"/>
  <c r="E209" s="1"/>
  <c r="P202" a="1"/>
  <c r="P202" s="1"/>
  <c r="E202" s="1"/>
  <c r="P203" a="1"/>
  <c r="P203" s="1"/>
  <c r="E203" s="1"/>
  <c r="M209" a="1"/>
  <c r="M209" s="1"/>
  <c r="B209" s="1"/>
  <c r="O347" a="1"/>
  <c r="O347" s="1"/>
  <c r="D347" s="1"/>
  <c r="M341" a="1"/>
  <c r="M341" s="1"/>
  <c r="B341" s="1"/>
  <c r="O345" a="1"/>
  <c r="O345" s="1"/>
  <c r="D345" s="1"/>
  <c r="N340" a="1"/>
  <c r="N340" s="1"/>
  <c r="C340" s="1"/>
  <c r="O282" a="1"/>
  <c r="O282" s="1"/>
  <c r="D282" s="1"/>
  <c r="P281" a="1"/>
  <c r="P281" s="1"/>
  <c r="E281" s="1"/>
  <c r="P289" a="1"/>
  <c r="P289" s="1"/>
  <c r="E289" s="1"/>
  <c r="P282" a="1"/>
  <c r="P282" s="1"/>
  <c r="E282" s="1"/>
  <c r="P283" a="1"/>
  <c r="P283" s="1"/>
  <c r="E283" s="1"/>
  <c r="M289" a="1"/>
  <c r="M289" s="1"/>
  <c r="B289" s="1"/>
  <c r="N248" a="1"/>
  <c r="N248" s="1"/>
  <c r="C248" s="1"/>
  <c r="P244" a="1"/>
  <c r="P244" s="1"/>
  <c r="E244" s="1"/>
  <c r="O258" a="1"/>
  <c r="O258" s="1"/>
  <c r="D258" s="1"/>
  <c r="O243" a="1"/>
  <c r="O243" s="1"/>
  <c r="D243" s="1"/>
  <c r="P258" a="1"/>
  <c r="P258" s="1"/>
  <c r="E258" s="1"/>
  <c r="P243" a="1"/>
  <c r="P243" s="1"/>
  <c r="E243" s="1"/>
  <c r="O215" a="1"/>
  <c r="O215" s="1"/>
  <c r="D215" s="1"/>
  <c r="M213" a="1"/>
  <c r="M213" s="1"/>
  <c r="B213" s="1"/>
  <c r="O217" a="1"/>
  <c r="O217" s="1"/>
  <c r="D217" s="1"/>
  <c r="O225" a="1"/>
  <c r="O225" s="1"/>
  <c r="D225" s="1"/>
  <c r="N192" a="1"/>
  <c r="N192" s="1"/>
  <c r="C192" s="1"/>
  <c r="P193" a="1"/>
  <c r="P193" s="1"/>
  <c r="E193" s="1"/>
  <c r="N186" a="1"/>
  <c r="N186" s="1"/>
  <c r="C186" s="1"/>
  <c r="F42" i="11"/>
  <c r="R41" s="1"/>
  <c r="AJ28" i="14"/>
  <c r="AQ28" s="1" a="1"/>
  <c r="AQ28" s="1"/>
  <c r="AJ27" i="11"/>
  <c r="AQ27" s="1" a="1"/>
  <c r="AQ27" s="1"/>
  <c r="Q31" i="8"/>
  <c r="AJ30" i="7"/>
  <c r="AQ30" s="1" a="1"/>
  <c r="AQ30" s="1"/>
  <c r="AK69" i="10" a="1"/>
  <c r="AK69" s="1"/>
  <c r="P357" i="5" a="1"/>
  <c r="P357" s="1"/>
  <c r="E357" s="1"/>
  <c r="O363" a="1"/>
  <c r="O363" s="1"/>
  <c r="D363" s="1"/>
  <c r="N358" a="1"/>
  <c r="N358" s="1"/>
  <c r="C358" s="1"/>
  <c r="L362" a="1"/>
  <c r="L362" s="1"/>
  <c r="N370" a="1"/>
  <c r="N370" s="1"/>
  <c r="C370" s="1"/>
  <c r="L363" a="1"/>
  <c r="L363" s="1"/>
  <c r="P364" a="1"/>
  <c r="P364" s="1"/>
  <c r="E364" s="1"/>
  <c r="P296" a="1"/>
  <c r="P296" s="1"/>
  <c r="E296" s="1"/>
  <c r="N293" a="1"/>
  <c r="N293" s="1"/>
  <c r="C293" s="1"/>
  <c r="L297" a="1"/>
  <c r="L297" s="1"/>
  <c r="L232" a="1"/>
  <c r="L232" s="1"/>
  <c r="O231" a="1"/>
  <c r="O231" s="1"/>
  <c r="D231" s="1"/>
  <c r="P234" a="1"/>
  <c r="P234" s="1"/>
  <c r="E234" s="1"/>
  <c r="P235" a="1"/>
  <c r="P235" s="1"/>
  <c r="E235" s="1"/>
  <c r="P176" a="1"/>
  <c r="P176" s="1"/>
  <c r="E176" s="1"/>
  <c r="P166" a="1"/>
  <c r="P166" s="1"/>
  <c r="E166" s="1"/>
  <c r="L164" a="1"/>
  <c r="L164" s="1"/>
  <c r="A164" s="1"/>
  <c r="L166" a="1"/>
  <c r="L166" s="1"/>
  <c r="N173" a="1"/>
  <c r="N173" s="1"/>
  <c r="C173" s="1"/>
  <c r="P177" a="1"/>
  <c r="P177" s="1"/>
  <c r="E177" s="1"/>
  <c r="O371" a="1"/>
  <c r="O371" s="1"/>
  <c r="D371" s="1"/>
  <c r="O379" a="1"/>
  <c r="O379" s="1"/>
  <c r="D379" s="1"/>
  <c r="P385" a="1"/>
  <c r="P385" s="1"/>
  <c r="E385" s="1"/>
  <c r="L386" a="1"/>
  <c r="L386" s="1"/>
  <c r="A386" s="1"/>
  <c r="M373" a="1"/>
  <c r="M373" s="1"/>
  <c r="B373" s="1"/>
  <c r="O377" a="1"/>
  <c r="O377" s="1"/>
  <c r="D377" s="1"/>
  <c r="O313" a="1"/>
  <c r="O313" s="1"/>
  <c r="D313" s="1"/>
  <c r="L310" a="1"/>
  <c r="L310" s="1"/>
  <c r="O316" a="1"/>
  <c r="O316" s="1"/>
  <c r="D316" s="1"/>
  <c r="P318" a="1"/>
  <c r="P318" s="1"/>
  <c r="E318" s="1"/>
  <c r="N322" a="1"/>
  <c r="N322" s="1"/>
  <c r="C322" s="1"/>
  <c r="P316" a="1"/>
  <c r="P316" s="1"/>
  <c r="E316" s="1"/>
  <c r="P272" a="1"/>
  <c r="P272" s="1"/>
  <c r="E272" s="1"/>
  <c r="P264" a="1"/>
  <c r="P264" s="1"/>
  <c r="E264" s="1"/>
  <c r="N261" a="1"/>
  <c r="N261" s="1"/>
  <c r="C261" s="1"/>
  <c r="L265" a="1"/>
  <c r="L265" s="1"/>
  <c r="O387" a="1"/>
  <c r="O387" s="1"/>
  <c r="D387" s="1"/>
  <c r="P389" a="1"/>
  <c r="P389" s="1"/>
  <c r="E389" s="1"/>
  <c r="L397" a="1"/>
  <c r="L397" s="1"/>
  <c r="M399" a="1"/>
  <c r="M399" s="1"/>
  <c r="B399" s="1"/>
  <c r="M389" a="1"/>
  <c r="M389" s="1"/>
  <c r="B389" s="1"/>
  <c r="M397" a="1"/>
  <c r="M397" s="1"/>
  <c r="B397" s="1"/>
  <c r="N337" a="1"/>
  <c r="N337" s="1"/>
  <c r="C337" s="1"/>
  <c r="N329" a="1"/>
  <c r="N329" s="1"/>
  <c r="C329" s="1"/>
  <c r="L326" a="1"/>
  <c r="L326" s="1"/>
  <c r="A326" s="1"/>
  <c r="L331" a="1"/>
  <c r="L331" s="1"/>
  <c r="M334" a="1"/>
  <c r="M334" s="1"/>
  <c r="B334" s="1"/>
  <c r="N200" a="1"/>
  <c r="N200" s="1"/>
  <c r="C200" s="1"/>
  <c r="P200" a="1"/>
  <c r="P200" s="1"/>
  <c r="E200" s="1"/>
  <c r="N197" a="1"/>
  <c r="N197" s="1"/>
  <c r="C197" s="1"/>
  <c r="L201" a="1"/>
  <c r="L201" s="1"/>
  <c r="N198" a="1"/>
  <c r="N198" s="1"/>
  <c r="C198" s="1"/>
  <c r="L202" a="1"/>
  <c r="L202" s="1"/>
  <c r="A202" s="1"/>
  <c r="N199" a="1"/>
  <c r="N199" s="1"/>
  <c r="C199" s="1"/>
  <c r="L203" a="1"/>
  <c r="L203" s="1"/>
  <c r="L349" a="1"/>
  <c r="L349" s="1"/>
  <c r="A349" s="1"/>
  <c r="P341" a="1"/>
  <c r="P341" s="1"/>
  <c r="E341" s="1"/>
  <c r="M343" a="1"/>
  <c r="M343" s="1"/>
  <c r="B343" s="1"/>
  <c r="N349" a="1"/>
  <c r="N349" s="1"/>
  <c r="C349" s="1"/>
  <c r="O340" a="1"/>
  <c r="O340" s="1"/>
  <c r="D340" s="1"/>
  <c r="O344" a="1"/>
  <c r="O344" s="1"/>
  <c r="D344" s="1"/>
  <c r="P347" a="1"/>
  <c r="P347" s="1"/>
  <c r="E347" s="1"/>
  <c r="M342" a="1"/>
  <c r="M342" s="1"/>
  <c r="B342" s="1"/>
  <c r="O346" a="1"/>
  <c r="O346" s="1"/>
  <c r="D346" s="1"/>
  <c r="N280" a="1"/>
  <c r="N280" s="1"/>
  <c r="C280" s="1"/>
  <c r="P280" a="1"/>
  <c r="P280" s="1"/>
  <c r="E280" s="1"/>
  <c r="N277" a="1"/>
  <c r="N277" s="1"/>
  <c r="C277" s="1"/>
  <c r="L281" a="1"/>
  <c r="L281" s="1"/>
  <c r="N278" a="1"/>
  <c r="N278" s="1"/>
  <c r="C278" s="1"/>
  <c r="L282" a="1"/>
  <c r="L282" s="1"/>
  <c r="N279" a="1"/>
  <c r="N279" s="1"/>
  <c r="C279" s="1"/>
  <c r="L283" a="1"/>
  <c r="L283" s="1"/>
  <c r="L252" a="1"/>
  <c r="L252" s="1"/>
  <c r="A252" s="1"/>
  <c r="M243" a="1"/>
  <c r="M243" s="1"/>
  <c r="B243" s="1"/>
  <c r="P249" a="1"/>
  <c r="P249" s="1"/>
  <c r="E249" s="1"/>
  <c r="O218" a="1"/>
  <c r="O218" s="1"/>
  <c r="D218" s="1"/>
  <c r="P217" a="1"/>
  <c r="P217" s="1"/>
  <c r="E217" s="1"/>
  <c r="P225" a="1"/>
  <c r="P225" s="1"/>
  <c r="E225" s="1"/>
  <c r="P218" a="1"/>
  <c r="P218" s="1"/>
  <c r="E218" s="1"/>
  <c r="P219" a="1"/>
  <c r="P219" s="1"/>
  <c r="E219" s="1"/>
  <c r="M186" a="1"/>
  <c r="M186" s="1"/>
  <c r="B186" s="1"/>
  <c r="L188" a="1"/>
  <c r="L188" s="1"/>
  <c r="P184" a="1"/>
  <c r="P184" s="1"/>
  <c r="E184" s="1"/>
  <c r="N189" a="1"/>
  <c r="N189" s="1"/>
  <c r="C189" s="1"/>
  <c r="L193" a="1"/>
  <c r="L193" s="1"/>
  <c r="Q193" s="1"/>
  <c r="F193" s="1"/>
  <c r="M188" a="1"/>
  <c r="M188" s="1"/>
  <c r="B188" s="1"/>
  <c r="O192" a="1"/>
  <c r="O192" s="1"/>
  <c r="D192" s="1"/>
  <c r="O185" a="1"/>
  <c r="O185" s="1"/>
  <c r="D185" s="1"/>
  <c r="U27" i="4" a="1"/>
  <c r="U27" s="1"/>
  <c r="T21" a="1"/>
  <c r="T21" s="1"/>
  <c r="O18" a="1"/>
  <c r="O18" s="1"/>
  <c r="P18" a="1"/>
  <c r="P18" s="1"/>
  <c r="AB15"/>
  <c r="O12" a="1"/>
  <c r="O12" s="1"/>
  <c r="L313" i="5" a="1"/>
  <c r="L313" s="1"/>
  <c r="O265" a="1"/>
  <c r="O265" s="1"/>
  <c r="D265" s="1"/>
  <c r="O19" i="4" a="1"/>
  <c r="O19" s="1"/>
  <c r="U19" a="1"/>
  <c r="U19" s="1"/>
  <c r="H153" i="5"/>
  <c r="G158"/>
  <c r="G104"/>
  <c r="H111"/>
  <c r="G114"/>
  <c r="G111"/>
  <c r="H26"/>
  <c r="H31"/>
  <c r="G34"/>
  <c r="G31"/>
  <c r="G116"/>
  <c r="H130"/>
  <c r="H122"/>
  <c r="G125"/>
  <c r="H123"/>
  <c r="G124"/>
  <c r="H120"/>
  <c r="G122"/>
  <c r="H117"/>
  <c r="G119"/>
  <c r="H128"/>
  <c r="H125"/>
  <c r="G127"/>
  <c r="G144"/>
  <c r="G141"/>
  <c r="G138"/>
  <c r="G134"/>
  <c r="G140"/>
  <c r="G133"/>
  <c r="G146"/>
  <c r="G142"/>
  <c r="H141"/>
  <c r="G143"/>
  <c r="H70"/>
  <c r="G72"/>
  <c r="H79"/>
  <c r="G81"/>
  <c r="H80"/>
  <c r="G82"/>
  <c r="H77"/>
  <c r="G79"/>
  <c r="H46"/>
  <c r="H50"/>
  <c r="H47"/>
  <c r="G49"/>
  <c r="H48"/>
  <c r="G50"/>
  <c r="H45"/>
  <c r="G47"/>
  <c r="G84"/>
  <c r="G88"/>
  <c r="H95"/>
  <c r="G97"/>
  <c r="H96"/>
  <c r="G98"/>
  <c r="H93"/>
  <c r="G95"/>
  <c r="G60"/>
  <c r="H63"/>
  <c r="G65"/>
  <c r="H64"/>
  <c r="G66"/>
  <c r="H61"/>
  <c r="G63"/>
  <c r="G8"/>
  <c r="G3"/>
  <c r="H3"/>
  <c r="G5"/>
  <c r="H8"/>
  <c r="G10"/>
  <c r="H13"/>
  <c r="G15"/>
  <c r="G150"/>
  <c r="H154"/>
  <c r="H150"/>
  <c r="G162"/>
  <c r="H149"/>
  <c r="G151"/>
  <c r="G157"/>
  <c r="G161"/>
  <c r="H162"/>
  <c r="H102"/>
  <c r="H106"/>
  <c r="G108"/>
  <c r="G112"/>
  <c r="H107"/>
  <c r="G109"/>
  <c r="H108"/>
  <c r="G110"/>
  <c r="H105"/>
  <c r="G107"/>
  <c r="H30"/>
  <c r="H27"/>
  <c r="G29"/>
  <c r="H28"/>
  <c r="G30"/>
  <c r="H25"/>
  <c r="G27"/>
  <c r="H127"/>
  <c r="H119"/>
  <c r="G121"/>
  <c r="H116"/>
  <c r="G118"/>
  <c r="G115"/>
  <c r="G126"/>
  <c r="H143"/>
  <c r="G137"/>
  <c r="H138"/>
  <c r="H134"/>
  <c r="G145"/>
  <c r="H137"/>
  <c r="G139"/>
  <c r="H74"/>
  <c r="G76"/>
  <c r="G80"/>
  <c r="H75"/>
  <c r="G77"/>
  <c r="H76"/>
  <c r="G78"/>
  <c r="H73"/>
  <c r="G75"/>
  <c r="G36"/>
  <c r="H43"/>
  <c r="G45"/>
  <c r="H44"/>
  <c r="G46"/>
  <c r="H41"/>
  <c r="G43"/>
  <c r="H90"/>
  <c r="G92"/>
  <c r="G96"/>
  <c r="H91"/>
  <c r="G93"/>
  <c r="H92"/>
  <c r="G94"/>
  <c r="H89"/>
  <c r="G91"/>
  <c r="G52"/>
  <c r="H62"/>
  <c r="G56"/>
  <c r="G64"/>
  <c r="H59"/>
  <c r="G61"/>
  <c r="H60"/>
  <c r="G62"/>
  <c r="H57"/>
  <c r="G59"/>
  <c r="G4"/>
  <c r="G6"/>
  <c r="H10"/>
  <c r="G12"/>
  <c r="H15"/>
  <c r="G17"/>
  <c r="H9"/>
  <c r="G11"/>
  <c r="G160"/>
  <c r="H152"/>
  <c r="G149"/>
  <c r="H158"/>
  <c r="G155"/>
  <c r="H159"/>
  <c r="H156"/>
  <c r="G113"/>
  <c r="H112"/>
  <c r="H109"/>
  <c r="H22"/>
  <c r="G28"/>
  <c r="G33"/>
  <c r="H32"/>
  <c r="H29"/>
  <c r="H155"/>
  <c r="G152"/>
  <c r="G148"/>
  <c r="G156"/>
  <c r="H157"/>
  <c r="G159"/>
  <c r="H160"/>
  <c r="H161"/>
  <c r="G100"/>
  <c r="H99"/>
  <c r="G101"/>
  <c r="H100"/>
  <c r="G102"/>
  <c r="G99"/>
  <c r="H113"/>
  <c r="G20"/>
  <c r="G24"/>
  <c r="H34"/>
  <c r="H19"/>
  <c r="G21"/>
  <c r="H20"/>
  <c r="G22"/>
  <c r="G19"/>
  <c r="H33"/>
  <c r="H118"/>
  <c r="G120"/>
  <c r="H124"/>
  <c r="G130"/>
  <c r="H121"/>
  <c r="G123"/>
  <c r="H129"/>
  <c r="H140"/>
  <c r="H146"/>
  <c r="H136"/>
  <c r="H139"/>
  <c r="G136"/>
  <c r="G132"/>
  <c r="H144"/>
  <c r="G131"/>
  <c r="H145"/>
  <c r="G68"/>
  <c r="H67"/>
  <c r="G69"/>
  <c r="H68"/>
  <c r="G70"/>
  <c r="G67"/>
  <c r="H81"/>
  <c r="G44"/>
  <c r="G48"/>
  <c r="H42"/>
  <c r="H35"/>
  <c r="G37"/>
  <c r="H36"/>
  <c r="G38"/>
  <c r="G35"/>
  <c r="H49"/>
  <c r="H86"/>
  <c r="H83"/>
  <c r="G85"/>
  <c r="H84"/>
  <c r="G86"/>
  <c r="G83"/>
  <c r="H97"/>
  <c r="H51"/>
  <c r="G53"/>
  <c r="H52"/>
  <c r="G54"/>
  <c r="G51"/>
  <c r="H65"/>
  <c r="H5"/>
  <c r="H18"/>
  <c r="H7"/>
  <c r="G9"/>
  <c r="H12"/>
  <c r="G14"/>
  <c r="H17"/>
  <c r="G154"/>
  <c r="G153"/>
  <c r="H148"/>
  <c r="H151"/>
  <c r="H147"/>
  <c r="G147"/>
  <c r="H110"/>
  <c r="H114"/>
  <c r="H103"/>
  <c r="G105"/>
  <c r="H104"/>
  <c r="G106"/>
  <c r="H101"/>
  <c r="G103"/>
  <c r="G32"/>
  <c r="H23"/>
  <c r="G25"/>
  <c r="H24"/>
  <c r="G26"/>
  <c r="H21"/>
  <c r="G23"/>
  <c r="G128"/>
  <c r="H115"/>
  <c r="G117"/>
  <c r="H126"/>
  <c r="G129"/>
  <c r="H142"/>
  <c r="H132"/>
  <c r="H135"/>
  <c r="H131"/>
  <c r="H133"/>
  <c r="G135"/>
  <c r="H78"/>
  <c r="H82"/>
  <c r="H71"/>
  <c r="G73"/>
  <c r="H72"/>
  <c r="G74"/>
  <c r="H69"/>
  <c r="G71"/>
  <c r="H38"/>
  <c r="G40"/>
  <c r="H39"/>
  <c r="G41"/>
  <c r="H40"/>
  <c r="G42"/>
  <c r="H37"/>
  <c r="G39"/>
  <c r="H94"/>
  <c r="H98"/>
  <c r="H87"/>
  <c r="G89"/>
  <c r="H88"/>
  <c r="G90"/>
  <c r="H85"/>
  <c r="G87"/>
  <c r="H54"/>
  <c r="H58"/>
  <c r="H66"/>
  <c r="H55"/>
  <c r="G57"/>
  <c r="H56"/>
  <c r="G58"/>
  <c r="H53"/>
  <c r="G55"/>
  <c r="H6"/>
  <c r="H4"/>
  <c r="G7"/>
  <c r="H14"/>
  <c r="G16"/>
  <c r="H11"/>
  <c r="G13"/>
  <c r="H16"/>
  <c r="G18"/>
  <c r="A360"/>
  <c r="A230"/>
  <c r="A231"/>
  <c r="A343"/>
  <c r="A245"/>
  <c r="A213"/>
  <c r="A214"/>
  <c r="A215"/>
  <c r="A359"/>
  <c r="A294"/>
  <c r="A295"/>
  <c r="A374"/>
  <c r="A376"/>
  <c r="A317"/>
  <c r="A315"/>
  <c r="A262"/>
  <c r="A263"/>
  <c r="A394"/>
  <c r="A328"/>
  <c r="A196"/>
  <c r="A246"/>
  <c r="A247"/>
  <c r="A212"/>
  <c r="J14" i="11"/>
  <c r="AU14"/>
  <c r="AT14"/>
  <c r="A361" i="5"/>
  <c r="A358"/>
  <c r="A293"/>
  <c r="A228"/>
  <c r="A173"/>
  <c r="A261"/>
  <c r="A197"/>
  <c r="A198"/>
  <c r="A199"/>
  <c r="A277"/>
  <c r="A278"/>
  <c r="A279"/>
  <c r="A292"/>
  <c r="A229"/>
  <c r="A175"/>
  <c r="A375"/>
  <c r="A391"/>
  <c r="A342"/>
  <c r="A344"/>
  <c r="A276"/>
  <c r="A190"/>
  <c r="A183"/>
  <c r="AQ11" i="11" a="1"/>
  <c r="AQ11" s="1"/>
  <c r="F11" s="1"/>
  <c r="AQ6" i="13" a="1"/>
  <c r="AQ6" s="1"/>
  <c r="F6"/>
  <c r="AT15" i="7"/>
  <c r="R15"/>
  <c r="W15" s="1"/>
  <c r="H15"/>
  <c r="AU15"/>
  <c r="U15"/>
  <c r="I15"/>
  <c r="V15"/>
  <c r="J15"/>
  <c r="AS15"/>
  <c r="S15"/>
  <c r="G15"/>
  <c r="AR15"/>
  <c r="K15"/>
  <c r="AQ16" i="8" a="1"/>
  <c r="AQ16" s="1"/>
  <c r="F16" s="1"/>
  <c r="AQ20" a="1"/>
  <c r="AQ20" s="1"/>
  <c r="F20" s="1"/>
  <c r="AQ12" i="10" a="1"/>
  <c r="AQ12" s="1"/>
  <c r="F12" s="1"/>
  <c r="AQ6" a="1"/>
  <c r="AQ6" s="1"/>
  <c r="F6" s="1"/>
  <c r="A370" i="5"/>
  <c r="A305"/>
  <c r="A236"/>
  <c r="A227"/>
  <c r="Q168"/>
  <c r="F168" s="1"/>
  <c r="A311"/>
  <c r="A319"/>
  <c r="A268"/>
  <c r="A397"/>
  <c r="Q323"/>
  <c r="F323" s="1"/>
  <c r="A324"/>
  <c r="A204"/>
  <c r="A210"/>
  <c r="A195"/>
  <c r="A354"/>
  <c r="Q354"/>
  <c r="F354" s="1"/>
  <c r="A339"/>
  <c r="A340"/>
  <c r="A280"/>
  <c r="A284"/>
  <c r="A289"/>
  <c r="A290"/>
  <c r="Q248"/>
  <c r="F248" s="1"/>
  <c r="A248"/>
  <c r="A257"/>
  <c r="A243"/>
  <c r="Q216"/>
  <c r="F216" s="1"/>
  <c r="A226"/>
  <c r="A185"/>
  <c r="A186"/>
  <c r="AQ6" i="12" a="1"/>
  <c r="AQ6" s="1"/>
  <c r="F6" s="1"/>
  <c r="AR9" i="11"/>
  <c r="U9"/>
  <c r="J9"/>
  <c r="AS9"/>
  <c r="V9"/>
  <c r="AK9" s="1"/>
  <c r="S9" s="1"/>
  <c r="G9"/>
  <c r="AT9"/>
  <c r="I9"/>
  <c r="R9"/>
  <c r="W9" s="1"/>
  <c r="H9"/>
  <c r="AU9"/>
  <c r="AQ21" i="9" a="1"/>
  <c r="AQ21" s="1"/>
  <c r="F21" s="1"/>
  <c r="AQ18" i="6" a="1"/>
  <c r="AQ18" s="1"/>
  <c r="F18" s="1"/>
  <c r="AQ12" i="8" a="1"/>
  <c r="AQ12" s="1"/>
  <c r="F12" s="1"/>
  <c r="AQ16" i="10" a="1"/>
  <c r="AQ16" s="1"/>
  <c r="F16" s="1"/>
  <c r="AQ7" a="1"/>
  <c r="AQ7" s="1"/>
  <c r="F7" s="1"/>
  <c r="M22" i="15"/>
  <c r="W7"/>
  <c r="AQ12" i="11" a="1"/>
  <c r="AQ12" s="1"/>
  <c r="F12" s="1"/>
  <c r="AQ17" i="12" a="1"/>
  <c r="AQ17" s="1"/>
  <c r="F17" s="1"/>
  <c r="AQ21" a="1"/>
  <c r="AQ21" s="1"/>
  <c r="F21" s="1"/>
  <c r="AQ10" i="13" a="1"/>
  <c r="AQ10" s="1"/>
  <c r="F10" s="1"/>
  <c r="AQ14" a="1"/>
  <c r="AQ14" s="1"/>
  <c r="F14" s="1"/>
  <c r="AQ8" i="9" a="1"/>
  <c r="AQ8" s="1"/>
  <c r="F8" s="1"/>
  <c r="AQ16" a="1"/>
  <c r="AQ16" s="1"/>
  <c r="F16"/>
  <c r="AQ20" a="1"/>
  <c r="AQ20" s="1"/>
  <c r="F20" s="1"/>
  <c r="AQ9" i="6" a="1"/>
  <c r="AQ9" s="1"/>
  <c r="F9" s="1"/>
  <c r="AQ13" a="1"/>
  <c r="AQ13" s="1"/>
  <c r="F13" s="1"/>
  <c r="AQ17" a="1"/>
  <c r="AQ17" s="1"/>
  <c r="F17" s="1"/>
  <c r="AQ21" a="1"/>
  <c r="AQ21" s="1"/>
  <c r="F21" s="1"/>
  <c r="AQ17" i="8" a="1"/>
  <c r="AQ17" s="1"/>
  <c r="F17" s="1"/>
  <c r="AQ21" a="1"/>
  <c r="AQ21" s="1"/>
  <c r="F21" s="1"/>
  <c r="AQ11" i="10" a="1"/>
  <c r="AQ11" s="1"/>
  <c r="F11" s="1"/>
  <c r="AQ8" a="1"/>
  <c r="AQ8" s="1"/>
  <c r="F8" s="1"/>
  <c r="AQ16" i="7" a="1"/>
  <c r="AQ16" s="1"/>
  <c r="F16" s="1"/>
  <c r="AQ12" a="1"/>
  <c r="AQ12" s="1"/>
  <c r="F12" s="1"/>
  <c r="AQ14" a="1"/>
  <c r="AQ14" s="1"/>
  <c r="F14" s="1"/>
  <c r="AQ10" a="1"/>
  <c r="AQ10" s="1"/>
  <c r="F10" s="1"/>
  <c r="AQ6" a="1"/>
  <c r="AQ6" s="1"/>
  <c r="F6" s="1"/>
  <c r="AQ18" a="1"/>
  <c r="AQ18" s="1"/>
  <c r="F18" s="1"/>
  <c r="AQ15" i="10" a="1"/>
  <c r="AQ15" s="1"/>
  <c r="F15" s="1"/>
  <c r="A402" i="5"/>
  <c r="A341"/>
  <c r="J22" i="3" a="1"/>
  <c r="J22" s="1"/>
  <c r="H22" a="1"/>
  <c r="H22" s="1"/>
  <c r="F22" a="1"/>
  <c r="F22" s="1"/>
  <c r="D22" a="1"/>
  <c r="D22" s="1"/>
  <c r="K22" a="1"/>
  <c r="K22" s="1"/>
  <c r="C22" a="1"/>
  <c r="C22" s="1"/>
  <c r="E22" a="1"/>
  <c r="E22" s="1"/>
  <c r="G22" a="1"/>
  <c r="G22" s="1"/>
  <c r="J18" a="1"/>
  <c r="J18" s="1"/>
  <c r="H18" a="1"/>
  <c r="H18" s="1"/>
  <c r="F18" a="1"/>
  <c r="F18" s="1"/>
  <c r="D18" a="1"/>
  <c r="D18" s="1"/>
  <c r="K18" a="1"/>
  <c r="K18" s="1"/>
  <c r="C18" a="1"/>
  <c r="C18" s="1"/>
  <c r="E18" a="1"/>
  <c r="E18" s="1"/>
  <c r="G18" a="1"/>
  <c r="G18" s="1"/>
  <c r="L18" s="1"/>
  <c r="S10" i="4"/>
  <c r="V10"/>
  <c r="Q10"/>
  <c r="R10"/>
  <c r="Z10" a="1"/>
  <c r="Z10" s="1"/>
  <c r="V4"/>
  <c r="Z4" a="1"/>
  <c r="Z4" s="1"/>
  <c r="R4"/>
  <c r="O314" i="5" a="1"/>
  <c r="O314" s="1"/>
  <c r="D314" s="1"/>
  <c r="P388" a="1"/>
  <c r="P388" s="1"/>
  <c r="E388" s="1"/>
  <c r="O393" a="1"/>
  <c r="O393" s="1"/>
  <c r="D393" s="1"/>
  <c r="L327" a="1"/>
  <c r="L327" s="1"/>
  <c r="N196" a="1"/>
  <c r="N196" s="1"/>
  <c r="C196" s="1"/>
  <c r="M196" a="1"/>
  <c r="M196" s="1"/>
  <c r="B196" s="1"/>
  <c r="N276" a="1"/>
  <c r="N276" s="1"/>
  <c r="C276" s="1"/>
  <c r="M276" a="1"/>
  <c r="M276" s="1"/>
  <c r="B276" s="1"/>
  <c r="N212" a="1"/>
  <c r="N212" s="1"/>
  <c r="C212" s="1"/>
  <c r="M212" a="1"/>
  <c r="M212" s="1"/>
  <c r="B212" s="1"/>
  <c r="M181" a="1"/>
  <c r="M181" s="1"/>
  <c r="B181" s="1"/>
  <c r="R42" i="17"/>
  <c r="AJ28" i="10"/>
  <c r="AQ28" s="1" a="1"/>
  <c r="AQ28" s="1"/>
  <c r="AJ26" i="9"/>
  <c r="AQ26" s="1" a="1"/>
  <c r="AQ26" s="1"/>
  <c r="AQ11" i="7" a="1"/>
  <c r="AQ11" s="1"/>
  <c r="F11" s="1"/>
  <c r="S22" i="15"/>
  <c r="R40"/>
  <c r="AJ26" i="17"/>
  <c r="AQ26" s="1" a="1"/>
  <c r="AQ26" s="1"/>
  <c r="Q31" i="14"/>
  <c r="AQ13" i="11" a="1"/>
  <c r="AQ13" s="1"/>
  <c r="F13" s="1"/>
  <c r="N22" i="15"/>
  <c r="P22"/>
  <c r="AJ27" i="9"/>
  <c r="AQ27" s="1" a="1"/>
  <c r="AQ27" s="1"/>
  <c r="AJ29" i="17"/>
  <c r="AQ29" s="1" a="1"/>
  <c r="AQ29" s="1"/>
  <c r="AQ13" i="7" a="1"/>
  <c r="AQ13" s="1"/>
  <c r="F13" s="1"/>
  <c r="AJ27" i="8"/>
  <c r="AQ27" s="1" a="1"/>
  <c r="AQ27" s="1"/>
  <c r="F42" i="9"/>
  <c r="R41" s="1"/>
  <c r="AQ19" i="7" a="1"/>
  <c r="AQ19" s="1"/>
  <c r="F19" s="1"/>
  <c r="Q31" i="10"/>
  <c r="AJ27"/>
  <c r="AQ27" s="1" a="1"/>
  <c r="AQ27" s="1"/>
  <c r="P361" i="5" a="1"/>
  <c r="P361" s="1"/>
  <c r="E361" s="1"/>
  <c r="O367" a="1"/>
  <c r="O367" s="1"/>
  <c r="D367" s="1"/>
  <c r="P358" a="1"/>
  <c r="P358" s="1"/>
  <c r="E358" s="1"/>
  <c r="L366" a="1"/>
  <c r="L366" s="1"/>
  <c r="M368" a="1"/>
  <c r="M368" s="1"/>
  <c r="B368" s="1"/>
  <c r="O357" a="1"/>
  <c r="O357" s="1"/>
  <c r="D357" s="1"/>
  <c r="P359" a="1"/>
  <c r="P359" s="1"/>
  <c r="E359" s="1"/>
  <c r="L367" a="1"/>
  <c r="L367" s="1"/>
  <c r="O358" a="1"/>
  <c r="O358" s="1"/>
  <c r="D358" s="1"/>
  <c r="P360" a="1"/>
  <c r="P360" s="1"/>
  <c r="E360" s="1"/>
  <c r="L368" a="1"/>
  <c r="L368" s="1"/>
  <c r="O302" a="1"/>
  <c r="O302" s="1"/>
  <c r="D302" s="1"/>
  <c r="P292" a="1"/>
  <c r="P292" s="1"/>
  <c r="E292" s="1"/>
  <c r="M302" a="1"/>
  <c r="M302" s="1"/>
  <c r="B302" s="1"/>
  <c r="O294" a="1"/>
  <c r="O294" s="1"/>
  <c r="D294" s="1"/>
  <c r="L304" a="1"/>
  <c r="L304" s="1"/>
  <c r="P293" a="1"/>
  <c r="P293" s="1"/>
  <c r="E293" s="1"/>
  <c r="L301" a="1"/>
  <c r="L301" s="1"/>
  <c r="M303" a="1"/>
  <c r="M303" s="1"/>
  <c r="B303" s="1"/>
  <c r="O292" a="1"/>
  <c r="O292" s="1"/>
  <c r="D292" s="1"/>
  <c r="P294" a="1"/>
  <c r="P294" s="1"/>
  <c r="E294" s="1"/>
  <c r="L302" a="1"/>
  <c r="L302" s="1"/>
  <c r="M304" a="1"/>
  <c r="M304" s="1"/>
  <c r="B304" s="1"/>
  <c r="O293" a="1"/>
  <c r="O293" s="1"/>
  <c r="D293" s="1"/>
  <c r="P295" a="1"/>
  <c r="P295" s="1"/>
  <c r="E295" s="1"/>
  <c r="L303" a="1"/>
  <c r="L303" s="1"/>
  <c r="O238" a="1"/>
  <c r="O238" s="1"/>
  <c r="D238" s="1"/>
  <c r="P228" a="1"/>
  <c r="P228" s="1"/>
  <c r="E228" s="1"/>
  <c r="M238" a="1"/>
  <c r="M238" s="1"/>
  <c r="B238" s="1"/>
  <c r="O230" a="1"/>
  <c r="O230" s="1"/>
  <c r="D230" s="1"/>
  <c r="L240" a="1"/>
  <c r="L240" s="1"/>
  <c r="P229" a="1"/>
  <c r="P229" s="1"/>
  <c r="E229" s="1"/>
  <c r="L237" a="1"/>
  <c r="L237" s="1"/>
  <c r="M239" a="1"/>
  <c r="M239" s="1"/>
  <c r="B239" s="1"/>
  <c r="O228" a="1"/>
  <c r="O228" s="1"/>
  <c r="D228" s="1"/>
  <c r="P230" a="1"/>
  <c r="P230" s="1"/>
  <c r="E230" s="1"/>
  <c r="L238" a="1"/>
  <c r="L238" s="1"/>
  <c r="M240" a="1"/>
  <c r="M240" s="1"/>
  <c r="B240" s="1"/>
  <c r="O229" a="1"/>
  <c r="O229" s="1"/>
  <c r="D229" s="1"/>
  <c r="P231" a="1"/>
  <c r="P231" s="1"/>
  <c r="E231" s="1"/>
  <c r="L239" a="1"/>
  <c r="L239" s="1"/>
  <c r="N172" a="1"/>
  <c r="N172" s="1"/>
  <c r="C172" s="1"/>
  <c r="L176" a="1"/>
  <c r="L176" s="1"/>
  <c r="M164" a="1"/>
  <c r="M164" s="1"/>
  <c r="B164" s="1"/>
  <c r="O173" a="1"/>
  <c r="O173" s="1"/>
  <c r="D173" s="1"/>
  <c r="N175" a="1"/>
  <c r="N175" s="1"/>
  <c r="C175" s="1"/>
  <c r="M165" a="1"/>
  <c r="M165" s="1"/>
  <c r="B165" s="1"/>
  <c r="N170" a="1"/>
  <c r="N170" s="1"/>
  <c r="C170" s="1"/>
  <c r="M174" a="1"/>
  <c r="M174" s="1"/>
  <c r="B174" s="1"/>
  <c r="L165" a="1"/>
  <c r="L165" s="1"/>
  <c r="M167" a="1"/>
  <c r="M167" s="1"/>
  <c r="B167" s="1"/>
  <c r="P173" a="1"/>
  <c r="P173" s="1"/>
  <c r="E173" s="1"/>
  <c r="L174" a="1"/>
  <c r="L174" s="1"/>
  <c r="M176" a="1"/>
  <c r="M176" s="1"/>
  <c r="B176" s="1"/>
  <c r="M383" a="1"/>
  <c r="M383" s="1"/>
  <c r="B383" s="1"/>
  <c r="P377" a="1"/>
  <c r="P377" s="1"/>
  <c r="E377" s="1"/>
  <c r="O383" a="1"/>
  <c r="O383" s="1"/>
  <c r="D383" s="1"/>
  <c r="P374" a="1"/>
  <c r="P374" s="1"/>
  <c r="E374" s="1"/>
  <c r="L382" a="1"/>
  <c r="L382" s="1"/>
  <c r="M384" a="1"/>
  <c r="M384" s="1"/>
  <c r="B384" s="1"/>
  <c r="O373" a="1"/>
  <c r="O373" s="1"/>
  <c r="D373" s="1"/>
  <c r="P375" a="1"/>
  <c r="P375" s="1"/>
  <c r="E375" s="1"/>
  <c r="L383" a="1"/>
  <c r="L383" s="1"/>
  <c r="O374" a="1"/>
  <c r="O374" s="1"/>
  <c r="D374" s="1"/>
  <c r="P376" a="1"/>
  <c r="P376" s="1"/>
  <c r="E376" s="1"/>
  <c r="L384" a="1"/>
  <c r="L384" s="1"/>
  <c r="N312" a="1"/>
  <c r="N312" s="1"/>
  <c r="C312" s="1"/>
  <c r="N308" a="1"/>
  <c r="N308" s="1"/>
  <c r="C308" s="1"/>
  <c r="N317" a="1"/>
  <c r="N317" s="1"/>
  <c r="C317" s="1"/>
  <c r="O307" a="1"/>
  <c r="O307" s="1"/>
  <c r="D307" s="1"/>
  <c r="P309" a="1"/>
  <c r="P309" s="1"/>
  <c r="E309" s="1"/>
  <c r="O321" a="1"/>
  <c r="O321" s="1"/>
  <c r="D321" s="1"/>
  <c r="L307" a="1"/>
  <c r="L307" s="1"/>
  <c r="M309" a="1"/>
  <c r="M309" s="1"/>
  <c r="B309" s="1"/>
  <c r="L314" a="1"/>
  <c r="L314" s="1"/>
  <c r="O320" a="1"/>
  <c r="O320" s="1"/>
  <c r="D320" s="1"/>
  <c r="P322" a="1"/>
  <c r="P322" s="1"/>
  <c r="E322" s="1"/>
  <c r="L320" a="1"/>
  <c r="L320" s="1"/>
  <c r="M322" a="1"/>
  <c r="M322" s="1"/>
  <c r="B322" s="1"/>
  <c r="P260" a="1"/>
  <c r="P260" s="1"/>
  <c r="E260" s="1"/>
  <c r="M270" a="1"/>
  <c r="M270" s="1"/>
  <c r="B270" s="1"/>
  <c r="O262" a="1"/>
  <c r="O262" s="1"/>
  <c r="D262" s="1"/>
  <c r="L272" a="1"/>
  <c r="L272" s="1"/>
  <c r="P261" a="1"/>
  <c r="P261" s="1"/>
  <c r="E261" s="1"/>
  <c r="L269" a="1"/>
  <c r="L269" s="1"/>
  <c r="M271" a="1"/>
  <c r="M271" s="1"/>
  <c r="B271" s="1"/>
  <c r="P262" a="1"/>
  <c r="P262" s="1"/>
  <c r="E262" s="1"/>
  <c r="L270" a="1"/>
  <c r="L270" s="1"/>
  <c r="M272" a="1"/>
  <c r="M272" s="1"/>
  <c r="B272" s="1"/>
  <c r="O261" a="1"/>
  <c r="O261" s="1"/>
  <c r="D261" s="1"/>
  <c r="P263" a="1"/>
  <c r="P263" s="1"/>
  <c r="E263" s="1"/>
  <c r="L271" a="1"/>
  <c r="L271" s="1"/>
  <c r="N394" a="1"/>
  <c r="N394" s="1"/>
  <c r="C394" s="1"/>
  <c r="O388" a="1"/>
  <c r="O388" s="1"/>
  <c r="D388" s="1"/>
  <c r="N388" a="1"/>
  <c r="N388" s="1"/>
  <c r="C388" s="1"/>
  <c r="O398" a="1"/>
  <c r="O398" s="1"/>
  <c r="D398" s="1"/>
  <c r="O394" a="1"/>
  <c r="O394" s="1"/>
  <c r="D394" s="1"/>
  <c r="M398" a="1"/>
  <c r="M398" s="1"/>
  <c r="B398" s="1"/>
  <c r="L393" a="1"/>
  <c r="L393" s="1"/>
  <c r="O399" a="1"/>
  <c r="O399" s="1"/>
  <c r="D399" s="1"/>
  <c r="P401" a="1"/>
  <c r="P401" s="1"/>
  <c r="E401" s="1"/>
  <c r="O389" a="1"/>
  <c r="O389" s="1"/>
  <c r="D389" s="1"/>
  <c r="P391" a="1"/>
  <c r="P391" s="1"/>
  <c r="E391" s="1"/>
  <c r="L399" a="1"/>
  <c r="L399" s="1"/>
  <c r="M401" a="1"/>
  <c r="M401" s="1"/>
  <c r="B401" s="1"/>
  <c r="O327" a="1"/>
  <c r="O327" s="1"/>
  <c r="D327" s="1"/>
  <c r="N327" a="1"/>
  <c r="N327" s="1"/>
  <c r="C327" s="1"/>
  <c r="L337" a="1"/>
  <c r="L337" s="1"/>
  <c r="P327" a="1"/>
  <c r="P327" s="1"/>
  <c r="E327" s="1"/>
  <c r="N333" a="1"/>
  <c r="N333" s="1"/>
  <c r="C333" s="1"/>
  <c r="O328" a="1"/>
  <c r="O328" s="1"/>
  <c r="D328" s="1"/>
  <c r="P330" a="1"/>
  <c r="P330" s="1"/>
  <c r="E330" s="1"/>
  <c r="L338" a="1"/>
  <c r="L338" s="1"/>
  <c r="L335" a="1"/>
  <c r="L335" s="1"/>
  <c r="M337" a="1"/>
  <c r="M337" s="1"/>
  <c r="B337" s="1"/>
  <c r="P328" a="1"/>
  <c r="P328" s="1"/>
  <c r="E328" s="1"/>
  <c r="L336" a="1"/>
  <c r="L336" s="1"/>
  <c r="M338" a="1"/>
  <c r="M338" s="1"/>
  <c r="B338" s="1"/>
  <c r="N204" a="1"/>
  <c r="N204" s="1"/>
  <c r="C204" s="1"/>
  <c r="P196" a="1"/>
  <c r="P196" s="1"/>
  <c r="E196" s="1"/>
  <c r="M206" a="1"/>
  <c r="M206" s="1"/>
  <c r="B206" s="1"/>
  <c r="O198" a="1"/>
  <c r="O198" s="1"/>
  <c r="D198" s="1"/>
  <c r="L208" a="1"/>
  <c r="L208" s="1"/>
  <c r="P197" a="1"/>
  <c r="P197" s="1"/>
  <c r="E197" s="1"/>
  <c r="L205" a="1"/>
  <c r="L205" s="1"/>
  <c r="M207" a="1"/>
  <c r="M207" s="1"/>
  <c r="B207" s="1"/>
  <c r="O196" a="1"/>
  <c r="O196" s="1"/>
  <c r="D196" s="1"/>
  <c r="P198" a="1"/>
  <c r="P198" s="1"/>
  <c r="E198" s="1"/>
  <c r="L206" a="1"/>
  <c r="L206" s="1"/>
  <c r="M208" a="1"/>
  <c r="M208" s="1"/>
  <c r="B208" s="1"/>
  <c r="O197" a="1"/>
  <c r="O197" s="1"/>
  <c r="D197" s="1"/>
  <c r="P199" a="1"/>
  <c r="P199" s="1"/>
  <c r="E199" s="1"/>
  <c r="L207" a="1"/>
  <c r="L207" s="1"/>
  <c r="O351" a="1"/>
  <c r="O351" s="1"/>
  <c r="D351" s="1"/>
  <c r="P342" a="1"/>
  <c r="P342" s="1"/>
  <c r="E342" s="1"/>
  <c r="L350" a="1"/>
  <c r="L350" s="1"/>
  <c r="M352" a="1"/>
  <c r="M352" s="1"/>
  <c r="B352" s="1"/>
  <c r="O341" a="1"/>
  <c r="O341" s="1"/>
  <c r="D341" s="1"/>
  <c r="P343" a="1"/>
  <c r="P343" s="1"/>
  <c r="E343" s="1"/>
  <c r="L351" a="1"/>
  <c r="L351" s="1"/>
  <c r="O342" a="1"/>
  <c r="O342" s="1"/>
  <c r="D342" s="1"/>
  <c r="P344" a="1"/>
  <c r="P344" s="1"/>
  <c r="E344" s="1"/>
  <c r="L352" a="1"/>
  <c r="L352" s="1"/>
  <c r="N284" a="1"/>
  <c r="N284" s="1"/>
  <c r="C284" s="1"/>
  <c r="P288" a="1"/>
  <c r="P288" s="1"/>
  <c r="E288" s="1"/>
  <c r="P276" a="1"/>
  <c r="P276" s="1"/>
  <c r="E276" s="1"/>
  <c r="M286" a="1"/>
  <c r="M286" s="1"/>
  <c r="B286" s="1"/>
  <c r="O278" a="1"/>
  <c r="O278" s="1"/>
  <c r="D278" s="1"/>
  <c r="L288" a="1"/>
  <c r="L288" s="1"/>
  <c r="P277" a="1"/>
  <c r="P277" s="1"/>
  <c r="E277" s="1"/>
  <c r="L285" a="1"/>
  <c r="L285" s="1"/>
  <c r="M287" a="1"/>
  <c r="M287" s="1"/>
  <c r="B287" s="1"/>
  <c r="O276" a="1"/>
  <c r="O276" s="1"/>
  <c r="D276" s="1"/>
  <c r="P278" a="1"/>
  <c r="P278" s="1"/>
  <c r="E278" s="1"/>
  <c r="L286" a="1"/>
  <c r="L286" s="1"/>
  <c r="M288" a="1"/>
  <c r="M288" s="1"/>
  <c r="B288" s="1"/>
  <c r="O277" a="1"/>
  <c r="O277" s="1"/>
  <c r="D277" s="1"/>
  <c r="P279" a="1"/>
  <c r="P279" s="1"/>
  <c r="E279" s="1"/>
  <c r="L287" a="1"/>
  <c r="L287" s="1"/>
  <c r="P256" a="1"/>
  <c r="P256" s="1"/>
  <c r="E256" s="1"/>
  <c r="M254" a="1"/>
  <c r="M254" s="1"/>
  <c r="B254" s="1"/>
  <c r="O246" a="1"/>
  <c r="O246" s="1"/>
  <c r="D246" s="1"/>
  <c r="L256" a="1"/>
  <c r="L256" s="1"/>
  <c r="P245" a="1"/>
  <c r="P245" s="1"/>
  <c r="E245" s="1"/>
  <c r="L253" a="1"/>
  <c r="L253" s="1"/>
  <c r="M255" a="1"/>
  <c r="M255" s="1"/>
  <c r="B255" s="1"/>
  <c r="P246" a="1"/>
  <c r="P246" s="1"/>
  <c r="E246" s="1"/>
  <c r="L254" a="1"/>
  <c r="L254" s="1"/>
  <c r="M256" a="1"/>
  <c r="M256" s="1"/>
  <c r="B256" s="1"/>
  <c r="O245" a="1"/>
  <c r="O245" s="1"/>
  <c r="D245" s="1"/>
  <c r="P247" a="1"/>
  <c r="P247" s="1"/>
  <c r="E247" s="1"/>
  <c r="L255" a="1"/>
  <c r="L255" s="1"/>
  <c r="N220" a="1"/>
  <c r="N220" s="1"/>
  <c r="C220" s="1"/>
  <c r="P224" a="1"/>
  <c r="P224" s="1"/>
  <c r="E224" s="1"/>
  <c r="P212" a="1"/>
  <c r="P212" s="1"/>
  <c r="E212" s="1"/>
  <c r="M222" a="1"/>
  <c r="M222" s="1"/>
  <c r="B222" s="1"/>
  <c r="O214" a="1"/>
  <c r="O214" s="1"/>
  <c r="D214" s="1"/>
  <c r="L224" a="1"/>
  <c r="L224" s="1"/>
  <c r="P213" a="1"/>
  <c r="P213" s="1"/>
  <c r="E213" s="1"/>
  <c r="L221" a="1"/>
  <c r="L221" s="1"/>
  <c r="M223" a="1"/>
  <c r="M223" s="1"/>
  <c r="B223" s="1"/>
  <c r="O212" a="1"/>
  <c r="O212" s="1"/>
  <c r="D212" s="1"/>
  <c r="P214" a="1"/>
  <c r="P214" s="1"/>
  <c r="E214" s="1"/>
  <c r="L222" a="1"/>
  <c r="L222" s="1"/>
  <c r="M224" a="1"/>
  <c r="M224" s="1"/>
  <c r="B224" s="1"/>
  <c r="O213" a="1"/>
  <c r="O213" s="1"/>
  <c r="D213" s="1"/>
  <c r="P215" a="1"/>
  <c r="P215" s="1"/>
  <c r="E215" s="1"/>
  <c r="L223" a="1"/>
  <c r="L223" s="1"/>
  <c r="L181" a="1"/>
  <c r="L181" s="1"/>
  <c r="M183" a="1"/>
  <c r="M183" s="1"/>
  <c r="B183" s="1"/>
  <c r="P189" a="1"/>
  <c r="P189" s="1"/>
  <c r="E189" s="1"/>
  <c r="L182" a="1"/>
  <c r="L182" s="1"/>
  <c r="O188" a="1"/>
  <c r="O188" s="1"/>
  <c r="D188" s="1"/>
  <c r="P190" a="1"/>
  <c r="P190" s="1"/>
  <c r="E190" s="1"/>
  <c r="N179" a="1"/>
  <c r="N179" s="1"/>
  <c r="C179" s="1"/>
  <c r="O181" a="1"/>
  <c r="O181" s="1"/>
  <c r="D181" s="1"/>
  <c r="P183" a="1"/>
  <c r="P183" s="1"/>
  <c r="E183" s="1"/>
  <c r="L191" a="1"/>
  <c r="L191" s="1"/>
  <c r="M193" a="1"/>
  <c r="M193" s="1"/>
  <c r="B193" s="1"/>
  <c r="AA27" i="4"/>
  <c r="AA26"/>
  <c r="P25" a="1"/>
  <c r="P25" s="1"/>
  <c r="AA25"/>
  <c r="P24" a="1"/>
  <c r="P24" s="1"/>
  <c r="AA24"/>
  <c r="P23" a="1"/>
  <c r="P23" s="1"/>
  <c r="AA23"/>
  <c r="P21" a="1"/>
  <c r="P21" s="1"/>
  <c r="AA21"/>
  <c r="P20" a="1"/>
  <c r="P20" s="1"/>
  <c r="AA20"/>
  <c r="P19" a="1"/>
  <c r="P19" s="1"/>
  <c r="AA19"/>
  <c r="U18" a="1"/>
  <c r="U18" s="1"/>
  <c r="P17" a="1"/>
  <c r="P17" s="1"/>
  <c r="AA17"/>
  <c r="P16" a="1"/>
  <c r="P16" s="1"/>
  <c r="AA16"/>
  <c r="P15" a="1"/>
  <c r="P15" s="1"/>
  <c r="AA15"/>
  <c r="P14" a="1"/>
  <c r="P14" s="1"/>
  <c r="AA14"/>
  <c r="T13" a="1"/>
  <c r="T13" s="1"/>
  <c r="U13" a="1"/>
  <c r="U13" s="1"/>
  <c r="P12" a="1"/>
  <c r="P12" s="1"/>
  <c r="T11" a="1"/>
  <c r="T11" s="1"/>
  <c r="V11" s="1"/>
  <c r="U11" a="1"/>
  <c r="U11" s="1"/>
  <c r="T9" a="1"/>
  <c r="T9" s="1"/>
  <c r="V9" s="1"/>
  <c r="T7" a="1"/>
  <c r="T7" s="1"/>
  <c r="P3" a="1"/>
  <c r="P3" s="1"/>
  <c r="AR6" i="11"/>
  <c r="U6"/>
  <c r="J6"/>
  <c r="AS6"/>
  <c r="V6"/>
  <c r="G6"/>
  <c r="AU6"/>
  <c r="S6"/>
  <c r="H6"/>
  <c r="AT6"/>
  <c r="I6"/>
  <c r="R6"/>
  <c r="AQ7" i="9" a="1"/>
  <c r="AQ7" s="1"/>
  <c r="F7" s="1"/>
  <c r="AQ19" a="1"/>
  <c r="AQ19" s="1"/>
  <c r="F19" s="1"/>
  <c r="AQ12" i="6" a="1"/>
  <c r="AQ12" s="1"/>
  <c r="F12" s="1"/>
  <c r="AR7" i="11"/>
  <c r="U7"/>
  <c r="J7"/>
  <c r="AS7"/>
  <c r="V7"/>
  <c r="AK7" s="1"/>
  <c r="S7" s="1"/>
  <c r="G7"/>
  <c r="R7"/>
  <c r="W7" s="1"/>
  <c r="AT7"/>
  <c r="I7"/>
  <c r="H7"/>
  <c r="AU7"/>
  <c r="AQ21" i="10" a="1"/>
  <c r="AQ21" s="1"/>
  <c r="F21" s="1"/>
  <c r="J26" i="3" a="1"/>
  <c r="J26" s="1"/>
  <c r="H26" a="1"/>
  <c r="H26" s="1"/>
  <c r="F26" a="1"/>
  <c r="F26" s="1"/>
  <c r="D26" a="1"/>
  <c r="D26" s="1"/>
  <c r="K26" a="1"/>
  <c r="K26" s="1"/>
  <c r="E26" a="1"/>
  <c r="E26" s="1"/>
  <c r="C26" a="1"/>
  <c r="C26" s="1"/>
  <c r="G26" a="1"/>
  <c r="G26" s="1"/>
  <c r="L26" s="1"/>
  <c r="J20" a="1"/>
  <c r="J20" s="1"/>
  <c r="H20" a="1"/>
  <c r="H20" s="1"/>
  <c r="F20" a="1"/>
  <c r="F20" s="1"/>
  <c r="D20" a="1"/>
  <c r="D20" s="1"/>
  <c r="K20" a="1"/>
  <c r="K20" s="1"/>
  <c r="E20" a="1"/>
  <c r="E20" s="1"/>
  <c r="G20" a="1"/>
  <c r="G20" s="1"/>
  <c r="C20" a="1"/>
  <c r="C20" s="1"/>
  <c r="J16" a="1"/>
  <c r="J16" s="1"/>
  <c r="H16" a="1"/>
  <c r="H16" s="1"/>
  <c r="F16" a="1"/>
  <c r="F16" s="1"/>
  <c r="D16" a="1"/>
  <c r="D16" s="1"/>
  <c r="K16" a="1"/>
  <c r="K16" s="1"/>
  <c r="E16" a="1"/>
  <c r="E16" s="1"/>
  <c r="G16" a="1"/>
  <c r="G16" s="1"/>
  <c r="L16" s="1"/>
  <c r="C16" a="1"/>
  <c r="C16" s="1"/>
  <c r="J14" a="1"/>
  <c r="J14" s="1"/>
  <c r="H14" a="1"/>
  <c r="H14" s="1"/>
  <c r="F14" a="1"/>
  <c r="F14" s="1"/>
  <c r="D14" a="1"/>
  <c r="D14" s="1"/>
  <c r="K14" a="1"/>
  <c r="K14" s="1"/>
  <c r="C14" a="1"/>
  <c r="C14" s="1"/>
  <c r="E14" a="1"/>
  <c r="E14" s="1"/>
  <c r="G14" a="1"/>
  <c r="G14" s="1"/>
  <c r="J12" a="1"/>
  <c r="J12" s="1"/>
  <c r="H12" a="1"/>
  <c r="H12" s="1"/>
  <c r="F12" a="1"/>
  <c r="F12" s="1"/>
  <c r="D12" a="1"/>
  <c r="D12" s="1"/>
  <c r="K12" a="1"/>
  <c r="K12" s="1"/>
  <c r="E12" a="1"/>
  <c r="E12" s="1"/>
  <c r="G12" a="1"/>
  <c r="G12" s="1"/>
  <c r="C12" a="1"/>
  <c r="C12" s="1"/>
  <c r="K11" a="1"/>
  <c r="K11" s="1"/>
  <c r="G11" a="1"/>
  <c r="G11" s="1"/>
  <c r="E11" a="1"/>
  <c r="E11" s="1"/>
  <c r="C11" a="1"/>
  <c r="C11" s="1"/>
  <c r="J11" a="1"/>
  <c r="J11" s="1"/>
  <c r="D11" a="1"/>
  <c r="D11" s="1"/>
  <c r="F11" a="1"/>
  <c r="F11" s="1"/>
  <c r="H11" a="1"/>
  <c r="H11" s="1"/>
  <c r="S9" i="4"/>
  <c r="W9"/>
  <c r="Q9"/>
  <c r="Z9" a="1"/>
  <c r="Z9" s="1"/>
  <c r="R9"/>
  <c r="S8"/>
  <c r="V8"/>
  <c r="W8"/>
  <c r="Q8"/>
  <c r="X8"/>
  <c r="Z8" a="1"/>
  <c r="Z8" s="1"/>
  <c r="R8"/>
  <c r="K7" i="3" a="1"/>
  <c r="K7" s="1"/>
  <c r="G7" a="1"/>
  <c r="G7" s="1"/>
  <c r="E7" a="1"/>
  <c r="E7" s="1"/>
  <c r="C7" a="1"/>
  <c r="C7" s="1"/>
  <c r="J7" a="1"/>
  <c r="J7" s="1"/>
  <c r="D7" a="1"/>
  <c r="D7" s="1"/>
  <c r="F7" a="1"/>
  <c r="F7" s="1"/>
  <c r="H7" a="1"/>
  <c r="H7" s="1"/>
  <c r="V7" i="4"/>
  <c r="W7"/>
  <c r="X7"/>
  <c r="Z7" a="1"/>
  <c r="Z7" s="1"/>
  <c r="V6"/>
  <c r="R6"/>
  <c r="Z6" a="1"/>
  <c r="Z6" s="1"/>
  <c r="V5"/>
  <c r="W5"/>
  <c r="Z5" a="1"/>
  <c r="Z5" s="1"/>
  <c r="X5"/>
  <c r="R22" i="15"/>
  <c r="O22"/>
  <c r="AJ28" i="17"/>
  <c r="AQ28" s="1" a="1"/>
  <c r="AQ28" s="1"/>
  <c r="U17" i="4" a="1"/>
  <c r="U17" s="1"/>
  <c r="U16" a="1"/>
  <c r="U16" s="1"/>
  <c r="T15" a="1"/>
  <c r="T15" s="1"/>
  <c r="O13" a="1"/>
  <c r="O13" s="1"/>
  <c r="U6" a="1"/>
  <c r="U6" s="1"/>
  <c r="P4" a="1"/>
  <c r="P4" s="1"/>
  <c r="Q4" s="1"/>
  <c r="AM22" i="17"/>
  <c r="H22" s="1"/>
  <c r="AQ9" i="13" a="1"/>
  <c r="AQ9" s="1"/>
  <c r="F9" s="1"/>
  <c r="AQ16" i="6" a="1"/>
  <c r="AQ16" s="1"/>
  <c r="F16" s="1"/>
  <c r="AT7" i="7"/>
  <c r="R7"/>
  <c r="W7" s="1"/>
  <c r="K7" s="1"/>
  <c r="H7"/>
  <c r="AU7"/>
  <c r="U7"/>
  <c r="I7"/>
  <c r="V7"/>
  <c r="J7"/>
  <c r="AS7"/>
  <c r="S7"/>
  <c r="G7"/>
  <c r="AR7"/>
  <c r="AQ9" i="10" a="1"/>
  <c r="AQ9" s="1"/>
  <c r="F9" s="1"/>
  <c r="AK83" i="4"/>
  <c r="AN83" s="1"/>
  <c r="AK82"/>
  <c r="AN82" s="1"/>
  <c r="AK81"/>
  <c r="AN81" s="1"/>
  <c r="AK80"/>
  <c r="AN80" s="1"/>
  <c r="AK79"/>
  <c r="AN79" s="1"/>
  <c r="AK78"/>
  <c r="AN78" s="1"/>
  <c r="AK77"/>
  <c r="AN77" s="1"/>
  <c r="AK76"/>
  <c r="AN76" s="1"/>
  <c r="AK75"/>
  <c r="AN75" s="1"/>
  <c r="AK74"/>
  <c r="AN74" s="1"/>
  <c r="AK73"/>
  <c r="AN73" s="1"/>
  <c r="AK72"/>
  <c r="AN72" s="1"/>
  <c r="AK71"/>
  <c r="AN71" s="1"/>
  <c r="AK70"/>
  <c r="AN70" s="1"/>
  <c r="AK69"/>
  <c r="AN69" s="1"/>
  <c r="AK68"/>
  <c r="AN68" s="1"/>
  <c r="AK67"/>
  <c r="AN67" s="1"/>
  <c r="AK66"/>
  <c r="AN66" s="1"/>
  <c r="AK65"/>
  <c r="AN65" s="1"/>
  <c r="AK64"/>
  <c r="AN64" s="1"/>
  <c r="AK63"/>
  <c r="AN63" s="1"/>
  <c r="AK62"/>
  <c r="AN62" s="1"/>
  <c r="AK61"/>
  <c r="AN61" s="1"/>
  <c r="AK60"/>
  <c r="AN60" s="1"/>
  <c r="AK59"/>
  <c r="AN59" s="1"/>
  <c r="Q355" i="5"/>
  <c r="F355" s="1"/>
  <c r="Q356"/>
  <c r="F356" s="1"/>
  <c r="A242"/>
  <c r="Q242"/>
  <c r="F242" s="1"/>
  <c r="A171"/>
  <c r="A169"/>
  <c r="A178"/>
  <c r="A385"/>
  <c r="A371"/>
  <c r="Q371"/>
  <c r="F371" s="1"/>
  <c r="Q372"/>
  <c r="F372" s="1"/>
  <c r="A372"/>
  <c r="A313"/>
  <c r="J24" i="3" a="1"/>
  <c r="J24" s="1"/>
  <c r="H24" a="1"/>
  <c r="H24" s="1"/>
  <c r="F24" a="1"/>
  <c r="F24" s="1"/>
  <c r="D24" a="1"/>
  <c r="D24" s="1"/>
  <c r="K24" a="1"/>
  <c r="K24" s="1"/>
  <c r="E24" a="1"/>
  <c r="E24" s="1"/>
  <c r="G24" a="1"/>
  <c r="G24" s="1"/>
  <c r="C24" a="1"/>
  <c r="C24" s="1"/>
  <c r="R31" i="14"/>
  <c r="AQ22" a="1"/>
  <c r="AQ22" s="1"/>
  <c r="F22"/>
  <c r="S22"/>
  <c r="R40"/>
  <c r="R42" s="1"/>
  <c r="Q22"/>
  <c r="M22"/>
  <c r="W6"/>
  <c r="O22"/>
  <c r="P22"/>
  <c r="N22"/>
  <c r="R22"/>
  <c r="AQ7" i="12" a="1"/>
  <c r="AQ7" s="1"/>
  <c r="F7" s="1"/>
  <c r="AQ11" a="1"/>
  <c r="AQ11" s="1"/>
  <c r="F11" s="1"/>
  <c r="AQ19" a="1"/>
  <c r="AQ19" s="1"/>
  <c r="F19" s="1"/>
  <c r="AQ12" i="13" a="1"/>
  <c r="AQ12" s="1"/>
  <c r="F12" s="1"/>
  <c r="AQ16" a="1"/>
  <c r="AQ16" s="1"/>
  <c r="F16" s="1"/>
  <c r="AQ20" a="1"/>
  <c r="AQ20" s="1"/>
  <c r="F20" s="1"/>
  <c r="AQ6" i="9" a="1"/>
  <c r="AQ6" s="1"/>
  <c r="F6" s="1"/>
  <c r="AQ14" a="1"/>
  <c r="AQ14" s="1"/>
  <c r="F14" s="1"/>
  <c r="AQ18" a="1"/>
  <c r="AQ18" s="1"/>
  <c r="F18" s="1"/>
  <c r="AQ7" i="6" a="1"/>
  <c r="AQ7" s="1"/>
  <c r="F7" s="1"/>
  <c r="AQ15" a="1"/>
  <c r="AQ15" s="1"/>
  <c r="F15" s="1"/>
  <c r="AQ19" a="1"/>
  <c r="AQ19" s="1"/>
  <c r="F19" s="1"/>
  <c r="AQ15" i="8" a="1"/>
  <c r="AQ15" s="1"/>
  <c r="F15" s="1"/>
  <c r="AQ19" a="1"/>
  <c r="AQ19" s="1"/>
  <c r="F19" s="1"/>
  <c r="AQ13" i="10" a="1"/>
  <c r="AQ13" s="1"/>
  <c r="F13" s="1"/>
  <c r="Q365" i="5"/>
  <c r="F365" s="1"/>
  <c r="A365"/>
  <c r="Q296"/>
  <c r="F296" s="1"/>
  <c r="A296"/>
  <c r="A232"/>
  <c r="Q381"/>
  <c r="F381" s="1"/>
  <c r="A390"/>
  <c r="Q329"/>
  <c r="F329" s="1"/>
  <c r="A329"/>
  <c r="A200"/>
  <c r="K27" i="3" a="1"/>
  <c r="K27" s="1"/>
  <c r="G27" a="1"/>
  <c r="G27" s="1"/>
  <c r="L27" s="1"/>
  <c r="E27" a="1"/>
  <c r="E27" s="1"/>
  <c r="C27" a="1"/>
  <c r="C27" s="1"/>
  <c r="J27" a="1"/>
  <c r="J27" s="1"/>
  <c r="F27" a="1"/>
  <c r="F27" s="1"/>
  <c r="D27" a="1"/>
  <c r="D27" s="1"/>
  <c r="H27" a="1"/>
  <c r="H27" s="1"/>
  <c r="K23" a="1"/>
  <c r="K23" s="1"/>
  <c r="G23" a="1"/>
  <c r="G23" s="1"/>
  <c r="E23" a="1"/>
  <c r="E23" s="1"/>
  <c r="C23" a="1"/>
  <c r="C23" s="1"/>
  <c r="J23" a="1"/>
  <c r="J23" s="1"/>
  <c r="D23" a="1"/>
  <c r="D23" s="1"/>
  <c r="F23" a="1"/>
  <c r="F23" s="1"/>
  <c r="H23" a="1"/>
  <c r="H23" s="1"/>
  <c r="S22" i="4"/>
  <c r="V22"/>
  <c r="W22"/>
  <c r="Q22"/>
  <c r="R22"/>
  <c r="X22"/>
  <c r="Z22" a="1"/>
  <c r="Z22" s="1"/>
  <c r="K19" i="3" a="1"/>
  <c r="K19" s="1"/>
  <c r="G19" a="1"/>
  <c r="G19" s="1"/>
  <c r="E19" a="1"/>
  <c r="E19" s="1"/>
  <c r="C19" a="1"/>
  <c r="C19" s="1"/>
  <c r="J19" a="1"/>
  <c r="J19" s="1"/>
  <c r="D19" a="1"/>
  <c r="D19" s="1"/>
  <c r="F19" a="1"/>
  <c r="F19" s="1"/>
  <c r="H19" a="1"/>
  <c r="H19" s="1"/>
  <c r="S18" i="4"/>
  <c r="V18"/>
  <c r="W18"/>
  <c r="Q18"/>
  <c r="R18"/>
  <c r="X18"/>
  <c r="Z18" a="1"/>
  <c r="Z18" s="1"/>
  <c r="K15" i="3" a="1"/>
  <c r="K15" s="1"/>
  <c r="G15" a="1"/>
  <c r="G15" s="1"/>
  <c r="E15" a="1"/>
  <c r="E15" s="1"/>
  <c r="C15" a="1"/>
  <c r="C15" s="1"/>
  <c r="J15" a="1"/>
  <c r="J15" s="1"/>
  <c r="D15" a="1"/>
  <c r="D15" s="1"/>
  <c r="F15" a="1"/>
  <c r="F15" s="1"/>
  <c r="H15" a="1"/>
  <c r="H15" s="1"/>
  <c r="K13" a="1"/>
  <c r="K13" s="1"/>
  <c r="G13" a="1"/>
  <c r="G13" s="1"/>
  <c r="L13" s="1"/>
  <c r="E13" a="1"/>
  <c r="E13" s="1"/>
  <c r="C13" a="1"/>
  <c r="C13" s="1"/>
  <c r="J13" a="1"/>
  <c r="J13" s="1"/>
  <c r="F13" a="1"/>
  <c r="F13" s="1"/>
  <c r="H13" a="1"/>
  <c r="H13" s="1"/>
  <c r="D13" a="1"/>
  <c r="D13" s="1"/>
  <c r="S13" i="4"/>
  <c r="V13"/>
  <c r="W13"/>
  <c r="Q13"/>
  <c r="Z13" a="1"/>
  <c r="Z13" s="1"/>
  <c r="R13"/>
  <c r="X13"/>
  <c r="W11"/>
  <c r="Z11" a="1"/>
  <c r="Z11" s="1"/>
  <c r="J10" i="3" a="1"/>
  <c r="J10" s="1"/>
  <c r="H10" a="1"/>
  <c r="H10" s="1"/>
  <c r="F10" a="1"/>
  <c r="F10" s="1"/>
  <c r="D10" a="1"/>
  <c r="D10" s="1"/>
  <c r="K10" a="1"/>
  <c r="K10" s="1"/>
  <c r="C10" a="1"/>
  <c r="C10" s="1"/>
  <c r="E10" a="1"/>
  <c r="E10" s="1"/>
  <c r="G10" a="1"/>
  <c r="G10" s="1"/>
  <c r="K9" a="1"/>
  <c r="K9" s="1"/>
  <c r="J9" a="1"/>
  <c r="J9" s="1"/>
  <c r="G9" a="1"/>
  <c r="G9" s="1"/>
  <c r="E9" a="1"/>
  <c r="E9" s="1"/>
  <c r="C9" a="1"/>
  <c r="C9" s="1"/>
  <c r="F9" a="1"/>
  <c r="F9" s="1"/>
  <c r="H9" a="1"/>
  <c r="H9" s="1"/>
  <c r="D9" a="1"/>
  <c r="D9" s="1"/>
  <c r="J4" a="1"/>
  <c r="J4" s="1"/>
  <c r="H4" a="1"/>
  <c r="H4" s="1"/>
  <c r="F4" a="1"/>
  <c r="F4" s="1"/>
  <c r="D4" a="1"/>
  <c r="D4" s="1"/>
  <c r="K4" a="1"/>
  <c r="K4" s="1"/>
  <c r="E4" a="1"/>
  <c r="E4" s="1"/>
  <c r="G4" a="1"/>
  <c r="G4" s="1"/>
  <c r="C4" a="1"/>
  <c r="C4" s="1"/>
  <c r="K3" a="1"/>
  <c r="K3" s="1"/>
  <c r="J3" a="1"/>
  <c r="J3" s="1"/>
  <c r="G3" a="1"/>
  <c r="G3" s="1"/>
  <c r="E3" a="1"/>
  <c r="E3" s="1"/>
  <c r="C3" a="1"/>
  <c r="C3" s="1"/>
  <c r="D3" a="1"/>
  <c r="D3" s="1"/>
  <c r="F3" a="1"/>
  <c r="F3" s="1"/>
  <c r="H3" a="1"/>
  <c r="H3" s="1"/>
  <c r="AQ20" i="7" a="1"/>
  <c r="AQ20" s="1"/>
  <c r="F20" s="1"/>
  <c r="O361" i="5" a="1"/>
  <c r="O361" s="1"/>
  <c r="D361" s="1"/>
  <c r="O175" a="1"/>
  <c r="O175" s="1"/>
  <c r="D175" s="1"/>
  <c r="AK69" i="14" a="1"/>
  <c r="AK69" s="1"/>
  <c r="F42" i="15"/>
  <c r="R41" s="1"/>
  <c r="AJ26" i="14"/>
  <c r="AQ26" s="1" a="1"/>
  <c r="AQ26" s="1"/>
  <c r="AQ15" i="11" a="1"/>
  <c r="AQ15" s="1"/>
  <c r="F15" s="1"/>
  <c r="Q22" i="15"/>
  <c r="AJ29" i="14"/>
  <c r="AQ29" s="1" a="1"/>
  <c r="AQ29" s="1"/>
  <c r="AJ29" i="11"/>
  <c r="AQ29" s="1" a="1"/>
  <c r="AQ29" s="1"/>
  <c r="AJ29" i="13"/>
  <c r="AQ29" s="1" a="1"/>
  <c r="AQ29" s="1"/>
  <c r="AJ27"/>
  <c r="AQ27" s="1" a="1"/>
  <c r="AQ27" s="1"/>
  <c r="Q31"/>
  <c r="AJ30" i="11"/>
  <c r="AQ30" s="1" a="1"/>
  <c r="AQ30" s="1"/>
  <c r="AK69" i="7" a="1"/>
  <c r="AK69" s="1"/>
  <c r="AJ29" i="8"/>
  <c r="AQ29" s="1" a="1"/>
  <c r="AQ29" s="1"/>
  <c r="AQ17" i="7" a="1"/>
  <c r="AQ17" s="1"/>
  <c r="F17" s="1"/>
  <c r="AQ21" a="1"/>
  <c r="AQ21" s="1"/>
  <c r="F21" s="1"/>
  <c r="AJ30" i="8"/>
  <c r="AQ30" s="1" a="1"/>
  <c r="AQ30" s="1"/>
  <c r="AJ26" i="10"/>
  <c r="AQ26" s="1" a="1"/>
  <c r="AQ26" s="1"/>
  <c r="AJ28" i="9"/>
  <c r="AQ28" s="1" a="1"/>
  <c r="AQ28" s="1"/>
  <c r="AQ10" i="10" a="1"/>
  <c r="AQ10" s="1"/>
  <c r="F10" s="1"/>
  <c r="N361" i="5" a="1"/>
  <c r="N361" s="1"/>
  <c r="C361" s="1"/>
  <c r="M363" a="1"/>
  <c r="M363" s="1"/>
  <c r="B363" s="1"/>
  <c r="M360" a="1"/>
  <c r="M360" s="1"/>
  <c r="B360" s="1"/>
  <c r="N362" a="1"/>
  <c r="N362" s="1"/>
  <c r="C362" s="1"/>
  <c r="O364" a="1"/>
  <c r="O364" s="1"/>
  <c r="D364" s="1"/>
  <c r="P366" a="1"/>
  <c r="P366" s="1"/>
  <c r="E366" s="1"/>
  <c r="M361" a="1"/>
  <c r="M361" s="1"/>
  <c r="B361" s="1"/>
  <c r="P367" a="1"/>
  <c r="P367" s="1"/>
  <c r="E367" s="1"/>
  <c r="O366" a="1"/>
  <c r="O366" s="1"/>
  <c r="D366" s="1"/>
  <c r="P368" a="1"/>
  <c r="P368" s="1"/>
  <c r="E368" s="1"/>
  <c r="N300" a="1"/>
  <c r="N300" s="1"/>
  <c r="C300" s="1"/>
  <c r="M294" a="1"/>
  <c r="M294" s="1"/>
  <c r="B294" s="1"/>
  <c r="M295" a="1"/>
  <c r="M295" s="1"/>
  <c r="B295" s="1"/>
  <c r="N297" a="1"/>
  <c r="N297" s="1"/>
  <c r="C297" s="1"/>
  <c r="O299" a="1"/>
  <c r="O299" s="1"/>
  <c r="D299" s="1"/>
  <c r="P301" a="1"/>
  <c r="P301" s="1"/>
  <c r="E301" s="1"/>
  <c r="O300" a="1"/>
  <c r="O300" s="1"/>
  <c r="D300" s="1"/>
  <c r="P302" a="1"/>
  <c r="P302" s="1"/>
  <c r="E302" s="1"/>
  <c r="O301" a="1"/>
  <c r="O301" s="1"/>
  <c r="D301" s="1"/>
  <c r="P303" a="1"/>
  <c r="P303" s="1"/>
  <c r="E303" s="1"/>
  <c r="N236" a="1"/>
  <c r="N236" s="1"/>
  <c r="C236" s="1"/>
  <c r="M230" a="1"/>
  <c r="M230" s="1"/>
  <c r="B230" s="1"/>
  <c r="M231" a="1"/>
  <c r="M231" s="1"/>
  <c r="B231" s="1"/>
  <c r="N233" a="1"/>
  <c r="N233" s="1"/>
  <c r="C233" s="1"/>
  <c r="O235" a="1"/>
  <c r="O235" s="1"/>
  <c r="D235" s="1"/>
  <c r="P237" a="1"/>
  <c r="P237" s="1"/>
  <c r="E237" s="1"/>
  <c r="O236" a="1"/>
  <c r="O236" s="1"/>
  <c r="D236" s="1"/>
  <c r="P238" a="1"/>
  <c r="P238" s="1"/>
  <c r="E238" s="1"/>
  <c r="O237" a="1"/>
  <c r="O237" s="1"/>
  <c r="D237" s="1"/>
  <c r="P239" a="1"/>
  <c r="P239" s="1"/>
  <c r="E239" s="1"/>
  <c r="O164" a="1"/>
  <c r="O164" s="1"/>
  <c r="D164" s="1"/>
  <c r="P163" a="1"/>
  <c r="P163" s="1"/>
  <c r="E163" s="1"/>
  <c r="O165" a="1"/>
  <c r="O165" s="1"/>
  <c r="D165" s="1"/>
  <c r="P175" a="1"/>
  <c r="P175" s="1"/>
  <c r="E175" s="1"/>
  <c r="L167" a="1"/>
  <c r="L167" s="1"/>
  <c r="M173" a="1"/>
  <c r="M173" s="1"/>
  <c r="B173" s="1"/>
  <c r="L163" a="1"/>
  <c r="L163" s="1"/>
  <c r="P172" a="1"/>
  <c r="P172" s="1"/>
  <c r="E172" s="1"/>
  <c r="N176" a="1"/>
  <c r="N176" s="1"/>
  <c r="C176" s="1"/>
  <c r="O163" a="1"/>
  <c r="O163" s="1"/>
  <c r="D163" s="1"/>
  <c r="P165" a="1"/>
  <c r="P165" s="1"/>
  <c r="E165" s="1"/>
  <c r="M175" a="1"/>
  <c r="M175" s="1"/>
  <c r="B175" s="1"/>
  <c r="O172" a="1"/>
  <c r="O172" s="1"/>
  <c r="D172" s="1"/>
  <c r="P174" a="1"/>
  <c r="P174" s="1"/>
  <c r="E174" s="1"/>
  <c r="P373" a="1"/>
  <c r="P373" s="1"/>
  <c r="E373" s="1"/>
  <c r="N377" a="1"/>
  <c r="N377" s="1"/>
  <c r="C377" s="1"/>
  <c r="M379" a="1"/>
  <c r="M379" s="1"/>
  <c r="B379" s="1"/>
  <c r="M376" a="1"/>
  <c r="M376" s="1"/>
  <c r="B376" s="1"/>
  <c r="N378" a="1"/>
  <c r="N378" s="1"/>
  <c r="C378" s="1"/>
  <c r="O380" a="1"/>
  <c r="O380" s="1"/>
  <c r="D380" s="1"/>
  <c r="P382" a="1"/>
  <c r="P382" s="1"/>
  <c r="E382" s="1"/>
  <c r="P383" a="1"/>
  <c r="P383" s="1"/>
  <c r="E383" s="1"/>
  <c r="O382" a="1"/>
  <c r="O382" s="1"/>
  <c r="D382" s="1"/>
  <c r="P384" a="1"/>
  <c r="P384" s="1"/>
  <c r="E384" s="1"/>
  <c r="L312" a="1"/>
  <c r="L312" s="1"/>
  <c r="L308" a="1"/>
  <c r="L308" s="1"/>
  <c r="L321" a="1"/>
  <c r="L321" s="1"/>
  <c r="P312" a="1"/>
  <c r="P312" s="1"/>
  <c r="E312" s="1"/>
  <c r="L309" a="1"/>
  <c r="L309" s="1"/>
  <c r="O312" a="1"/>
  <c r="O312" s="1"/>
  <c r="D312" s="1"/>
  <c r="P317" a="1"/>
  <c r="P317" s="1"/>
  <c r="E317" s="1"/>
  <c r="N321" a="1"/>
  <c r="N321" s="1"/>
  <c r="C321" s="1"/>
  <c r="P307" a="1"/>
  <c r="P307" s="1"/>
  <c r="E307" s="1"/>
  <c r="O317" a="1"/>
  <c r="O317" s="1"/>
  <c r="D317" s="1"/>
  <c r="P314" a="1"/>
  <c r="P314" s="1"/>
  <c r="E314" s="1"/>
  <c r="L322" a="1"/>
  <c r="L322" s="1"/>
  <c r="M314" a="1"/>
  <c r="M314" s="1"/>
  <c r="B314" s="1"/>
  <c r="P320" a="1"/>
  <c r="P320" s="1"/>
  <c r="E320" s="1"/>
  <c r="N268" a="1"/>
  <c r="N268" s="1"/>
  <c r="C268" s="1"/>
  <c r="M262" a="1"/>
  <c r="M262" s="1"/>
  <c r="B262" s="1"/>
  <c r="M263" a="1"/>
  <c r="M263" s="1"/>
  <c r="B263" s="1"/>
  <c r="N265" a="1"/>
  <c r="N265" s="1"/>
  <c r="C265" s="1"/>
  <c r="O267" a="1"/>
  <c r="O267" s="1"/>
  <c r="D267" s="1"/>
  <c r="P269" a="1"/>
  <c r="P269" s="1"/>
  <c r="E269" s="1"/>
  <c r="O268" a="1"/>
  <c r="O268" s="1"/>
  <c r="D268" s="1"/>
  <c r="P270" a="1"/>
  <c r="P270" s="1"/>
  <c r="E270" s="1"/>
  <c r="O269" a="1"/>
  <c r="O269" s="1"/>
  <c r="D269" s="1"/>
  <c r="P271" a="1"/>
  <c r="P271" s="1"/>
  <c r="E271" s="1"/>
  <c r="P398" a="1"/>
  <c r="P398" s="1"/>
  <c r="E398" s="1"/>
  <c r="L398" a="1"/>
  <c r="L398" s="1"/>
  <c r="M400" a="1"/>
  <c r="M400" s="1"/>
  <c r="B400" s="1"/>
  <c r="P400" a="1"/>
  <c r="P400" s="1"/>
  <c r="E400" s="1"/>
  <c r="L387" a="1"/>
  <c r="L387" s="1"/>
  <c r="P394" a="1"/>
  <c r="P394" s="1"/>
  <c r="E394" s="1"/>
  <c r="L388" a="1"/>
  <c r="L388" s="1"/>
  <c r="O391" a="1"/>
  <c r="O391" s="1"/>
  <c r="D391" s="1"/>
  <c r="P393" a="1"/>
  <c r="P393" s="1"/>
  <c r="E393" s="1"/>
  <c r="L401" a="1"/>
  <c r="L401" s="1"/>
  <c r="M393" a="1"/>
  <c r="M393" s="1"/>
  <c r="B393" s="1"/>
  <c r="P399" a="1"/>
  <c r="P399" s="1"/>
  <c r="E399" s="1"/>
  <c r="M335" a="1"/>
  <c r="M335" s="1"/>
  <c r="B335" s="1"/>
  <c r="L333" a="1"/>
  <c r="L333" s="1"/>
  <c r="M325" a="1"/>
  <c r="M325" s="1"/>
  <c r="B325" s="1"/>
  <c r="L325" a="1"/>
  <c r="L325" s="1"/>
  <c r="P337" a="1"/>
  <c r="P337" s="1"/>
  <c r="E337" s="1"/>
  <c r="L330" a="1"/>
  <c r="L330" s="1"/>
  <c r="M332" a="1"/>
  <c r="M332" s="1"/>
  <c r="B332" s="1"/>
  <c r="N334" a="1"/>
  <c r="N334" s="1"/>
  <c r="C334" s="1"/>
  <c r="O336" a="1"/>
  <c r="O336" s="1"/>
  <c r="D336" s="1"/>
  <c r="P338" a="1"/>
  <c r="P338" s="1"/>
  <c r="E338" s="1"/>
  <c r="O333" a="1"/>
  <c r="O333" s="1"/>
  <c r="D333" s="1"/>
  <c r="P335" a="1"/>
  <c r="P335" s="1"/>
  <c r="E335" s="1"/>
  <c r="P336" a="1"/>
  <c r="P336" s="1"/>
  <c r="E336" s="1"/>
  <c r="M198" a="1"/>
  <c r="M198" s="1"/>
  <c r="B198" s="1"/>
  <c r="M199" a="1"/>
  <c r="M199" s="1"/>
  <c r="B199" s="1"/>
  <c r="N201" a="1"/>
  <c r="N201" s="1"/>
  <c r="C201" s="1"/>
  <c r="O203" a="1"/>
  <c r="O203" s="1"/>
  <c r="D203" s="1"/>
  <c r="P205" a="1"/>
  <c r="P205" s="1"/>
  <c r="E205" s="1"/>
  <c r="O204" a="1"/>
  <c r="O204" s="1"/>
  <c r="D204" s="1"/>
  <c r="P206" a="1"/>
  <c r="P206" s="1"/>
  <c r="E206" s="1"/>
  <c r="O205" a="1"/>
  <c r="O205" s="1"/>
  <c r="D205" s="1"/>
  <c r="P207" a="1"/>
  <c r="P207" s="1"/>
  <c r="E207" s="1"/>
  <c r="M351" a="1"/>
  <c r="M351" s="1"/>
  <c r="B351" s="1"/>
  <c r="N345" a="1"/>
  <c r="N345" s="1"/>
  <c r="C345" s="1"/>
  <c r="M347" a="1"/>
  <c r="M347" s="1"/>
  <c r="B347" s="1"/>
  <c r="M344" a="1"/>
  <c r="M344" s="1"/>
  <c r="B344" s="1"/>
  <c r="N346" a="1"/>
  <c r="N346" s="1"/>
  <c r="C346" s="1"/>
  <c r="O348" a="1"/>
  <c r="O348" s="1"/>
  <c r="D348" s="1"/>
  <c r="P350" a="1"/>
  <c r="P350" s="1"/>
  <c r="E350" s="1"/>
  <c r="P351" a="1"/>
  <c r="P351" s="1"/>
  <c r="E351" s="1"/>
  <c r="O350" a="1"/>
  <c r="O350" s="1"/>
  <c r="D350" s="1"/>
  <c r="P352" a="1"/>
  <c r="P352" s="1"/>
  <c r="E352" s="1"/>
  <c r="M282" a="1"/>
  <c r="M282" s="1"/>
  <c r="B282" s="1"/>
  <c r="O286" a="1"/>
  <c r="O286" s="1"/>
  <c r="D286" s="1"/>
  <c r="M278" a="1"/>
  <c r="M278" s="1"/>
  <c r="B278" s="1"/>
  <c r="M279" a="1"/>
  <c r="M279" s="1"/>
  <c r="B279" s="1"/>
  <c r="N281" a="1"/>
  <c r="N281" s="1"/>
  <c r="C281" s="1"/>
  <c r="O283" a="1"/>
  <c r="O283" s="1"/>
  <c r="D283" s="1"/>
  <c r="P285" a="1"/>
  <c r="P285" s="1"/>
  <c r="E285" s="1"/>
  <c r="O284" a="1"/>
  <c r="O284" s="1"/>
  <c r="D284" s="1"/>
  <c r="P286" a="1"/>
  <c r="P286" s="1"/>
  <c r="E286" s="1"/>
  <c r="O285" a="1"/>
  <c r="O285" s="1"/>
  <c r="D285" s="1"/>
  <c r="P287" a="1"/>
  <c r="P287" s="1"/>
  <c r="E287" s="1"/>
  <c r="O254" a="1"/>
  <c r="O254" s="1"/>
  <c r="D254" s="1"/>
  <c r="M246" a="1"/>
  <c r="M246" s="1"/>
  <c r="B246" s="1"/>
  <c r="M247" a="1"/>
  <c r="M247" s="1"/>
  <c r="B247" s="1"/>
  <c r="N249" a="1"/>
  <c r="N249" s="1"/>
  <c r="C249" s="1"/>
  <c r="O251" a="1"/>
  <c r="O251" s="1"/>
  <c r="D251" s="1"/>
  <c r="P253" a="1"/>
  <c r="P253" s="1"/>
  <c r="E253" s="1"/>
  <c r="O252" a="1"/>
  <c r="O252" s="1"/>
  <c r="D252" s="1"/>
  <c r="P254" a="1"/>
  <c r="P254" s="1"/>
  <c r="E254" s="1"/>
  <c r="O253" a="1"/>
  <c r="O253" s="1"/>
  <c r="D253" s="1"/>
  <c r="P255" a="1"/>
  <c r="P255" s="1"/>
  <c r="E255" s="1"/>
  <c r="M218" a="1"/>
  <c r="M218" s="1"/>
  <c r="B218" s="1"/>
  <c r="O222" a="1"/>
  <c r="O222" s="1"/>
  <c r="D222" s="1"/>
  <c r="M214" a="1"/>
  <c r="M214" s="1"/>
  <c r="B214" s="1"/>
  <c r="M215" a="1"/>
  <c r="M215" s="1"/>
  <c r="B215" s="1"/>
  <c r="N217" a="1"/>
  <c r="N217" s="1"/>
  <c r="C217" s="1"/>
  <c r="O219" a="1"/>
  <c r="O219" s="1"/>
  <c r="D219" s="1"/>
  <c r="P221" a="1"/>
  <c r="P221" s="1"/>
  <c r="E221" s="1"/>
  <c r="O220" a="1"/>
  <c r="O220" s="1"/>
  <c r="D220" s="1"/>
  <c r="P222" a="1"/>
  <c r="P222" s="1"/>
  <c r="E222" s="1"/>
  <c r="O221" a="1"/>
  <c r="O221" s="1"/>
  <c r="D221" s="1"/>
  <c r="P223" a="1"/>
  <c r="P223" s="1"/>
  <c r="E223" s="1"/>
  <c r="O190" a="1"/>
  <c r="O190" s="1"/>
  <c r="D190" s="1"/>
  <c r="L180" a="1"/>
  <c r="L180" s="1"/>
  <c r="P180" a="1"/>
  <c r="P180" s="1"/>
  <c r="E180" s="1"/>
  <c r="M190" a="1"/>
  <c r="M190" s="1"/>
  <c r="B190" s="1"/>
  <c r="O182" a="1"/>
  <c r="O182" s="1"/>
  <c r="D182" s="1"/>
  <c r="L192" a="1"/>
  <c r="L192" s="1"/>
  <c r="O179" a="1"/>
  <c r="O179" s="1"/>
  <c r="D179" s="1"/>
  <c r="P181" a="1"/>
  <c r="P181" s="1"/>
  <c r="E181" s="1"/>
  <c r="L189" a="1"/>
  <c r="L189" s="1"/>
  <c r="M191" a="1"/>
  <c r="M191" s="1"/>
  <c r="B191" s="1"/>
  <c r="P182" a="1"/>
  <c r="P182" s="1"/>
  <c r="E182" s="1"/>
  <c r="O189" a="1"/>
  <c r="O189" s="1"/>
  <c r="D189" s="1"/>
  <c r="P191" a="1"/>
  <c r="P191" s="1"/>
  <c r="E191" s="1"/>
  <c r="T26" i="4" a="1"/>
  <c r="T26" s="1"/>
  <c r="O25" a="1"/>
  <c r="O25" s="1"/>
  <c r="T24" a="1"/>
  <c r="T24" s="1"/>
  <c r="O21" a="1"/>
  <c r="O21" s="1"/>
  <c r="T20" a="1"/>
  <c r="T20" s="1"/>
  <c r="U4" a="1"/>
  <c r="U4" s="1"/>
  <c r="AQ8" i="12" a="1"/>
  <c r="AQ8" s="1"/>
  <c r="F8" s="1"/>
  <c r="AQ20" a="1"/>
  <c r="AQ20" s="1"/>
  <c r="F20" s="1"/>
  <c r="AQ13" i="13" a="1"/>
  <c r="AQ13" s="1"/>
  <c r="F13" s="1"/>
  <c r="AQ21" a="1"/>
  <c r="AQ21" s="1"/>
  <c r="F21" s="1"/>
  <c r="AQ15" i="9" a="1"/>
  <c r="AQ15" s="1"/>
  <c r="F15" s="1"/>
  <c r="AQ8" i="6" a="1"/>
  <c r="AQ8" s="1"/>
  <c r="F8" s="1"/>
  <c r="AQ20" a="1"/>
  <c r="AQ20" s="1"/>
  <c r="F20" s="1"/>
  <c r="AQ10" i="12" a="1"/>
  <c r="AQ10" s="1"/>
  <c r="F10" s="1"/>
  <c r="AQ18" a="1"/>
  <c r="AQ18" s="1"/>
  <c r="F18" s="1"/>
  <c r="AQ7" i="13" a="1"/>
  <c r="AQ7" s="1"/>
  <c r="F7" s="1"/>
  <c r="AQ11" a="1"/>
  <c r="AQ11" s="1"/>
  <c r="F11" s="1"/>
  <c r="AQ15" a="1"/>
  <c r="AQ15" s="1"/>
  <c r="F15" s="1"/>
  <c r="AQ19" a="1"/>
  <c r="AQ19" s="1"/>
  <c r="F19" s="1"/>
  <c r="AQ9" i="9" a="1"/>
  <c r="AQ9" s="1"/>
  <c r="F9" s="1"/>
  <c r="AQ17" a="1"/>
  <c r="AQ17" s="1"/>
  <c r="F17" s="1"/>
  <c r="AQ6" i="6" a="1"/>
  <c r="AQ6" s="1"/>
  <c r="F6" s="1"/>
  <c r="AQ14" a="1"/>
  <c r="AQ14" s="1"/>
  <c r="F14" s="1"/>
  <c r="AR10" i="11"/>
  <c r="U10"/>
  <c r="J10"/>
  <c r="AS10"/>
  <c r="V10"/>
  <c r="AK10" s="1"/>
  <c r="S10" s="1"/>
  <c r="G10"/>
  <c r="AU10"/>
  <c r="R10"/>
  <c r="W10" s="1"/>
  <c r="I10"/>
  <c r="H10"/>
  <c r="AT10"/>
  <c r="AR8"/>
  <c r="U8"/>
  <c r="J8"/>
  <c r="AS8"/>
  <c r="V8"/>
  <c r="AK8" s="1"/>
  <c r="S8" s="1"/>
  <c r="G8"/>
  <c r="H8"/>
  <c r="R8"/>
  <c r="W8" s="1"/>
  <c r="AT8"/>
  <c r="I8"/>
  <c r="AU8"/>
  <c r="AQ14" i="8" a="1"/>
  <c r="AQ14" s="1"/>
  <c r="F14" s="1"/>
  <c r="AQ18" a="1"/>
  <c r="AQ18" s="1"/>
  <c r="F18" s="1"/>
  <c r="AQ14" i="10" a="1"/>
  <c r="AQ14" s="1"/>
  <c r="F14" s="1"/>
  <c r="W6" i="8"/>
  <c r="A362" i="5"/>
  <c r="A363"/>
  <c r="A364"/>
  <c r="A297"/>
  <c r="A298"/>
  <c r="Q298"/>
  <c r="F298" s="1"/>
  <c r="A233"/>
  <c r="A234"/>
  <c r="A235"/>
  <c r="A170"/>
  <c r="A166"/>
  <c r="A177"/>
  <c r="Q177"/>
  <c r="F177" s="1"/>
  <c r="A377"/>
  <c r="A380"/>
  <c r="A310"/>
  <c r="A316"/>
  <c r="A265"/>
  <c r="A266"/>
  <c r="Q266"/>
  <c r="F266" s="1"/>
  <c r="A267"/>
  <c r="A400"/>
  <c r="Q396"/>
  <c r="F396" s="1"/>
  <c r="A396"/>
  <c r="A389"/>
  <c r="Q395"/>
  <c r="F395" s="1"/>
  <c r="A395"/>
  <c r="A334"/>
  <c r="A331"/>
  <c r="Q331"/>
  <c r="F331" s="1"/>
  <c r="A332"/>
  <c r="A201"/>
  <c r="Q202"/>
  <c r="F202" s="1"/>
  <c r="A203"/>
  <c r="A346"/>
  <c r="A347"/>
  <c r="A281"/>
  <c r="A282"/>
  <c r="A283"/>
  <c r="Q244"/>
  <c r="F244" s="1"/>
  <c r="A244"/>
  <c r="A249"/>
  <c r="A250"/>
  <c r="A217"/>
  <c r="A218"/>
  <c r="A188"/>
  <c r="A193"/>
  <c r="A194"/>
  <c r="Q194"/>
  <c r="F194" s="1"/>
  <c r="Q187"/>
  <c r="F187" s="1"/>
  <c r="A187"/>
  <c r="S27" i="4"/>
  <c r="V27"/>
  <c r="W27"/>
  <c r="Q27"/>
  <c r="X27"/>
  <c r="Z27" a="1"/>
  <c r="Z27" s="1"/>
  <c r="R27"/>
  <c r="S26"/>
  <c r="V26"/>
  <c r="W26"/>
  <c r="Q26"/>
  <c r="R26"/>
  <c r="X26"/>
  <c r="Z26" a="1"/>
  <c r="Z26" s="1"/>
  <c r="K25" i="3" a="1"/>
  <c r="K25" s="1"/>
  <c r="G25" a="1"/>
  <c r="G25" s="1"/>
  <c r="E25" a="1"/>
  <c r="E25" s="1"/>
  <c r="C25" a="1"/>
  <c r="C25" s="1"/>
  <c r="J25" a="1"/>
  <c r="J25" s="1"/>
  <c r="F25" a="1"/>
  <c r="F25" s="1"/>
  <c r="H25" a="1"/>
  <c r="H25" s="1"/>
  <c r="D25" a="1"/>
  <c r="D25" s="1"/>
  <c r="S25" i="4"/>
  <c r="V25"/>
  <c r="W25"/>
  <c r="Q25"/>
  <c r="Z25" a="1"/>
  <c r="Z25" s="1"/>
  <c r="R25"/>
  <c r="X25"/>
  <c r="S24"/>
  <c r="V24"/>
  <c r="W24"/>
  <c r="Q24"/>
  <c r="X24"/>
  <c r="Z24" a="1"/>
  <c r="Z24" s="1"/>
  <c r="R24"/>
  <c r="S23"/>
  <c r="V23"/>
  <c r="W23"/>
  <c r="Q23"/>
  <c r="X23"/>
  <c r="Z23" a="1"/>
  <c r="Z23" s="1"/>
  <c r="R23"/>
  <c r="K21" i="3" a="1"/>
  <c r="K21" s="1"/>
  <c r="G21" a="1"/>
  <c r="G21" s="1"/>
  <c r="E21" a="1"/>
  <c r="E21" s="1"/>
  <c r="C21" a="1"/>
  <c r="C21" s="1"/>
  <c r="J21" a="1"/>
  <c r="J21" s="1"/>
  <c r="F21" a="1"/>
  <c r="F21" s="1"/>
  <c r="H21" a="1"/>
  <c r="H21" s="1"/>
  <c r="D21" a="1"/>
  <c r="D21" s="1"/>
  <c r="S21" i="4"/>
  <c r="V21"/>
  <c r="W21"/>
  <c r="Q21"/>
  <c r="Z21" a="1"/>
  <c r="Z21" s="1"/>
  <c r="R21"/>
  <c r="X21"/>
  <c r="S20"/>
  <c r="V20"/>
  <c r="W20"/>
  <c r="Q20"/>
  <c r="X20"/>
  <c r="Z20" a="1"/>
  <c r="Z20" s="1"/>
  <c r="R20"/>
  <c r="S19"/>
  <c r="V19"/>
  <c r="W19"/>
  <c r="Q19"/>
  <c r="X19"/>
  <c r="Z19" a="1"/>
  <c r="Z19" s="1"/>
  <c r="R19"/>
  <c r="K17" i="3" a="1"/>
  <c r="K17" s="1"/>
  <c r="G17" a="1"/>
  <c r="G17" s="1"/>
  <c r="E17" a="1"/>
  <c r="E17" s="1"/>
  <c r="C17" a="1"/>
  <c r="C17" s="1"/>
  <c r="J17" a="1"/>
  <c r="J17" s="1"/>
  <c r="F17" a="1"/>
  <c r="F17" s="1"/>
  <c r="H17" a="1"/>
  <c r="H17" s="1"/>
  <c r="D17" a="1"/>
  <c r="D17" s="1"/>
  <c r="S17" i="4"/>
  <c r="V17"/>
  <c r="W17"/>
  <c r="Q17"/>
  <c r="Z17" a="1"/>
  <c r="Z17" s="1"/>
  <c r="R17"/>
  <c r="X17"/>
  <c r="S16"/>
  <c r="V16"/>
  <c r="W16"/>
  <c r="Q16"/>
  <c r="X16"/>
  <c r="Z16" a="1"/>
  <c r="Z16" s="1"/>
  <c r="R16"/>
  <c r="S15"/>
  <c r="V15"/>
  <c r="W15"/>
  <c r="Q15"/>
  <c r="X15"/>
  <c r="Z15" a="1"/>
  <c r="Z15" s="1"/>
  <c r="R15"/>
  <c r="S14"/>
  <c r="V14"/>
  <c r="W14"/>
  <c r="Q14"/>
  <c r="R14"/>
  <c r="X14"/>
  <c r="Z14" a="1"/>
  <c r="Z14" s="1"/>
  <c r="S12"/>
  <c r="V12"/>
  <c r="W12"/>
  <c r="Q12"/>
  <c r="X12"/>
  <c r="Z12" a="1"/>
  <c r="Z12" s="1"/>
  <c r="R12"/>
  <c r="J8" i="3" a="1"/>
  <c r="J8" s="1"/>
  <c r="H8" a="1"/>
  <c r="H8" s="1"/>
  <c r="F8" a="1"/>
  <c r="F8" s="1"/>
  <c r="D8" a="1"/>
  <c r="D8" s="1"/>
  <c r="K8" a="1"/>
  <c r="K8" s="1"/>
  <c r="E8" a="1"/>
  <c r="E8" s="1"/>
  <c r="G8" a="1"/>
  <c r="G8" s="1"/>
  <c r="C8" a="1"/>
  <c r="C8" s="1"/>
  <c r="J6" a="1"/>
  <c r="J6" s="1"/>
  <c r="K6" a="1"/>
  <c r="K6" s="1"/>
  <c r="H6" a="1"/>
  <c r="H6" s="1"/>
  <c r="F6" a="1"/>
  <c r="F6" s="1"/>
  <c r="D6" a="1"/>
  <c r="D6" s="1"/>
  <c r="C6" a="1"/>
  <c r="C6" s="1"/>
  <c r="G6" a="1"/>
  <c r="G6" s="1"/>
  <c r="E6" a="1"/>
  <c r="E6" s="1"/>
  <c r="K5" a="1"/>
  <c r="K5" s="1"/>
  <c r="G5" a="1"/>
  <c r="G5" s="1"/>
  <c r="E5" a="1"/>
  <c r="E5" s="1"/>
  <c r="C5" a="1"/>
  <c r="C5" s="1"/>
  <c r="J5" a="1"/>
  <c r="J5" s="1"/>
  <c r="F5" a="1"/>
  <c r="F5" s="1"/>
  <c r="H5" a="1"/>
  <c r="H5" s="1"/>
  <c r="D5" a="1"/>
  <c r="D5" s="1"/>
  <c r="Y29" i="4"/>
  <c r="S3"/>
  <c r="V3"/>
  <c r="Q3"/>
  <c r="AN24"/>
  <c r="AN20"/>
  <c r="AN16"/>
  <c r="AN27"/>
  <c r="AN23"/>
  <c r="AN19"/>
  <c r="AN15"/>
  <c r="Z3" a="1"/>
  <c r="Z3" s="1"/>
  <c r="AN26"/>
  <c r="AN22"/>
  <c r="AN18"/>
  <c r="AN14"/>
  <c r="AN25"/>
  <c r="AN21"/>
  <c r="AN17"/>
  <c r="AN13"/>
  <c r="R3"/>
  <c r="AQ16" i="11" a="1"/>
  <c r="AQ16" s="1"/>
  <c r="F16" s="1"/>
  <c r="AJ27" i="17"/>
  <c r="AQ27" s="1" a="1"/>
  <c r="AQ27" s="1"/>
  <c r="F42" i="13"/>
  <c r="R41" s="1"/>
  <c r="F42" i="7"/>
  <c r="R41" s="1"/>
  <c r="AJ28" i="8"/>
  <c r="AQ28" s="1" a="1"/>
  <c r="AQ28" s="1"/>
  <c r="AJ30" i="10"/>
  <c r="AQ30" s="1" a="1"/>
  <c r="AQ30" s="1"/>
  <c r="AJ29" i="9"/>
  <c r="AQ29" s="1" a="1"/>
  <c r="AQ29" s="1"/>
  <c r="M367" i="5" a="1"/>
  <c r="M367" s="1"/>
  <c r="B367" s="1"/>
  <c r="N366" a="1"/>
  <c r="N366" s="1"/>
  <c r="C366" s="1"/>
  <c r="O368" a="1"/>
  <c r="O368" s="1"/>
  <c r="D368" s="1"/>
  <c r="P300" a="1"/>
  <c r="P300" s="1"/>
  <c r="E300" s="1"/>
  <c r="N304" a="1"/>
  <c r="N304" s="1"/>
  <c r="C304" s="1"/>
  <c r="N301" a="1"/>
  <c r="N301" s="1"/>
  <c r="C301" s="1"/>
  <c r="O303" a="1"/>
  <c r="O303" s="1"/>
  <c r="D303" s="1"/>
  <c r="P236" a="1"/>
  <c r="P236" s="1"/>
  <c r="E236" s="1"/>
  <c r="N240" a="1"/>
  <c r="N240" s="1"/>
  <c r="C240" s="1"/>
  <c r="N237" a="1"/>
  <c r="N237" s="1"/>
  <c r="C237" s="1"/>
  <c r="O239" a="1"/>
  <c r="O239" s="1"/>
  <c r="D239" s="1"/>
  <c r="P167" a="1"/>
  <c r="P167" s="1"/>
  <c r="E167" s="1"/>
  <c r="L172" a="1"/>
  <c r="L172" s="1"/>
  <c r="N382" a="1"/>
  <c r="N382" s="1"/>
  <c r="C382" s="1"/>
  <c r="O384" a="1"/>
  <c r="O384" s="1"/>
  <c r="D384" s="1"/>
  <c r="M317" a="1"/>
  <c r="M317" s="1"/>
  <c r="B317" s="1"/>
  <c r="O270" a="1"/>
  <c r="O270" s="1"/>
  <c r="D270" s="1"/>
  <c r="P268" a="1"/>
  <c r="P268" s="1"/>
  <c r="E268" s="1"/>
  <c r="N272" a="1"/>
  <c r="N272" s="1"/>
  <c r="C272" s="1"/>
  <c r="N269" a="1"/>
  <c r="N269" s="1"/>
  <c r="C269" s="1"/>
  <c r="O271" a="1"/>
  <c r="O271" s="1"/>
  <c r="D271" s="1"/>
  <c r="M394" a="1"/>
  <c r="M394" s="1"/>
  <c r="B394" s="1"/>
  <c r="P333" a="1"/>
  <c r="P333" s="1"/>
  <c r="E333" s="1"/>
  <c r="O335" a="1"/>
  <c r="O335" s="1"/>
  <c r="D335" s="1"/>
  <c r="M336" a="1"/>
  <c r="M336" s="1"/>
  <c r="B336" s="1"/>
  <c r="N338" a="1"/>
  <c r="N338" s="1"/>
  <c r="C338" s="1"/>
  <c r="O206" a="1"/>
  <c r="O206" s="1"/>
  <c r="D206" s="1"/>
  <c r="P204" a="1"/>
  <c r="P204" s="1"/>
  <c r="E204" s="1"/>
  <c r="N208" a="1"/>
  <c r="N208" s="1"/>
  <c r="C208" s="1"/>
  <c r="N205" a="1"/>
  <c r="N205" s="1"/>
  <c r="C205" s="1"/>
  <c r="O207" a="1"/>
  <c r="O207" s="1"/>
  <c r="D207" s="1"/>
  <c r="N350" a="1"/>
  <c r="N350" s="1"/>
  <c r="C350" s="1"/>
  <c r="O352" a="1"/>
  <c r="O352" s="1"/>
  <c r="D352" s="1"/>
  <c r="P284" a="1"/>
  <c r="P284" s="1"/>
  <c r="E284" s="1"/>
  <c r="N288" a="1"/>
  <c r="N288" s="1"/>
  <c r="C288" s="1"/>
  <c r="N285" a="1"/>
  <c r="N285" s="1"/>
  <c r="C285" s="1"/>
  <c r="O287" a="1"/>
  <c r="O287" s="1"/>
  <c r="D287" s="1"/>
  <c r="P252" a="1"/>
  <c r="P252" s="1"/>
  <c r="E252" s="1"/>
  <c r="N256" a="1"/>
  <c r="N256" s="1"/>
  <c r="C256" s="1"/>
  <c r="N253" a="1"/>
  <c r="N253" s="1"/>
  <c r="C253" s="1"/>
  <c r="O255" a="1"/>
  <c r="O255" s="1"/>
  <c r="D255" s="1"/>
  <c r="P220" a="1"/>
  <c r="P220" s="1"/>
  <c r="E220" s="1"/>
  <c r="N224" a="1"/>
  <c r="N224" s="1"/>
  <c r="C224" s="1"/>
  <c r="N221" a="1"/>
  <c r="N221" s="1"/>
  <c r="C221" s="1"/>
  <c r="O223" a="1"/>
  <c r="O223" s="1"/>
  <c r="D223" s="1"/>
  <c r="L179" a="1"/>
  <c r="L179" s="1"/>
  <c r="M179" a="1"/>
  <c r="M179" s="1"/>
  <c r="B179" s="1"/>
  <c r="AA18" i="4"/>
  <c r="P13" a="1"/>
  <c r="P13" s="1"/>
  <c r="AA13"/>
  <c r="O11" a="1"/>
  <c r="O11" s="1"/>
  <c r="P11" a="1"/>
  <c r="P11" s="1"/>
  <c r="U3" a="1"/>
  <c r="U3" s="1"/>
  <c r="K6" i="8"/>
  <c r="K8" i="11"/>
  <c r="K7"/>
  <c r="K9"/>
  <c r="K10"/>
  <c r="AB6" i="4"/>
  <c r="AB3"/>
  <c r="AA12"/>
  <c r="AB9"/>
  <c r="AA11"/>
  <c r="AB12"/>
  <c r="Q250" i="5" l="1"/>
  <c r="F250" s="1"/>
  <c r="Q260"/>
  <c r="F260" s="1"/>
  <c r="Q166"/>
  <c r="F166" s="1"/>
  <c r="Q234"/>
  <c r="F234" s="1"/>
  <c r="Q385"/>
  <c r="F385" s="1"/>
  <c r="Q169"/>
  <c r="F169" s="1"/>
  <c r="Q5" i="4"/>
  <c r="S6"/>
  <c r="Q290" i="5"/>
  <c r="F290" s="1"/>
  <c r="I14" i="11"/>
  <c r="AS14"/>
  <c r="Q315" i="5"/>
  <c r="F315" s="1"/>
  <c r="G3" i="4"/>
  <c r="Q188" i="5"/>
  <c r="F188" s="1"/>
  <c r="Q389"/>
  <c r="F389" s="1"/>
  <c r="Q310"/>
  <c r="F310" s="1"/>
  <c r="Q392"/>
  <c r="F392" s="1"/>
  <c r="Q264"/>
  <c r="F264" s="1"/>
  <c r="A241"/>
  <c r="Q7" i="4"/>
  <c r="X10"/>
  <c r="Q226" i="5"/>
  <c r="F226" s="1"/>
  <c r="Q275"/>
  <c r="F275" s="1"/>
  <c r="Q324"/>
  <c r="F324" s="1"/>
  <c r="Q274"/>
  <c r="F274" s="1"/>
  <c r="H14" i="11"/>
  <c r="V14"/>
  <c r="AK14" s="1"/>
  <c r="S14" s="1"/>
  <c r="AR14"/>
  <c r="A11" i="4"/>
  <c r="Q170" i="5"/>
  <c r="F170" s="1"/>
  <c r="F27" i="4"/>
  <c r="Q178" i="5"/>
  <c r="F178" s="1"/>
  <c r="X9" i="4"/>
  <c r="Q402" i="5"/>
  <c r="F402" s="1"/>
  <c r="Q210"/>
  <c r="F210" s="1"/>
  <c r="R14" i="11"/>
  <c r="W14" s="1"/>
  <c r="G14"/>
  <c r="Q369" i="5"/>
  <c r="F369" s="1"/>
  <c r="Q200"/>
  <c r="F200" s="1"/>
  <c r="Q259"/>
  <c r="F259" s="1"/>
  <c r="F3" i="4"/>
  <c r="Q283" i="5"/>
  <c r="F283" s="1"/>
  <c r="Q306"/>
  <c r="F306" s="1"/>
  <c r="Q318"/>
  <c r="F318" s="1"/>
  <c r="Q313"/>
  <c r="F313" s="1"/>
  <c r="Q211"/>
  <c r="F211" s="1"/>
  <c r="Q257"/>
  <c r="F257" s="1"/>
  <c r="Q353"/>
  <c r="F353" s="1"/>
  <c r="A259"/>
  <c r="Q227"/>
  <c r="F227" s="1"/>
  <c r="Q232"/>
  <c r="F232" s="1"/>
  <c r="X6" i="4"/>
  <c r="Q289" i="5"/>
  <c r="F289" s="1"/>
  <c r="Q280"/>
  <c r="F280" s="1"/>
  <c r="Q217"/>
  <c r="F217" s="1"/>
  <c r="X11" i="4"/>
  <c r="A225" i="5"/>
  <c r="Q339"/>
  <c r="F339" s="1"/>
  <c r="Q185"/>
  <c r="F185" s="1"/>
  <c r="Q326"/>
  <c r="F326" s="1"/>
  <c r="I8" i="3"/>
  <c r="Q233" i="5"/>
  <c r="F233" s="1"/>
  <c r="Q362"/>
  <c r="F362" s="1"/>
  <c r="Q195"/>
  <c r="F195" s="1"/>
  <c r="Q218"/>
  <c r="F218" s="1"/>
  <c r="Q265"/>
  <c r="F265" s="1"/>
  <c r="Q397"/>
  <c r="F397" s="1"/>
  <c r="Q258"/>
  <c r="F258" s="1"/>
  <c r="Q349"/>
  <c r="F349" s="1"/>
  <c r="Q184"/>
  <c r="F184" s="1"/>
  <c r="Q273"/>
  <c r="F273" s="1"/>
  <c r="Q386"/>
  <c r="F386" s="1"/>
  <c r="Q186"/>
  <c r="F186" s="1"/>
  <c r="Q340"/>
  <c r="F340" s="1"/>
  <c r="Q311"/>
  <c r="F311" s="1"/>
  <c r="Q305"/>
  <c r="F305" s="1"/>
  <c r="A369"/>
  <c r="Q243"/>
  <c r="F243" s="1"/>
  <c r="Q209"/>
  <c r="F209" s="1"/>
  <c r="Q219"/>
  <c r="F219" s="1"/>
  <c r="Q380"/>
  <c r="F380" s="1"/>
  <c r="Q377"/>
  <c r="F377" s="1"/>
  <c r="AU7" i="8"/>
  <c r="AS7"/>
  <c r="S7"/>
  <c r="I7"/>
  <c r="G7"/>
  <c r="AT7"/>
  <c r="AR7"/>
  <c r="U7"/>
  <c r="V7"/>
  <c r="H7"/>
  <c r="R7"/>
  <c r="W7" s="1"/>
  <c r="J7"/>
  <c r="I6" i="3"/>
  <c r="B13" i="4"/>
  <c r="Q251" i="5"/>
  <c r="F251" s="1"/>
  <c r="I17" i="3"/>
  <c r="Q332" i="5"/>
  <c r="F332" s="1"/>
  <c r="Q267"/>
  <c r="F267" s="1"/>
  <c r="Q235"/>
  <c r="F235" s="1"/>
  <c r="I12" i="3"/>
  <c r="I7"/>
  <c r="I14"/>
  <c r="Q348" i="5"/>
  <c r="F348" s="1"/>
  <c r="Q345"/>
  <c r="F345" s="1"/>
  <c r="Q364"/>
  <c r="F364" s="1"/>
  <c r="Q400"/>
  <c r="F400" s="1"/>
  <c r="Q299"/>
  <c r="F299" s="1"/>
  <c r="F20" i="4"/>
  <c r="I15" i="3"/>
  <c r="L11"/>
  <c r="F4" i="4"/>
  <c r="AF40" s="1"/>
  <c r="I22" i="3"/>
  <c r="Q319" i="5"/>
  <c r="F319" s="1"/>
  <c r="Q291"/>
  <c r="F291" s="1"/>
  <c r="Q370"/>
  <c r="F370" s="1"/>
  <c r="I25" i="3"/>
  <c r="Q203" i="5"/>
  <c r="F203" s="1"/>
  <c r="Q334"/>
  <c r="F334" s="1"/>
  <c r="F14" i="4"/>
  <c r="I3" i="3"/>
  <c r="I4"/>
  <c r="L9"/>
  <c r="I19"/>
  <c r="I20"/>
  <c r="I5"/>
  <c r="L6"/>
  <c r="I21"/>
  <c r="I10"/>
  <c r="I23"/>
  <c r="F19" i="4"/>
  <c r="I26" i="3"/>
  <c r="K12" i="4"/>
  <c r="H12"/>
  <c r="B27"/>
  <c r="M3"/>
  <c r="M8"/>
  <c r="M5"/>
  <c r="M12"/>
  <c r="M4"/>
  <c r="M17"/>
  <c r="M21"/>
  <c r="M13"/>
  <c r="M7"/>
  <c r="M10"/>
  <c r="M24"/>
  <c r="M23"/>
  <c r="M22"/>
  <c r="M15"/>
  <c r="M9"/>
  <c r="M19"/>
  <c r="M25"/>
  <c r="M27"/>
  <c r="M18"/>
  <c r="M11"/>
  <c r="M26"/>
  <c r="M16"/>
  <c r="M20"/>
  <c r="M14"/>
  <c r="M6"/>
  <c r="AS8" i="10"/>
  <c r="V8"/>
  <c r="AK8" s="1"/>
  <c r="G8"/>
  <c r="AT8"/>
  <c r="R8"/>
  <c r="W8" s="1"/>
  <c r="K8" s="1"/>
  <c r="H8"/>
  <c r="S8"/>
  <c r="U8"/>
  <c r="AR8"/>
  <c r="J8"/>
  <c r="AU8"/>
  <c r="I8"/>
  <c r="AU18" i="6"/>
  <c r="S18"/>
  <c r="I18"/>
  <c r="AS18"/>
  <c r="R18"/>
  <c r="W18" s="1"/>
  <c r="K18" s="1"/>
  <c r="G18"/>
  <c r="V18"/>
  <c r="J18"/>
  <c r="H18"/>
  <c r="AR18"/>
  <c r="U18"/>
  <c r="AT18"/>
  <c r="AU16"/>
  <c r="S16"/>
  <c r="I16"/>
  <c r="V16"/>
  <c r="J16"/>
  <c r="AS16"/>
  <c r="R16"/>
  <c r="W16" s="1"/>
  <c r="K16" s="1"/>
  <c r="G16"/>
  <c r="AR16"/>
  <c r="U16"/>
  <c r="AT16"/>
  <c r="H16"/>
  <c r="AT7" i="9"/>
  <c r="R7"/>
  <c r="W7" s="1"/>
  <c r="K7" s="1"/>
  <c r="H7"/>
  <c r="AU7"/>
  <c r="S7"/>
  <c r="I7"/>
  <c r="G7"/>
  <c r="J7"/>
  <c r="AS7"/>
  <c r="V7"/>
  <c r="U7"/>
  <c r="AR7"/>
  <c r="AS11" i="10"/>
  <c r="V11"/>
  <c r="AK11" s="1"/>
  <c r="S11" s="1"/>
  <c r="G11"/>
  <c r="AT11"/>
  <c r="R11"/>
  <c r="W11" s="1"/>
  <c r="K11" s="1"/>
  <c r="H11"/>
  <c r="AU11"/>
  <c r="I11"/>
  <c r="J11"/>
  <c r="AR11"/>
  <c r="U11"/>
  <c r="AU21" i="6"/>
  <c r="S21"/>
  <c r="I21"/>
  <c r="AR21"/>
  <c r="AT21"/>
  <c r="U21"/>
  <c r="H21"/>
  <c r="AS21"/>
  <c r="V21"/>
  <c r="G21"/>
  <c r="J21"/>
  <c r="R21"/>
  <c r="W21" s="1"/>
  <c r="K21" s="1"/>
  <c r="AU10" i="13"/>
  <c r="I10"/>
  <c r="V10"/>
  <c r="AK10" s="1"/>
  <c r="S10" s="1"/>
  <c r="J10"/>
  <c r="AR10"/>
  <c r="AT10"/>
  <c r="U10"/>
  <c r="H10"/>
  <c r="AS10"/>
  <c r="G10"/>
  <c r="R10"/>
  <c r="W10" s="1"/>
  <c r="K10" s="1"/>
  <c r="AR12" i="11"/>
  <c r="U12"/>
  <c r="J12"/>
  <c r="AS12"/>
  <c r="V12"/>
  <c r="AK12" s="1"/>
  <c r="S12" s="1"/>
  <c r="G12"/>
  <c r="AU12"/>
  <c r="I12"/>
  <c r="AT12"/>
  <c r="H12"/>
  <c r="R12"/>
  <c r="W12" s="1"/>
  <c r="AT21" i="9"/>
  <c r="R21"/>
  <c r="W21" s="1"/>
  <c r="K21" s="1"/>
  <c r="H21"/>
  <c r="AU21"/>
  <c r="S21"/>
  <c r="I21"/>
  <c r="AR21"/>
  <c r="U21"/>
  <c r="AS21"/>
  <c r="V21"/>
  <c r="J21"/>
  <c r="G21"/>
  <c r="AS6" i="10"/>
  <c r="V6"/>
  <c r="AL6" s="1"/>
  <c r="G6"/>
  <c r="AT6"/>
  <c r="R6"/>
  <c r="H6"/>
  <c r="AR6"/>
  <c r="J6"/>
  <c r="AU6"/>
  <c r="U6"/>
  <c r="I6"/>
  <c r="AS9"/>
  <c r="V9"/>
  <c r="G9"/>
  <c r="AT9"/>
  <c r="R9"/>
  <c r="W9" s="1"/>
  <c r="K9" s="1"/>
  <c r="H9"/>
  <c r="AR9"/>
  <c r="U9"/>
  <c r="J9"/>
  <c r="AU9"/>
  <c r="I9"/>
  <c r="AT6" i="7"/>
  <c r="R6"/>
  <c r="H6"/>
  <c r="AS6"/>
  <c r="G6"/>
  <c r="AU6"/>
  <c r="U6"/>
  <c r="I6"/>
  <c r="AR6"/>
  <c r="V6"/>
  <c r="J6"/>
  <c r="AT20" i="9"/>
  <c r="R20"/>
  <c r="W20" s="1"/>
  <c r="K20" s="1"/>
  <c r="H20"/>
  <c r="AU20"/>
  <c r="I20"/>
  <c r="AS20"/>
  <c r="V20"/>
  <c r="AK20" s="1"/>
  <c r="S20" s="1"/>
  <c r="G20"/>
  <c r="AR20"/>
  <c r="U20"/>
  <c r="J20"/>
  <c r="AS12" i="8"/>
  <c r="V12"/>
  <c r="AK12" s="1"/>
  <c r="S12" s="1"/>
  <c r="G12"/>
  <c r="AR12"/>
  <c r="H12"/>
  <c r="AT12"/>
  <c r="U12"/>
  <c r="I12"/>
  <c r="R12"/>
  <c r="AU12"/>
  <c r="J12"/>
  <c r="AS13" i="10"/>
  <c r="V13"/>
  <c r="AK13" s="1"/>
  <c r="S13" s="1"/>
  <c r="G13"/>
  <c r="AT13"/>
  <c r="R13"/>
  <c r="W13" s="1"/>
  <c r="K13" s="1"/>
  <c r="H13"/>
  <c r="AR13"/>
  <c r="I13"/>
  <c r="AU13"/>
  <c r="U13"/>
  <c r="J13"/>
  <c r="AU13" i="6"/>
  <c r="S13"/>
  <c r="I13"/>
  <c r="AR13"/>
  <c r="AT13"/>
  <c r="U13"/>
  <c r="H13"/>
  <c r="AS13"/>
  <c r="V13"/>
  <c r="G13"/>
  <c r="J13"/>
  <c r="R13"/>
  <c r="W13" s="1"/>
  <c r="K13" s="1"/>
  <c r="AU17" i="12"/>
  <c r="S17"/>
  <c r="I17"/>
  <c r="AR17"/>
  <c r="U17"/>
  <c r="J17"/>
  <c r="AT17"/>
  <c r="R17"/>
  <c r="W17" s="1"/>
  <c r="K17" s="1"/>
  <c r="H17"/>
  <c r="AS17"/>
  <c r="V17"/>
  <c r="G17"/>
  <c r="AS20" i="8"/>
  <c r="V20"/>
  <c r="AK20" s="1"/>
  <c r="S20" s="1"/>
  <c r="G20"/>
  <c r="R20"/>
  <c r="W20" s="1"/>
  <c r="K20" s="1"/>
  <c r="AR20"/>
  <c r="H20"/>
  <c r="AU20"/>
  <c r="J20"/>
  <c r="AT20"/>
  <c r="I20"/>
  <c r="U20"/>
  <c r="AU9" i="13"/>
  <c r="S9"/>
  <c r="I9"/>
  <c r="AT9"/>
  <c r="U9"/>
  <c r="H9"/>
  <c r="V9"/>
  <c r="J9"/>
  <c r="AS9"/>
  <c r="R9"/>
  <c r="W9" s="1"/>
  <c r="K9" s="1"/>
  <c r="G9"/>
  <c r="AR9"/>
  <c r="AU12" i="6"/>
  <c r="I12"/>
  <c r="V12"/>
  <c r="AK12" s="1"/>
  <c r="S12" s="1"/>
  <c r="J12"/>
  <c r="AS12"/>
  <c r="AT12"/>
  <c r="H12"/>
  <c r="R12"/>
  <c r="W12" s="1"/>
  <c r="K12" s="1"/>
  <c r="AR12"/>
  <c r="G12"/>
  <c r="U12"/>
  <c r="AS21" i="8"/>
  <c r="V21"/>
  <c r="AK21" s="1"/>
  <c r="S21" s="1"/>
  <c r="G21"/>
  <c r="R21"/>
  <c r="W21" s="1"/>
  <c r="K21" s="1"/>
  <c r="AR21"/>
  <c r="H21"/>
  <c r="AU21"/>
  <c r="J21"/>
  <c r="AT21"/>
  <c r="I21"/>
  <c r="U21"/>
  <c r="AT8" i="9"/>
  <c r="R8"/>
  <c r="W8" s="1"/>
  <c r="K8" s="1"/>
  <c r="H8"/>
  <c r="AU8"/>
  <c r="S8"/>
  <c r="I8"/>
  <c r="AS8"/>
  <c r="V8"/>
  <c r="G8"/>
  <c r="J8"/>
  <c r="U8"/>
  <c r="AR8"/>
  <c r="AS16" i="10"/>
  <c r="V16"/>
  <c r="G16"/>
  <c r="AT16"/>
  <c r="R16"/>
  <c r="W16" s="1"/>
  <c r="H16"/>
  <c r="U16"/>
  <c r="I16"/>
  <c r="J16"/>
  <c r="AU16"/>
  <c r="AR16"/>
  <c r="S16"/>
  <c r="AR11" i="11"/>
  <c r="U11"/>
  <c r="J11"/>
  <c r="AS11"/>
  <c r="V11"/>
  <c r="G11"/>
  <c r="AU11"/>
  <c r="S11"/>
  <c r="I11"/>
  <c r="R11"/>
  <c r="W11" s="1"/>
  <c r="AT11"/>
  <c r="H11"/>
  <c r="AJ83" i="4"/>
  <c r="AI83"/>
  <c r="AI82"/>
  <c r="AI81"/>
  <c r="AI80"/>
  <c r="AI79"/>
  <c r="AI78"/>
  <c r="AI77"/>
  <c r="AI76"/>
  <c r="AI75"/>
  <c r="AI74"/>
  <c r="AI73"/>
  <c r="AI72"/>
  <c r="AI71"/>
  <c r="AI70"/>
  <c r="AI69"/>
  <c r="AK55"/>
  <c r="AG55"/>
  <c r="AM54"/>
  <c r="AI54"/>
  <c r="AE54"/>
  <c r="AK53"/>
  <c r="AG53"/>
  <c r="AM52"/>
  <c r="AI52"/>
  <c r="AE52"/>
  <c r="AK51"/>
  <c r="AG51"/>
  <c r="AM50"/>
  <c r="AI50"/>
  <c r="AE50"/>
  <c r="AK49"/>
  <c r="AG49"/>
  <c r="AM48"/>
  <c r="AI48"/>
  <c r="AE48"/>
  <c r="AK47"/>
  <c r="AG47"/>
  <c r="AM46"/>
  <c r="AI46"/>
  <c r="AE46"/>
  <c r="AK45"/>
  <c r="AG45"/>
  <c r="AM44"/>
  <c r="AI44"/>
  <c r="AE44"/>
  <c r="AK43"/>
  <c r="AG43"/>
  <c r="AM42"/>
  <c r="AI42"/>
  <c r="AE42"/>
  <c r="AK41"/>
  <c r="AG41"/>
  <c r="AE40"/>
  <c r="AE34"/>
  <c r="AK27"/>
  <c r="AG27"/>
  <c r="AK26"/>
  <c r="AG26"/>
  <c r="AK25"/>
  <c r="AG25"/>
  <c r="AK24"/>
  <c r="AG24"/>
  <c r="AK23"/>
  <c r="AG23"/>
  <c r="AK22"/>
  <c r="AG22"/>
  <c r="AK21"/>
  <c r="AG21"/>
  <c r="AK20"/>
  <c r="AG20"/>
  <c r="AK19"/>
  <c r="AG19"/>
  <c r="AK18"/>
  <c r="AG18"/>
  <c r="AK17"/>
  <c r="AG17"/>
  <c r="AK16"/>
  <c r="AG16"/>
  <c r="AK15"/>
  <c r="AG15"/>
  <c r="AK14"/>
  <c r="AG14"/>
  <c r="AK13"/>
  <c r="AG13"/>
  <c r="AJ82"/>
  <c r="AJ81"/>
  <c r="AJ80"/>
  <c r="AJ79"/>
  <c r="AJ78"/>
  <c r="AJ77"/>
  <c r="AJ76"/>
  <c r="AJ75"/>
  <c r="AJ74"/>
  <c r="AJ73"/>
  <c r="AJ72"/>
  <c r="AJ71"/>
  <c r="AJ70"/>
  <c r="AJ69"/>
  <c r="AL55"/>
  <c r="AH55"/>
  <c r="AN54"/>
  <c r="AJ54"/>
  <c r="AF54"/>
  <c r="AL53"/>
  <c r="AH53"/>
  <c r="AN52"/>
  <c r="AJ52"/>
  <c r="AF52"/>
  <c r="AL51"/>
  <c r="AH51"/>
  <c r="AN50"/>
  <c r="AJ50"/>
  <c r="AF50"/>
  <c r="AL49"/>
  <c r="AH49"/>
  <c r="AN48"/>
  <c r="AJ48"/>
  <c r="AF48"/>
  <c r="AL47"/>
  <c r="AH47"/>
  <c r="AN46"/>
  <c r="AJ46"/>
  <c r="AF46"/>
  <c r="AL45"/>
  <c r="AH45"/>
  <c r="AN44"/>
  <c r="AJ44"/>
  <c r="AF44"/>
  <c r="AL43"/>
  <c r="AH43"/>
  <c r="AN42"/>
  <c r="AJ42"/>
  <c r="AF42"/>
  <c r="AL41"/>
  <c r="AH41"/>
  <c r="AF34"/>
  <c r="AL27"/>
  <c r="AH27"/>
  <c r="AL26"/>
  <c r="AH26"/>
  <c r="AL25"/>
  <c r="AH25"/>
  <c r="AL24"/>
  <c r="AH24"/>
  <c r="AL23"/>
  <c r="AH23"/>
  <c r="AL22"/>
  <c r="AH22"/>
  <c r="AL21"/>
  <c r="AH21"/>
  <c r="AL20"/>
  <c r="AH20"/>
  <c r="AL19"/>
  <c r="AH19"/>
  <c r="AL18"/>
  <c r="AH18"/>
  <c r="AL17"/>
  <c r="AH17"/>
  <c r="AL16"/>
  <c r="AH16"/>
  <c r="AL15"/>
  <c r="AH15"/>
  <c r="AL14"/>
  <c r="AH14"/>
  <c r="AL13"/>
  <c r="AH13"/>
  <c r="AM55"/>
  <c r="AI55"/>
  <c r="AE55"/>
  <c r="AK54"/>
  <c r="AG54"/>
  <c r="AM53"/>
  <c r="AI53"/>
  <c r="AE53"/>
  <c r="AK52"/>
  <c r="AG52"/>
  <c r="AM51"/>
  <c r="AI51"/>
  <c r="AE51"/>
  <c r="AK50"/>
  <c r="AG50"/>
  <c r="AM49"/>
  <c r="AI49"/>
  <c r="AE49"/>
  <c r="AK48"/>
  <c r="AG48"/>
  <c r="AM47"/>
  <c r="AI47"/>
  <c r="AE47"/>
  <c r="AK46"/>
  <c r="AG46"/>
  <c r="AM45"/>
  <c r="AI45"/>
  <c r="AE45"/>
  <c r="AK44"/>
  <c r="AG44"/>
  <c r="AM43"/>
  <c r="AI43"/>
  <c r="AE43"/>
  <c r="AK42"/>
  <c r="AG42"/>
  <c r="AM41"/>
  <c r="AI41"/>
  <c r="AE41"/>
  <c r="AI39"/>
  <c r="AM27"/>
  <c r="AI27"/>
  <c r="AE27"/>
  <c r="AM26"/>
  <c r="AI26"/>
  <c r="AE26"/>
  <c r="AM25"/>
  <c r="AI25"/>
  <c r="AE25"/>
  <c r="AM24"/>
  <c r="AI24"/>
  <c r="AE24"/>
  <c r="AM23"/>
  <c r="AI23"/>
  <c r="AE23"/>
  <c r="AM22"/>
  <c r="AI22"/>
  <c r="AE22"/>
  <c r="AM21"/>
  <c r="AI21"/>
  <c r="AE21"/>
  <c r="AM20"/>
  <c r="AI20"/>
  <c r="AE20"/>
  <c r="AM19"/>
  <c r="AI19"/>
  <c r="AE19"/>
  <c r="AM18"/>
  <c r="AI18"/>
  <c r="AE18"/>
  <c r="AM17"/>
  <c r="AI17"/>
  <c r="AE17"/>
  <c r="AM16"/>
  <c r="AI16"/>
  <c r="AE16"/>
  <c r="AM15"/>
  <c r="AI15"/>
  <c r="AE15"/>
  <c r="AM14"/>
  <c r="AI14"/>
  <c r="AE14"/>
  <c r="AM13"/>
  <c r="AI13"/>
  <c r="AE13"/>
  <c r="AN55"/>
  <c r="AH54"/>
  <c r="AL52"/>
  <c r="AF51"/>
  <c r="AJ49"/>
  <c r="AN47"/>
  <c r="AH46"/>
  <c r="AL44"/>
  <c r="AF43"/>
  <c r="AJ41"/>
  <c r="AJ27"/>
  <c r="AF26"/>
  <c r="AJ23"/>
  <c r="AF22"/>
  <c r="AJ19"/>
  <c r="AF18"/>
  <c r="AJ15"/>
  <c r="AF14"/>
  <c r="AL54"/>
  <c r="AF53"/>
  <c r="AJ51"/>
  <c r="AN49"/>
  <c r="AH48"/>
  <c r="AL46"/>
  <c r="AF45"/>
  <c r="AJ43"/>
  <c r="AN41"/>
  <c r="AJ26"/>
  <c r="AF25"/>
  <c r="AJ22"/>
  <c r="AF21"/>
  <c r="AJ18"/>
  <c r="AF17"/>
  <c r="AJ14"/>
  <c r="AF13"/>
  <c r="AF55"/>
  <c r="AJ53"/>
  <c r="AN51"/>
  <c r="AH50"/>
  <c r="AL48"/>
  <c r="AF47"/>
  <c r="AJ45"/>
  <c r="AN43"/>
  <c r="AH42"/>
  <c r="AJ25"/>
  <c r="AF24"/>
  <c r="AJ21"/>
  <c r="AF20"/>
  <c r="AJ17"/>
  <c r="AF16"/>
  <c r="AJ13"/>
  <c r="AJ55"/>
  <c r="AN53"/>
  <c r="AH52"/>
  <c r="AL50"/>
  <c r="AF49"/>
  <c r="AJ47"/>
  <c r="AN45"/>
  <c r="AH44"/>
  <c r="AL42"/>
  <c r="AF41"/>
  <c r="AJ39"/>
  <c r="AF27"/>
  <c r="AJ24"/>
  <c r="AF23"/>
  <c r="AJ20"/>
  <c r="AF19"/>
  <c r="AJ16"/>
  <c r="AF15"/>
  <c r="Q325" i="5"/>
  <c r="F325" s="1"/>
  <c r="A325"/>
  <c r="A322"/>
  <c r="Q322"/>
  <c r="F322" s="1"/>
  <c r="Q256"/>
  <c r="F256" s="1"/>
  <c r="A256"/>
  <c r="Q287"/>
  <c r="F287" s="1"/>
  <c r="A287"/>
  <c r="A286"/>
  <c r="Q286"/>
  <c r="F286" s="1"/>
  <c r="A285"/>
  <c r="Q285"/>
  <c r="F285" s="1"/>
  <c r="Q352"/>
  <c r="F352" s="1"/>
  <c r="A352"/>
  <c r="Q208"/>
  <c r="F208" s="1"/>
  <c r="A208"/>
  <c r="Q393"/>
  <c r="F393" s="1"/>
  <c r="A393"/>
  <c r="Q272"/>
  <c r="F272" s="1"/>
  <c r="A272"/>
  <c r="A314"/>
  <c r="Q314"/>
  <c r="F314" s="1"/>
  <c r="A383"/>
  <c r="Q383"/>
  <c r="F383" s="1"/>
  <c r="A382"/>
  <c r="Q382"/>
  <c r="F382" s="1"/>
  <c r="A176"/>
  <c r="Q176"/>
  <c r="F176" s="1"/>
  <c r="Q240"/>
  <c r="F240" s="1"/>
  <c r="A240"/>
  <c r="Q368"/>
  <c r="F368" s="1"/>
  <c r="A368"/>
  <c r="AT13" i="7"/>
  <c r="R13"/>
  <c r="W13" s="1"/>
  <c r="K13" s="1"/>
  <c r="H13"/>
  <c r="AR13"/>
  <c r="AS13"/>
  <c r="S13"/>
  <c r="G13"/>
  <c r="V13"/>
  <c r="J13"/>
  <c r="I13"/>
  <c r="AU13"/>
  <c r="U13"/>
  <c r="AT14"/>
  <c r="R14"/>
  <c r="W14" s="1"/>
  <c r="H14"/>
  <c r="AS14"/>
  <c r="S14"/>
  <c r="G14"/>
  <c r="AU14"/>
  <c r="U14"/>
  <c r="I14"/>
  <c r="AR14"/>
  <c r="K14"/>
  <c r="J14"/>
  <c r="V14"/>
  <c r="AU6" i="13"/>
  <c r="R6"/>
  <c r="H6"/>
  <c r="AR6"/>
  <c r="I6"/>
  <c r="AT6"/>
  <c r="V6"/>
  <c r="G6"/>
  <c r="AS6"/>
  <c r="J6"/>
  <c r="U6"/>
  <c r="M94" i="5" a="1"/>
  <c r="M94" s="1"/>
  <c r="B94" s="1"/>
  <c r="L94" a="1"/>
  <c r="L94" s="1"/>
  <c r="O94" a="1"/>
  <c r="O94" s="1"/>
  <c r="D94" s="1"/>
  <c r="P94" a="1"/>
  <c r="P94" s="1"/>
  <c r="E94" s="1"/>
  <c r="N94" a="1"/>
  <c r="N94" s="1"/>
  <c r="C94" s="1"/>
  <c r="L40" a="1"/>
  <c r="L40" s="1"/>
  <c r="M40" a="1"/>
  <c r="M40" s="1"/>
  <c r="B40" s="1"/>
  <c r="P40" a="1"/>
  <c r="P40" s="1"/>
  <c r="E40" s="1"/>
  <c r="O40" a="1"/>
  <c r="O40" s="1"/>
  <c r="D40" s="1"/>
  <c r="N40" a="1"/>
  <c r="N40" s="1"/>
  <c r="C40" s="1"/>
  <c r="L38" a="1"/>
  <c r="L38" s="1"/>
  <c r="O38" a="1"/>
  <c r="O38" s="1"/>
  <c r="D38" s="1"/>
  <c r="P38" a="1"/>
  <c r="P38" s="1"/>
  <c r="E38" s="1"/>
  <c r="M38" a="1"/>
  <c r="M38" s="1"/>
  <c r="B38" s="1"/>
  <c r="N38" a="1"/>
  <c r="N38" s="1"/>
  <c r="C38" s="1"/>
  <c r="M78" a="1"/>
  <c r="M78" s="1"/>
  <c r="B78" s="1"/>
  <c r="L78" a="1"/>
  <c r="L78" s="1"/>
  <c r="O78" a="1"/>
  <c r="O78" s="1"/>
  <c r="D78" s="1"/>
  <c r="N78" a="1"/>
  <c r="N78" s="1"/>
  <c r="C78" s="1"/>
  <c r="P78" a="1"/>
  <c r="P78" s="1"/>
  <c r="E78" s="1"/>
  <c r="P135" a="1"/>
  <c r="P135" s="1"/>
  <c r="E135" s="1"/>
  <c r="M135" a="1"/>
  <c r="M135" s="1"/>
  <c r="B135" s="1"/>
  <c r="L135" a="1"/>
  <c r="L135" s="1"/>
  <c r="N135" a="1"/>
  <c r="N135" s="1"/>
  <c r="C135" s="1"/>
  <c r="O135" a="1"/>
  <c r="O135" s="1"/>
  <c r="D135" s="1"/>
  <c r="N126" a="1"/>
  <c r="N126" s="1"/>
  <c r="C126" s="1"/>
  <c r="O126" a="1"/>
  <c r="O126" s="1"/>
  <c r="D126" s="1"/>
  <c r="M126" a="1"/>
  <c r="M126" s="1"/>
  <c r="B126" s="1"/>
  <c r="L126" a="1"/>
  <c r="L126" s="1"/>
  <c r="P126" a="1"/>
  <c r="P126" s="1"/>
  <c r="E126" s="1"/>
  <c r="M147" a="1"/>
  <c r="M147" s="1"/>
  <c r="B147" s="1"/>
  <c r="L147" a="1"/>
  <c r="L147" s="1"/>
  <c r="P147" a="1"/>
  <c r="P147" s="1"/>
  <c r="E147" s="1"/>
  <c r="N147" a="1"/>
  <c r="N147" s="1"/>
  <c r="C147" s="1"/>
  <c r="O147" a="1"/>
  <c r="O147" s="1"/>
  <c r="D147" s="1"/>
  <c r="P42" a="1"/>
  <c r="P42" s="1"/>
  <c r="E42" s="1"/>
  <c r="M42" a="1"/>
  <c r="M42" s="1"/>
  <c r="B42" s="1"/>
  <c r="L42" a="1"/>
  <c r="L42" s="1"/>
  <c r="O42" a="1"/>
  <c r="O42" s="1"/>
  <c r="D42" s="1"/>
  <c r="N42" a="1"/>
  <c r="N42" s="1"/>
  <c r="C42" s="1"/>
  <c r="P144" a="1"/>
  <c r="P144" s="1"/>
  <c r="E144" s="1"/>
  <c r="L144" a="1"/>
  <c r="L144" s="1"/>
  <c r="M144" a="1"/>
  <c r="M144" s="1"/>
  <c r="B144" s="1"/>
  <c r="N144" a="1"/>
  <c r="N144" s="1"/>
  <c r="C144" s="1"/>
  <c r="O144" a="1"/>
  <c r="O144" s="1"/>
  <c r="D144" s="1"/>
  <c r="M136" a="1"/>
  <c r="M136" s="1"/>
  <c r="B136" s="1"/>
  <c r="P136" a="1"/>
  <c r="P136" s="1"/>
  <c r="E136" s="1"/>
  <c r="N136" a="1"/>
  <c r="N136" s="1"/>
  <c r="C136" s="1"/>
  <c r="L136" a="1"/>
  <c r="L136" s="1"/>
  <c r="O136" a="1"/>
  <c r="O136" s="1"/>
  <c r="D136" s="1"/>
  <c r="M134" a="1"/>
  <c r="M134" s="1"/>
  <c r="B134" s="1"/>
  <c r="L134" a="1"/>
  <c r="L134" s="1"/>
  <c r="P134" a="1"/>
  <c r="P134" s="1"/>
  <c r="E134" s="1"/>
  <c r="N134" a="1"/>
  <c r="N134" s="1"/>
  <c r="C134" s="1"/>
  <c r="O134" a="1"/>
  <c r="O134" s="1"/>
  <c r="D134" s="1"/>
  <c r="M162" a="1"/>
  <c r="M162" s="1"/>
  <c r="B162" s="1"/>
  <c r="P162" a="1"/>
  <c r="P162" s="1"/>
  <c r="E162" s="1"/>
  <c r="O162" a="1"/>
  <c r="O162" s="1"/>
  <c r="D162" s="1"/>
  <c r="L162" a="1"/>
  <c r="L162" s="1"/>
  <c r="N162" a="1"/>
  <c r="N162" s="1"/>
  <c r="C162" s="1"/>
  <c r="L149" a="1"/>
  <c r="L149" s="1"/>
  <c r="N149" a="1"/>
  <c r="N149" s="1"/>
  <c r="C149" s="1"/>
  <c r="P149" a="1"/>
  <c r="P149" s="1"/>
  <c r="E149" s="1"/>
  <c r="O149" a="1"/>
  <c r="O149" s="1"/>
  <c r="D149" s="1"/>
  <c r="M149" a="1"/>
  <c r="M149" s="1"/>
  <c r="B149" s="1"/>
  <c r="N8" a="1"/>
  <c r="N8" s="1"/>
  <c r="C8" s="1"/>
  <c r="M8" a="1"/>
  <c r="M8" s="1"/>
  <c r="B8" s="1"/>
  <c r="P8" a="1"/>
  <c r="P8" s="1"/>
  <c r="E8" s="1"/>
  <c r="O8" a="1"/>
  <c r="O8" s="1"/>
  <c r="D8" s="1"/>
  <c r="L8" a="1"/>
  <c r="L8" s="1"/>
  <c r="N153" a="1"/>
  <c r="N153" s="1"/>
  <c r="C153" s="1"/>
  <c r="O153" a="1"/>
  <c r="O153" s="1"/>
  <c r="D153" s="1"/>
  <c r="P153" a="1"/>
  <c r="P153" s="1"/>
  <c r="E153" s="1"/>
  <c r="L153" a="1"/>
  <c r="L153" s="1"/>
  <c r="M153" a="1"/>
  <c r="M153" s="1"/>
  <c r="B153" s="1"/>
  <c r="A7" i="4"/>
  <c r="A20"/>
  <c r="A23"/>
  <c r="X3"/>
  <c r="W3"/>
  <c r="H17"/>
  <c r="K19"/>
  <c r="H19"/>
  <c r="A6"/>
  <c r="B11"/>
  <c r="A16"/>
  <c r="A19"/>
  <c r="A22"/>
  <c r="A27"/>
  <c r="K3"/>
  <c r="AJ64" s="1"/>
  <c r="L5" i="3"/>
  <c r="L8"/>
  <c r="H14" i="4"/>
  <c r="K20"/>
  <c r="H20"/>
  <c r="K21"/>
  <c r="L21" i="3"/>
  <c r="K26" i="4"/>
  <c r="K27"/>
  <c r="H27"/>
  <c r="Q249" i="5"/>
  <c r="F249" s="1"/>
  <c r="Q281"/>
  <c r="F281" s="1"/>
  <c r="Q347"/>
  <c r="F347" s="1"/>
  <c r="Q379"/>
  <c r="F379" s="1"/>
  <c r="G4" i="4"/>
  <c r="A5"/>
  <c r="B7"/>
  <c r="G9"/>
  <c r="A17"/>
  <c r="F24"/>
  <c r="G26"/>
  <c r="R11"/>
  <c r="D11" s="1"/>
  <c r="H13"/>
  <c r="I13" i="3"/>
  <c r="K18" i="4"/>
  <c r="K22"/>
  <c r="Q164" i="5"/>
  <c r="F164" s="1"/>
  <c r="F8" i="4"/>
  <c r="A13"/>
  <c r="F17"/>
  <c r="G20"/>
  <c r="G24"/>
  <c r="K5"/>
  <c r="H9"/>
  <c r="I11" i="3"/>
  <c r="L12"/>
  <c r="F5" i="4"/>
  <c r="F10"/>
  <c r="G13"/>
  <c r="B19"/>
  <c r="B21"/>
  <c r="R42" i="15"/>
  <c r="K10" i="4"/>
  <c r="Q373" i="5"/>
  <c r="F373" s="1"/>
  <c r="Q220"/>
  <c r="F220" s="1"/>
  <c r="Q284"/>
  <c r="F284" s="1"/>
  <c r="Q236"/>
  <c r="F236" s="1"/>
  <c r="G12" i="4"/>
  <c r="Q344" i="5"/>
  <c r="F344" s="1"/>
  <c r="Q175"/>
  <c r="F175" s="1"/>
  <c r="Q292"/>
  <c r="F292" s="1"/>
  <c r="Q279"/>
  <c r="F279" s="1"/>
  <c r="Q228"/>
  <c r="F228" s="1"/>
  <c r="Q247"/>
  <c r="F247" s="1"/>
  <c r="Q196"/>
  <c r="F196" s="1"/>
  <c r="Q317"/>
  <c r="F317" s="1"/>
  <c r="G15" i="4"/>
  <c r="Q231" i="5"/>
  <c r="F231" s="1"/>
  <c r="Q360"/>
  <c r="F360" s="1"/>
  <c r="AS18" i="8"/>
  <c r="V18"/>
  <c r="AK18" s="1"/>
  <c r="S18" s="1"/>
  <c r="G18"/>
  <c r="R18"/>
  <c r="W18" s="1"/>
  <c r="K18" s="1"/>
  <c r="AR18"/>
  <c r="H18"/>
  <c r="AU18"/>
  <c r="J18"/>
  <c r="I18"/>
  <c r="U18"/>
  <c r="AT18"/>
  <c r="AU6" i="6"/>
  <c r="I6"/>
  <c r="AS6"/>
  <c r="R6"/>
  <c r="G6"/>
  <c r="U6"/>
  <c r="AR6"/>
  <c r="V6"/>
  <c r="H6"/>
  <c r="AT6"/>
  <c r="J6"/>
  <c r="AT9" i="9"/>
  <c r="R9"/>
  <c r="W9" s="1"/>
  <c r="K9" s="1"/>
  <c r="H9"/>
  <c r="AU9"/>
  <c r="S9"/>
  <c r="I9"/>
  <c r="G9"/>
  <c r="J9"/>
  <c r="AS9"/>
  <c r="V9"/>
  <c r="U9"/>
  <c r="AR9"/>
  <c r="AU15" i="13"/>
  <c r="S15"/>
  <c r="I15"/>
  <c r="AR15"/>
  <c r="AS15"/>
  <c r="R15"/>
  <c r="W15" s="1"/>
  <c r="K15" s="1"/>
  <c r="G15"/>
  <c r="V15"/>
  <c r="J15"/>
  <c r="AT15"/>
  <c r="H15"/>
  <c r="U15"/>
  <c r="AU7"/>
  <c r="I7"/>
  <c r="AR7"/>
  <c r="AS7"/>
  <c r="R7"/>
  <c r="W7" s="1"/>
  <c r="K7" s="1"/>
  <c r="G7"/>
  <c r="V7"/>
  <c r="AK7" s="1"/>
  <c r="S7" s="1"/>
  <c r="J7"/>
  <c r="AT7"/>
  <c r="H7"/>
  <c r="U7"/>
  <c r="AU10" i="12"/>
  <c r="I10"/>
  <c r="AR10"/>
  <c r="U10"/>
  <c r="J10"/>
  <c r="AT10"/>
  <c r="R10"/>
  <c r="W10" s="1"/>
  <c r="H10"/>
  <c r="V10"/>
  <c r="AK10" s="1"/>
  <c r="S10" s="1"/>
  <c r="AS10"/>
  <c r="G10"/>
  <c r="AU8" i="6"/>
  <c r="I8"/>
  <c r="V8"/>
  <c r="J8"/>
  <c r="AR8"/>
  <c r="U8"/>
  <c r="G8"/>
  <c r="AS8"/>
  <c r="H8"/>
  <c r="AT8"/>
  <c r="R8"/>
  <c r="W8" s="1"/>
  <c r="K8" s="1"/>
  <c r="AU21" i="13"/>
  <c r="S21"/>
  <c r="I21"/>
  <c r="AT21"/>
  <c r="U21"/>
  <c r="H21"/>
  <c r="V21"/>
  <c r="J21"/>
  <c r="AS21"/>
  <c r="R21"/>
  <c r="W21" s="1"/>
  <c r="K21" s="1"/>
  <c r="G21"/>
  <c r="AR21"/>
  <c r="AU20" i="12"/>
  <c r="I20"/>
  <c r="AR20"/>
  <c r="U20"/>
  <c r="J20"/>
  <c r="AT20"/>
  <c r="R20"/>
  <c r="W20" s="1"/>
  <c r="K20" s="1"/>
  <c r="H20"/>
  <c r="V20"/>
  <c r="AK20" s="1"/>
  <c r="S20" s="1"/>
  <c r="AS20"/>
  <c r="G20"/>
  <c r="A189" i="5"/>
  <c r="Q189"/>
  <c r="F189" s="1"/>
  <c r="A387"/>
  <c r="Q387"/>
  <c r="F387" s="1"/>
  <c r="A309"/>
  <c r="Q309"/>
  <c r="F309" s="1"/>
  <c r="Q312"/>
  <c r="F312" s="1"/>
  <c r="A312"/>
  <c r="Q167"/>
  <c r="F167" s="1"/>
  <c r="A167"/>
  <c r="AT17" i="7"/>
  <c r="R17"/>
  <c r="W17" s="1"/>
  <c r="K17" s="1"/>
  <c r="H17"/>
  <c r="AR17"/>
  <c r="AS17"/>
  <c r="G17"/>
  <c r="V17"/>
  <c r="AK17" s="1"/>
  <c r="S17" s="1"/>
  <c r="J17"/>
  <c r="AU17"/>
  <c r="I17"/>
  <c r="U17"/>
  <c r="AT20"/>
  <c r="R20"/>
  <c r="W20" s="1"/>
  <c r="K20" s="1"/>
  <c r="H20"/>
  <c r="V20"/>
  <c r="J20"/>
  <c r="AR20"/>
  <c r="AU20"/>
  <c r="U20"/>
  <c r="I20"/>
  <c r="AS20"/>
  <c r="G20"/>
  <c r="S20"/>
  <c r="AS15" i="8"/>
  <c r="V15"/>
  <c r="G15"/>
  <c r="R15"/>
  <c r="W15" s="1"/>
  <c r="K15" s="1"/>
  <c r="AR15"/>
  <c r="S15"/>
  <c r="H15"/>
  <c r="AU15"/>
  <c r="J15"/>
  <c r="AT15"/>
  <c r="I15"/>
  <c r="U15"/>
  <c r="AU15" i="6"/>
  <c r="S15"/>
  <c r="I15"/>
  <c r="AT15"/>
  <c r="U15"/>
  <c r="H15"/>
  <c r="AR15"/>
  <c r="R15"/>
  <c r="W15" s="1"/>
  <c r="K15" s="1"/>
  <c r="AS15"/>
  <c r="V15"/>
  <c r="G15"/>
  <c r="J15"/>
  <c r="AT18" i="9"/>
  <c r="R18"/>
  <c r="W18" s="1"/>
  <c r="K18" s="1"/>
  <c r="H18"/>
  <c r="AU18"/>
  <c r="S18"/>
  <c r="I18"/>
  <c r="AS18"/>
  <c r="V18"/>
  <c r="G18"/>
  <c r="AR18"/>
  <c r="U18"/>
  <c r="J18"/>
  <c r="AT6"/>
  <c r="R6"/>
  <c r="H6"/>
  <c r="AU6"/>
  <c r="S6"/>
  <c r="I6"/>
  <c r="AS6"/>
  <c r="V6"/>
  <c r="G6"/>
  <c r="J6"/>
  <c r="U6"/>
  <c r="AR6"/>
  <c r="AU16" i="13"/>
  <c r="S16"/>
  <c r="I16"/>
  <c r="AS16"/>
  <c r="R16"/>
  <c r="W16" s="1"/>
  <c r="G16"/>
  <c r="AT16"/>
  <c r="U16"/>
  <c r="H16"/>
  <c r="AR16"/>
  <c r="K16"/>
  <c r="V16"/>
  <c r="J16"/>
  <c r="AU19" i="12"/>
  <c r="I19"/>
  <c r="AR19"/>
  <c r="U19"/>
  <c r="J19"/>
  <c r="AT19"/>
  <c r="R19"/>
  <c r="W19" s="1"/>
  <c r="K19" s="1"/>
  <c r="H19"/>
  <c r="V19"/>
  <c r="G19"/>
  <c r="AS19"/>
  <c r="AU7"/>
  <c r="I7"/>
  <c r="AR7"/>
  <c r="U7"/>
  <c r="J7"/>
  <c r="AT7"/>
  <c r="R7"/>
  <c r="W7" s="1"/>
  <c r="H7"/>
  <c r="V7"/>
  <c r="AK7" s="1"/>
  <c r="S7" s="1"/>
  <c r="AS7"/>
  <c r="G7"/>
  <c r="AM22" i="14"/>
  <c r="H22" s="1"/>
  <c r="A182" i="5"/>
  <c r="Q182"/>
  <c r="F182" s="1"/>
  <c r="Q223"/>
  <c r="F223" s="1"/>
  <c r="A223"/>
  <c r="A222"/>
  <c r="Q222"/>
  <c r="F222" s="1"/>
  <c r="A221"/>
  <c r="Q221"/>
  <c r="F221" s="1"/>
  <c r="Q255"/>
  <c r="F255" s="1"/>
  <c r="A255"/>
  <c r="A254"/>
  <c r="Q254"/>
  <c r="F254" s="1"/>
  <c r="A351"/>
  <c r="Q351"/>
  <c r="F351" s="1"/>
  <c r="A350"/>
  <c r="Q350"/>
  <c r="F350" s="1"/>
  <c r="Q337"/>
  <c r="F337" s="1"/>
  <c r="A337"/>
  <c r="A399"/>
  <c r="Q399"/>
  <c r="F399" s="1"/>
  <c r="Q271"/>
  <c r="F271" s="1"/>
  <c r="A271"/>
  <c r="A270"/>
  <c r="Q270"/>
  <c r="F270" s="1"/>
  <c r="Q304"/>
  <c r="F304" s="1"/>
  <c r="A304"/>
  <c r="A367"/>
  <c r="Q367"/>
  <c r="F367" s="1"/>
  <c r="A366"/>
  <c r="Q366"/>
  <c r="F366" s="1"/>
  <c r="AS15" i="10"/>
  <c r="V15"/>
  <c r="G15"/>
  <c r="AT15"/>
  <c r="R15"/>
  <c r="W15" s="1"/>
  <c r="K15" s="1"/>
  <c r="H15"/>
  <c r="S15"/>
  <c r="J15"/>
  <c r="U15"/>
  <c r="AU15"/>
  <c r="I15"/>
  <c r="AR15"/>
  <c r="AT10" i="7"/>
  <c r="R10"/>
  <c r="W10" s="1"/>
  <c r="K10" s="1"/>
  <c r="H10"/>
  <c r="AS10"/>
  <c r="S10"/>
  <c r="G10"/>
  <c r="AU10"/>
  <c r="U10"/>
  <c r="I10"/>
  <c r="AR10"/>
  <c r="J10"/>
  <c r="V10"/>
  <c r="AT16"/>
  <c r="R16"/>
  <c r="W16" s="1"/>
  <c r="K16" s="1"/>
  <c r="H16"/>
  <c r="V16"/>
  <c r="J16"/>
  <c r="AR16"/>
  <c r="AU16"/>
  <c r="U16"/>
  <c r="I16"/>
  <c r="G16"/>
  <c r="AS16"/>
  <c r="S16"/>
  <c r="O56" i="5" a="1"/>
  <c r="O56" s="1"/>
  <c r="D56" s="1"/>
  <c r="L56" a="1"/>
  <c r="L56" s="1"/>
  <c r="P56" a="1"/>
  <c r="P56" s="1"/>
  <c r="E56" s="1"/>
  <c r="N56" a="1"/>
  <c r="N56" s="1"/>
  <c r="C56" s="1"/>
  <c r="M56" a="1"/>
  <c r="M56" s="1"/>
  <c r="B56" s="1"/>
  <c r="M58" a="1"/>
  <c r="M58" s="1"/>
  <c r="B58" s="1"/>
  <c r="L58" a="1"/>
  <c r="L58" s="1"/>
  <c r="P58" a="1"/>
  <c r="P58" s="1"/>
  <c r="E58" s="1"/>
  <c r="N58" a="1"/>
  <c r="N58" s="1"/>
  <c r="C58" s="1"/>
  <c r="O58" a="1"/>
  <c r="O58" s="1"/>
  <c r="D58" s="1"/>
  <c r="O98" a="1"/>
  <c r="O98" s="1"/>
  <c r="D98" s="1"/>
  <c r="L98" a="1"/>
  <c r="L98" s="1"/>
  <c r="P98" a="1"/>
  <c r="P98" s="1"/>
  <c r="E98" s="1"/>
  <c r="M98" a="1"/>
  <c r="M98" s="1"/>
  <c r="B98" s="1"/>
  <c r="N98" a="1"/>
  <c r="N98" s="1"/>
  <c r="C98" s="1"/>
  <c r="L131" a="1"/>
  <c r="L131" s="1"/>
  <c r="O131" a="1"/>
  <c r="O131" s="1"/>
  <c r="D131" s="1"/>
  <c r="P131" a="1"/>
  <c r="P131" s="1"/>
  <c r="E131" s="1"/>
  <c r="M131" a="1"/>
  <c r="M131" s="1"/>
  <c r="B131" s="1"/>
  <c r="N131" a="1"/>
  <c r="N131" s="1"/>
  <c r="C131" s="1"/>
  <c r="P97" a="1"/>
  <c r="P97" s="1"/>
  <c r="E97" s="1"/>
  <c r="O97" a="1"/>
  <c r="O97" s="1"/>
  <c r="D97" s="1"/>
  <c r="N97" a="1"/>
  <c r="N97" s="1"/>
  <c r="C97" s="1"/>
  <c r="M97" a="1"/>
  <c r="M97" s="1"/>
  <c r="B97" s="1"/>
  <c r="L97" a="1"/>
  <c r="L97" s="1"/>
  <c r="P81" a="1"/>
  <c r="P81" s="1"/>
  <c r="E81" s="1"/>
  <c r="O81" a="1"/>
  <c r="O81" s="1"/>
  <c r="D81" s="1"/>
  <c r="N81" a="1"/>
  <c r="N81" s="1"/>
  <c r="C81" s="1"/>
  <c r="M81" a="1"/>
  <c r="M81" s="1"/>
  <c r="B81" s="1"/>
  <c r="L81" a="1"/>
  <c r="L81" s="1"/>
  <c r="M139" a="1"/>
  <c r="M139" s="1"/>
  <c r="B139" s="1"/>
  <c r="O139" a="1"/>
  <c r="O139" s="1"/>
  <c r="D139" s="1"/>
  <c r="L139" a="1"/>
  <c r="L139" s="1"/>
  <c r="N139" a="1"/>
  <c r="N139" s="1"/>
  <c r="C139" s="1"/>
  <c r="P139" a="1"/>
  <c r="P139" s="1"/>
  <c r="E139" s="1"/>
  <c r="N160" a="1"/>
  <c r="N160" s="1"/>
  <c r="C160" s="1"/>
  <c r="P160" a="1"/>
  <c r="P160" s="1"/>
  <c r="E160" s="1"/>
  <c r="L160" a="1"/>
  <c r="L160" s="1"/>
  <c r="M160" a="1"/>
  <c r="M160" s="1"/>
  <c r="B160" s="1"/>
  <c r="O160" a="1"/>
  <c r="O160" s="1"/>
  <c r="D160" s="1"/>
  <c r="N109" a="1"/>
  <c r="N109" s="1"/>
  <c r="C109" s="1"/>
  <c r="M109" a="1"/>
  <c r="M109" s="1"/>
  <c r="B109" s="1"/>
  <c r="P109" a="1"/>
  <c r="P109" s="1"/>
  <c r="E109" s="1"/>
  <c r="O109" a="1"/>
  <c r="O109" s="1"/>
  <c r="D109" s="1"/>
  <c r="L109" a="1"/>
  <c r="L109" s="1"/>
  <c r="N159" a="1"/>
  <c r="N159" s="1"/>
  <c r="C159" s="1"/>
  <c r="P159" a="1"/>
  <c r="P159" s="1"/>
  <c r="E159" s="1"/>
  <c r="M159" a="1"/>
  <c r="M159" s="1"/>
  <c r="B159" s="1"/>
  <c r="L159" a="1"/>
  <c r="L159" s="1"/>
  <c r="O159" a="1"/>
  <c r="O159" s="1"/>
  <c r="D159" s="1"/>
  <c r="O152" a="1"/>
  <c r="O152" s="1"/>
  <c r="D152" s="1"/>
  <c r="P152" a="1"/>
  <c r="P152" s="1"/>
  <c r="E152" s="1"/>
  <c r="M152" a="1"/>
  <c r="M152" s="1"/>
  <c r="B152" s="1"/>
  <c r="N152" a="1"/>
  <c r="N152" s="1"/>
  <c r="C152" s="1"/>
  <c r="L152" a="1"/>
  <c r="L152" s="1"/>
  <c r="L57" a="1"/>
  <c r="L57" s="1"/>
  <c r="N57" a="1"/>
  <c r="N57" s="1"/>
  <c r="C57" s="1"/>
  <c r="M57" a="1"/>
  <c r="M57" s="1"/>
  <c r="B57" s="1"/>
  <c r="P57" a="1"/>
  <c r="P57" s="1"/>
  <c r="E57" s="1"/>
  <c r="O57" a="1"/>
  <c r="O57" s="1"/>
  <c r="D57" s="1"/>
  <c r="O143" a="1"/>
  <c r="O143" s="1"/>
  <c r="D143" s="1"/>
  <c r="P143" a="1"/>
  <c r="P143" s="1"/>
  <c r="E143" s="1"/>
  <c r="M143" a="1"/>
  <c r="M143" s="1"/>
  <c r="B143" s="1"/>
  <c r="N143" a="1"/>
  <c r="N143" s="1"/>
  <c r="C143" s="1"/>
  <c r="L143" a="1"/>
  <c r="L143" s="1"/>
  <c r="L105" a="1"/>
  <c r="L105" s="1"/>
  <c r="N105" a="1"/>
  <c r="N105" s="1"/>
  <c r="C105" s="1"/>
  <c r="M105" a="1"/>
  <c r="M105" s="1"/>
  <c r="B105" s="1"/>
  <c r="P105" a="1"/>
  <c r="P105" s="1"/>
  <c r="E105" s="1"/>
  <c r="O105" a="1"/>
  <c r="O105" s="1"/>
  <c r="D105" s="1"/>
  <c r="M107" a="1"/>
  <c r="M107" s="1"/>
  <c r="B107" s="1"/>
  <c r="L107" a="1"/>
  <c r="L107" s="1"/>
  <c r="O107" a="1"/>
  <c r="O107" s="1"/>
  <c r="D107" s="1"/>
  <c r="N107" a="1"/>
  <c r="N107" s="1"/>
  <c r="C107" s="1"/>
  <c r="P107" a="1"/>
  <c r="P107" s="1"/>
  <c r="E107" s="1"/>
  <c r="N102" a="1"/>
  <c r="N102" s="1"/>
  <c r="C102" s="1"/>
  <c r="P102" a="1"/>
  <c r="P102" s="1"/>
  <c r="E102" s="1"/>
  <c r="M102" a="1"/>
  <c r="M102" s="1"/>
  <c r="B102" s="1"/>
  <c r="L102" a="1"/>
  <c r="L102" s="1"/>
  <c r="O102" a="1"/>
  <c r="O102" s="1"/>
  <c r="D102" s="1"/>
  <c r="L154" a="1"/>
  <c r="L154" s="1"/>
  <c r="M154" a="1"/>
  <c r="M154" s="1"/>
  <c r="B154" s="1"/>
  <c r="O154" a="1"/>
  <c r="O154" s="1"/>
  <c r="D154" s="1"/>
  <c r="P154" a="1"/>
  <c r="P154" s="1"/>
  <c r="E154" s="1"/>
  <c r="N154" a="1"/>
  <c r="N154" s="1"/>
  <c r="C154" s="1"/>
  <c r="N96" a="1"/>
  <c r="N96" s="1"/>
  <c r="C96" s="1"/>
  <c r="P96" a="1"/>
  <c r="P96" s="1"/>
  <c r="E96" s="1"/>
  <c r="M96" a="1"/>
  <c r="M96" s="1"/>
  <c r="B96" s="1"/>
  <c r="L96" a="1"/>
  <c r="L96" s="1"/>
  <c r="O96" a="1"/>
  <c r="O96" s="1"/>
  <c r="D96" s="1"/>
  <c r="N80" a="1"/>
  <c r="N80" s="1"/>
  <c r="C80" s="1"/>
  <c r="P80" a="1"/>
  <c r="P80" s="1"/>
  <c r="E80" s="1"/>
  <c r="M80" a="1"/>
  <c r="M80" s="1"/>
  <c r="B80" s="1"/>
  <c r="L80" a="1"/>
  <c r="L80" s="1"/>
  <c r="O80" a="1"/>
  <c r="O80" s="1"/>
  <c r="D80" s="1"/>
  <c r="K14" i="4"/>
  <c r="K15"/>
  <c r="H15"/>
  <c r="D21"/>
  <c r="H21"/>
  <c r="B5"/>
  <c r="G7"/>
  <c r="A8"/>
  <c r="F12"/>
  <c r="F16"/>
  <c r="F22"/>
  <c r="G25"/>
  <c r="I9" i="3"/>
  <c r="Q11" i="4"/>
  <c r="C11" s="1"/>
  <c r="I24" i="3"/>
  <c r="B4" i="4"/>
  <c r="B10"/>
  <c r="G17"/>
  <c r="G23"/>
  <c r="H5"/>
  <c r="L14" i="3"/>
  <c r="I16"/>
  <c r="L20"/>
  <c r="F9" i="4"/>
  <c r="B12"/>
  <c r="B14"/>
  <c r="B16"/>
  <c r="B23"/>
  <c r="B25"/>
  <c r="X4"/>
  <c r="J4" s="1"/>
  <c r="S4"/>
  <c r="I18" i="3"/>
  <c r="L22"/>
  <c r="Q190" i="5"/>
  <c r="F190" s="1"/>
  <c r="Q391"/>
  <c r="F391" s="1"/>
  <c r="Q277"/>
  <c r="F277" s="1"/>
  <c r="Q198"/>
  <c r="F198" s="1"/>
  <c r="Q261"/>
  <c r="F261" s="1"/>
  <c r="Q358"/>
  <c r="F358" s="1"/>
  <c r="Q394"/>
  <c r="F394" s="1"/>
  <c r="Q262"/>
  <c r="F262" s="1"/>
  <c r="Q374"/>
  <c r="F374" s="1"/>
  <c r="Q294"/>
  <c r="F294" s="1"/>
  <c r="Q214"/>
  <c r="F214" s="1"/>
  <c r="Q245"/>
  <c r="F245" s="1"/>
  <c r="A172"/>
  <c r="Q172"/>
  <c r="F172" s="1"/>
  <c r="Q179"/>
  <c r="F179" s="1"/>
  <c r="A179"/>
  <c r="AR16" i="11"/>
  <c r="U16"/>
  <c r="J16"/>
  <c r="AS16"/>
  <c r="V16"/>
  <c r="AL16" s="1"/>
  <c r="G16"/>
  <c r="AU16"/>
  <c r="S16"/>
  <c r="I16"/>
  <c r="H16"/>
  <c r="R16"/>
  <c r="W16" s="1"/>
  <c r="AT16"/>
  <c r="Q192" i="5"/>
  <c r="F192" s="1"/>
  <c r="A192"/>
  <c r="Q180"/>
  <c r="F180" s="1"/>
  <c r="A180"/>
  <c r="A330"/>
  <c r="Q330"/>
  <c r="F330" s="1"/>
  <c r="Q333"/>
  <c r="F333" s="1"/>
  <c r="A333"/>
  <c r="Q401"/>
  <c r="F401" s="1"/>
  <c r="A401"/>
  <c r="A398"/>
  <c r="Q398"/>
  <c r="F398" s="1"/>
  <c r="Q308"/>
  <c r="F308" s="1"/>
  <c r="A308"/>
  <c r="AS10" i="10"/>
  <c r="V10"/>
  <c r="G10"/>
  <c r="AT10"/>
  <c r="R10"/>
  <c r="W10" s="1"/>
  <c r="K10" s="1"/>
  <c r="H10"/>
  <c r="AU10"/>
  <c r="J10"/>
  <c r="S10"/>
  <c r="U10"/>
  <c r="I10"/>
  <c r="AR10"/>
  <c r="AT21" i="7"/>
  <c r="R21"/>
  <c r="W21" s="1"/>
  <c r="K21" s="1"/>
  <c r="H21"/>
  <c r="AR21"/>
  <c r="AS21"/>
  <c r="S21"/>
  <c r="G21"/>
  <c r="V21"/>
  <c r="J21"/>
  <c r="AU21"/>
  <c r="U21"/>
  <c r="I21"/>
  <c r="A181" i="5"/>
  <c r="Q181"/>
  <c r="F181" s="1"/>
  <c r="A253"/>
  <c r="Q253"/>
  <c r="F253" s="1"/>
  <c r="Q288"/>
  <c r="F288" s="1"/>
  <c r="A288"/>
  <c r="Q207"/>
  <c r="F207" s="1"/>
  <c r="A207"/>
  <c r="A206"/>
  <c r="Q206"/>
  <c r="F206" s="1"/>
  <c r="A205"/>
  <c r="Q205"/>
  <c r="F205" s="1"/>
  <c r="Q336"/>
  <c r="F336" s="1"/>
  <c r="A336"/>
  <c r="A338"/>
  <c r="Q338"/>
  <c r="F338" s="1"/>
  <c r="A269"/>
  <c r="Q269"/>
  <c r="F269" s="1"/>
  <c r="Q307"/>
  <c r="F307" s="1"/>
  <c r="A307"/>
  <c r="Q174"/>
  <c r="F174" s="1"/>
  <c r="A174"/>
  <c r="Q239"/>
  <c r="F239" s="1"/>
  <c r="A239"/>
  <c r="A238"/>
  <c r="Q238"/>
  <c r="F238" s="1"/>
  <c r="A237"/>
  <c r="Q237"/>
  <c r="F237" s="1"/>
  <c r="AT11" i="7"/>
  <c r="R11"/>
  <c r="W11" s="1"/>
  <c r="K11" s="1"/>
  <c r="H11"/>
  <c r="AU11"/>
  <c r="U11"/>
  <c r="I11"/>
  <c r="V11"/>
  <c r="J11"/>
  <c r="AS11"/>
  <c r="S11"/>
  <c r="G11"/>
  <c r="AR11"/>
  <c r="AT12"/>
  <c r="R12"/>
  <c r="W12" s="1"/>
  <c r="K12" s="1"/>
  <c r="H12"/>
  <c r="V12"/>
  <c r="J12"/>
  <c r="AR12"/>
  <c r="AU12"/>
  <c r="U12"/>
  <c r="I12"/>
  <c r="G12"/>
  <c r="AS12"/>
  <c r="S12"/>
  <c r="AS17" i="8"/>
  <c r="V17"/>
  <c r="AK17" s="1"/>
  <c r="S17" s="1"/>
  <c r="G17"/>
  <c r="R17"/>
  <c r="W17" s="1"/>
  <c r="K17" s="1"/>
  <c r="AR17"/>
  <c r="H17"/>
  <c r="AU17"/>
  <c r="J17"/>
  <c r="I17"/>
  <c r="U17"/>
  <c r="AT17"/>
  <c r="AU17" i="6"/>
  <c r="S17"/>
  <c r="I17"/>
  <c r="AR17"/>
  <c r="AT17"/>
  <c r="U17"/>
  <c r="H17"/>
  <c r="J17"/>
  <c r="R17"/>
  <c r="W17" s="1"/>
  <c r="K17" s="1"/>
  <c r="AS17"/>
  <c r="V17"/>
  <c r="G17"/>
  <c r="AU9"/>
  <c r="S9"/>
  <c r="I9"/>
  <c r="AR9"/>
  <c r="AS9"/>
  <c r="V9"/>
  <c r="H9"/>
  <c r="AT9"/>
  <c r="J9"/>
  <c r="R9"/>
  <c r="W9" s="1"/>
  <c r="K9" s="1"/>
  <c r="G9"/>
  <c r="U9"/>
  <c r="AT16" i="9"/>
  <c r="R16"/>
  <c r="W16" s="1"/>
  <c r="K16" s="1"/>
  <c r="H16"/>
  <c r="AU16"/>
  <c r="S16"/>
  <c r="I16"/>
  <c r="AS16"/>
  <c r="V16"/>
  <c r="G16"/>
  <c r="AR16"/>
  <c r="U16"/>
  <c r="J16"/>
  <c r="AU14" i="13"/>
  <c r="S14"/>
  <c r="I14"/>
  <c r="V14"/>
  <c r="J14"/>
  <c r="AR14"/>
  <c r="AT14"/>
  <c r="U14"/>
  <c r="H14"/>
  <c r="AS14"/>
  <c r="G14"/>
  <c r="R14"/>
  <c r="W14" s="1"/>
  <c r="K14" s="1"/>
  <c r="AU21" i="12"/>
  <c r="I21"/>
  <c r="AR21"/>
  <c r="U21"/>
  <c r="J21"/>
  <c r="AT21"/>
  <c r="R21"/>
  <c r="W21" s="1"/>
  <c r="H21"/>
  <c r="AS21"/>
  <c r="G21"/>
  <c r="K21"/>
  <c r="V21"/>
  <c r="AK21" s="1"/>
  <c r="S21" s="1"/>
  <c r="AS7" i="10"/>
  <c r="V7"/>
  <c r="G7"/>
  <c r="AT7"/>
  <c r="R7"/>
  <c r="W7" s="1"/>
  <c r="K7" s="1"/>
  <c r="H7"/>
  <c r="AU7"/>
  <c r="I7"/>
  <c r="AR7"/>
  <c r="U7"/>
  <c r="J7"/>
  <c r="L37" i="5" a="1"/>
  <c r="L37" s="1"/>
  <c r="P37" a="1"/>
  <c r="P37" s="1"/>
  <c r="E37" s="1"/>
  <c r="O37" a="1"/>
  <c r="O37" s="1"/>
  <c r="D37" s="1"/>
  <c r="N37" a="1"/>
  <c r="N37" s="1"/>
  <c r="C37" s="1"/>
  <c r="M37" a="1"/>
  <c r="M37" s="1"/>
  <c r="B37" s="1"/>
  <c r="M39" a="1"/>
  <c r="M39" s="1"/>
  <c r="B39" s="1"/>
  <c r="L39" a="1"/>
  <c r="L39" s="1"/>
  <c r="P39" a="1"/>
  <c r="P39" s="1"/>
  <c r="E39" s="1"/>
  <c r="O39" a="1"/>
  <c r="O39" s="1"/>
  <c r="D39" s="1"/>
  <c r="N39" a="1"/>
  <c r="N39" s="1"/>
  <c r="C39" s="1"/>
  <c r="M133" a="1"/>
  <c r="M133" s="1"/>
  <c r="B133" s="1"/>
  <c r="L133" a="1"/>
  <c r="L133" s="1"/>
  <c r="O133" a="1"/>
  <c r="O133" s="1"/>
  <c r="D133" s="1"/>
  <c r="P133" a="1"/>
  <c r="P133" s="1"/>
  <c r="E133" s="1"/>
  <c r="N133" a="1"/>
  <c r="N133" s="1"/>
  <c r="C133" s="1"/>
  <c r="L142" a="1"/>
  <c r="L142" s="1"/>
  <c r="O142" a="1"/>
  <c r="O142" s="1"/>
  <c r="D142" s="1"/>
  <c r="M142" a="1"/>
  <c r="M142" s="1"/>
  <c r="B142" s="1"/>
  <c r="N142" a="1"/>
  <c r="N142" s="1"/>
  <c r="C142" s="1"/>
  <c r="P142" a="1"/>
  <c r="P142" s="1"/>
  <c r="E142" s="1"/>
  <c r="M148" a="1"/>
  <c r="M148" s="1"/>
  <c r="B148" s="1"/>
  <c r="O148" a="1"/>
  <c r="O148" s="1"/>
  <c r="D148" s="1"/>
  <c r="P148" a="1"/>
  <c r="P148" s="1"/>
  <c r="E148" s="1"/>
  <c r="N148" a="1"/>
  <c r="N148" s="1"/>
  <c r="C148" s="1"/>
  <c r="L148" a="1"/>
  <c r="L148" s="1"/>
  <c r="P7" a="1"/>
  <c r="P7" s="1"/>
  <c r="E7" s="1"/>
  <c r="O7" a="1"/>
  <c r="O7" s="1"/>
  <c r="D7" s="1"/>
  <c r="N7" a="1"/>
  <c r="N7" s="1"/>
  <c r="C7" s="1"/>
  <c r="L7" a="1"/>
  <c r="L7" s="1"/>
  <c r="M7" a="1"/>
  <c r="M7" s="1"/>
  <c r="B7" s="1"/>
  <c r="P145" a="1"/>
  <c r="P145" s="1"/>
  <c r="E145" s="1"/>
  <c r="M145" a="1"/>
  <c r="M145" s="1"/>
  <c r="B145" s="1"/>
  <c r="O145" a="1"/>
  <c r="O145" s="1"/>
  <c r="D145" s="1"/>
  <c r="N145" a="1"/>
  <c r="N145" s="1"/>
  <c r="C145" s="1"/>
  <c r="L145" a="1"/>
  <c r="L145" s="1"/>
  <c r="P140" a="1"/>
  <c r="P140" s="1"/>
  <c r="E140" s="1"/>
  <c r="M140" a="1"/>
  <c r="M140" s="1"/>
  <c r="B140" s="1"/>
  <c r="L140" a="1"/>
  <c r="L140" s="1"/>
  <c r="O140" a="1"/>
  <c r="O140" s="1"/>
  <c r="D140" s="1"/>
  <c r="N140" a="1"/>
  <c r="N140" s="1"/>
  <c r="C140" s="1"/>
  <c r="P161" a="1"/>
  <c r="P161" s="1"/>
  <c r="E161" s="1"/>
  <c r="M161" a="1"/>
  <c r="M161" s="1"/>
  <c r="B161" s="1"/>
  <c r="O161" a="1"/>
  <c r="O161" s="1"/>
  <c r="D161" s="1"/>
  <c r="N161" a="1"/>
  <c r="N161" s="1"/>
  <c r="C161" s="1"/>
  <c r="L161" a="1"/>
  <c r="L161" s="1"/>
  <c r="P22" a="1"/>
  <c r="P22" s="1"/>
  <c r="E22" s="1"/>
  <c r="M22" a="1"/>
  <c r="M22" s="1"/>
  <c r="B22" s="1"/>
  <c r="O22" a="1"/>
  <c r="O22" s="1"/>
  <c r="D22" s="1"/>
  <c r="N22" a="1"/>
  <c r="N22" s="1"/>
  <c r="C22" s="1"/>
  <c r="L22" a="1"/>
  <c r="L22" s="1"/>
  <c r="N156" a="1"/>
  <c r="N156" s="1"/>
  <c r="C156" s="1"/>
  <c r="P156" a="1"/>
  <c r="P156" s="1"/>
  <c r="E156" s="1"/>
  <c r="L156" a="1"/>
  <c r="L156" s="1"/>
  <c r="M156" a="1"/>
  <c r="M156" s="1"/>
  <c r="B156" s="1"/>
  <c r="O156" a="1"/>
  <c r="O156" s="1"/>
  <c r="D156" s="1"/>
  <c r="L137" a="1"/>
  <c r="L137" s="1"/>
  <c r="N137" a="1"/>
  <c r="N137" s="1"/>
  <c r="C137" s="1"/>
  <c r="O137" a="1"/>
  <c r="O137" s="1"/>
  <c r="D137" s="1"/>
  <c r="M137" a="1"/>
  <c r="M137" s="1"/>
  <c r="B137" s="1"/>
  <c r="P137" a="1"/>
  <c r="P137" s="1"/>
  <c r="E137" s="1"/>
  <c r="O127" a="1"/>
  <c r="O127" s="1"/>
  <c r="D127" s="1"/>
  <c r="P127" a="1"/>
  <c r="P127" s="1"/>
  <c r="E127" s="1"/>
  <c r="N127" a="1"/>
  <c r="N127" s="1"/>
  <c r="C127" s="1"/>
  <c r="M127" a="1"/>
  <c r="M127" s="1"/>
  <c r="B127" s="1"/>
  <c r="L127" a="1"/>
  <c r="L127" s="1"/>
  <c r="N106" a="1"/>
  <c r="N106" s="1"/>
  <c r="C106" s="1"/>
  <c r="M106" a="1"/>
  <c r="M106" s="1"/>
  <c r="B106" s="1"/>
  <c r="O106" a="1"/>
  <c r="O106" s="1"/>
  <c r="D106" s="1"/>
  <c r="L106" a="1"/>
  <c r="L106" s="1"/>
  <c r="P106" a="1"/>
  <c r="P106" s="1"/>
  <c r="E106" s="1"/>
  <c r="M150" a="1"/>
  <c r="M150" s="1"/>
  <c r="B150" s="1"/>
  <c r="N150" a="1"/>
  <c r="N150" s="1"/>
  <c r="C150" s="1"/>
  <c r="P150" a="1"/>
  <c r="P150" s="1"/>
  <c r="E150" s="1"/>
  <c r="L150" a="1"/>
  <c r="L150" s="1"/>
  <c r="O150" a="1"/>
  <c r="O150" s="1"/>
  <c r="D150" s="1"/>
  <c r="C40" i="18"/>
  <c r="N117" i="5" a="1"/>
  <c r="N117" s="1"/>
  <c r="C117" s="1"/>
  <c r="P117" a="1"/>
  <c r="P117" s="1"/>
  <c r="E117" s="1"/>
  <c r="M117" a="1"/>
  <c r="M117" s="1"/>
  <c r="B117" s="1"/>
  <c r="L117" a="1"/>
  <c r="L117" s="1"/>
  <c r="O117" a="1"/>
  <c r="O117" s="1"/>
  <c r="D117" s="1"/>
  <c r="A3" i="4"/>
  <c r="AE6" s="1"/>
  <c r="A12"/>
  <c r="A15"/>
  <c r="A18"/>
  <c r="B22"/>
  <c r="A26"/>
  <c r="K23"/>
  <c r="H23"/>
  <c r="A10"/>
  <c r="A14"/>
  <c r="B18"/>
  <c r="A24"/>
  <c r="H3"/>
  <c r="D15"/>
  <c r="K16"/>
  <c r="H16"/>
  <c r="K17"/>
  <c r="L17" i="3"/>
  <c r="J19" i="4"/>
  <c r="D23"/>
  <c r="K24"/>
  <c r="H24"/>
  <c r="K25"/>
  <c r="L25" i="3"/>
  <c r="D26" i="4"/>
  <c r="C27"/>
  <c r="Q282" i="5"/>
  <c r="F282" s="1"/>
  <c r="Q346"/>
  <c r="F346" s="1"/>
  <c r="Q201"/>
  <c r="F201" s="1"/>
  <c r="Q378"/>
  <c r="F378" s="1"/>
  <c r="Q297"/>
  <c r="F297" s="1"/>
  <c r="Q363"/>
  <c r="F363" s="1"/>
  <c r="G5" i="4"/>
  <c r="F6"/>
  <c r="B8"/>
  <c r="G10"/>
  <c r="A21"/>
  <c r="F26"/>
  <c r="F23"/>
  <c r="L3" i="3"/>
  <c r="L4"/>
  <c r="L10"/>
  <c r="S11" i="4"/>
  <c r="L15" i="3"/>
  <c r="D18" i="4"/>
  <c r="L19" i="3"/>
  <c r="D22" i="4"/>
  <c r="L23" i="3"/>
  <c r="I27"/>
  <c r="L24"/>
  <c r="A9" i="4"/>
  <c r="G16"/>
  <c r="G19"/>
  <c r="G27"/>
  <c r="H6"/>
  <c r="L7" i="3"/>
  <c r="C9" i="4"/>
  <c r="B3"/>
  <c r="F7"/>
  <c r="F11"/>
  <c r="G18"/>
  <c r="B20"/>
  <c r="K4"/>
  <c r="H4"/>
  <c r="D10"/>
  <c r="Q341" i="5"/>
  <c r="F341" s="1"/>
  <c r="Q357"/>
  <c r="F357" s="1"/>
  <c r="Q252"/>
  <c r="F252" s="1"/>
  <c r="Q204"/>
  <c r="F204" s="1"/>
  <c r="Q268"/>
  <c r="F268" s="1"/>
  <c r="Q300"/>
  <c r="F300" s="1"/>
  <c r="G14" i="4"/>
  <c r="Q183" i="5"/>
  <c r="F183" s="1"/>
  <c r="Q276"/>
  <c r="F276" s="1"/>
  <c r="Q199"/>
  <c r="F199" s="1"/>
  <c r="Q361"/>
  <c r="F361" s="1"/>
  <c r="Q212"/>
  <c r="F212" s="1"/>
  <c r="Q328"/>
  <c r="F328" s="1"/>
  <c r="Q263"/>
  <c r="F263" s="1"/>
  <c r="Q376"/>
  <c r="F376" s="1"/>
  <c r="Q295"/>
  <c r="F295" s="1"/>
  <c r="Q215"/>
  <c r="F215" s="1"/>
  <c r="AS14" i="10"/>
  <c r="V14"/>
  <c r="G14"/>
  <c r="AT14"/>
  <c r="R14"/>
  <c r="W14" s="1"/>
  <c r="K14" s="1"/>
  <c r="H14"/>
  <c r="AU14"/>
  <c r="J14"/>
  <c r="U14"/>
  <c r="AR14"/>
  <c r="S14"/>
  <c r="I14"/>
  <c r="AS14" i="8"/>
  <c r="V14"/>
  <c r="AK14" s="1"/>
  <c r="S14" s="1"/>
  <c r="G14"/>
  <c r="R14"/>
  <c r="W14" s="1"/>
  <c r="K14" s="1"/>
  <c r="AR14"/>
  <c r="H14"/>
  <c r="AU14"/>
  <c r="J14"/>
  <c r="AT14"/>
  <c r="I14"/>
  <c r="U14"/>
  <c r="AU14" i="6"/>
  <c r="S14"/>
  <c r="I14"/>
  <c r="AS14"/>
  <c r="R14"/>
  <c r="W14" s="1"/>
  <c r="G14"/>
  <c r="V14"/>
  <c r="J14"/>
  <c r="AR14"/>
  <c r="U14"/>
  <c r="AT14"/>
  <c r="H14"/>
  <c r="K14"/>
  <c r="AT17" i="9"/>
  <c r="R17"/>
  <c r="W17" s="1"/>
  <c r="K17" s="1"/>
  <c r="H17"/>
  <c r="AU17"/>
  <c r="S17"/>
  <c r="I17"/>
  <c r="AR17"/>
  <c r="U17"/>
  <c r="AS17"/>
  <c r="V17"/>
  <c r="J17"/>
  <c r="G17"/>
  <c r="AU19" i="13"/>
  <c r="S19"/>
  <c r="I19"/>
  <c r="AR19"/>
  <c r="AS19"/>
  <c r="R19"/>
  <c r="W19" s="1"/>
  <c r="K19" s="1"/>
  <c r="G19"/>
  <c r="V19"/>
  <c r="J19"/>
  <c r="AT19"/>
  <c r="H19"/>
  <c r="U19"/>
  <c r="AU11"/>
  <c r="S11"/>
  <c r="I11"/>
  <c r="AR11"/>
  <c r="AS11"/>
  <c r="R11"/>
  <c r="W11" s="1"/>
  <c r="K11" s="1"/>
  <c r="G11"/>
  <c r="V11"/>
  <c r="J11"/>
  <c r="U11"/>
  <c r="AT11"/>
  <c r="H11"/>
  <c r="AU18" i="12"/>
  <c r="I18"/>
  <c r="AR18"/>
  <c r="U18"/>
  <c r="J18"/>
  <c r="AT18"/>
  <c r="R18"/>
  <c r="W18" s="1"/>
  <c r="K18" s="1"/>
  <c r="H18"/>
  <c r="AS18"/>
  <c r="G18"/>
  <c r="V18"/>
  <c r="AK18" s="1"/>
  <c r="S18" s="1"/>
  <c r="AU20" i="6"/>
  <c r="S20"/>
  <c r="I20"/>
  <c r="V20"/>
  <c r="J20"/>
  <c r="AS20"/>
  <c r="R20"/>
  <c r="W20" s="1"/>
  <c r="G20"/>
  <c r="AT20"/>
  <c r="H20"/>
  <c r="K20"/>
  <c r="AR20"/>
  <c r="U20"/>
  <c r="AT15" i="9"/>
  <c r="R15"/>
  <c r="W15" s="1"/>
  <c r="K15" s="1"/>
  <c r="H15"/>
  <c r="AU15"/>
  <c r="S15"/>
  <c r="I15"/>
  <c r="AR15"/>
  <c r="U15"/>
  <c r="AS15"/>
  <c r="V15"/>
  <c r="J15"/>
  <c r="G15"/>
  <c r="AU13" i="13"/>
  <c r="I13"/>
  <c r="AT13"/>
  <c r="U13"/>
  <c r="H13"/>
  <c r="V13"/>
  <c r="AK13" s="1"/>
  <c r="S13" s="1"/>
  <c r="J13"/>
  <c r="AS13"/>
  <c r="R13"/>
  <c r="W13" s="1"/>
  <c r="K13" s="1"/>
  <c r="G13"/>
  <c r="AR13"/>
  <c r="AU8" i="12"/>
  <c r="I8"/>
  <c r="AR8"/>
  <c r="U8"/>
  <c r="J8"/>
  <c r="AT8"/>
  <c r="R8"/>
  <c r="W8" s="1"/>
  <c r="H8"/>
  <c r="AS8"/>
  <c r="G8"/>
  <c r="V8"/>
  <c r="AK8" s="1"/>
  <c r="S8" s="1"/>
  <c r="Q388" i="5"/>
  <c r="F388" s="1"/>
  <c r="A388"/>
  <c r="Q321"/>
  <c r="F321" s="1"/>
  <c r="A321"/>
  <c r="Q163"/>
  <c r="F163" s="1"/>
  <c r="A163"/>
  <c r="AR15" i="11"/>
  <c r="U15"/>
  <c r="J15"/>
  <c r="AS15"/>
  <c r="V15"/>
  <c r="G15"/>
  <c r="AU15"/>
  <c r="S15"/>
  <c r="I15"/>
  <c r="H15"/>
  <c r="R15"/>
  <c r="W15" s="1"/>
  <c r="AT15"/>
  <c r="AS19" i="8"/>
  <c r="V19"/>
  <c r="G19"/>
  <c r="R19"/>
  <c r="W19" s="1"/>
  <c r="K19" s="1"/>
  <c r="AR19"/>
  <c r="S19"/>
  <c r="H19"/>
  <c r="AU19"/>
  <c r="J19"/>
  <c r="AT19"/>
  <c r="I19"/>
  <c r="U19"/>
  <c r="AU19" i="6"/>
  <c r="S19"/>
  <c r="I19"/>
  <c r="AT19"/>
  <c r="U19"/>
  <c r="H19"/>
  <c r="AR19"/>
  <c r="G19"/>
  <c r="J19"/>
  <c r="R19"/>
  <c r="W19" s="1"/>
  <c r="K19" s="1"/>
  <c r="AS19"/>
  <c r="V19"/>
  <c r="AU7"/>
  <c r="I7"/>
  <c r="AT7"/>
  <c r="U7"/>
  <c r="H7"/>
  <c r="R7"/>
  <c r="W7" s="1"/>
  <c r="K7" s="1"/>
  <c r="AR7"/>
  <c r="V7"/>
  <c r="G7"/>
  <c r="AS7"/>
  <c r="J7"/>
  <c r="AT14" i="9"/>
  <c r="R14"/>
  <c r="W14" s="1"/>
  <c r="K14" s="1"/>
  <c r="H14"/>
  <c r="AU14"/>
  <c r="S14"/>
  <c r="I14"/>
  <c r="AS14"/>
  <c r="V14"/>
  <c r="G14"/>
  <c r="AR14"/>
  <c r="U14"/>
  <c r="J14"/>
  <c r="AU20" i="13"/>
  <c r="S20"/>
  <c r="I20"/>
  <c r="AS20"/>
  <c r="R20"/>
  <c r="W20" s="1"/>
  <c r="K20" s="1"/>
  <c r="G20"/>
  <c r="AT20"/>
  <c r="U20"/>
  <c r="H20"/>
  <c r="AR20"/>
  <c r="J20"/>
  <c r="V20"/>
  <c r="AU12"/>
  <c r="I12"/>
  <c r="AS12"/>
  <c r="R12"/>
  <c r="W12" s="1"/>
  <c r="K12" s="1"/>
  <c r="G12"/>
  <c r="AT12"/>
  <c r="U12"/>
  <c r="H12"/>
  <c r="AR12"/>
  <c r="J12"/>
  <c r="V12"/>
  <c r="AK12" s="1"/>
  <c r="S12" s="1"/>
  <c r="AU11" i="12"/>
  <c r="I11"/>
  <c r="AR11"/>
  <c r="U11"/>
  <c r="J11"/>
  <c r="AT11"/>
  <c r="R11"/>
  <c r="W11" s="1"/>
  <c r="H11"/>
  <c r="AS11"/>
  <c r="G11"/>
  <c r="V11"/>
  <c r="AK11" s="1"/>
  <c r="S11" s="1"/>
  <c r="AS21" i="10"/>
  <c r="V21"/>
  <c r="G21"/>
  <c r="AT21"/>
  <c r="R21"/>
  <c r="W21" s="1"/>
  <c r="K21" s="1"/>
  <c r="H21"/>
  <c r="AR21"/>
  <c r="I21"/>
  <c r="J21"/>
  <c r="AU21"/>
  <c r="U21"/>
  <c r="S21"/>
  <c r="AT19" i="9"/>
  <c r="R19"/>
  <c r="W19" s="1"/>
  <c r="K19" s="1"/>
  <c r="H19"/>
  <c r="AU19"/>
  <c r="S19"/>
  <c r="I19"/>
  <c r="AR19"/>
  <c r="U19"/>
  <c r="AS19"/>
  <c r="V19"/>
  <c r="J19"/>
  <c r="G19"/>
  <c r="W6" i="11"/>
  <c r="Q191" i="5"/>
  <c r="F191" s="1"/>
  <c r="A191"/>
  <c r="Q224"/>
  <c r="F224" s="1"/>
  <c r="A224"/>
  <c r="A335"/>
  <c r="Q335"/>
  <c r="F335" s="1"/>
  <c r="Q320"/>
  <c r="F320" s="1"/>
  <c r="A320"/>
  <c r="Q384"/>
  <c r="F384" s="1"/>
  <c r="A384"/>
  <c r="Q165"/>
  <c r="F165" s="1"/>
  <c r="A165"/>
  <c r="Q303"/>
  <c r="F303" s="1"/>
  <c r="A303"/>
  <c r="A302"/>
  <c r="Q302"/>
  <c r="F302" s="1"/>
  <c r="A301"/>
  <c r="Q301"/>
  <c r="F301" s="1"/>
  <c r="AT19" i="7"/>
  <c r="R19"/>
  <c r="W19" s="1"/>
  <c r="K19" s="1"/>
  <c r="H19"/>
  <c r="AU19"/>
  <c r="U19"/>
  <c r="I19"/>
  <c r="V19"/>
  <c r="J19"/>
  <c r="AS19"/>
  <c r="S19"/>
  <c r="G19"/>
  <c r="AR19"/>
  <c r="AR13" i="11"/>
  <c r="U13"/>
  <c r="J13"/>
  <c r="AS13"/>
  <c r="V13"/>
  <c r="G13"/>
  <c r="AU13"/>
  <c r="S13"/>
  <c r="I13"/>
  <c r="H13"/>
  <c r="R13"/>
  <c r="W13" s="1"/>
  <c r="AT13"/>
  <c r="A327" i="5"/>
  <c r="Q327"/>
  <c r="F327" s="1"/>
  <c r="AT18" i="7"/>
  <c r="R18"/>
  <c r="W18" s="1"/>
  <c r="K18" s="1"/>
  <c r="H18"/>
  <c r="AS18"/>
  <c r="G18"/>
  <c r="AU18"/>
  <c r="U18"/>
  <c r="I18"/>
  <c r="AR18"/>
  <c r="V18"/>
  <c r="AK18" s="1"/>
  <c r="S18" s="1"/>
  <c r="J18"/>
  <c r="AU6" i="12"/>
  <c r="S6"/>
  <c r="I6"/>
  <c r="AR6"/>
  <c r="U6"/>
  <c r="J6"/>
  <c r="AT6"/>
  <c r="R6"/>
  <c r="H6"/>
  <c r="G6"/>
  <c r="V6"/>
  <c r="AS6"/>
  <c r="AS12" i="10"/>
  <c r="V12"/>
  <c r="AK12" s="1"/>
  <c r="S12" s="1"/>
  <c r="G12"/>
  <c r="AT12"/>
  <c r="R12"/>
  <c r="W12" s="1"/>
  <c r="K12" s="1"/>
  <c r="H12"/>
  <c r="U12"/>
  <c r="AU12"/>
  <c r="I12"/>
  <c r="AR12"/>
  <c r="J12"/>
  <c r="AS16" i="8"/>
  <c r="V16"/>
  <c r="G16"/>
  <c r="R16"/>
  <c r="W16" s="1"/>
  <c r="K16" s="1"/>
  <c r="AR16"/>
  <c r="S16"/>
  <c r="H16"/>
  <c r="AU16"/>
  <c r="J16"/>
  <c r="U16"/>
  <c r="AT16"/>
  <c r="I16"/>
  <c r="M55" i="5" a="1"/>
  <c r="M55" s="1"/>
  <c r="B55" s="1"/>
  <c r="L55" a="1"/>
  <c r="L55" s="1"/>
  <c r="P55" a="1"/>
  <c r="P55" s="1"/>
  <c r="E55" s="1"/>
  <c r="O55" a="1"/>
  <c r="O55" s="1"/>
  <c r="D55" s="1"/>
  <c r="N55" a="1"/>
  <c r="N55" s="1"/>
  <c r="C55" s="1"/>
  <c r="P132" a="1"/>
  <c r="P132" s="1"/>
  <c r="E132" s="1"/>
  <c r="O132" a="1"/>
  <c r="O132" s="1"/>
  <c r="D132" s="1"/>
  <c r="M132" a="1"/>
  <c r="M132" s="1"/>
  <c r="B132" s="1"/>
  <c r="N132" a="1"/>
  <c r="N132" s="1"/>
  <c r="C132" s="1"/>
  <c r="L132" a="1"/>
  <c r="L132" s="1"/>
  <c r="L21" a="1"/>
  <c r="L21" s="1"/>
  <c r="M21" a="1"/>
  <c r="M21" s="1"/>
  <c r="B21" s="1"/>
  <c r="P21" a="1"/>
  <c r="P21" s="1"/>
  <c r="E21" s="1"/>
  <c r="O21" a="1"/>
  <c r="O21" s="1"/>
  <c r="D21" s="1"/>
  <c r="N21" a="1"/>
  <c r="N21" s="1"/>
  <c r="C21" s="1"/>
  <c r="M151" a="1"/>
  <c r="M151" s="1"/>
  <c r="B151" s="1"/>
  <c r="O151" a="1"/>
  <c r="O151" s="1"/>
  <c r="D151" s="1"/>
  <c r="L151" a="1"/>
  <c r="L151" s="1"/>
  <c r="P151" a="1"/>
  <c r="P151" s="1"/>
  <c r="E151" s="1"/>
  <c r="N151" a="1"/>
  <c r="N151" s="1"/>
  <c r="C151" s="1"/>
  <c r="P146" a="1"/>
  <c r="P146" s="1"/>
  <c r="E146" s="1"/>
  <c r="M146" a="1"/>
  <c r="M146" s="1"/>
  <c r="B146" s="1"/>
  <c r="L146" a="1"/>
  <c r="L146" s="1"/>
  <c r="N146" a="1"/>
  <c r="N146" s="1"/>
  <c r="C146" s="1"/>
  <c r="O146" a="1"/>
  <c r="O146" s="1"/>
  <c r="D146" s="1"/>
  <c r="M157" a="1"/>
  <c r="M157" s="1"/>
  <c r="B157" s="1"/>
  <c r="P157" a="1"/>
  <c r="P157" s="1"/>
  <c r="E157" s="1"/>
  <c r="O157" a="1"/>
  <c r="O157" s="1"/>
  <c r="D157" s="1"/>
  <c r="N157" a="1"/>
  <c r="N157" s="1"/>
  <c r="C157" s="1"/>
  <c r="L157" a="1"/>
  <c r="L157" s="1"/>
  <c r="L155" a="1"/>
  <c r="L155" s="1"/>
  <c r="O155" a="1"/>
  <c r="O155" s="1"/>
  <c r="D155" s="1"/>
  <c r="N155" a="1"/>
  <c r="N155" s="1"/>
  <c r="C155" s="1"/>
  <c r="M155" a="1"/>
  <c r="M155" s="1"/>
  <c r="B155" s="1"/>
  <c r="P155" a="1"/>
  <c r="P155" s="1"/>
  <c r="E155" s="1"/>
  <c r="O158" a="1"/>
  <c r="O158" s="1"/>
  <c r="D158" s="1"/>
  <c r="P158" a="1"/>
  <c r="P158" s="1"/>
  <c r="E158" s="1"/>
  <c r="L158" a="1"/>
  <c r="L158" s="1"/>
  <c r="M158" a="1"/>
  <c r="M158" s="1"/>
  <c r="B158" s="1"/>
  <c r="N158" a="1"/>
  <c r="N158" s="1"/>
  <c r="C158" s="1"/>
  <c r="L138" a="1"/>
  <c r="L138" s="1"/>
  <c r="M138" a="1"/>
  <c r="M138" s="1"/>
  <c r="B138" s="1"/>
  <c r="P138" a="1"/>
  <c r="P138" s="1"/>
  <c r="E138" s="1"/>
  <c r="N138" a="1"/>
  <c r="N138" s="1"/>
  <c r="C138" s="1"/>
  <c r="O138" a="1"/>
  <c r="O138" s="1"/>
  <c r="D138" s="1"/>
  <c r="L108" a="1"/>
  <c r="L108" s="1"/>
  <c r="N108" a="1"/>
  <c r="N108" s="1"/>
  <c r="C108" s="1"/>
  <c r="O108" a="1"/>
  <c r="O108" s="1"/>
  <c r="D108" s="1"/>
  <c r="M108" a="1"/>
  <c r="M108" s="1"/>
  <c r="B108" s="1"/>
  <c r="P108" a="1"/>
  <c r="P108" s="1"/>
  <c r="E108" s="1"/>
  <c r="O95" a="1"/>
  <c r="O95" s="1"/>
  <c r="D95" s="1"/>
  <c r="N95" a="1"/>
  <c r="N95" s="1"/>
  <c r="C95" s="1"/>
  <c r="P95" a="1"/>
  <c r="P95" s="1"/>
  <c r="E95" s="1"/>
  <c r="M95" a="1"/>
  <c r="M95" s="1"/>
  <c r="B95" s="1"/>
  <c r="L95" a="1"/>
  <c r="L95" s="1"/>
  <c r="O79" a="1"/>
  <c r="O79" s="1"/>
  <c r="D79" s="1"/>
  <c r="N79" a="1"/>
  <c r="N79" s="1"/>
  <c r="C79" s="1"/>
  <c r="P79" a="1"/>
  <c r="P79" s="1"/>
  <c r="E79" s="1"/>
  <c r="M79" a="1"/>
  <c r="M79" s="1"/>
  <c r="B79" s="1"/>
  <c r="L79" a="1"/>
  <c r="L79" s="1"/>
  <c r="N141" a="1"/>
  <c r="N141" s="1"/>
  <c r="C141" s="1"/>
  <c r="P141" a="1"/>
  <c r="P141" s="1"/>
  <c r="E141" s="1"/>
  <c r="O141" a="1"/>
  <c r="O141" s="1"/>
  <c r="D141" s="1"/>
  <c r="L141" a="1"/>
  <c r="L141" s="1"/>
  <c r="M141" a="1"/>
  <c r="M141" s="1"/>
  <c r="B141" s="1"/>
  <c r="C23" i="4"/>
  <c r="D24"/>
  <c r="D25"/>
  <c r="H25"/>
  <c r="J26"/>
  <c r="H26"/>
  <c r="J27"/>
  <c r="A4"/>
  <c r="B6"/>
  <c r="G8"/>
  <c r="B9"/>
  <c r="A25"/>
  <c r="F21"/>
  <c r="K11"/>
  <c r="H11"/>
  <c r="K13"/>
  <c r="J18"/>
  <c r="H18"/>
  <c r="J22"/>
  <c r="H22"/>
  <c r="G6"/>
  <c r="F15"/>
  <c r="F18"/>
  <c r="G21"/>
  <c r="F25"/>
  <c r="C5"/>
  <c r="K6"/>
  <c r="W6"/>
  <c r="K7"/>
  <c r="H7"/>
  <c r="K8"/>
  <c r="H8"/>
  <c r="K9"/>
  <c r="G11"/>
  <c r="F13"/>
  <c r="B15"/>
  <c r="B17"/>
  <c r="G22"/>
  <c r="B24"/>
  <c r="B26"/>
  <c r="D4"/>
  <c r="W4"/>
  <c r="J10"/>
  <c r="H10"/>
  <c r="Q342" i="5"/>
  <c r="F342" s="1"/>
  <c r="Q375"/>
  <c r="F375" s="1"/>
  <c r="Q229"/>
  <c r="F229" s="1"/>
  <c r="Q278"/>
  <c r="F278" s="1"/>
  <c r="Q197"/>
  <c r="F197" s="1"/>
  <c r="Q173"/>
  <c r="F173" s="1"/>
  <c r="Q293"/>
  <c r="F293" s="1"/>
  <c r="Q246"/>
  <c r="F246" s="1"/>
  <c r="Q359"/>
  <c r="F359" s="1"/>
  <c r="Q213"/>
  <c r="F213" s="1"/>
  <c r="Q343"/>
  <c r="F343" s="1"/>
  <c r="Q230"/>
  <c r="F230" s="1"/>
  <c r="K7" i="12"/>
  <c r="K10"/>
  <c r="K11"/>
  <c r="K8"/>
  <c r="K7" i="8"/>
  <c r="K16" i="10"/>
  <c r="K14" i="11"/>
  <c r="K6"/>
  <c r="K11"/>
  <c r="K12"/>
  <c r="K16"/>
  <c r="K15"/>
  <c r="K13"/>
  <c r="O14" i="5" a="1"/>
  <c r="L72" a="1"/>
  <c r="N103" a="1"/>
  <c r="L52" a="1"/>
  <c r="N34" a="1"/>
  <c r="M90" a="1"/>
  <c r="M128" a="1"/>
  <c r="L82" a="1"/>
  <c r="L92" a="1"/>
  <c r="O125" a="1"/>
  <c r="M84" a="1"/>
  <c r="L63" a="1"/>
  <c r="M60" a="1"/>
  <c r="P111" a="1"/>
  <c r="O115" a="1"/>
  <c r="M67" a="1"/>
  <c r="P53" a="1"/>
  <c r="O52" a="1"/>
  <c r="M120" a="1"/>
  <c r="N10" a="1"/>
  <c r="L69" a="1"/>
  <c r="M43" a="1"/>
  <c r="O65" a="1"/>
  <c r="O111" a="1"/>
  <c r="M111" a="1"/>
  <c r="L43" a="1"/>
  <c r="P101" a="1"/>
  <c r="N120" a="1"/>
  <c r="O10" a="1"/>
  <c r="N66" a="1"/>
  <c r="N29" a="1"/>
  <c r="N53" a="1"/>
  <c r="N52" a="1"/>
  <c r="O49" a="1"/>
  <c r="N16" a="1"/>
  <c r="N88" a="1"/>
  <c r="M101" a="1"/>
  <c r="N5" a="1"/>
  <c r="L67" a="1"/>
  <c r="O112" a="1"/>
  <c r="P74" a="1"/>
  <c r="L128" a="1"/>
  <c r="P6" a="1"/>
  <c r="P35" a="1"/>
  <c r="O124" a="1"/>
  <c r="M32" a="1"/>
  <c r="L59" a="1"/>
  <c r="N116" a="1"/>
  <c r="L70" a="1"/>
  <c r="L4" a="1"/>
  <c r="O69" a="1"/>
  <c r="M110" a="1"/>
  <c r="L51" a="1"/>
  <c r="N33" a="1"/>
  <c r="P62" a="1"/>
  <c r="N13" a="1"/>
  <c r="O63" a="1"/>
  <c r="N26" a="1"/>
  <c r="L114" a="1"/>
  <c r="N121" a="1"/>
  <c r="L60" a="1"/>
  <c r="N73" a="1"/>
  <c r="O30" a="1"/>
  <c r="L47" a="1"/>
  <c r="M31" a="1"/>
  <c r="M44" a="1"/>
  <c r="O113" a="1"/>
  <c r="P46" a="1"/>
  <c r="M71" a="1"/>
  <c r="P100" a="1"/>
  <c r="L23" a="1"/>
  <c r="L91" a="1"/>
  <c r="L54" a="1"/>
  <c r="O83" a="1"/>
  <c r="P27" a="1"/>
  <c r="M11" a="1"/>
  <c r="L104" a="1"/>
  <c r="O33" a="1"/>
  <c r="N123" a="1"/>
  <c r="M20" a="1"/>
  <c r="M30" a="1"/>
  <c r="L14" a="1"/>
  <c r="P72" a="1"/>
  <c r="M5" a="1"/>
  <c r="N67" a="1"/>
  <c r="N90" a="1"/>
  <c r="L25" a="1"/>
  <c r="P128" a="1"/>
  <c r="M6" a="1"/>
  <c r="N18" a="1"/>
  <c r="M19" a="1"/>
  <c r="O9" a="1"/>
  <c r="M76" a="1"/>
  <c r="L46" a="1"/>
  <c r="P4" a="1"/>
  <c r="O87" a="1"/>
  <c r="M115" a="1"/>
  <c r="P17" a="1"/>
  <c r="P49" a="1"/>
  <c r="L33" a="1"/>
  <c r="N41" a="1"/>
  <c r="M13" a="1"/>
  <c r="P63" a="1"/>
  <c r="L53" a="1"/>
  <c r="M114" a="1"/>
  <c r="L36" a="1"/>
  <c r="L20" a="1"/>
  <c r="M91" a="1"/>
  <c r="O119" a="1"/>
  <c r="O45" a="1"/>
  <c r="N31" a="1"/>
  <c r="L65" a="1"/>
  <c r="N15" a="1"/>
  <c r="L93" a="1"/>
  <c r="O31" a="1"/>
  <c r="O103" a="1"/>
  <c r="N128" a="1"/>
  <c r="L124" a="1"/>
  <c r="L100" a="1"/>
  <c r="L61" a="1"/>
  <c r="L119" a="1"/>
  <c r="O16" a="1"/>
  <c r="O72" a="1"/>
  <c r="N12" a="1"/>
  <c r="M83" a="1"/>
  <c r="N112" a="1"/>
  <c r="M74" a="1"/>
  <c r="O128" a="1"/>
  <c r="N6" a="1"/>
  <c r="O18" a="1"/>
  <c r="P19" a="1"/>
  <c r="N9" a="1"/>
  <c r="N92" a="1"/>
  <c r="N48" a="1"/>
  <c r="N125" a="1"/>
  <c r="O66" a="1"/>
  <c r="N69" a="1"/>
  <c r="L110" a="1"/>
  <c r="L84" a="1"/>
  <c r="N100" a="1"/>
  <c r="L41" a="1"/>
  <c r="P28" a="1"/>
  <c r="N63" a="1"/>
  <c r="M26" a="1"/>
  <c r="M86" a="1"/>
  <c r="O89" a="1"/>
  <c r="N93" a="1"/>
  <c r="N14" a="1"/>
  <c r="N25" a="1"/>
  <c r="P24" a="1"/>
  <c r="L32" a="1"/>
  <c r="P48" a="1"/>
  <c r="M51" a="1"/>
  <c r="O26" a="1"/>
  <c r="P60" a="1"/>
  <c r="P31" a="1"/>
  <c r="P50" a="1"/>
  <c r="N45" a="1"/>
  <c r="L35" a="1"/>
  <c r="L71" a="1"/>
  <c r="P41" a="1"/>
  <c r="L26" a="1"/>
  <c r="M75" a="1"/>
  <c r="M27" a="1"/>
  <c r="M41" a="1"/>
  <c r="M88" a="1"/>
  <c r="M17" a="1"/>
  <c r="P77" a="1"/>
  <c r="L34" a="1"/>
  <c r="P82" a="1"/>
  <c r="O116" a="1"/>
  <c r="N115" a="1"/>
  <c r="M100" a="1"/>
  <c r="M53" a="1"/>
  <c r="P91" a="1"/>
  <c r="N36" a="1"/>
  <c r="P5" a="1"/>
  <c r="O121" a="1"/>
  <c r="L5" a="1"/>
  <c r="O25" a="1"/>
  <c r="L19" a="1"/>
  <c r="M125" a="1"/>
  <c r="M49" a="1"/>
  <c r="O50" a="1"/>
  <c r="N47" a="1"/>
  <c r="M10" a="1"/>
  <c r="N75" a="1"/>
  <c r="L88" a="1"/>
  <c r="L101" a="1"/>
  <c r="O5" a="1"/>
  <c r="P67" a="1"/>
  <c r="N99" a="1"/>
  <c r="N74" a="1"/>
  <c r="O64" a="1"/>
  <c r="N122" a="1"/>
  <c r="P18" a="1"/>
  <c r="M124" a="1"/>
  <c r="N32" a="1"/>
  <c r="L10" a="1"/>
  <c r="O76" a="1"/>
  <c r="N70" a="1"/>
  <c r="O4" a="1"/>
  <c r="L87" a="1"/>
  <c r="O104" a="1"/>
  <c r="P51" a="1"/>
  <c r="O68" a="1"/>
  <c r="M62" a="1"/>
  <c r="O28" a="1"/>
  <c r="M61" a="1"/>
  <c r="P123" a="1"/>
  <c r="P23" a="1"/>
  <c r="M36" a="1"/>
  <c r="L15" a="1"/>
  <c r="O91" a="1"/>
  <c r="N119" a="1"/>
  <c r="O47" a="1"/>
  <c r="O130" a="1"/>
  <c r="O99" a="1"/>
  <c r="P129" a="1"/>
  <c r="L116" a="1"/>
  <c r="N87" a="1"/>
  <c r="L68" a="1"/>
  <c r="M123" a="1"/>
  <c r="P118" a="1"/>
  <c r="P16" a="1"/>
  <c r="P12" a="1"/>
  <c r="O74" a="1"/>
  <c r="N76" a="1"/>
  <c r="N71" a="1"/>
  <c r="P68" a="1"/>
  <c r="N61" a="1"/>
  <c r="P86" a="1"/>
  <c r="O73" a="1"/>
  <c r="M16" a="1"/>
  <c r="P88" a="1"/>
  <c r="L12" a="1"/>
  <c r="L83" a="1"/>
  <c r="P112" a="1"/>
  <c r="L74" a="1"/>
  <c r="M64" a="1"/>
  <c r="M122" a="1"/>
  <c r="M18" a="1"/>
  <c r="N124" a="1"/>
  <c r="P32" a="1"/>
  <c r="O92" a="1"/>
  <c r="M46" a="1"/>
  <c r="P11" a="1"/>
  <c r="M85" a="1"/>
  <c r="O71" a="1"/>
  <c r="N110" a="1"/>
  <c r="O84" a="1"/>
  <c r="P33" a="1"/>
  <c r="O62" a="1"/>
  <c r="M28" a="1"/>
  <c r="O61" a="1"/>
  <c r="P26" a="1"/>
  <c r="N23" a="1"/>
  <c r="L86" a="1"/>
  <c r="N118" a="1"/>
  <c r="N89" a="1"/>
  <c r="O75" a="1"/>
  <c r="M93" a="1"/>
  <c r="M130" a="1"/>
  <c r="N114" a="1"/>
  <c r="L118" a="1"/>
  <c r="L75" a="1"/>
  <c r="L77" a="1"/>
  <c r="M72" a="1"/>
  <c r="L90" a="1"/>
  <c r="O82" a="1"/>
  <c r="N104" a="1"/>
  <c r="L13" a="1"/>
  <c r="L73" a="1"/>
  <c r="L16" a="1"/>
  <c r="O88" a="1"/>
  <c r="P103" a="1"/>
  <c r="M52" a="1"/>
  <c r="M99" a="1"/>
  <c r="O44" a="1"/>
  <c r="P64" a="1"/>
  <c r="L122" a="1"/>
  <c r="N24" a="1"/>
  <c r="P124" a="1"/>
  <c r="O32" a="1"/>
  <c r="O59" a="1"/>
  <c r="M116" a="1"/>
  <c r="P70" a="1"/>
  <c r="M4" a="1"/>
  <c r="P87" a="1"/>
  <c r="P104" a="1"/>
  <c r="P84" a="1"/>
  <c r="M33" a="1"/>
  <c r="L62" a="1"/>
  <c r="L28" a="1"/>
  <c r="P61" a="1"/>
  <c r="O123" a="1"/>
  <c r="P65" a="1"/>
  <c r="N60" a="1"/>
  <c r="N30" a="1"/>
  <c r="L31" a="1"/>
  <c r="L44" a="1"/>
  <c r="N82" a="1"/>
  <c r="O19" a="1"/>
  <c r="P116" a="1"/>
  <c r="P69" a="1"/>
  <c r="P20" a="1"/>
  <c r="N19" a="1"/>
  <c r="P110" a="1"/>
  <c r="O13" a="1"/>
  <c r="O118" a="1"/>
  <c r="O93" a="1"/>
  <c r="P9" a="1"/>
  <c r="N65" a="1"/>
  <c r="N64" a="1"/>
  <c r="P29" a="1"/>
  <c r="M14" a="1"/>
  <c r="P90" a="1"/>
  <c r="P113" a="1"/>
  <c r="L66" a="1"/>
  <c r="L17" a="1"/>
  <c r="N3" a="1"/>
  <c r="M121" a="1"/>
  <c r="P119" a="1"/>
  <c r="P45" a="1"/>
  <c r="M59" a="1"/>
  <c r="P14" a="1"/>
  <c r="L112" a="1"/>
  <c r="O35" a="1"/>
  <c r="M48" a="1"/>
  <c r="N17" a="1"/>
  <c r="O41" a="1"/>
  <c r="M73" a="1"/>
  <c r="L64" a="1"/>
  <c r="N4" a="1"/>
  <c r="O54" a="1"/>
  <c r="N72" a="1"/>
  <c r="M12" a="1"/>
  <c r="N83" a="1"/>
  <c r="P99" a="1"/>
  <c r="N44" a="1"/>
  <c r="L27" a="1"/>
  <c r="L120" a="1"/>
  <c r="M24" a="1"/>
  <c r="O129" a="1"/>
  <c r="N113" a="1"/>
  <c r="M9" a="1"/>
  <c r="P92" a="1"/>
  <c r="O46" a="1"/>
  <c r="O11" a="1"/>
  <c r="O85" a="1"/>
  <c r="L115" a="1"/>
  <c r="O17" a="1"/>
  <c r="N49" a="1"/>
  <c r="O29" a="1"/>
  <c r="O43" a="1"/>
  <c r="P3" a="1"/>
  <c r="M50" a="1"/>
  <c r="O53" a="1"/>
  <c r="O86" a="1"/>
  <c r="N20" a="1"/>
  <c r="P89" a="1"/>
  <c r="P75" a="1"/>
  <c r="M45" a="1"/>
  <c r="P130" a="1"/>
  <c r="O12" a="1"/>
  <c r="P120" a="1"/>
  <c r="P59" a="1"/>
  <c r="P66" a="1"/>
  <c r="O110" a="1"/>
  <c r="M63" a="1"/>
  <c r="O36" a="1"/>
  <c r="N111" a="1"/>
  <c r="N101" a="1"/>
  <c r="M112" a="1"/>
  <c r="L18" a="1"/>
  <c r="P85" a="1"/>
  <c r="N84" a="1"/>
  <c r="N62" a="1"/>
  <c r="O114" a="1"/>
  <c r="M89" a="1"/>
  <c r="N130" a="1"/>
  <c r="M54" a="1"/>
  <c r="L103" a="1"/>
  <c r="P83" a="1"/>
  <c r="L99" a="1"/>
  <c r="P44" a="1"/>
  <c r="N27" a="1"/>
  <c r="O122" a="1"/>
  <c r="L24" a="1"/>
  <c r="N129" a="1"/>
  <c r="L113" a="1"/>
  <c r="N59" a="1"/>
  <c r="O48" a="1"/>
  <c r="P125" a="1"/>
  <c r="L85" a="1"/>
  <c r="M69" a="1"/>
  <c r="M104" a="1"/>
  <c r="N51" a="1"/>
  <c r="M68" a="1"/>
  <c r="M29" a="1"/>
  <c r="P43" a="1"/>
  <c r="O3" a="1"/>
  <c r="L123" a="1"/>
  <c r="M23" a="1"/>
  <c r="N86" a="1"/>
  <c r="M118" a="1"/>
  <c r="O60" a="1"/>
  <c r="P73" a="1"/>
  <c r="P30" a="1"/>
  <c r="M77" a="1"/>
  <c r="L111" a="1"/>
  <c r="P121" a="1"/>
  <c r="N91" a="1"/>
  <c r="N77" a="1"/>
  <c r="P54" a="1"/>
  <c r="O34" a="1"/>
  <c r="O6" a="1"/>
  <c r="M70" a="1"/>
  <c r="N28" a="1"/>
  <c r="P15" a="1"/>
  <c r="M47" a="1"/>
  <c r="N54" a="1"/>
  <c r="M103" a="1"/>
  <c r="P52" a="1"/>
  <c r="P34" a="1"/>
  <c r="O90" a="1"/>
  <c r="O27" a="1"/>
  <c r="O120" a="1"/>
  <c r="O24" a="1"/>
  <c r="M129" a="1"/>
  <c r="M113" a="1"/>
  <c r="P10" a="1"/>
  <c r="P76" a="1"/>
  <c r="N46" a="1"/>
  <c r="L11" a="1"/>
  <c r="N85" a="1"/>
  <c r="P115" a="1"/>
  <c r="O51" a="1"/>
  <c r="N68" a="1"/>
  <c r="L29" a="1"/>
  <c r="N43" a="1"/>
  <c r="L3" a="1"/>
  <c r="L50" a="1"/>
  <c r="O23" a="1"/>
  <c r="O20" a="1"/>
  <c r="M119" a="1"/>
  <c r="L130" a="1"/>
  <c r="M34" a="1"/>
  <c r="P122" a="1"/>
  <c r="L129" a="1"/>
  <c r="M92" a="1"/>
  <c r="M87" a="1"/>
  <c r="M3" a="1"/>
  <c r="P36" a="1"/>
  <c r="L30" a="1"/>
  <c r="M25" a="1"/>
  <c r="L9" a="1"/>
  <c r="L48" a="1"/>
  <c r="M66" a="1"/>
  <c r="O100" a="1"/>
  <c r="M65" a="1"/>
  <c r="O77" a="1"/>
  <c r="L125" a="1"/>
  <c r="L45" a="1"/>
  <c r="N11" a="1"/>
  <c r="O15" a="1"/>
  <c r="O101" a="1"/>
  <c r="P25" a="1"/>
  <c r="N35" a="1"/>
  <c r="O70" a="1"/>
  <c r="L49" a="1"/>
  <c r="N50" a="1"/>
  <c r="M15" a="1"/>
  <c r="P47" a="1"/>
  <c r="L89" a="1"/>
  <c r="L6" a="1"/>
  <c r="P93" a="1"/>
  <c r="O67" a="1"/>
  <c r="M82" a="1"/>
  <c r="L76" a="1"/>
  <c r="P71" a="1"/>
  <c r="P13" a="1"/>
  <c r="L121" a="1"/>
  <c r="M35" a="1"/>
  <c r="P114" a="1"/>
  <c r="I4" i="4" l="1"/>
  <c r="E11"/>
  <c r="E13"/>
  <c r="E9"/>
  <c r="E27"/>
  <c r="E7"/>
  <c r="AG39"/>
  <c r="E25"/>
  <c r="E3"/>
  <c r="AI7"/>
  <c r="E12"/>
  <c r="E15"/>
  <c r="AI64"/>
  <c r="E18"/>
  <c r="A18" i="3"/>
  <c r="AE39" i="4"/>
  <c r="E24"/>
  <c r="C7"/>
  <c r="A26" i="3"/>
  <c r="C6" i="4"/>
  <c r="D19"/>
  <c r="E14"/>
  <c r="AF33"/>
  <c r="AJ9"/>
  <c r="AE35"/>
  <c r="AG33"/>
  <c r="N22" i="11"/>
  <c r="E10" i="4"/>
  <c r="AI12"/>
  <c r="J5"/>
  <c r="AF7"/>
  <c r="E22"/>
  <c r="J11"/>
  <c r="AI11"/>
  <c r="A25" i="3"/>
  <c r="E19" i="4"/>
  <c r="C14"/>
  <c r="C25"/>
  <c r="C8"/>
  <c r="D5"/>
  <c r="J13"/>
  <c r="J16"/>
  <c r="AE36"/>
  <c r="D8"/>
  <c r="AI34"/>
  <c r="E23"/>
  <c r="D3"/>
  <c r="D16"/>
  <c r="AJ7"/>
  <c r="AE31"/>
  <c r="AH33"/>
  <c r="AI66"/>
  <c r="J8"/>
  <c r="A9" i="3"/>
  <c r="C20" i="4"/>
  <c r="E17"/>
  <c r="AE11"/>
  <c r="C10"/>
  <c r="J9"/>
  <c r="C18"/>
  <c r="C26"/>
  <c r="C17"/>
  <c r="AI65"/>
  <c r="J20"/>
  <c r="D17"/>
  <c r="AI3"/>
  <c r="C4"/>
  <c r="AE38"/>
  <c r="E8"/>
  <c r="J7"/>
  <c r="C13"/>
  <c r="E26"/>
  <c r="J21"/>
  <c r="J12"/>
  <c r="J24"/>
  <c r="D6"/>
  <c r="C22"/>
  <c r="D27"/>
  <c r="D20"/>
  <c r="C3"/>
  <c r="AH40"/>
  <c r="AE10"/>
  <c r="AG38"/>
  <c r="F22" i="11"/>
  <c r="P31" i="5"/>
  <c r="N45"/>
  <c r="C45" s="1"/>
  <c r="L30"/>
  <c r="N75"/>
  <c r="C75" s="1"/>
  <c r="P60"/>
  <c r="E60" s="1"/>
  <c r="P20"/>
  <c r="E20" s="1"/>
  <c r="P36"/>
  <c r="E36" s="1"/>
  <c r="P114"/>
  <c r="E114" s="1"/>
  <c r="O26"/>
  <c r="D26" s="1"/>
  <c r="P50"/>
  <c r="M3"/>
  <c r="O49"/>
  <c r="M51"/>
  <c r="B51" s="1"/>
  <c r="P69"/>
  <c r="E69" s="1"/>
  <c r="M87"/>
  <c r="B87" s="1"/>
  <c r="N4"/>
  <c r="C4" s="1"/>
  <c r="P48"/>
  <c r="P116"/>
  <c r="M92"/>
  <c r="M10"/>
  <c r="B10" s="1"/>
  <c r="L32"/>
  <c r="O19"/>
  <c r="D19" s="1"/>
  <c r="L129"/>
  <c r="M35"/>
  <c r="B35" s="1"/>
  <c r="P24"/>
  <c r="E24" s="1"/>
  <c r="N82"/>
  <c r="C82" s="1"/>
  <c r="P122"/>
  <c r="E122" s="1"/>
  <c r="L64"/>
  <c r="N25"/>
  <c r="C25" s="1"/>
  <c r="L44"/>
  <c r="M34"/>
  <c r="B34" s="1"/>
  <c r="N52"/>
  <c r="C52" s="1"/>
  <c r="N14"/>
  <c r="C14" s="1"/>
  <c r="L31"/>
  <c r="L130"/>
  <c r="N47"/>
  <c r="C47" s="1"/>
  <c r="N93"/>
  <c r="C93" s="1"/>
  <c r="N30"/>
  <c r="C30" s="1"/>
  <c r="M119"/>
  <c r="M73"/>
  <c r="B73" s="1"/>
  <c r="O89"/>
  <c r="D89" s="1"/>
  <c r="N60"/>
  <c r="C60" s="1"/>
  <c r="O20"/>
  <c r="D20" s="1"/>
  <c r="L121"/>
  <c r="M86"/>
  <c r="B86" s="1"/>
  <c r="P65"/>
  <c r="O23"/>
  <c r="D23" s="1"/>
  <c r="N53"/>
  <c r="C53" s="1"/>
  <c r="M26"/>
  <c r="B26" s="1"/>
  <c r="O123"/>
  <c r="L50"/>
  <c r="O50"/>
  <c r="N63"/>
  <c r="C63" s="1"/>
  <c r="P61"/>
  <c r="E61" s="1"/>
  <c r="L3"/>
  <c r="P13"/>
  <c r="E13" s="1"/>
  <c r="P28"/>
  <c r="E28" s="1"/>
  <c r="L28"/>
  <c r="N43"/>
  <c r="C43" s="1"/>
  <c r="O41"/>
  <c r="L41"/>
  <c r="L62"/>
  <c r="L29"/>
  <c r="N29"/>
  <c r="C29" s="1"/>
  <c r="N100"/>
  <c r="C100" s="1"/>
  <c r="M33"/>
  <c r="B33" s="1"/>
  <c r="N68"/>
  <c r="C68" s="1"/>
  <c r="M49"/>
  <c r="B49" s="1"/>
  <c r="L84"/>
  <c r="P84"/>
  <c r="O51"/>
  <c r="D51" s="1"/>
  <c r="N17"/>
  <c r="C17" s="1"/>
  <c r="L110"/>
  <c r="P104"/>
  <c r="P115"/>
  <c r="P71"/>
  <c r="E71" s="1"/>
  <c r="N69"/>
  <c r="C69" s="1"/>
  <c r="P87"/>
  <c r="N85"/>
  <c r="C85" s="1"/>
  <c r="N66"/>
  <c r="C66" s="1"/>
  <c r="O66"/>
  <c r="D66" s="1"/>
  <c r="M4"/>
  <c r="L11"/>
  <c r="M125"/>
  <c r="B125" s="1"/>
  <c r="N125"/>
  <c r="C125" s="1"/>
  <c r="P70"/>
  <c r="N46"/>
  <c r="C46" s="1"/>
  <c r="M48"/>
  <c r="B48" s="1"/>
  <c r="N48"/>
  <c r="C48" s="1"/>
  <c r="M116"/>
  <c r="B116" s="1"/>
  <c r="P76"/>
  <c r="E76" s="1"/>
  <c r="L76"/>
  <c r="N92"/>
  <c r="C92" s="1"/>
  <c r="O59"/>
  <c r="D59" s="1"/>
  <c r="P10"/>
  <c r="E10" s="1"/>
  <c r="O10"/>
  <c r="D10" s="1"/>
  <c r="N9"/>
  <c r="C9" s="1"/>
  <c r="O32"/>
  <c r="D32" s="1"/>
  <c r="M113"/>
  <c r="L19"/>
  <c r="P19"/>
  <c r="E19" s="1"/>
  <c r="P124"/>
  <c r="E124" s="1"/>
  <c r="M129"/>
  <c r="B129" s="1"/>
  <c r="O35"/>
  <c r="O18"/>
  <c r="D18" s="1"/>
  <c r="N24"/>
  <c r="C24" s="1"/>
  <c r="O24"/>
  <c r="D24" s="1"/>
  <c r="M82"/>
  <c r="B82" s="1"/>
  <c r="N6"/>
  <c r="C6" s="1"/>
  <c r="L122"/>
  <c r="O120"/>
  <c r="D120" s="1"/>
  <c r="N120"/>
  <c r="C120" s="1"/>
  <c r="O128"/>
  <c r="D128" s="1"/>
  <c r="P64"/>
  <c r="E64" s="1"/>
  <c r="O27"/>
  <c r="D27" s="1"/>
  <c r="O25"/>
  <c r="D25" s="1"/>
  <c r="M74"/>
  <c r="O44"/>
  <c r="D44" s="1"/>
  <c r="O90"/>
  <c r="L112"/>
  <c r="N112"/>
  <c r="C112" s="1"/>
  <c r="M99"/>
  <c r="B99" s="1"/>
  <c r="P34"/>
  <c r="E34" s="1"/>
  <c r="O67"/>
  <c r="D67" s="1"/>
  <c r="M83"/>
  <c r="B83" s="1"/>
  <c r="M52"/>
  <c r="B52" s="1"/>
  <c r="P52"/>
  <c r="E52" s="1"/>
  <c r="L5"/>
  <c r="N12"/>
  <c r="C12" s="1"/>
  <c r="P103"/>
  <c r="M103"/>
  <c r="B103" s="1"/>
  <c r="P101"/>
  <c r="O72"/>
  <c r="D72" s="1"/>
  <c r="O88"/>
  <c r="D88" s="1"/>
  <c r="N54"/>
  <c r="C54" s="1"/>
  <c r="P14"/>
  <c r="E14" s="1"/>
  <c r="O16"/>
  <c r="D16" s="1"/>
  <c r="L16"/>
  <c r="M47"/>
  <c r="B47" s="1"/>
  <c r="P93"/>
  <c r="E93" s="1"/>
  <c r="L119"/>
  <c r="L73"/>
  <c r="P15"/>
  <c r="E15" s="1"/>
  <c r="O121"/>
  <c r="D121" s="1"/>
  <c r="L61"/>
  <c r="L13"/>
  <c r="N28"/>
  <c r="C28" s="1"/>
  <c r="L43"/>
  <c r="L100"/>
  <c r="N104"/>
  <c r="C104" s="1"/>
  <c r="M70"/>
  <c r="B70" s="1"/>
  <c r="M59"/>
  <c r="B59" s="1"/>
  <c r="L124"/>
  <c r="O82"/>
  <c r="D82" s="1"/>
  <c r="O6"/>
  <c r="D6" s="1"/>
  <c r="L6"/>
  <c r="N128"/>
  <c r="C128" s="1"/>
  <c r="L90"/>
  <c r="O34"/>
  <c r="D34" s="1"/>
  <c r="P5"/>
  <c r="O103"/>
  <c r="M72"/>
  <c r="P54"/>
  <c r="E54" s="1"/>
  <c r="M111"/>
  <c r="O31"/>
  <c r="L77"/>
  <c r="N77"/>
  <c r="C77" s="1"/>
  <c r="P45"/>
  <c r="E45" s="1"/>
  <c r="L93"/>
  <c r="L75"/>
  <c r="N91"/>
  <c r="C91" s="1"/>
  <c r="L89"/>
  <c r="N15"/>
  <c r="C15" s="1"/>
  <c r="L118"/>
  <c r="P121"/>
  <c r="N36"/>
  <c r="C36" s="1"/>
  <c r="L65"/>
  <c r="N114"/>
  <c r="C114" s="1"/>
  <c r="L111"/>
  <c r="O111"/>
  <c r="D111" s="1"/>
  <c r="N31"/>
  <c r="C31" s="1"/>
  <c r="M130"/>
  <c r="B130" s="1"/>
  <c r="M77"/>
  <c r="B77" s="1"/>
  <c r="P47"/>
  <c r="O45"/>
  <c r="M93"/>
  <c r="P30"/>
  <c r="P119"/>
  <c r="E119" s="1"/>
  <c r="O119"/>
  <c r="D119" s="1"/>
  <c r="O75"/>
  <c r="D75" s="1"/>
  <c r="P73"/>
  <c r="P91"/>
  <c r="E91" s="1"/>
  <c r="M91"/>
  <c r="N89"/>
  <c r="C89" s="1"/>
  <c r="O60"/>
  <c r="D60" s="1"/>
  <c r="M15"/>
  <c r="B15" s="1"/>
  <c r="L20"/>
  <c r="N118"/>
  <c r="C118" s="1"/>
  <c r="M118"/>
  <c r="M121"/>
  <c r="B121" s="1"/>
  <c r="L36"/>
  <c r="L86"/>
  <c r="N86"/>
  <c r="C86" s="1"/>
  <c r="O65"/>
  <c r="D65" s="1"/>
  <c r="M114"/>
  <c r="N23"/>
  <c r="C23" s="1"/>
  <c r="M23"/>
  <c r="B23" s="1"/>
  <c r="M53"/>
  <c r="B53" s="1"/>
  <c r="L53"/>
  <c r="P26"/>
  <c r="E26" s="1"/>
  <c r="L123"/>
  <c r="N50"/>
  <c r="C50" s="1"/>
  <c r="P63"/>
  <c r="E63" s="1"/>
  <c r="O61"/>
  <c r="D61" s="1"/>
  <c r="O3"/>
  <c r="N3"/>
  <c r="C3" s="1"/>
  <c r="M13"/>
  <c r="B13" s="1"/>
  <c r="M28"/>
  <c r="B28" s="1"/>
  <c r="P43"/>
  <c r="M43"/>
  <c r="B43" s="1"/>
  <c r="N41"/>
  <c r="C41" s="1"/>
  <c r="O62"/>
  <c r="D62" s="1"/>
  <c r="M29"/>
  <c r="B29" s="1"/>
  <c r="M100"/>
  <c r="B100" s="1"/>
  <c r="L33"/>
  <c r="P33"/>
  <c r="E33" s="1"/>
  <c r="M68"/>
  <c r="B68" s="1"/>
  <c r="L49"/>
  <c r="P49"/>
  <c r="O84"/>
  <c r="N51"/>
  <c r="C51" s="1"/>
  <c r="L17"/>
  <c r="P17"/>
  <c r="E17" s="1"/>
  <c r="N110"/>
  <c r="C110" s="1"/>
  <c r="M104"/>
  <c r="B104" s="1"/>
  <c r="N115"/>
  <c r="C115" s="1"/>
  <c r="M115"/>
  <c r="B115" s="1"/>
  <c r="O71"/>
  <c r="M69"/>
  <c r="B69" s="1"/>
  <c r="L69"/>
  <c r="O87"/>
  <c r="M85"/>
  <c r="B85" s="1"/>
  <c r="L85"/>
  <c r="L66"/>
  <c r="P4"/>
  <c r="P11"/>
  <c r="E11" s="1"/>
  <c r="P125"/>
  <c r="E125" s="1"/>
  <c r="O70"/>
  <c r="L46"/>
  <c r="M46"/>
  <c r="O48"/>
  <c r="D48" s="1"/>
  <c r="O116"/>
  <c r="M76"/>
  <c r="B76" s="1"/>
  <c r="O92"/>
  <c r="N59"/>
  <c r="C59" s="1"/>
  <c r="N10"/>
  <c r="C10" s="1"/>
  <c r="O9"/>
  <c r="D9" s="1"/>
  <c r="P32"/>
  <c r="E32" s="1"/>
  <c r="L113"/>
  <c r="P113"/>
  <c r="E113" s="1"/>
  <c r="M19"/>
  <c r="N124"/>
  <c r="C124" s="1"/>
  <c r="N129"/>
  <c r="C129" s="1"/>
  <c r="N35"/>
  <c r="C35" s="1"/>
  <c r="N18"/>
  <c r="C18" s="1"/>
  <c r="M18"/>
  <c r="B18" s="1"/>
  <c r="L24"/>
  <c r="P82"/>
  <c r="E82" s="1"/>
  <c r="M6"/>
  <c r="B6" s="1"/>
  <c r="M122"/>
  <c r="B122" s="1"/>
  <c r="O122"/>
  <c r="M120"/>
  <c r="B120" s="1"/>
  <c r="P128"/>
  <c r="E128" s="1"/>
  <c r="M64"/>
  <c r="B64" s="1"/>
  <c r="N27"/>
  <c r="C27" s="1"/>
  <c r="P25"/>
  <c r="E25" s="1"/>
  <c r="L25"/>
  <c r="L74"/>
  <c r="P44"/>
  <c r="E44" s="1"/>
  <c r="P90"/>
  <c r="E90" s="1"/>
  <c r="N90"/>
  <c r="C90" s="1"/>
  <c r="P112"/>
  <c r="L99"/>
  <c r="L34"/>
  <c r="N67"/>
  <c r="C67" s="1"/>
  <c r="L83"/>
  <c r="P83"/>
  <c r="O52"/>
  <c r="M5"/>
  <c r="L12"/>
  <c r="L103"/>
  <c r="O101"/>
  <c r="P72"/>
  <c r="E72" s="1"/>
  <c r="P88"/>
  <c r="E88" s="1"/>
  <c r="M54"/>
  <c r="B54" s="1"/>
  <c r="M14"/>
  <c r="B14" s="1"/>
  <c r="L14"/>
  <c r="M16"/>
  <c r="B16" s="1"/>
  <c r="N130"/>
  <c r="C130" s="1"/>
  <c r="P77"/>
  <c r="E77" s="1"/>
  <c r="M30"/>
  <c r="B30" s="1"/>
  <c r="O73"/>
  <c r="M89"/>
  <c r="B89" s="1"/>
  <c r="O15"/>
  <c r="D15" s="1"/>
  <c r="M20"/>
  <c r="P86"/>
  <c r="O114"/>
  <c r="P53"/>
  <c r="E53" s="1"/>
  <c r="N123"/>
  <c r="C123" s="1"/>
  <c r="N61"/>
  <c r="C61" s="1"/>
  <c r="N62"/>
  <c r="C62" s="1"/>
  <c r="P29"/>
  <c r="E29" s="1"/>
  <c r="O33"/>
  <c r="D33" s="1"/>
  <c r="P68"/>
  <c r="N84"/>
  <c r="C84" s="1"/>
  <c r="M17"/>
  <c r="B17" s="1"/>
  <c r="L104"/>
  <c r="N71"/>
  <c r="C71" s="1"/>
  <c r="P85"/>
  <c r="N11"/>
  <c r="C11" s="1"/>
  <c r="M11"/>
  <c r="B11" s="1"/>
  <c r="N76"/>
  <c r="C76" s="1"/>
  <c r="L18"/>
  <c r="N64"/>
  <c r="C64" s="1"/>
  <c r="P27"/>
  <c r="E27" s="1"/>
  <c r="O74"/>
  <c r="M112"/>
  <c r="M67"/>
  <c r="O83"/>
  <c r="D83" s="1"/>
  <c r="P12"/>
  <c r="E12" s="1"/>
  <c r="N101"/>
  <c r="C101" s="1"/>
  <c r="M88"/>
  <c r="B88" s="1"/>
  <c r="L54"/>
  <c r="P16"/>
  <c r="E16" s="1"/>
  <c r="N111"/>
  <c r="C111" s="1"/>
  <c r="L45"/>
  <c r="L91"/>
  <c r="P118"/>
  <c r="E118" s="1"/>
  <c r="O36"/>
  <c r="D36" s="1"/>
  <c r="N65"/>
  <c r="C65" s="1"/>
  <c r="L23"/>
  <c r="M123"/>
  <c r="M63"/>
  <c r="B63" s="1"/>
  <c r="M41"/>
  <c r="P100"/>
  <c r="L68"/>
  <c r="O110"/>
  <c r="D110" s="1"/>
  <c r="O115"/>
  <c r="M71"/>
  <c r="B71" s="1"/>
  <c r="N87"/>
  <c r="C87" s="1"/>
  <c r="P66"/>
  <c r="L125"/>
  <c r="P46"/>
  <c r="E46" s="1"/>
  <c r="L116"/>
  <c r="P59"/>
  <c r="E59" s="1"/>
  <c r="P9"/>
  <c r="O113"/>
  <c r="D113" s="1"/>
  <c r="P129"/>
  <c r="E129" s="1"/>
  <c r="P120"/>
  <c r="E120" s="1"/>
  <c r="M27"/>
  <c r="B27" s="1"/>
  <c r="M44"/>
  <c r="B44" s="1"/>
  <c r="O99"/>
  <c r="D99" s="1"/>
  <c r="O12"/>
  <c r="D12" s="1"/>
  <c r="P111"/>
  <c r="E111" s="1"/>
  <c r="M31"/>
  <c r="B31" s="1"/>
  <c r="O130"/>
  <c r="D130" s="1"/>
  <c r="P130"/>
  <c r="E130" s="1"/>
  <c r="O77"/>
  <c r="D77" s="1"/>
  <c r="L47"/>
  <c r="O47"/>
  <c r="D47" s="1"/>
  <c r="M45"/>
  <c r="B45" s="1"/>
  <c r="O93"/>
  <c r="D93" s="1"/>
  <c r="O30"/>
  <c r="N119"/>
  <c r="C119" s="1"/>
  <c r="P75"/>
  <c r="E75" s="1"/>
  <c r="M75"/>
  <c r="B75" s="1"/>
  <c r="N73"/>
  <c r="C73" s="1"/>
  <c r="O91"/>
  <c r="D91" s="1"/>
  <c r="P89"/>
  <c r="M60"/>
  <c r="B60" s="1"/>
  <c r="L60"/>
  <c r="L15"/>
  <c r="N20"/>
  <c r="C20" s="1"/>
  <c r="O118"/>
  <c r="N121"/>
  <c r="C121" s="1"/>
  <c r="M36"/>
  <c r="B36" s="1"/>
  <c r="O86"/>
  <c r="M65"/>
  <c r="B65" s="1"/>
  <c r="L114"/>
  <c r="P23"/>
  <c r="E23" s="1"/>
  <c r="O53"/>
  <c r="D53" s="1"/>
  <c r="L26"/>
  <c r="N26"/>
  <c r="C26" s="1"/>
  <c r="P123"/>
  <c r="E123" s="1"/>
  <c r="M50"/>
  <c r="B50" s="1"/>
  <c r="L63"/>
  <c r="O63"/>
  <c r="M61"/>
  <c r="P3"/>
  <c r="O13"/>
  <c r="D13" s="1"/>
  <c r="N13"/>
  <c r="C13" s="1"/>
  <c r="O28"/>
  <c r="D28" s="1"/>
  <c r="O43"/>
  <c r="P41"/>
  <c r="E41" s="1"/>
  <c r="P62"/>
  <c r="E62" s="1"/>
  <c r="M62"/>
  <c r="B62" s="1"/>
  <c r="O29"/>
  <c r="D29" s="1"/>
  <c r="O100"/>
  <c r="D100" s="1"/>
  <c r="N33"/>
  <c r="C33" s="1"/>
  <c r="O68"/>
  <c r="N49"/>
  <c r="C49" s="1"/>
  <c r="M84"/>
  <c r="B84" s="1"/>
  <c r="L51"/>
  <c r="P51"/>
  <c r="E51" s="1"/>
  <c r="O17"/>
  <c r="D17" s="1"/>
  <c r="P110"/>
  <c r="E110" s="1"/>
  <c r="M110"/>
  <c r="B110" s="1"/>
  <c r="O104"/>
  <c r="L115"/>
  <c r="L71"/>
  <c r="O69"/>
  <c r="L87"/>
  <c r="O85"/>
  <c r="M66"/>
  <c r="B66" s="1"/>
  <c r="L4"/>
  <c r="O4"/>
  <c r="O11"/>
  <c r="O125"/>
  <c r="D125" s="1"/>
  <c r="L70"/>
  <c r="N70"/>
  <c r="C70" s="1"/>
  <c r="O46"/>
  <c r="L48"/>
  <c r="N116"/>
  <c r="C116" s="1"/>
  <c r="O76"/>
  <c r="D76" s="1"/>
  <c r="P92"/>
  <c r="E92" s="1"/>
  <c r="L92"/>
  <c r="L59"/>
  <c r="L10"/>
  <c r="M9"/>
  <c r="L9"/>
  <c r="M32"/>
  <c r="B32" s="1"/>
  <c r="N32"/>
  <c r="C32" s="1"/>
  <c r="N113"/>
  <c r="C113" s="1"/>
  <c r="N19"/>
  <c r="C19" s="1"/>
  <c r="O124"/>
  <c r="D124" s="1"/>
  <c r="M124"/>
  <c r="B124" s="1"/>
  <c r="O129"/>
  <c r="D129" s="1"/>
  <c r="L35"/>
  <c r="P35"/>
  <c r="P18"/>
  <c r="E18" s="1"/>
  <c r="M24"/>
  <c r="B24" s="1"/>
  <c r="L82"/>
  <c r="P6"/>
  <c r="E6" s="1"/>
  <c r="N122"/>
  <c r="C122" s="1"/>
  <c r="L120"/>
  <c r="M128"/>
  <c r="B128" s="1"/>
  <c r="L128"/>
  <c r="O64"/>
  <c r="L27"/>
  <c r="M25"/>
  <c r="B25" s="1"/>
  <c r="P74"/>
  <c r="E74" s="1"/>
  <c r="N74"/>
  <c r="C74" s="1"/>
  <c r="N44"/>
  <c r="C44" s="1"/>
  <c r="M90"/>
  <c r="B90" s="1"/>
  <c r="O112"/>
  <c r="D112" s="1"/>
  <c r="N99"/>
  <c r="C99" s="1"/>
  <c r="P99"/>
  <c r="E99" s="1"/>
  <c r="N34"/>
  <c r="C34" s="1"/>
  <c r="L67"/>
  <c r="P67"/>
  <c r="N83"/>
  <c r="C83" s="1"/>
  <c r="L52"/>
  <c r="N5"/>
  <c r="C5" s="1"/>
  <c r="O5"/>
  <c r="M12"/>
  <c r="B12" s="1"/>
  <c r="N103"/>
  <c r="C103" s="1"/>
  <c r="M101"/>
  <c r="B101" s="1"/>
  <c r="L101"/>
  <c r="N72"/>
  <c r="L72"/>
  <c r="N88"/>
  <c r="C88" s="1"/>
  <c r="L88"/>
  <c r="O54"/>
  <c r="D54" s="1"/>
  <c r="O14"/>
  <c r="N16"/>
  <c r="C16" s="1"/>
  <c r="S22" i="11"/>
  <c r="AQ22" a="1"/>
  <c r="AQ22" s="1"/>
  <c r="Q137" i="5"/>
  <c r="F137" s="1"/>
  <c r="A137"/>
  <c r="A140"/>
  <c r="Q140"/>
  <c r="F140" s="1"/>
  <c r="AL7" i="10"/>
  <c r="AK7"/>
  <c r="Q154" i="5"/>
  <c r="F154" s="1"/>
  <c r="A154"/>
  <c r="A152"/>
  <c r="Q152"/>
  <c r="F152" s="1"/>
  <c r="Q98"/>
  <c r="F98" s="1"/>
  <c r="A98"/>
  <c r="AK19" i="12"/>
  <c r="AL19"/>
  <c r="Q162" i="5"/>
  <c r="F162" s="1"/>
  <c r="A162"/>
  <c r="A147"/>
  <c r="Q147"/>
  <c r="F147" s="1"/>
  <c r="Q138"/>
  <c r="F138" s="1"/>
  <c r="A138"/>
  <c r="A155"/>
  <c r="Q155"/>
  <c r="F155" s="1"/>
  <c r="Q21"/>
  <c r="F21" s="1"/>
  <c r="A21"/>
  <c r="AL7" i="6"/>
  <c r="AK7"/>
  <c r="Q117" i="5"/>
  <c r="F117" s="1"/>
  <c r="A117"/>
  <c r="Q106"/>
  <c r="F106" s="1"/>
  <c r="A106"/>
  <c r="Q156"/>
  <c r="F156" s="1"/>
  <c r="A156"/>
  <c r="A148"/>
  <c r="Q148"/>
  <c r="F148" s="1"/>
  <c r="Q142"/>
  <c r="F142" s="1"/>
  <c r="A142"/>
  <c r="Q133"/>
  <c r="F133" s="1"/>
  <c r="A133"/>
  <c r="Q102"/>
  <c r="F102" s="1"/>
  <c r="A102"/>
  <c r="A159"/>
  <c r="Q159"/>
  <c r="F159" s="1"/>
  <c r="Q109"/>
  <c r="F109" s="1"/>
  <c r="A109"/>
  <c r="Q160"/>
  <c r="F160" s="1"/>
  <c r="A160"/>
  <c r="Q81"/>
  <c r="F81" s="1"/>
  <c r="A81"/>
  <c r="A56"/>
  <c r="Q56"/>
  <c r="F56" s="1"/>
  <c r="Q22" i="9"/>
  <c r="M22"/>
  <c r="W6"/>
  <c r="K6" s="1"/>
  <c r="R22"/>
  <c r="N22"/>
  <c r="P22"/>
  <c r="O22"/>
  <c r="AK8" i="6"/>
  <c r="AL8"/>
  <c r="R22"/>
  <c r="N22"/>
  <c r="Q22"/>
  <c r="O22"/>
  <c r="M22"/>
  <c r="W6"/>
  <c r="K6" s="1"/>
  <c r="P22"/>
  <c r="Q149" i="5"/>
  <c r="F149" s="1"/>
  <c r="A149"/>
  <c r="A136"/>
  <c r="Q136"/>
  <c r="F136" s="1"/>
  <c r="Q42"/>
  <c r="F42" s="1"/>
  <c r="A42"/>
  <c r="R22" i="13"/>
  <c r="N22"/>
  <c r="O22"/>
  <c r="W6"/>
  <c r="K6" s="1"/>
  <c r="P22"/>
  <c r="M22"/>
  <c r="Q22"/>
  <c r="I10" i="4"/>
  <c r="I8"/>
  <c r="AJ6"/>
  <c r="AJ33"/>
  <c r="AF38"/>
  <c r="I24"/>
  <c r="R31" i="11"/>
  <c r="M22"/>
  <c r="P22"/>
  <c r="A19" i="3"/>
  <c r="A4"/>
  <c r="E4" i="4"/>
  <c r="AK4" s="1"/>
  <c r="A14" i="3"/>
  <c r="I27" i="4"/>
  <c r="I7"/>
  <c r="J25"/>
  <c r="A21" i="3"/>
  <c r="J17" i="4"/>
  <c r="A8" i="3"/>
  <c r="C21" i="4"/>
  <c r="I3"/>
  <c r="AF3"/>
  <c r="AF11"/>
  <c r="AH36"/>
  <c r="AF39"/>
  <c r="AJ5"/>
  <c r="AJ10"/>
  <c r="AF37"/>
  <c r="AJ3"/>
  <c r="AJ11"/>
  <c r="AE4"/>
  <c r="AI5"/>
  <c r="AE8"/>
  <c r="AI9"/>
  <c r="AE12"/>
  <c r="AG34"/>
  <c r="AI37"/>
  <c r="AL5"/>
  <c r="AJ32"/>
  <c r="AH37"/>
  <c r="AJ40"/>
  <c r="AJ60"/>
  <c r="AJ68"/>
  <c r="AK5"/>
  <c r="AI32"/>
  <c r="AG37"/>
  <c r="AI40"/>
  <c r="AI60"/>
  <c r="AI68"/>
  <c r="A11" i="3"/>
  <c r="W12" i="8"/>
  <c r="K12" s="1"/>
  <c r="M22"/>
  <c r="R22"/>
  <c r="Q22"/>
  <c r="N22"/>
  <c r="P22"/>
  <c r="O22"/>
  <c r="Q141" i="5"/>
  <c r="F141" s="1"/>
  <c r="A141"/>
  <c r="A79"/>
  <c r="Q79"/>
  <c r="F79" s="1"/>
  <c r="A95"/>
  <c r="Q95"/>
  <c r="F95" s="1"/>
  <c r="Q146"/>
  <c r="F146" s="1"/>
  <c r="A146"/>
  <c r="A151"/>
  <c r="Q151"/>
  <c r="F151" s="1"/>
  <c r="R22" i="12"/>
  <c r="N22"/>
  <c r="O22"/>
  <c r="Q22"/>
  <c r="M22"/>
  <c r="W6"/>
  <c r="K6" s="1"/>
  <c r="P22"/>
  <c r="Q150" i="5"/>
  <c r="F150" s="1"/>
  <c r="A150"/>
  <c r="Q22"/>
  <c r="F22" s="1"/>
  <c r="A22"/>
  <c r="Q7"/>
  <c r="F7" s="1"/>
  <c r="A7"/>
  <c r="A39"/>
  <c r="Q39"/>
  <c r="F39" s="1"/>
  <c r="A80"/>
  <c r="Q80"/>
  <c r="F80" s="1"/>
  <c r="A107"/>
  <c r="Q107"/>
  <c r="F107" s="1"/>
  <c r="A143"/>
  <c r="Q143"/>
  <c r="F143" s="1"/>
  <c r="Q57"/>
  <c r="F57" s="1"/>
  <c r="A57"/>
  <c r="Q58"/>
  <c r="F58" s="1"/>
  <c r="A58"/>
  <c r="Q153"/>
  <c r="F153" s="1"/>
  <c r="A153"/>
  <c r="A8"/>
  <c r="Q8"/>
  <c r="F8" s="1"/>
  <c r="Q134"/>
  <c r="F134" s="1"/>
  <c r="A134"/>
  <c r="A144"/>
  <c r="Q144"/>
  <c r="F144" s="1"/>
  <c r="Q126"/>
  <c r="F126" s="1"/>
  <c r="A126"/>
  <c r="Q78"/>
  <c r="F78" s="1"/>
  <c r="A78"/>
  <c r="A40"/>
  <c r="Q40"/>
  <c r="F40" s="1"/>
  <c r="Q94"/>
  <c r="F94" s="1"/>
  <c r="A94"/>
  <c r="AQ22" i="8" a="1"/>
  <c r="AQ22" s="1"/>
  <c r="R31"/>
  <c r="R40"/>
  <c r="S22"/>
  <c r="F22"/>
  <c r="P22" i="10"/>
  <c r="Q22"/>
  <c r="M22"/>
  <c r="W6"/>
  <c r="K6" s="1"/>
  <c r="O22"/>
  <c r="N22"/>
  <c r="R22"/>
  <c r="A12" i="3"/>
  <c r="AJ36" i="4"/>
  <c r="AJ62"/>
  <c r="AI62"/>
  <c r="I6"/>
  <c r="A13" i="3"/>
  <c r="R40" i="11"/>
  <c r="R22"/>
  <c r="A24" i="3"/>
  <c r="A15"/>
  <c r="A10"/>
  <c r="I23" i="4"/>
  <c r="I15"/>
  <c r="C19"/>
  <c r="C12"/>
  <c r="E5"/>
  <c r="I22"/>
  <c r="I25"/>
  <c r="J23"/>
  <c r="I17"/>
  <c r="J15"/>
  <c r="D12"/>
  <c r="I16"/>
  <c r="D14"/>
  <c r="AJ8"/>
  <c r="AF12"/>
  <c r="AF31"/>
  <c r="AJ37"/>
  <c r="AF4"/>
  <c r="AF9"/>
  <c r="AJ35"/>
  <c r="AF10"/>
  <c r="AF35"/>
  <c r="AE5"/>
  <c r="AI6"/>
  <c r="AE9"/>
  <c r="AI10"/>
  <c r="AG32"/>
  <c r="AI35"/>
  <c r="AE37"/>
  <c r="AG40"/>
  <c r="AH7"/>
  <c r="AF32"/>
  <c r="AH35"/>
  <c r="AJ38"/>
  <c r="AJ59"/>
  <c r="AJ63"/>
  <c r="AJ67"/>
  <c r="AG7"/>
  <c r="AE32"/>
  <c r="AG35"/>
  <c r="AI38"/>
  <c r="AI59"/>
  <c r="AI63"/>
  <c r="AI67"/>
  <c r="AK6" i="7"/>
  <c r="S6" s="1"/>
  <c r="A96" i="5"/>
  <c r="Q96"/>
  <c r="F96" s="1"/>
  <c r="Q38"/>
  <c r="F38" s="1"/>
  <c r="A38"/>
  <c r="AL9" i="10"/>
  <c r="AK9"/>
  <c r="AI33" i="4"/>
  <c r="AI36"/>
  <c r="Q97" i="5"/>
  <c r="F97" s="1"/>
  <c r="A97"/>
  <c r="A108"/>
  <c r="Q108"/>
  <c r="F108" s="1"/>
  <c r="A158"/>
  <c r="Q158"/>
  <c r="F158" s="1"/>
  <c r="Q157"/>
  <c r="F157" s="1"/>
  <c r="A157"/>
  <c r="A132"/>
  <c r="Q132"/>
  <c r="F132" s="1"/>
  <c r="A55"/>
  <c r="Q55"/>
  <c r="F55" s="1"/>
  <c r="A127"/>
  <c r="Q127"/>
  <c r="F127" s="1"/>
  <c r="Q161"/>
  <c r="F161" s="1"/>
  <c r="A161"/>
  <c r="Q145"/>
  <c r="F145" s="1"/>
  <c r="A145"/>
  <c r="Q37"/>
  <c r="F37" s="1"/>
  <c r="A37"/>
  <c r="Q105"/>
  <c r="F105" s="1"/>
  <c r="A105"/>
  <c r="Q139"/>
  <c r="F139" s="1"/>
  <c r="A139"/>
  <c r="A131"/>
  <c r="Q131"/>
  <c r="F131" s="1"/>
  <c r="R40" i="9"/>
  <c r="AQ22" a="1"/>
  <c r="AQ22" s="1"/>
  <c r="S22"/>
  <c r="R31"/>
  <c r="F22"/>
  <c r="A135" i="5"/>
  <c r="Q135"/>
  <c r="F135" s="1"/>
  <c r="Q22" i="7"/>
  <c r="M22"/>
  <c r="W6"/>
  <c r="K6" s="1"/>
  <c r="R22"/>
  <c r="N22"/>
  <c r="P22"/>
  <c r="O22"/>
  <c r="A17" i="3"/>
  <c r="A20"/>
  <c r="A27"/>
  <c r="I11" i="4"/>
  <c r="I12"/>
  <c r="AJ66"/>
  <c r="Q22" i="11"/>
  <c r="O22"/>
  <c r="A16" i="3"/>
  <c r="A7"/>
  <c r="I5" i="4"/>
  <c r="A23" i="3"/>
  <c r="A3"/>
  <c r="I21" i="4"/>
  <c r="A22" i="3"/>
  <c r="I9" i="4"/>
  <c r="E6"/>
  <c r="I13"/>
  <c r="I20"/>
  <c r="E16"/>
  <c r="I14"/>
  <c r="AK6" i="6"/>
  <c r="S6" s="1"/>
  <c r="D9" i="4"/>
  <c r="D7"/>
  <c r="I18"/>
  <c r="D13"/>
  <c r="I26"/>
  <c r="C24"/>
  <c r="E21"/>
  <c r="I19"/>
  <c r="C16"/>
  <c r="J14"/>
  <c r="A5" i="3"/>
  <c r="E20" i="4"/>
  <c r="C15"/>
  <c r="J3"/>
  <c r="AK6" i="13"/>
  <c r="S6" s="1"/>
  <c r="AJ4" i="4"/>
  <c r="AJ12"/>
  <c r="AJ31"/>
  <c r="AF8"/>
  <c r="AH34"/>
  <c r="AF5"/>
  <c r="AH32"/>
  <c r="AF6"/>
  <c r="AH38"/>
  <c r="AE3"/>
  <c r="AI4"/>
  <c r="AE7"/>
  <c r="AI8"/>
  <c r="AI31"/>
  <c r="AE33"/>
  <c r="AG36"/>
  <c r="AH6"/>
  <c r="AH31"/>
  <c r="AJ34"/>
  <c r="AF36"/>
  <c r="AH39"/>
  <c r="AJ61"/>
  <c r="AJ65"/>
  <c r="AG6"/>
  <c r="AG31"/>
  <c r="AI61"/>
  <c r="A6" i="3"/>
  <c r="J6" i="4"/>
  <c r="AK6" i="10"/>
  <c r="S6" s="1"/>
  <c r="AA6" i="4"/>
  <c r="AA5"/>
  <c r="AA8"/>
  <c r="AN9" l="1"/>
  <c r="AN11"/>
  <c r="AM3"/>
  <c r="AG8"/>
  <c r="AM6"/>
  <c r="AH8"/>
  <c r="AG11"/>
  <c r="AM11"/>
  <c r="AH9"/>
  <c r="AL8"/>
  <c r="AM9"/>
  <c r="AN6"/>
  <c r="AN7"/>
  <c r="AM8"/>
  <c r="S7" i="6"/>
  <c r="S7" i="10"/>
  <c r="AM4" i="4"/>
  <c r="AN5"/>
  <c r="AN10"/>
  <c r="AN4"/>
  <c r="AG4"/>
  <c r="AH10"/>
  <c r="AM5"/>
  <c r="AH12"/>
  <c r="AN12"/>
  <c r="AN3"/>
  <c r="AG9"/>
  <c r="AM7"/>
  <c r="AM10"/>
  <c r="AM12"/>
  <c r="AL3"/>
  <c r="AG10"/>
  <c r="AH3"/>
  <c r="AK8"/>
  <c r="C72" i="5"/>
  <c r="AG12" i="4"/>
  <c r="S19" i="12"/>
  <c r="AG3" i="4"/>
  <c r="R42" i="11"/>
  <c r="AM22"/>
  <c r="H22" s="1"/>
  <c r="A11" i="5"/>
  <c r="Q11"/>
  <c r="Q29"/>
  <c r="F29" s="1"/>
  <c r="A29"/>
  <c r="Q3"/>
  <c r="A3"/>
  <c r="Q130"/>
  <c r="F130" s="1"/>
  <c r="A130"/>
  <c r="AM22" i="8"/>
  <c r="H22" s="1"/>
  <c r="A67" i="5"/>
  <c r="Q67"/>
  <c r="A128"/>
  <c r="Q128"/>
  <c r="F128" s="1"/>
  <c r="A59"/>
  <c r="Q59"/>
  <c r="F59" s="1"/>
  <c r="Q70"/>
  <c r="A70"/>
  <c r="Q4"/>
  <c r="A4"/>
  <c r="A51"/>
  <c r="Q51"/>
  <c r="F51" s="1"/>
  <c r="Q114"/>
  <c r="A114"/>
  <c r="A60"/>
  <c r="Q60"/>
  <c r="A47"/>
  <c r="Q47"/>
  <c r="A23"/>
  <c r="Q23"/>
  <c r="F23" s="1"/>
  <c r="A91"/>
  <c r="Q91"/>
  <c r="Q54"/>
  <c r="F54" s="1"/>
  <c r="A54"/>
  <c r="A104"/>
  <c r="Q104"/>
  <c r="Q14"/>
  <c r="A14"/>
  <c r="Q25"/>
  <c r="F25" s="1"/>
  <c r="A25"/>
  <c r="Q46"/>
  <c r="A46"/>
  <c r="Q33"/>
  <c r="F33" s="1"/>
  <c r="A33"/>
  <c r="Q53"/>
  <c r="F53" s="1"/>
  <c r="A53"/>
  <c r="A36"/>
  <c r="Q36"/>
  <c r="F36" s="1"/>
  <c r="A20"/>
  <c r="Q20"/>
  <c r="Q65"/>
  <c r="A65"/>
  <c r="Q93"/>
  <c r="A93"/>
  <c r="A124"/>
  <c r="Q124"/>
  <c r="F124" s="1"/>
  <c r="A100"/>
  <c r="Q100"/>
  <c r="Q61"/>
  <c r="A61"/>
  <c r="A119"/>
  <c r="Q119"/>
  <c r="Q110"/>
  <c r="A110"/>
  <c r="A84"/>
  <c r="Q84"/>
  <c r="Q41"/>
  <c r="A41"/>
  <c r="A32"/>
  <c r="Q32"/>
  <c r="F32" s="1"/>
  <c r="AL12" i="4"/>
  <c r="D46" i="5"/>
  <c r="E3"/>
  <c r="E85"/>
  <c r="D3"/>
  <c r="B118"/>
  <c r="E73"/>
  <c r="E121"/>
  <c r="E115"/>
  <c r="AK6" i="4"/>
  <c r="AH5"/>
  <c r="AL9"/>
  <c r="E35" i="5"/>
  <c r="D69"/>
  <c r="D63"/>
  <c r="D30"/>
  <c r="E100"/>
  <c r="B20"/>
  <c r="B5"/>
  <c r="B19"/>
  <c r="E4"/>
  <c r="D87"/>
  <c r="E49"/>
  <c r="B114"/>
  <c r="B91"/>
  <c r="D45"/>
  <c r="D31"/>
  <c r="D103"/>
  <c r="B74"/>
  <c r="E48"/>
  <c r="E31"/>
  <c r="R40" i="13"/>
  <c r="AQ22" a="1"/>
  <c r="AQ22" s="1"/>
  <c r="R31"/>
  <c r="F22"/>
  <c r="S22"/>
  <c r="R42" i="8"/>
  <c r="A27" i="5"/>
  <c r="Q27"/>
  <c r="F27" s="1"/>
  <c r="A115"/>
  <c r="Q115"/>
  <c r="A103"/>
  <c r="Q103"/>
  <c r="A99"/>
  <c r="Q99"/>
  <c r="AM40" i="4"/>
  <c r="AM32"/>
  <c r="AN40"/>
  <c r="AN32"/>
  <c r="AM37"/>
  <c r="AN31"/>
  <c r="AN37"/>
  <c r="AM34"/>
  <c r="AN39"/>
  <c r="AN34"/>
  <c r="AM39"/>
  <c r="AN35"/>
  <c r="AM36"/>
  <c r="AN36"/>
  <c r="AM33"/>
  <c r="AM38"/>
  <c r="AN38"/>
  <c r="AM35"/>
  <c r="AM31"/>
  <c r="AN33"/>
  <c r="R40" i="7"/>
  <c r="S22"/>
  <c r="AQ22" a="1"/>
  <c r="AQ22" s="1"/>
  <c r="F22"/>
  <c r="R31"/>
  <c r="A88" i="5"/>
  <c r="Q88"/>
  <c r="F88" s="1"/>
  <c r="Q101"/>
  <c r="A101"/>
  <c r="Q10"/>
  <c r="F10" s="1"/>
  <c r="A10"/>
  <c r="A87"/>
  <c r="Q87"/>
  <c r="A15"/>
  <c r="Q15"/>
  <c r="F15" s="1"/>
  <c r="A116"/>
  <c r="Q116"/>
  <c r="A68"/>
  <c r="Q68"/>
  <c r="A12"/>
  <c r="Q12"/>
  <c r="F12" s="1"/>
  <c r="A83"/>
  <c r="Q83"/>
  <c r="Q74"/>
  <c r="A74"/>
  <c r="Q86"/>
  <c r="A86"/>
  <c r="Q118"/>
  <c r="A118"/>
  <c r="A75"/>
  <c r="Q75"/>
  <c r="F75" s="1"/>
  <c r="Q77"/>
  <c r="F77" s="1"/>
  <c r="A77"/>
  <c r="Q90"/>
  <c r="A90"/>
  <c r="Q13"/>
  <c r="F13" s="1"/>
  <c r="A13"/>
  <c r="Q73"/>
  <c r="A73"/>
  <c r="A16"/>
  <c r="Q16"/>
  <c r="F16" s="1"/>
  <c r="Q122"/>
  <c r="A122"/>
  <c r="Q62"/>
  <c r="A62"/>
  <c r="A28"/>
  <c r="Q28"/>
  <c r="F28" s="1"/>
  <c r="A31"/>
  <c r="Q31"/>
  <c r="A44"/>
  <c r="Q44"/>
  <c r="F44" s="1"/>
  <c r="AK10" i="4"/>
  <c r="AK9"/>
  <c r="D85" i="5"/>
  <c r="E89"/>
  <c r="AH4" i="4"/>
  <c r="AK12"/>
  <c r="S9" i="10"/>
  <c r="S22" s="1"/>
  <c r="AL6" i="4"/>
  <c r="AK7"/>
  <c r="AL11"/>
  <c r="AL4"/>
  <c r="S8" i="6"/>
  <c r="D5" i="5"/>
  <c r="E67"/>
  <c r="D64"/>
  <c r="D4"/>
  <c r="D104"/>
  <c r="D68"/>
  <c r="B61"/>
  <c r="B123"/>
  <c r="D74"/>
  <c r="E68"/>
  <c r="E86"/>
  <c r="D73"/>
  <c r="E112"/>
  <c r="D92"/>
  <c r="B46"/>
  <c r="D71"/>
  <c r="D84"/>
  <c r="B93"/>
  <c r="B72"/>
  <c r="E103"/>
  <c r="E70"/>
  <c r="B4"/>
  <c r="E87"/>
  <c r="E104"/>
  <c r="E84"/>
  <c r="D123"/>
  <c r="E65"/>
  <c r="E116"/>
  <c r="E50"/>
  <c r="R42" i="9"/>
  <c r="AK37" i="4"/>
  <c r="AL37"/>
  <c r="AK34"/>
  <c r="AL38"/>
  <c r="AL40"/>
  <c r="AK39"/>
  <c r="AL39"/>
  <c r="AK33"/>
  <c r="AL33"/>
  <c r="AK38"/>
  <c r="AL34"/>
  <c r="AK31"/>
  <c r="AL31"/>
  <c r="AK35"/>
  <c r="AL35"/>
  <c r="AK40"/>
  <c r="AK32"/>
  <c r="AL36"/>
  <c r="AL32"/>
  <c r="AK36"/>
  <c r="A120" i="5"/>
  <c r="Q120"/>
  <c r="F120" s="1"/>
  <c r="Q18"/>
  <c r="F18" s="1"/>
  <c r="A18"/>
  <c r="A24"/>
  <c r="Q24"/>
  <c r="F24" s="1"/>
  <c r="Q113"/>
  <c r="A113"/>
  <c r="Q85"/>
  <c r="A85"/>
  <c r="A123"/>
  <c r="Q123"/>
  <c r="A111"/>
  <c r="Q111"/>
  <c r="Q50"/>
  <c r="A50"/>
  <c r="Q129"/>
  <c r="F129" s="1"/>
  <c r="A129"/>
  <c r="Q30"/>
  <c r="A30"/>
  <c r="AM22" i="9"/>
  <c r="H22" s="1"/>
  <c r="A72" i="5"/>
  <c r="Q72"/>
  <c r="A52"/>
  <c r="Q52"/>
  <c r="Q82"/>
  <c r="F82" s="1"/>
  <c r="A82"/>
  <c r="A35"/>
  <c r="Q35"/>
  <c r="Q9"/>
  <c r="A9"/>
  <c r="A92"/>
  <c r="Q92"/>
  <c r="A48"/>
  <c r="Q48"/>
  <c r="A71"/>
  <c r="Q71"/>
  <c r="A63"/>
  <c r="Q63"/>
  <c r="Q26"/>
  <c r="F26" s="1"/>
  <c r="A26"/>
  <c r="Q125"/>
  <c r="F125" s="1"/>
  <c r="A125"/>
  <c r="Q45"/>
  <c r="A45"/>
  <c r="Q34"/>
  <c r="F34" s="1"/>
  <c r="A34"/>
  <c r="Q66"/>
  <c r="A66"/>
  <c r="Q69"/>
  <c r="A69"/>
  <c r="Q17"/>
  <c r="F17" s="1"/>
  <c r="A17"/>
  <c r="Q49"/>
  <c r="A49"/>
  <c r="Q89"/>
  <c r="A89"/>
  <c r="A6"/>
  <c r="Q6"/>
  <c r="F6" s="1"/>
  <c r="A43"/>
  <c r="Q43"/>
  <c r="A5"/>
  <c r="Q5"/>
  <c r="A112"/>
  <c r="Q112"/>
  <c r="A19"/>
  <c r="Q19"/>
  <c r="A76"/>
  <c r="Q76"/>
  <c r="F76" s="1"/>
  <c r="Q121"/>
  <c r="A121"/>
  <c r="A64"/>
  <c r="Q64"/>
  <c r="AL10" i="4"/>
  <c r="B9" i="5"/>
  <c r="D11"/>
  <c r="D43"/>
  <c r="D86"/>
  <c r="E66"/>
  <c r="B112"/>
  <c r="D114"/>
  <c r="E83"/>
  <c r="D122"/>
  <c r="E43"/>
  <c r="E30"/>
  <c r="D90"/>
  <c r="B113"/>
  <c r="B119"/>
  <c r="B92"/>
  <c r="B3"/>
  <c r="AN8" i="4"/>
  <c r="AG5"/>
  <c r="AH11"/>
  <c r="AK11"/>
  <c r="AK3"/>
  <c r="AL7"/>
  <c r="D14" i="5"/>
  <c r="D118"/>
  <c r="E9"/>
  <c r="D115"/>
  <c r="B41"/>
  <c r="B67"/>
  <c r="D101"/>
  <c r="D52"/>
  <c r="D116"/>
  <c r="D70"/>
  <c r="C504"/>
  <c r="E47"/>
  <c r="B111"/>
  <c r="E5"/>
  <c r="E101"/>
  <c r="D35"/>
  <c r="D41"/>
  <c r="D50"/>
  <c r="D49"/>
  <c r="AA10" i="4"/>
  <c r="AA4"/>
  <c r="AQ22" i="6" l="1" a="1"/>
  <c r="AQ22" s="1"/>
  <c r="S22"/>
  <c r="F22"/>
  <c r="R31"/>
  <c r="R40"/>
  <c r="R31" i="10"/>
  <c r="F22" i="12"/>
  <c r="S22"/>
  <c r="AQ22" a="1"/>
  <c r="AQ22" s="1"/>
  <c r="AM22" s="1"/>
  <c r="H22" s="1"/>
  <c r="R40"/>
  <c r="R31"/>
  <c r="AQ22" i="10" a="1"/>
  <c r="AQ22" s="1"/>
  <c r="AM22" s="1"/>
  <c r="H22" s="1"/>
  <c r="F64" i="5"/>
  <c r="R40" i="10"/>
  <c r="R42" s="1"/>
  <c r="F112" i="5"/>
  <c r="F92"/>
  <c r="F103"/>
  <c r="F46"/>
  <c r="F89"/>
  <c r="F66"/>
  <c r="F45"/>
  <c r="F30"/>
  <c r="F50"/>
  <c r="F113"/>
  <c r="F62"/>
  <c r="F118"/>
  <c r="F74"/>
  <c r="F101"/>
  <c r="F104"/>
  <c r="F91"/>
  <c r="F47"/>
  <c r="F67"/>
  <c r="A504"/>
  <c r="F11"/>
  <c r="R42" i="6"/>
  <c r="R42" i="13"/>
  <c r="F116" i="5"/>
  <c r="F93"/>
  <c r="F14"/>
  <c r="F70"/>
  <c r="B504"/>
  <c r="F121"/>
  <c r="F49"/>
  <c r="F69"/>
  <c r="F9"/>
  <c r="F85"/>
  <c r="F122"/>
  <c r="F73"/>
  <c r="F90"/>
  <c r="F86"/>
  <c r="F22" i="10"/>
  <c r="F84" i="5"/>
  <c r="F119"/>
  <c r="F100"/>
  <c r="F20"/>
  <c r="F60"/>
  <c r="R42" i="7"/>
  <c r="AA55" i="5"/>
  <c r="AD54"/>
  <c r="AC53"/>
  <c r="AB52"/>
  <c r="AA51"/>
  <c r="AD50"/>
  <c r="AC49"/>
  <c r="AB48"/>
  <c r="AA47"/>
  <c r="AD46"/>
  <c r="AC45"/>
  <c r="AB44"/>
  <c r="AA43"/>
  <c r="AD42"/>
  <c r="AC41"/>
  <c r="AB40"/>
  <c r="AA39"/>
  <c r="AD38"/>
  <c r="AC37"/>
  <c r="AB36"/>
  <c r="AA35"/>
  <c r="AD34"/>
  <c r="AC33"/>
  <c r="AB32"/>
  <c r="AA31"/>
  <c r="AB55"/>
  <c r="AA54"/>
  <c r="AD53"/>
  <c r="AC52"/>
  <c r="AB51"/>
  <c r="AA50"/>
  <c r="AD49"/>
  <c r="AC48"/>
  <c r="AB47"/>
  <c r="AA46"/>
  <c r="AD45"/>
  <c r="AC44"/>
  <c r="AB43"/>
  <c r="AA42"/>
  <c r="AD41"/>
  <c r="AC40"/>
  <c r="AB39"/>
  <c r="AA38"/>
  <c r="AD37"/>
  <c r="AC36"/>
  <c r="AB35"/>
  <c r="AA34"/>
  <c r="AD33"/>
  <c r="AC32"/>
  <c r="AB31"/>
  <c r="AC55"/>
  <c r="AB54"/>
  <c r="AA53"/>
  <c r="AD52"/>
  <c r="AC51"/>
  <c r="AB50"/>
  <c r="AA49"/>
  <c r="AD48"/>
  <c r="AC47"/>
  <c r="AB46"/>
  <c r="AA45"/>
  <c r="AD44"/>
  <c r="AC43"/>
  <c r="AB42"/>
  <c r="AA41"/>
  <c r="AD40"/>
  <c r="AC39"/>
  <c r="AB38"/>
  <c r="AA37"/>
  <c r="AD36"/>
  <c r="AC35"/>
  <c r="AB34"/>
  <c r="AA33"/>
  <c r="AD32"/>
  <c r="AC31"/>
  <c r="AD47"/>
  <c r="AC46"/>
  <c r="AB45"/>
  <c r="AA44"/>
  <c r="AD31"/>
  <c r="AD43"/>
  <c r="AC42"/>
  <c r="AB41"/>
  <c r="AA40"/>
  <c r="AD55"/>
  <c r="AC54"/>
  <c r="AB53"/>
  <c r="AA52"/>
  <c r="AD39"/>
  <c r="AC38"/>
  <c r="AB37"/>
  <c r="AA36"/>
  <c r="AD35"/>
  <c r="AB33"/>
  <c r="AC50"/>
  <c r="AA48"/>
  <c r="AC34"/>
  <c r="AA32"/>
  <c r="AD51"/>
  <c r="AB49"/>
  <c r="AM22" i="6"/>
  <c r="H22" s="1"/>
  <c r="AM22" i="7"/>
  <c r="H22" s="1"/>
  <c r="AM22" i="13"/>
  <c r="H22" s="1"/>
  <c r="F43" i="5"/>
  <c r="F71"/>
  <c r="F35"/>
  <c r="F52"/>
  <c r="F123"/>
  <c r="F31"/>
  <c r="F87"/>
  <c r="E504"/>
  <c r="F19"/>
  <c r="F5"/>
  <c r="F63"/>
  <c r="F48"/>
  <c r="F72"/>
  <c r="F111"/>
  <c r="F83"/>
  <c r="F68"/>
  <c r="F99"/>
  <c r="F115"/>
  <c r="D504"/>
  <c r="F41"/>
  <c r="F110"/>
  <c r="F61"/>
  <c r="F65"/>
  <c r="F114"/>
  <c r="F4"/>
  <c r="F3"/>
  <c r="AA3" i="4"/>
  <c r="AA7"/>
  <c r="AA9"/>
  <c r="L3" l="1"/>
  <c r="L26"/>
  <c r="L24"/>
  <c r="L11"/>
  <c r="L25"/>
  <c r="L5"/>
  <c r="AA29"/>
  <c r="AE83" s="1"/>
  <c r="L17"/>
  <c r="L23"/>
  <c r="L20"/>
  <c r="L16"/>
  <c r="L6"/>
  <c r="L4"/>
  <c r="L7"/>
  <c r="L13"/>
  <c r="L14"/>
  <c r="L27"/>
  <c r="L21"/>
  <c r="L10"/>
  <c r="L22"/>
  <c r="L19"/>
  <c r="L12"/>
  <c r="L18"/>
  <c r="L15"/>
  <c r="L8"/>
  <c r="L9"/>
  <c r="R42" i="12"/>
  <c r="U83" i="5"/>
  <c r="X82"/>
  <c r="W81"/>
  <c r="V80"/>
  <c r="U79"/>
  <c r="X78"/>
  <c r="W77"/>
  <c r="V76"/>
  <c r="U75"/>
  <c r="X74"/>
  <c r="W73"/>
  <c r="V72"/>
  <c r="U71"/>
  <c r="X70"/>
  <c r="W69"/>
  <c r="V68"/>
  <c r="U67"/>
  <c r="X66"/>
  <c r="W65"/>
  <c r="V64"/>
  <c r="U63"/>
  <c r="X62"/>
  <c r="W61"/>
  <c r="V60"/>
  <c r="U59"/>
  <c r="V83"/>
  <c r="U82"/>
  <c r="X81"/>
  <c r="W80"/>
  <c r="V79"/>
  <c r="U78"/>
  <c r="X77"/>
  <c r="W76"/>
  <c r="V75"/>
  <c r="U74"/>
  <c r="X73"/>
  <c r="W72"/>
  <c r="V71"/>
  <c r="U70"/>
  <c r="X69"/>
  <c r="W68"/>
  <c r="V67"/>
  <c r="U66"/>
  <c r="X65"/>
  <c r="W64"/>
  <c r="V63"/>
  <c r="U62"/>
  <c r="X61"/>
  <c r="W60"/>
  <c r="V59"/>
  <c r="W83"/>
  <c r="V82"/>
  <c r="U81"/>
  <c r="X80"/>
  <c r="W79"/>
  <c r="V78"/>
  <c r="U77"/>
  <c r="X76"/>
  <c r="W75"/>
  <c r="V74"/>
  <c r="U73"/>
  <c r="X72"/>
  <c r="W71"/>
  <c r="V70"/>
  <c r="U69"/>
  <c r="X68"/>
  <c r="W67"/>
  <c r="V66"/>
  <c r="U65"/>
  <c r="X64"/>
  <c r="W63"/>
  <c r="V62"/>
  <c r="U61"/>
  <c r="X60"/>
  <c r="W59"/>
  <c r="X83"/>
  <c r="W82"/>
  <c r="V81"/>
  <c r="U80"/>
  <c r="X67"/>
  <c r="W66"/>
  <c r="V65"/>
  <c r="U64"/>
  <c r="X79"/>
  <c r="W78"/>
  <c r="V77"/>
  <c r="U76"/>
  <c r="X63"/>
  <c r="W62"/>
  <c r="V61"/>
  <c r="U60"/>
  <c r="X75"/>
  <c r="W74"/>
  <c r="V73"/>
  <c r="U72"/>
  <c r="X59"/>
  <c r="X71"/>
  <c r="V69"/>
  <c r="W70"/>
  <c r="U68"/>
  <c r="AA83"/>
  <c r="AD82"/>
  <c r="AC81"/>
  <c r="AB80"/>
  <c r="AA79"/>
  <c r="AD78"/>
  <c r="AC77"/>
  <c r="AB76"/>
  <c r="AA75"/>
  <c r="AD74"/>
  <c r="AC73"/>
  <c r="AB72"/>
  <c r="AA71"/>
  <c r="AD70"/>
  <c r="AC69"/>
  <c r="AB68"/>
  <c r="AA67"/>
  <c r="AD66"/>
  <c r="AC65"/>
  <c r="AB64"/>
  <c r="AA63"/>
  <c r="AD62"/>
  <c r="AC61"/>
  <c r="AB60"/>
  <c r="AA59"/>
  <c r="AB83"/>
  <c r="AA82"/>
  <c r="AD81"/>
  <c r="AC80"/>
  <c r="AB79"/>
  <c r="AA78"/>
  <c r="AD77"/>
  <c r="AC76"/>
  <c r="AB75"/>
  <c r="AA74"/>
  <c r="AD73"/>
  <c r="AC72"/>
  <c r="AB71"/>
  <c r="AA70"/>
  <c r="AD69"/>
  <c r="AC68"/>
  <c r="AB67"/>
  <c r="AA66"/>
  <c r="AD65"/>
  <c r="AC64"/>
  <c r="AB63"/>
  <c r="AA62"/>
  <c r="AD61"/>
  <c r="AC60"/>
  <c r="AB59"/>
  <c r="AC83"/>
  <c r="AB82"/>
  <c r="AA81"/>
  <c r="AD80"/>
  <c r="AC79"/>
  <c r="AB78"/>
  <c r="AA77"/>
  <c r="AD76"/>
  <c r="AC75"/>
  <c r="AB74"/>
  <c r="AA73"/>
  <c r="AD72"/>
  <c r="AC71"/>
  <c r="AB70"/>
  <c r="AA69"/>
  <c r="AD68"/>
  <c r="AC67"/>
  <c r="AB66"/>
  <c r="AA65"/>
  <c r="AD64"/>
  <c r="AC63"/>
  <c r="AB62"/>
  <c r="AA61"/>
  <c r="AD60"/>
  <c r="AC59"/>
  <c r="AD71"/>
  <c r="AC70"/>
  <c r="AB69"/>
  <c r="AA68"/>
  <c r="AD83"/>
  <c r="AC82"/>
  <c r="AB81"/>
  <c r="AA80"/>
  <c r="AD67"/>
  <c r="AC66"/>
  <c r="AB65"/>
  <c r="AA64"/>
  <c r="AD79"/>
  <c r="AC78"/>
  <c r="AB77"/>
  <c r="AA76"/>
  <c r="AD63"/>
  <c r="AC62"/>
  <c r="AB61"/>
  <c r="AA60"/>
  <c r="AD75"/>
  <c r="AB73"/>
  <c r="AD59"/>
  <c r="AC74"/>
  <c r="AA72"/>
  <c r="AE81" i="4"/>
  <c r="AE80"/>
  <c r="AE77"/>
  <c r="AE76"/>
  <c r="AE73"/>
  <c r="AE72"/>
  <c r="AE69"/>
  <c r="AF82"/>
  <c r="AF81"/>
  <c r="AF78"/>
  <c r="AF77"/>
  <c r="AF74"/>
  <c r="AF73"/>
  <c r="AF70"/>
  <c r="AF69"/>
  <c r="AG83"/>
  <c r="AG82"/>
  <c r="AG79"/>
  <c r="AG78"/>
  <c r="AG75"/>
  <c r="AG74"/>
  <c r="AG71"/>
  <c r="AG70"/>
  <c r="AG67"/>
  <c r="AG66"/>
  <c r="AG63"/>
  <c r="AG62"/>
  <c r="AG59"/>
  <c r="AH83"/>
  <c r="AH77"/>
  <c r="AH75"/>
  <c r="AH69"/>
  <c r="AH67"/>
  <c r="AH61"/>
  <c r="AH59"/>
  <c r="AH78"/>
  <c r="AH76"/>
  <c r="AH70"/>
  <c r="AH68"/>
  <c r="AH62"/>
  <c r="AH60"/>
  <c r="AA27" i="5"/>
  <c r="AD26"/>
  <c r="AC25"/>
  <c r="AB24"/>
  <c r="AA23"/>
  <c r="AD22"/>
  <c r="AC21"/>
  <c r="AB20"/>
  <c r="AA19"/>
  <c r="AD18"/>
  <c r="AC17"/>
  <c r="AB16"/>
  <c r="AA15"/>
  <c r="AD14"/>
  <c r="AC13"/>
  <c r="AB12"/>
  <c r="AA11"/>
  <c r="AD10"/>
  <c r="AC9"/>
  <c r="AB8"/>
  <c r="AB27"/>
  <c r="AA26"/>
  <c r="AD25"/>
  <c r="AC24"/>
  <c r="AB23"/>
  <c r="AA22"/>
  <c r="AD21"/>
  <c r="AC20"/>
  <c r="AB19"/>
  <c r="AA18"/>
  <c r="AD17"/>
  <c r="AC16"/>
  <c r="AB15"/>
  <c r="AA14"/>
  <c r="AD13"/>
  <c r="AC12"/>
  <c r="AB11"/>
  <c r="AA10"/>
  <c r="AD9"/>
  <c r="AC8"/>
  <c r="AC27"/>
  <c r="AB26"/>
  <c r="AA25"/>
  <c r="AD24"/>
  <c r="AC23"/>
  <c r="AB22"/>
  <c r="AA21"/>
  <c r="AD20"/>
  <c r="AC19"/>
  <c r="AB18"/>
  <c r="AA17"/>
  <c r="AD16"/>
  <c r="AC15"/>
  <c r="AB14"/>
  <c r="AA13"/>
  <c r="AD12"/>
  <c r="AC11"/>
  <c r="AB10"/>
  <c r="AA9"/>
  <c r="AD8"/>
  <c r="AC7"/>
  <c r="AB6"/>
  <c r="AA5"/>
  <c r="AD4"/>
  <c r="AC3"/>
  <c r="AD23"/>
  <c r="AC22"/>
  <c r="AB21"/>
  <c r="AA20"/>
  <c r="AA7"/>
  <c r="AD5"/>
  <c r="AC4"/>
  <c r="AB3"/>
  <c r="AD19"/>
  <c r="AC18"/>
  <c r="AB17"/>
  <c r="AA16"/>
  <c r="AB7"/>
  <c r="AA6"/>
  <c r="AD3"/>
  <c r="AD15"/>
  <c r="AC14"/>
  <c r="AB13"/>
  <c r="AA12"/>
  <c r="AD7"/>
  <c r="AC6"/>
  <c r="AB5"/>
  <c r="AA4"/>
  <c r="AC26"/>
  <c r="AA24"/>
  <c r="AC10"/>
  <c r="AA8"/>
  <c r="AD6"/>
  <c r="AB4"/>
  <c r="AD27"/>
  <c r="AB25"/>
  <c r="AD11"/>
  <c r="AB9"/>
  <c r="AC5"/>
  <c r="AA3"/>
  <c r="U55"/>
  <c r="X54"/>
  <c r="W53"/>
  <c r="V52"/>
  <c r="U51"/>
  <c r="X50"/>
  <c r="W49"/>
  <c r="V48"/>
  <c r="U47"/>
  <c r="X46"/>
  <c r="W45"/>
  <c r="V44"/>
  <c r="U43"/>
  <c r="X42"/>
  <c r="W41"/>
  <c r="V40"/>
  <c r="U39"/>
  <c r="X38"/>
  <c r="W37"/>
  <c r="V36"/>
  <c r="U35"/>
  <c r="X34"/>
  <c r="W33"/>
  <c r="V32"/>
  <c r="U31"/>
  <c r="V55"/>
  <c r="U54"/>
  <c r="X53"/>
  <c r="W52"/>
  <c r="V51"/>
  <c r="U50"/>
  <c r="X49"/>
  <c r="W48"/>
  <c r="V47"/>
  <c r="U46"/>
  <c r="X45"/>
  <c r="W44"/>
  <c r="V43"/>
  <c r="U42"/>
  <c r="X41"/>
  <c r="W40"/>
  <c r="V39"/>
  <c r="U38"/>
  <c r="X37"/>
  <c r="W36"/>
  <c r="V35"/>
  <c r="U34"/>
  <c r="X33"/>
  <c r="W32"/>
  <c r="V31"/>
  <c r="W55"/>
  <c r="V54"/>
  <c r="U53"/>
  <c r="X52"/>
  <c r="W51"/>
  <c r="V50"/>
  <c r="U49"/>
  <c r="X48"/>
  <c r="W47"/>
  <c r="V46"/>
  <c r="U45"/>
  <c r="X44"/>
  <c r="W43"/>
  <c r="V42"/>
  <c r="U41"/>
  <c r="X40"/>
  <c r="W39"/>
  <c r="V38"/>
  <c r="U37"/>
  <c r="X36"/>
  <c r="W35"/>
  <c r="V34"/>
  <c r="U33"/>
  <c r="X32"/>
  <c r="W31"/>
  <c r="X43"/>
  <c r="W42"/>
  <c r="V41"/>
  <c r="U40"/>
  <c r="X55"/>
  <c r="W54"/>
  <c r="V53"/>
  <c r="U52"/>
  <c r="X39"/>
  <c r="W38"/>
  <c r="V37"/>
  <c r="U36"/>
  <c r="X51"/>
  <c r="W50"/>
  <c r="V49"/>
  <c r="U48"/>
  <c r="X35"/>
  <c r="W34"/>
  <c r="V33"/>
  <c r="U32"/>
  <c r="X31"/>
  <c r="W46"/>
  <c r="U44"/>
  <c r="X47"/>
  <c r="V45"/>
  <c r="F504"/>
  <c r="AE61" i="4" l="1"/>
  <c r="AF62"/>
  <c r="AE60"/>
  <c r="AE64"/>
  <c r="AE65"/>
  <c r="AF65"/>
  <c r="AF61"/>
  <c r="AE68"/>
  <c r="AF66"/>
  <c r="AH64"/>
  <c r="AH72"/>
  <c r="AH80"/>
  <c r="AH63"/>
  <c r="AH71"/>
  <c r="AH79"/>
  <c r="AG60"/>
  <c r="AG64"/>
  <c r="AG68"/>
  <c r="AG72"/>
  <c r="AG76"/>
  <c r="AG80"/>
  <c r="AF59"/>
  <c r="AF63"/>
  <c r="AF67"/>
  <c r="AF71"/>
  <c r="AF75"/>
  <c r="AF79"/>
  <c r="AF83"/>
  <c r="AE62"/>
  <c r="AE66"/>
  <c r="AE70"/>
  <c r="AE74"/>
  <c r="AE78"/>
  <c r="AE82"/>
  <c r="AH66"/>
  <c r="AH74"/>
  <c r="AH82"/>
  <c r="AH65"/>
  <c r="AH73"/>
  <c r="AH81"/>
  <c r="AG61"/>
  <c r="AG65"/>
  <c r="AG69"/>
  <c r="AG73"/>
  <c r="AG77"/>
  <c r="AG81"/>
  <c r="AF60"/>
  <c r="AF64"/>
  <c r="AF68"/>
  <c r="AF72"/>
  <c r="AF76"/>
  <c r="AF80"/>
  <c r="AE59"/>
  <c r="AE63"/>
  <c r="AE67"/>
  <c r="AE71"/>
  <c r="AE75"/>
  <c r="AE79"/>
  <c r="U27" i="5"/>
  <c r="X26"/>
  <c r="W25"/>
  <c r="V24"/>
  <c r="U23"/>
  <c r="X22"/>
  <c r="W21"/>
  <c r="V20"/>
  <c r="U19"/>
  <c r="X18"/>
  <c r="W17"/>
  <c r="V16"/>
  <c r="U15"/>
  <c r="X14"/>
  <c r="W13"/>
  <c r="V12"/>
  <c r="U11"/>
  <c r="X10"/>
  <c r="W9"/>
  <c r="V8"/>
  <c r="V27"/>
  <c r="U26"/>
  <c r="X25"/>
  <c r="W24"/>
  <c r="V23"/>
  <c r="U22"/>
  <c r="X21"/>
  <c r="W20"/>
  <c r="V19"/>
  <c r="U18"/>
  <c r="X17"/>
  <c r="W16"/>
  <c r="V15"/>
  <c r="U14"/>
  <c r="X13"/>
  <c r="W12"/>
  <c r="V11"/>
  <c r="U10"/>
  <c r="X9"/>
  <c r="W8"/>
  <c r="W27"/>
  <c r="V26"/>
  <c r="U25"/>
  <c r="X24"/>
  <c r="W23"/>
  <c r="V22"/>
  <c r="U21"/>
  <c r="X20"/>
  <c r="W19"/>
  <c r="V18"/>
  <c r="U17"/>
  <c r="X16"/>
  <c r="W15"/>
  <c r="V14"/>
  <c r="U13"/>
  <c r="X12"/>
  <c r="W11"/>
  <c r="V10"/>
  <c r="U9"/>
  <c r="X8"/>
  <c r="W7"/>
  <c r="V6"/>
  <c r="U5"/>
  <c r="X4"/>
  <c r="W3"/>
  <c r="X19"/>
  <c r="W18"/>
  <c r="V17"/>
  <c r="U16"/>
  <c r="X6"/>
  <c r="W5"/>
  <c r="V4"/>
  <c r="U3"/>
  <c r="X15"/>
  <c r="W14"/>
  <c r="V13"/>
  <c r="U12"/>
  <c r="U7"/>
  <c r="X5"/>
  <c r="W4"/>
  <c r="V3"/>
  <c r="X27"/>
  <c r="W26"/>
  <c r="V25"/>
  <c r="U24"/>
  <c r="X11"/>
  <c r="W10"/>
  <c r="V9"/>
  <c r="U8"/>
  <c r="V7"/>
  <c r="U6"/>
  <c r="X3"/>
  <c r="W22"/>
  <c r="U20"/>
  <c r="W6"/>
  <c r="U4"/>
  <c r="X23"/>
  <c r="V21"/>
  <c r="X7"/>
  <c r="V5"/>
</calcChain>
</file>

<file path=xl/comments1.xml><?xml version="1.0" encoding="utf-8"?>
<comments xmlns="http://schemas.openxmlformats.org/spreadsheetml/2006/main">
  <authors>
    <author/>
  </authors>
  <commentList>
    <comment ref="W2" authorId="0">
      <text>
        <r>
          <rPr>
            <sz val="10"/>
            <color rgb="FF000000"/>
            <rFont val="Arial"/>
          </rPr>
          <t>List game types to be included in the ranking using the drop down boxes.</t>
        </r>
      </text>
    </comment>
  </commentList>
</comments>
</file>

<file path=xl/comments2.xml><?xml version="1.0" encoding="utf-8"?>
<comments xmlns="http://schemas.openxmlformats.org/spreadsheetml/2006/main">
  <authors>
    <author/>
  </authors>
  <commentList>
    <comment ref="AP2" authorId="0">
      <text>
        <r>
          <rPr>
            <sz val="10"/>
            <color rgb="FF000000"/>
            <rFont val="Arial"/>
          </rPr>
          <t>List game types to be included in the ranking using the drop down boxes.</t>
        </r>
      </text>
    </comment>
  </commentList>
</comments>
</file>

<file path=xl/comments3.xml><?xml version="1.0" encoding="utf-8"?>
<comments xmlns="http://schemas.openxmlformats.org/spreadsheetml/2006/main">
  <authors>
    <author/>
  </authors>
  <commentList>
    <comment ref="AE5" authorId="0">
      <text>
        <r>
          <rPr>
            <sz val="10"/>
            <color rgb="FF000000"/>
            <rFont val="Arial"/>
          </rPr>
          <t xml:space="preserve">Enter Injury texts, separated by comma.
Example: MA-, AG-, Nig, Nig
Note: Stat decreases will be automatically deducted from the stat display if you use format shown in the example. </t>
        </r>
      </text>
    </comment>
    <comment ref="AF5" authorId="0">
      <text>
        <r>
          <rPr>
            <sz val="10"/>
            <color rgb="FF000000"/>
            <rFont val="Arial"/>
          </rPr>
          <t>Text to be added to player's skill list for gained extraordinary skills, for example mutation for Chaos Cup or Fan Favorite from Spike!</t>
        </r>
      </text>
    </comment>
    <comment ref="AG5" authorId="0">
      <text>
        <r>
          <rPr>
            <sz val="10"/>
            <color rgb="FF000000"/>
            <rFont val="Arial"/>
          </rPr>
          <t xml:space="preserve">Combined value to be added for the extraordinary skills gained. </t>
        </r>
      </text>
    </comment>
  </commentList>
</comments>
</file>

<file path=xl/comments4.xml><?xml version="1.0" encoding="utf-8"?>
<comments xmlns="http://schemas.openxmlformats.org/spreadsheetml/2006/main">
  <authors>
    <author/>
  </authors>
  <commentList>
    <comment ref="AE5" authorId="0">
      <text>
        <r>
          <rPr>
            <sz val="10"/>
            <color rgb="FF000000"/>
            <rFont val="Arial"/>
          </rPr>
          <t xml:space="preserve">Enter Injury texts, separated by comma.
Example: MA-, AG-, Nig, Nig
Note: Stat decreases will be automatically deducted from the stat display if you use format shown in the example. </t>
        </r>
      </text>
    </comment>
    <comment ref="AF5" authorId="0">
      <text>
        <r>
          <rPr>
            <sz val="10"/>
            <color rgb="FF000000"/>
            <rFont val="Arial"/>
          </rPr>
          <t>Text to be added to player's skill list for gained extraordinary skills, for example mutation for Chaos Cup or Fan Favorite from Spike!</t>
        </r>
      </text>
    </comment>
    <comment ref="AG5" authorId="0">
      <text>
        <r>
          <rPr>
            <sz val="10"/>
            <color rgb="FF000000"/>
            <rFont val="Arial"/>
          </rPr>
          <t xml:space="preserve">Combined value to be added for the extraordinary skills gained. </t>
        </r>
      </text>
    </comment>
  </commentList>
</comments>
</file>

<file path=xl/comments5.xml><?xml version="1.0" encoding="utf-8"?>
<comments xmlns="http://schemas.openxmlformats.org/spreadsheetml/2006/main">
  <authors>
    <author/>
  </authors>
  <commentList>
    <comment ref="AE5" authorId="0">
      <text>
        <r>
          <rPr>
            <sz val="10"/>
            <color rgb="FF000000"/>
            <rFont val="Arial"/>
          </rPr>
          <t xml:space="preserve">Enter Injury texts, separated by comma.
Example: MA-, AG-, Nig, Nig
Note: Stat decreases will be automatically deducted from the stat display if you use format shown in the example. </t>
        </r>
      </text>
    </comment>
    <comment ref="AF5" authorId="0">
      <text>
        <r>
          <rPr>
            <sz val="10"/>
            <color rgb="FF000000"/>
            <rFont val="Arial"/>
          </rPr>
          <t>Text to be added to player's skill list for gained extraordinary skills, for example mutation for Chaos Cup or Fan Favorite from Spike!</t>
        </r>
      </text>
    </comment>
    <comment ref="AG5" authorId="0">
      <text>
        <r>
          <rPr>
            <sz val="10"/>
            <color rgb="FF000000"/>
            <rFont val="Arial"/>
          </rPr>
          <t xml:space="preserve">Combined value to be added for the extraordinary skills gained. </t>
        </r>
      </text>
    </comment>
  </commentList>
</comments>
</file>

<file path=xl/comments6.xml><?xml version="1.0" encoding="utf-8"?>
<comments xmlns="http://schemas.openxmlformats.org/spreadsheetml/2006/main">
  <authors>
    <author/>
  </authors>
  <commentList>
    <comment ref="AE5" authorId="0">
      <text>
        <r>
          <rPr>
            <sz val="10"/>
            <color rgb="FF000000"/>
            <rFont val="Arial"/>
          </rPr>
          <t xml:space="preserve">Enter Injury texts, separated by comma.
Example: MA-, AG-, Nig, Nig
Note: Stat decreases will be automatically deducted from the stat display if you use format shown in the example. </t>
        </r>
      </text>
    </comment>
    <comment ref="AF5" authorId="0">
      <text>
        <r>
          <rPr>
            <sz val="10"/>
            <color rgb="FF000000"/>
            <rFont val="Arial"/>
          </rPr>
          <t>Text to be added to player's skill list for gained extraordinary skills, for example mutation for Chaos Cup or Fan Favorite from Spike!</t>
        </r>
      </text>
    </comment>
    <comment ref="AG5" authorId="0">
      <text>
        <r>
          <rPr>
            <sz val="10"/>
            <color rgb="FF000000"/>
            <rFont val="Arial"/>
          </rPr>
          <t xml:space="preserve">Combined value to be added for the extraordinary skills gained. </t>
        </r>
      </text>
    </comment>
  </commentList>
</comments>
</file>

<file path=xl/comments7.xml><?xml version="1.0" encoding="utf-8"?>
<comments xmlns="http://schemas.openxmlformats.org/spreadsheetml/2006/main">
  <authors>
    <author/>
  </authors>
  <commentList>
    <comment ref="AE5" authorId="0">
      <text>
        <r>
          <rPr>
            <sz val="10"/>
            <color rgb="FF000000"/>
            <rFont val="Arial"/>
          </rPr>
          <t xml:space="preserve">Enter Injury texts, separated by comma.
Example: MA-, AG-, Nig, Nig
Note: Stat decreases will be automatically deducted from the stat display if you use format shown in the example. </t>
        </r>
      </text>
    </comment>
    <comment ref="AF5" authorId="0">
      <text>
        <r>
          <rPr>
            <sz val="10"/>
            <color rgb="FF000000"/>
            <rFont val="Arial"/>
          </rPr>
          <t>Text to be added to player's skill list for gained extraordinary skills, for example mutation for Chaos Cup or Fan Favorite from Spike!</t>
        </r>
      </text>
    </comment>
    <comment ref="AG5" authorId="0">
      <text>
        <r>
          <rPr>
            <sz val="10"/>
            <color rgb="FF000000"/>
            <rFont val="Arial"/>
          </rPr>
          <t xml:space="preserve">Combined value to be added for the extraordinary skills gained. </t>
        </r>
      </text>
    </comment>
  </commentList>
</comments>
</file>

<file path=xl/comments8.xml><?xml version="1.0" encoding="utf-8"?>
<comments xmlns="http://schemas.openxmlformats.org/spreadsheetml/2006/main">
  <authors>
    <author/>
  </authors>
  <commentList>
    <comment ref="AE5" authorId="0">
      <text>
        <r>
          <rPr>
            <sz val="10"/>
            <color rgb="FF000000"/>
            <rFont val="Arial"/>
          </rPr>
          <t xml:space="preserve">Enter Injury texts, separated by comma.
Example: MA-, AG-, Nig, Nig
Note: Stat decreases will be automatically deducted from the stat display if you use format shown in the example. </t>
        </r>
      </text>
    </comment>
    <comment ref="AF5" authorId="0">
      <text>
        <r>
          <rPr>
            <sz val="10"/>
            <color rgb="FF000000"/>
            <rFont val="Arial"/>
          </rPr>
          <t>Text to be added to player's skill list for gained extraordinary skills, for example mutation for Chaos Cup or Fan Favorite from Spike!</t>
        </r>
      </text>
    </comment>
    <comment ref="AG5" authorId="0">
      <text>
        <r>
          <rPr>
            <sz val="10"/>
            <color rgb="FF000000"/>
            <rFont val="Arial"/>
          </rPr>
          <t xml:space="preserve">Combined value to be added for the extraordinary skills gained. </t>
        </r>
      </text>
    </comment>
  </commentList>
</comments>
</file>

<file path=xl/comments9.xml><?xml version="1.0" encoding="utf-8"?>
<comments xmlns="http://schemas.openxmlformats.org/spreadsheetml/2006/main">
  <authors>
    <author/>
  </authors>
  <commentList>
    <comment ref="AE5" authorId="0">
      <text>
        <r>
          <rPr>
            <sz val="10"/>
            <color rgb="FF000000"/>
            <rFont val="Arial"/>
          </rPr>
          <t xml:space="preserve">Enter Injury texts, separated by comma.
Example: MA-, AG-, Nig, Nig
Note: Stat decreases will be automatically deducted from the stat display if you use format shown in the example. </t>
        </r>
      </text>
    </comment>
    <comment ref="AF5" authorId="0">
      <text>
        <r>
          <rPr>
            <sz val="10"/>
            <color rgb="FF000000"/>
            <rFont val="Arial"/>
          </rPr>
          <t>Text to be added to player's skill list for gained extraordinary skills, for example mutation for Chaos Cup or Fan Favorite from Spike!</t>
        </r>
      </text>
    </comment>
    <comment ref="AG5" authorId="0">
      <text>
        <r>
          <rPr>
            <sz val="10"/>
            <color rgb="FF000000"/>
            <rFont val="Arial"/>
          </rPr>
          <t xml:space="preserve">Combined value to be added for the extraordinary skills gained. </t>
        </r>
      </text>
    </comment>
  </commentList>
</comments>
</file>

<file path=xl/comments10.xml><?xml version="1.0" encoding="utf-8"?>
<comments xmlns="http://schemas.openxmlformats.org/spreadsheetml/2006/main">
  <authors>
    <author/>
  </authors>
  <commentList>
    <comment ref="AE5" authorId="0">
      <text>
        <r>
          <rPr>
            <sz val="10"/>
            <color rgb="FF000000"/>
            <rFont val="Arial"/>
          </rPr>
          <t xml:space="preserve">Enter Injury texts, separated by comma.
Example: MA-, AG-, Nig, Nig
Note: Stat decreases will be automatically deducted from the stat display if you use format shown in the example. </t>
        </r>
      </text>
    </comment>
    <comment ref="AF5" authorId="0">
      <text>
        <r>
          <rPr>
            <sz val="10"/>
            <color rgb="FF000000"/>
            <rFont val="Arial"/>
          </rPr>
          <t>Text to be added to player's skill list for gained extraordinary skills, for example mutation for Chaos Cup or Fan Favorite from Spike!</t>
        </r>
      </text>
    </comment>
    <comment ref="AG5" authorId="0">
      <text>
        <r>
          <rPr>
            <sz val="10"/>
            <color rgb="FF000000"/>
            <rFont val="Arial"/>
          </rPr>
          <t xml:space="preserve">Combined value to be added for the extraordinary skills gained. </t>
        </r>
      </text>
    </comment>
  </commentList>
</comments>
</file>

<file path=xl/comments11.xml><?xml version="1.0" encoding="utf-8"?>
<comments xmlns="http://schemas.openxmlformats.org/spreadsheetml/2006/main">
  <authors>
    <author/>
  </authors>
  <commentList>
    <comment ref="AE5" authorId="0">
      <text>
        <r>
          <rPr>
            <sz val="10"/>
            <color rgb="FF000000"/>
            <rFont val="Arial"/>
          </rPr>
          <t xml:space="preserve">Enter Injury texts, separated by comma.
Example: MA-, AG-, Nig, Nig
Note: Stat decreases will be automatically deducted from the stat display if you use format shown in the example. </t>
        </r>
      </text>
    </comment>
    <comment ref="AF5" authorId="0">
      <text>
        <r>
          <rPr>
            <sz val="10"/>
            <color rgb="FF000000"/>
            <rFont val="Arial"/>
          </rPr>
          <t>Text to be added to player's skill list for gained extraordinary skills, for example mutation for Chaos Cup or Fan Favorite from Spike!</t>
        </r>
      </text>
    </comment>
    <comment ref="AG5" authorId="0">
      <text>
        <r>
          <rPr>
            <sz val="10"/>
            <color rgb="FF000000"/>
            <rFont val="Arial"/>
          </rPr>
          <t xml:space="preserve">Combined value to be added for the extraordinary skills gained. </t>
        </r>
      </text>
    </comment>
  </commentList>
</comments>
</file>

<file path=xl/comments12.xml><?xml version="1.0" encoding="utf-8"?>
<comments xmlns="http://schemas.openxmlformats.org/spreadsheetml/2006/main">
  <authors>
    <author/>
  </authors>
  <commentList>
    <comment ref="AE5" authorId="0">
      <text>
        <r>
          <rPr>
            <sz val="10"/>
            <color rgb="FF000000"/>
            <rFont val="Arial"/>
          </rPr>
          <t xml:space="preserve">Enter Injury texts, separated by comma.
Example: MA-, AG-, Nig, Nig
Note: Stat decreases will be automatically deducted from the stat display if you use format shown in the example. </t>
        </r>
      </text>
    </comment>
    <comment ref="AF5" authorId="0">
      <text>
        <r>
          <rPr>
            <sz val="10"/>
            <color rgb="FF000000"/>
            <rFont val="Arial"/>
          </rPr>
          <t>Text to be added to player's skill list for gained extraordinary skills, for example mutation for Chaos Cup or Fan Favorite from Spike!</t>
        </r>
      </text>
    </comment>
    <comment ref="AG5" authorId="0">
      <text>
        <r>
          <rPr>
            <sz val="10"/>
            <color rgb="FF000000"/>
            <rFont val="Arial"/>
          </rPr>
          <t xml:space="preserve">Combined value to be added for the extraordinary skills gained. </t>
        </r>
      </text>
    </comment>
  </commentList>
</comments>
</file>

<file path=xl/comments13.xml><?xml version="1.0" encoding="utf-8"?>
<comments xmlns="http://schemas.openxmlformats.org/spreadsheetml/2006/main">
  <authors>
    <author/>
  </authors>
  <commentList>
    <comment ref="AE5" authorId="0">
      <text>
        <r>
          <rPr>
            <sz val="10"/>
            <color rgb="FF000000"/>
            <rFont val="Arial"/>
          </rPr>
          <t xml:space="preserve">Enter Injury texts, separated by comma.
Example: MA-, AG-, Nig, Nig
Note: Stat decreases will be automatically deducted from the stat display if you use format shown in the example. </t>
        </r>
      </text>
    </comment>
    <comment ref="AF5" authorId="0">
      <text>
        <r>
          <rPr>
            <sz val="10"/>
            <color rgb="FF000000"/>
            <rFont val="Arial"/>
          </rPr>
          <t>Text to be added to player's skill list for gained extraordinary skills, for example mutation for Chaos Cup or Fan Favorite from Spike!</t>
        </r>
      </text>
    </comment>
    <comment ref="AG5" authorId="0">
      <text>
        <r>
          <rPr>
            <sz val="10"/>
            <color rgb="FF000000"/>
            <rFont val="Arial"/>
          </rPr>
          <t xml:space="preserve">Combined value to be added for the extraordinary skills gained. </t>
        </r>
      </text>
    </comment>
  </commentList>
</comments>
</file>

<file path=xl/comments14.xml><?xml version="1.0" encoding="utf-8"?>
<comments xmlns="http://schemas.openxmlformats.org/spreadsheetml/2006/main">
  <authors>
    <author/>
  </authors>
  <commentList>
    <comment ref="S10" authorId="0">
      <text>
        <r>
          <rPr>
            <sz val="10"/>
            <color rgb="FF000000"/>
            <rFont val="Arial"/>
          </rPr>
          <t xml:space="preserve">Brick and Grotty need names to be identified in the Star player section for their special rules. 
</t>
        </r>
      </text>
    </comment>
    <comment ref="B14" authorId="0">
      <text>
        <r>
          <rPr>
            <sz val="10"/>
            <color rgb="FF000000"/>
            <rFont val="Arial"/>
          </rPr>
          <t xml:space="preserve">Goblin name used to determine cheaper bribe price in LRB6
</t>
        </r>
      </text>
    </comment>
    <comment ref="B15" authorId="0">
      <text>
        <r>
          <rPr>
            <sz val="10"/>
            <color rgb="FF000000"/>
            <rFont val="Arial"/>
          </rPr>
          <t xml:space="preserve">Halfling name used to determine cheaper Halfling Chef price.
</t>
        </r>
      </text>
    </comment>
    <comment ref="AC20" authorId="0">
      <text>
        <r>
          <rPr>
            <sz val="10"/>
            <color rgb="FF000000"/>
            <rFont val="Arial"/>
          </rPr>
          <t>0=TD and CAS points are determined independed (logical OR to exceed threshold)
1=both thresholds on TD and CASmust be exceeded to claim points (logical AND to exceed threshold)</t>
        </r>
      </text>
    </comment>
    <comment ref="AC21" authorId="0">
      <text>
        <r>
          <rPr>
            <sz val="10"/>
            <color rgb="FF000000"/>
            <rFont val="Arial"/>
          </rPr>
          <t xml:space="preserve">1= Points will be divided by the number of games
0 = Points will not be divided
</t>
        </r>
      </text>
    </comment>
    <comment ref="AF21" authorId="0">
      <text>
        <r>
          <rPr>
            <sz val="10"/>
            <color rgb="FF000000"/>
            <rFont val="Arial"/>
          </rPr>
          <t xml:space="preserve">This name is used for nameless players in the player statistics .
</t>
        </r>
      </text>
    </comment>
    <comment ref="AF22" authorId="0">
      <text>
        <r>
          <rPr>
            <sz val="10"/>
            <color rgb="FF000000"/>
            <rFont val="Arial"/>
          </rPr>
          <t xml:space="preserve">This text is used to mark players from the Hall of Fame in the statistics sheet if no status is maintained in the HallofFame sheet.
</t>
        </r>
      </text>
    </comment>
    <comment ref="AF23" authorId="0">
      <text>
        <r>
          <rPr>
            <sz val="10"/>
            <color rgb="FF000000"/>
            <rFont val="Arial"/>
          </rPr>
          <t xml:space="preserve">This name is used for nameless players in the player statistics .
</t>
        </r>
      </text>
    </comment>
    <comment ref="AF24" authorId="0">
      <text>
        <r>
          <rPr>
            <sz val="10"/>
            <color rgb="FF000000"/>
            <rFont val="Arial"/>
          </rPr>
          <t xml:space="preserve">This text is used to mark players from the Hall of Fame in the statistics sheet if no status is maintained in the HallofFame sheet.
</t>
        </r>
      </text>
    </comment>
    <comment ref="AF25" authorId="0">
      <text>
        <r>
          <rPr>
            <sz val="10"/>
            <color rgb="FF000000"/>
            <rFont val="Arial"/>
          </rPr>
          <t>Text for missing skills 
in the skill list of a player</t>
        </r>
      </text>
    </comment>
    <comment ref="AF28" authorId="0">
      <text>
        <r>
          <rPr>
            <sz val="10"/>
            <color rgb="FF000000"/>
            <rFont val="Arial"/>
          </rPr>
          <t>Text that indicates a player is missing next game</t>
        </r>
      </text>
    </comment>
    <comment ref="AF31" authorId="0">
      <text>
        <r>
          <rPr>
            <sz val="10"/>
            <color rgb="FF000000"/>
            <rFont val="Arial"/>
          </rPr>
          <t xml:space="preserve">If you want to store data for several old seasons (only recommended for small leagues), you can add more old seasons for the dropdown
 in the Results sheet here. 
</t>
        </r>
      </text>
    </comment>
    <comment ref="AF37" authorId="0">
      <text>
        <r>
          <rPr>
            <sz val="10"/>
            <color rgb="FF000000"/>
            <rFont val="Arial"/>
          </rPr>
          <t>Used in the HallofFame sheet</t>
        </r>
      </text>
    </comment>
  </commentList>
</comments>
</file>

<file path=xl/sharedStrings.xml><?xml version="1.0" encoding="utf-8"?>
<sst xmlns="http://schemas.openxmlformats.org/spreadsheetml/2006/main" count="2757" uniqueCount="943">
  <si>
    <t>Results</t>
  </si>
  <si>
    <t>Overview</t>
  </si>
  <si>
    <t>Team Ranking</t>
  </si>
  <si>
    <t>Rang</t>
  </si>
  <si>
    <t>Team</t>
  </si>
  <si>
    <t>Sheet</t>
  </si>
  <si>
    <t>TD+</t>
  </si>
  <si>
    <t>TD-</t>
  </si>
  <si>
    <t>CAS+</t>
  </si>
  <si>
    <t>CAS-</t>
  </si>
  <si>
    <t>Spiele</t>
  </si>
  <si>
    <t>Sieg</t>
  </si>
  <si>
    <t>Unent</t>
  </si>
  <si>
    <t>Verl</t>
  </si>
  <si>
    <t>Punkte</t>
  </si>
  <si>
    <t>Pmod</t>
  </si>
  <si>
    <t>Date</t>
  </si>
  <si>
    <t>Home Team</t>
  </si>
  <si>
    <t>Race</t>
  </si>
  <si>
    <t>Away Team</t>
  </si>
  <si>
    <t>TD</t>
  </si>
  <si>
    <t>CAS</t>
  </si>
  <si>
    <t>Coach</t>
  </si>
  <si>
    <t>Pts Home</t>
  </si>
  <si>
    <t>Pts Away</t>
  </si>
  <si>
    <t>Win Home</t>
  </si>
  <si>
    <t>Win Away</t>
  </si>
  <si>
    <t>RankGate</t>
  </si>
  <si>
    <t>Gates in data range</t>
  </si>
  <si>
    <t>T1</t>
  </si>
  <si>
    <t>Home Fans</t>
  </si>
  <si>
    <t>Away Fans</t>
  </si>
  <si>
    <t>Game Type</t>
  </si>
  <si>
    <t>Sylvania Suckhawks</t>
  </si>
  <si>
    <t>Points</t>
  </si>
  <si>
    <t>Population: Orc</t>
  </si>
  <si>
    <t>Games</t>
  </si>
  <si>
    <t>Record</t>
  </si>
  <si>
    <t>Touchd.</t>
  </si>
  <si>
    <t>Cas.</t>
  </si>
  <si>
    <t>Season</t>
  </si>
  <si>
    <t>Data Range</t>
  </si>
  <si>
    <t>T2</t>
  </si>
  <si>
    <t>Jacksonville Thrillers</t>
  </si>
  <si>
    <t>OrCares</t>
  </si>
  <si>
    <t>T3</t>
  </si>
  <si>
    <t>Guardians of the Nile</t>
  </si>
  <si>
    <t>Wrath of the Month</t>
  </si>
  <si>
    <t>T4</t>
  </si>
  <si>
    <t>Skyhaven Silverfoxes</t>
  </si>
  <si>
    <t>T5</t>
  </si>
  <si>
    <t>T6</t>
  </si>
  <si>
    <t>T7</t>
  </si>
  <si>
    <t>Ashtown Villains</t>
  </si>
  <si>
    <t>T8</t>
  </si>
  <si>
    <t>Aedra &amp; Daedra</t>
  </si>
  <si>
    <t>T9</t>
  </si>
  <si>
    <t>T10</t>
  </si>
  <si>
    <t>T11</t>
  </si>
  <si>
    <t>T12</t>
  </si>
  <si>
    <t>T13</t>
  </si>
  <si>
    <t>T14</t>
  </si>
  <si>
    <t>T15</t>
  </si>
  <si>
    <t>T16</t>
  </si>
  <si>
    <t>T17</t>
  </si>
  <si>
    <t>Hellions of Troy</t>
  </si>
  <si>
    <t>T18</t>
  </si>
  <si>
    <t>T19</t>
  </si>
  <si>
    <t>T20</t>
  </si>
  <si>
    <t>T21</t>
  </si>
  <si>
    <t>Playoffs</t>
  </si>
  <si>
    <t>T22</t>
  </si>
  <si>
    <t>T23</t>
  </si>
  <si>
    <t>T24</t>
  </si>
  <si>
    <t>T25</t>
  </si>
  <si>
    <t>Scoring and Defence</t>
  </si>
  <si>
    <t>RangTD</t>
  </si>
  <si>
    <t>RangTD-</t>
  </si>
  <si>
    <t>RangTDDiff</t>
  </si>
  <si>
    <t>RangTD+pG</t>
  </si>
  <si>
    <t>RangTD-PG</t>
  </si>
  <si>
    <t>RangCAS+</t>
  </si>
  <si>
    <t>RangCAS-</t>
  </si>
  <si>
    <t>RAngCAs+pG</t>
  </si>
  <si>
    <t>RangCAS-pG</t>
  </si>
  <si>
    <t>RangCasDiff</t>
  </si>
  <si>
    <t>RangGate</t>
  </si>
  <si>
    <t>RangTR</t>
  </si>
  <si>
    <t>RangFF</t>
  </si>
  <si>
    <t>TDDiff</t>
  </si>
  <si>
    <t>TDpG</t>
  </si>
  <si>
    <t>TD-pG</t>
  </si>
  <si>
    <t>CAS+pG</t>
  </si>
  <si>
    <t>CAS-PG</t>
  </si>
  <si>
    <t>CASDiff</t>
  </si>
  <si>
    <t>Avg  Fans</t>
  </si>
  <si>
    <t>TV</t>
  </si>
  <si>
    <t>FF</t>
  </si>
  <si>
    <t>Best Offence (Total TDs)</t>
  </si>
  <si>
    <t>Best Offence (Avg. TDs)</t>
  </si>
  <si>
    <t>Best Defence (Total)</t>
  </si>
  <si>
    <t>Best Defence (Avg.)</t>
  </si>
  <si>
    <t>Best Touchdown Diff.</t>
  </si>
  <si>
    <t>Training</t>
  </si>
  <si>
    <t>25 Teams max.</t>
  </si>
  <si>
    <t>Casualties</t>
  </si>
  <si>
    <t>Roughest Team (Total)</t>
  </si>
  <si>
    <t>Roughest Team (Avg.)</t>
  </si>
  <si>
    <t>Toughest Team (Total)</t>
  </si>
  <si>
    <t>Toughest Team (Avg.)</t>
  </si>
  <si>
    <t>Best Casualty Diff.</t>
  </si>
  <si>
    <t>Team Popularity</t>
  </si>
  <si>
    <t>Most Expensive Team</t>
  </si>
  <si>
    <t>Most Popular Team</t>
  </si>
  <si>
    <t>The Gate Magnets</t>
  </si>
  <si>
    <t>Largest Crowds</t>
  </si>
  <si>
    <t>Ranks</t>
  </si>
  <si>
    <t>Description</t>
  </si>
  <si>
    <t>Stats</t>
  </si>
  <si>
    <t>Player Stats</t>
  </si>
  <si>
    <t>CP</t>
  </si>
  <si>
    <t>IN</t>
  </si>
  <si>
    <t>CS</t>
  </si>
  <si>
    <t>VP</t>
  </si>
  <si>
    <t>SP</t>
  </si>
  <si>
    <t>Player</t>
  </si>
  <si>
    <t>Position</t>
  </si>
  <si>
    <t>TeamNr</t>
  </si>
  <si>
    <t>Nr</t>
  </si>
  <si>
    <t>Best Players</t>
  </si>
  <si>
    <t>Best Scorers</t>
  </si>
  <si>
    <t xml:space="preserve">Race: </t>
  </si>
  <si>
    <t>Vampire</t>
  </si>
  <si>
    <t>Team Name:</t>
  </si>
  <si>
    <t xml:space="preserve">Coach: </t>
  </si>
  <si>
    <t>Joe R</t>
  </si>
  <si>
    <t>Allowed Improvements</t>
  </si>
  <si>
    <t>Improvements</t>
  </si>
  <si>
    <t>Extraordinary Skills</t>
  </si>
  <si>
    <t>unmod. stats for comparison (conditional formating)</t>
  </si>
  <si>
    <t>Nr.</t>
  </si>
  <si>
    <t>Name</t>
  </si>
  <si>
    <t>max</t>
  </si>
  <si>
    <t>Skills, Permanent Injuries</t>
  </si>
  <si>
    <t>Status</t>
  </si>
  <si>
    <t xml:space="preserve">Value </t>
  </si>
  <si>
    <t xml:space="preserve">Normal </t>
  </si>
  <si>
    <t>Double</t>
  </si>
  <si>
    <t>Number</t>
  </si>
  <si>
    <t>Skill 1</t>
  </si>
  <si>
    <t>Skill 2</t>
  </si>
  <si>
    <t>Skill 3</t>
  </si>
  <si>
    <t>Skill 4</t>
  </si>
  <si>
    <t>Skill 5</t>
  </si>
  <si>
    <t>Skill 6</t>
  </si>
  <si>
    <t>Injuries</t>
  </si>
  <si>
    <t>Skill Text</t>
  </si>
  <si>
    <t>Value</t>
  </si>
  <si>
    <t>Position Key</t>
  </si>
  <si>
    <t>Value of Improvements</t>
  </si>
  <si>
    <t>MNGs of Pos.</t>
  </si>
  <si>
    <t>Lord Joshua Pvortis</t>
  </si>
  <si>
    <t>Block</t>
  </si>
  <si>
    <t>ST+</t>
  </si>
  <si>
    <t>Count Russel Wilhelms</t>
  </si>
  <si>
    <t>Dodge</t>
  </si>
  <si>
    <t>Duke James Graham</t>
  </si>
  <si>
    <t>Best Passers</t>
  </si>
  <si>
    <t>Most Interceptions</t>
  </si>
  <si>
    <t>Baron Cassius March</t>
  </si>
  <si>
    <t>Kim Chancellor</t>
  </si>
  <si>
    <t>Thrall</t>
  </si>
  <si>
    <t>Wrestle</t>
  </si>
  <si>
    <t>Maximillian Unger</t>
  </si>
  <si>
    <t>Robert Wagner</t>
  </si>
  <si>
    <t>Bently Swain</t>
  </si>
  <si>
    <t>MNG</t>
  </si>
  <si>
    <t>AV-</t>
  </si>
  <si>
    <t>Gregori Scuggs</t>
  </si>
  <si>
    <t>Clifford Avril</t>
  </si>
  <si>
    <t>Darren Fel</t>
  </si>
  <si>
    <t>Percival Harvin</t>
  </si>
  <si>
    <t>Winston Gyle</t>
  </si>
  <si>
    <t>Most Vicious Players</t>
  </si>
  <si>
    <t>Most MVP Awards</t>
  </si>
  <si>
    <t>Alexander Collins</t>
  </si>
  <si>
    <t>Total Players (next game):</t>
  </si>
  <si>
    <t>Total:</t>
  </si>
  <si>
    <t xml:space="preserve">Number of available permanent players: </t>
  </si>
  <si>
    <t xml:space="preserve">Number of Journeymen: </t>
  </si>
  <si>
    <t>Induced Stars and Mercenaries</t>
  </si>
  <si>
    <t>Skills</t>
  </si>
  <si>
    <t>Skill</t>
  </si>
  <si>
    <t>A</t>
  </si>
  <si>
    <t>B</t>
  </si>
  <si>
    <t>C</t>
  </si>
  <si>
    <t>D</t>
  </si>
  <si>
    <t>E</t>
  </si>
  <si>
    <t>F</t>
  </si>
  <si>
    <t xml:space="preserve">Total Induced Players: </t>
  </si>
  <si>
    <r>
      <t xml:space="preserve">                         Inducements</t>
    </r>
    <r>
      <rPr>
        <sz val="8"/>
        <color rgb="FFFFFFFF"/>
        <rFont val="Tahoma"/>
      </rPr>
      <t xml:space="preserve">  (next game only)</t>
    </r>
  </si>
  <si>
    <t>Permanent</t>
  </si>
  <si>
    <t xml:space="preserve">Bloodweiser Babes (0-2): </t>
  </si>
  <si>
    <t>x</t>
  </si>
  <si>
    <t>Re-Rolls:</t>
  </si>
  <si>
    <t>=</t>
  </si>
  <si>
    <t xml:space="preserve">Bribes (0-3): </t>
  </si>
  <si>
    <t>Fan Factor:</t>
  </si>
  <si>
    <t xml:space="preserve">Extra Training (0-4): </t>
  </si>
  <si>
    <t>Assistant Coaches:</t>
  </si>
  <si>
    <t xml:space="preserve">Halfling Master Chef (0-1): </t>
  </si>
  <si>
    <t>Cheerleaders:</t>
  </si>
  <si>
    <t xml:space="preserve">Wandering Apothecaries (0-2): </t>
  </si>
  <si>
    <t>Apothecary:</t>
  </si>
  <si>
    <t xml:space="preserve">Wizard (0-1): </t>
  </si>
  <si>
    <t>Treasury:</t>
  </si>
  <si>
    <t xml:space="preserve">Igor (0-1): </t>
  </si>
  <si>
    <t>Team Value:</t>
  </si>
  <si>
    <t>Budget for cards:</t>
  </si>
  <si>
    <t>Induced Value:</t>
  </si>
  <si>
    <t>Total for Induced Stars and Mercenaries:</t>
  </si>
  <si>
    <t>Match Value:</t>
  </si>
  <si>
    <t>List Stars/Merc</t>
  </si>
  <si>
    <t>Key</t>
  </si>
  <si>
    <t>List Positions</t>
  </si>
  <si>
    <t>Number of Positions:</t>
  </si>
  <si>
    <t>Number of Stars/Mercs:</t>
  </si>
  <si>
    <t>Necromantic</t>
  </si>
  <si>
    <t>Michael "Bad" Jackson</t>
  </si>
  <si>
    <t>Werewolf</t>
  </si>
  <si>
    <t>Joe "Ivory" Jackson</t>
  </si>
  <si>
    <t>Stendar</t>
  </si>
  <si>
    <t>Zombie</t>
  </si>
  <si>
    <t>Jackie Jackson</t>
  </si>
  <si>
    <t>Tito Jackson</t>
  </si>
  <si>
    <t>Jermaine Jackson</t>
  </si>
  <si>
    <t>Marion Jackson</t>
  </si>
  <si>
    <t>Andrew "Prez" Jackson</t>
  </si>
  <si>
    <t>Sam "Shoutin'" Jackson</t>
  </si>
  <si>
    <t>Jesse "Preachin'" Jackson</t>
  </si>
  <si>
    <t>Peter "Frodo" Jackson</t>
  </si>
  <si>
    <t>Joe "The Voice" Jackson</t>
  </si>
  <si>
    <t>End of Result Data Range</t>
  </si>
  <si>
    <t>To expand, modify the following names:</t>
  </si>
  <si>
    <t>RES_H</t>
  </si>
  <si>
    <t>RES_A</t>
  </si>
  <si>
    <t>RES_TD_H</t>
  </si>
  <si>
    <t>RES_TD_A</t>
  </si>
  <si>
    <t>RES_CAS_H</t>
  </si>
  <si>
    <t>RES_CAS_A</t>
  </si>
  <si>
    <t>RES_GATE_H</t>
  </si>
  <si>
    <t>RES_GATE_A</t>
  </si>
  <si>
    <t>RES_TYPE</t>
  </si>
  <si>
    <t>RES_GATE</t>
  </si>
  <si>
    <t>"Stonewall" Jackson</t>
  </si>
  <si>
    <t>Orc</t>
  </si>
  <si>
    <t>Phil</t>
  </si>
  <si>
    <t>Sad'zug</t>
  </si>
  <si>
    <t>Joe "The Shoe" Jackson</t>
  </si>
  <si>
    <t>Hom'zug</t>
  </si>
  <si>
    <r>
      <t xml:space="preserve">                         Inducements</t>
    </r>
    <r>
      <rPr>
        <sz val="8"/>
        <color rgb="FFFFFFFF"/>
        <rFont val="Tahoma"/>
      </rPr>
      <t xml:space="preserve">  (next game only)</t>
    </r>
  </si>
  <si>
    <t>King'zug</t>
  </si>
  <si>
    <t>Thrower</t>
  </si>
  <si>
    <t>Amazon</t>
  </si>
  <si>
    <t>Chris</t>
  </si>
  <si>
    <t>Tanya Harding</t>
  </si>
  <si>
    <t>Linewoman</t>
  </si>
  <si>
    <t>Paula Abdul</t>
  </si>
  <si>
    <t>Cheat'zug</t>
  </si>
  <si>
    <t>Blitzer</t>
  </si>
  <si>
    <t>Guard</t>
  </si>
  <si>
    <t>Snooki</t>
  </si>
  <si>
    <t>Bad'zug</t>
  </si>
  <si>
    <t>Carla</t>
  </si>
  <si>
    <t>Home'zug</t>
  </si>
  <si>
    <t>Marzi'zug</t>
  </si>
  <si>
    <t>Shark'zug</t>
  </si>
  <si>
    <t>Black Orc Blocker</t>
  </si>
  <si>
    <t>Bub'zug</t>
  </si>
  <si>
    <t>Poop'zug</t>
  </si>
  <si>
    <t>Heather Mills McCarthy</t>
  </si>
  <si>
    <t>Mad'zug</t>
  </si>
  <si>
    <t>Susan Boyle</t>
  </si>
  <si>
    <t>Rebecca Black</t>
  </si>
  <si>
    <t>Catcher</t>
  </si>
  <si>
    <t>Caitlyn Jenner</t>
  </si>
  <si>
    <t>Monica Lewinsky</t>
  </si>
  <si>
    <t>Sarah Palin</t>
  </si>
  <si>
    <r>
      <t xml:space="preserve">                         Inducements</t>
    </r>
    <r>
      <rPr>
        <sz val="8"/>
        <color rgb="FFFFFFFF"/>
        <rFont val="Tahoma"/>
      </rPr>
      <t xml:space="preserve">  (next game only)</t>
    </r>
  </si>
  <si>
    <t>Paula Cole</t>
  </si>
  <si>
    <t>Lorena Bobbitt</t>
  </si>
  <si>
    <t>Troy</t>
  </si>
  <si>
    <t>Y.A. Spittle</t>
  </si>
  <si>
    <t>Orc Donovan</t>
  </si>
  <si>
    <t>Mighty Blow</t>
  </si>
  <si>
    <t>Gino Orchetti</t>
  </si>
  <si>
    <t>Big Daddy Lipsplitt</t>
  </si>
  <si>
    <r>
      <t xml:space="preserve">                         Inducements</t>
    </r>
    <r>
      <rPr>
        <sz val="8"/>
        <color rgb="FFFFFFFF"/>
        <rFont val="Tahoma"/>
      </rPr>
      <t xml:space="preserve">  (next game only)</t>
    </r>
  </si>
  <si>
    <t>Merlin Orcson</t>
  </si>
  <si>
    <t>DT</t>
  </si>
  <si>
    <t>Kendal</t>
  </si>
  <si>
    <t>Sobek</t>
  </si>
  <si>
    <t>Kroxigor</t>
  </si>
  <si>
    <t>Lorcrance Taylor</t>
  </si>
  <si>
    <t>Ra</t>
  </si>
  <si>
    <t>Saurus</t>
  </si>
  <si>
    <t>Orc Buttkiss</t>
  </si>
  <si>
    <t>Set</t>
  </si>
  <si>
    <t>Derrorck Johnson</t>
  </si>
  <si>
    <t>Anubis</t>
  </si>
  <si>
    <t>Dinky Smalls</t>
  </si>
  <si>
    <t>Goblin</t>
  </si>
  <si>
    <t>Horus</t>
  </si>
  <si>
    <t>Tad</t>
  </si>
  <si>
    <t>Thoth</t>
  </si>
  <si>
    <t>Anuket</t>
  </si>
  <si>
    <t>Osiris</t>
  </si>
  <si>
    <t>Skink</t>
  </si>
  <si>
    <t>Bast</t>
  </si>
  <si>
    <t>Side Step</t>
  </si>
  <si>
    <t>Isis</t>
  </si>
  <si>
    <t>Trolly</t>
  </si>
  <si>
    <t>Troll</t>
  </si>
  <si>
    <t>Ptah</t>
  </si>
  <si>
    <t>AG+</t>
  </si>
  <si>
    <r>
      <t xml:space="preserve">                         Inducements</t>
    </r>
    <r>
      <rPr>
        <sz val="8"/>
        <color rgb="FFFFFFFF"/>
        <rFont val="Tahoma"/>
      </rPr>
      <t xml:space="preserve">  (next game only)</t>
    </r>
  </si>
  <si>
    <t>Elf</t>
  </si>
  <si>
    <t>Talon Boldstrider</t>
  </si>
  <si>
    <t>Lineelf</t>
  </si>
  <si>
    <t>Typhoon Greatwind</t>
  </si>
  <si>
    <t>Axe Wildspear</t>
  </si>
  <si>
    <r>
      <t xml:space="preserve">                         Inducements</t>
    </r>
    <r>
      <rPr>
        <sz val="8"/>
        <color rgb="FFFFFFFF"/>
        <rFont val="Tahoma"/>
      </rPr>
      <t xml:space="preserve">  (next game only)</t>
    </r>
  </si>
  <si>
    <t>Valentine Starlance</t>
  </si>
  <si>
    <t>Undead</t>
  </si>
  <si>
    <t>Joe H</t>
  </si>
  <si>
    <t>Tuttut</t>
  </si>
  <si>
    <t>Mummy</t>
  </si>
  <si>
    <t>Shroud Rainblade</t>
  </si>
  <si>
    <t>Stand Firm</t>
  </si>
  <si>
    <t>Ankletep</t>
  </si>
  <si>
    <t>Emet</t>
  </si>
  <si>
    <t>Ghoul</t>
  </si>
  <si>
    <t>Slugkap</t>
  </si>
  <si>
    <t>Joe Ghoul</t>
  </si>
  <si>
    <t>Starwood Blackleaf</t>
  </si>
  <si>
    <t>Pol Pock</t>
  </si>
  <si>
    <t>Victor Trueheart</t>
  </si>
  <si>
    <t>Sure Hands</t>
  </si>
  <si>
    <t>X. Malfax</t>
  </si>
  <si>
    <t>Wight</t>
  </si>
  <si>
    <t>Suave Glitterseeker</t>
  </si>
  <si>
    <t>Q. Gilgesh</t>
  </si>
  <si>
    <t>Lance Claymore</t>
  </si>
  <si>
    <t>John "Ye" Rotten</t>
  </si>
  <si>
    <t>Strife Dreamkiller</t>
  </si>
  <si>
    <t>AV-, MA-</t>
  </si>
  <si>
    <t>Claude of the Flies</t>
  </si>
  <si>
    <r>
      <t xml:space="preserve">                         Inducements</t>
    </r>
    <r>
      <rPr>
        <sz val="8"/>
        <color rgb="FFFFFFFF"/>
        <rFont val="Tahoma"/>
      </rPr>
      <t xml:space="preserve">  (next game only)</t>
    </r>
  </si>
  <si>
    <t>Fetid Grek</t>
  </si>
  <si>
    <t>Stinkfist</t>
  </si>
  <si>
    <t>Dark Elf</t>
  </si>
  <si>
    <r>
      <t xml:space="preserve">                         Inducements</t>
    </r>
    <r>
      <rPr>
        <sz val="8"/>
        <color rgb="FFFFFFFF"/>
        <rFont val="Tahoma"/>
      </rPr>
      <t xml:space="preserve">  (next game only)</t>
    </r>
  </si>
  <si>
    <t>Human</t>
  </si>
  <si>
    <r>
      <t xml:space="preserve">                         Inducements</t>
    </r>
    <r>
      <rPr>
        <sz val="8"/>
        <color rgb="FFFFFFFF"/>
        <rFont val="Tahoma"/>
      </rPr>
      <t xml:space="preserve">  (next game only)</t>
    </r>
  </si>
  <si>
    <t>Hall of Fame</t>
  </si>
  <si>
    <t>Comment</t>
  </si>
  <si>
    <t>MA</t>
  </si>
  <si>
    <t>ST</t>
  </si>
  <si>
    <t>AG</t>
  </si>
  <si>
    <t>AV</t>
  </si>
  <si>
    <t>Skills, Traits, Racial Characteristics</t>
  </si>
  <si>
    <t>Inj.</t>
  </si>
  <si>
    <r>
      <t xml:space="preserve">                         Inducements</t>
    </r>
    <r>
      <rPr>
        <sz val="8"/>
        <color rgb="FFFFFFFF"/>
        <rFont val="Tahoma"/>
      </rPr>
      <t xml:space="preserve">  (next game only)</t>
    </r>
  </si>
  <si>
    <t>The Halfling Scribe's League Management Excel Workbook V4.02 is made by Tim Ibe in Nov 2009.
This workbook is offered to the Blood Bowl community free of charge.</t>
  </si>
  <si>
    <t>This work is build on intellectual property of Games Workshop and acknowledges this. This sheet is made to be used with a boxed set of Games Workshop's BloodBowl game and can not replace it.
You can put this sheet filled with league data on a webpage of a Blood Bowl league. Please do not host the blank sheet without my permission. Please make sure you put up the correct disclaimers regarding GW's IP.</t>
  </si>
  <si>
    <t>Features:</t>
  </si>
  <si>
    <t>- Manages a complete league of Blood Bowl teams with league ranking, top 25 team and player statistics for several categories.</t>
  </si>
  <si>
    <t>- Manages all team sheets, calculating SPP, team value and monitoring player position maximums, skill progression and inducements.</t>
  </si>
  <si>
    <t>- Complete database of all positional players for all races and all star players according to LRB 5 or LRB 6 (as of rules review 2009).</t>
  </si>
  <si>
    <t>- Helps you to plan your next match with full support of all possible inducements as well as Journeymen.</t>
  </si>
  <si>
    <t>Current Ruleset selected:</t>
  </si>
  <si>
    <t>&lt;- you can change the ruleset between LRB5 and LRB6 in the sheet "database" (see below)</t>
  </si>
  <si>
    <t>How to use this Excel workbook:</t>
  </si>
  <si>
    <t>- Use sheets T1 to T4 for your teams in consecutive order. DO NOT enter data into the sheet named 'Team Template'</t>
  </si>
  <si>
    <t>- When building a team, start with selecting a race. RR cost will be determined and available player positions can be selected by drop down box.</t>
  </si>
  <si>
    <t xml:space="preserve">  Everything else will be entered and calculated automatically, you just have to change the fields with the yellow font, do not touch the ones with white font.</t>
  </si>
  <si>
    <t>- A team name is required, player names are optional, but very useful for the Top25 stats.</t>
  </si>
  <si>
    <t>- If you need more than 4 team sheets, copy the sheet 'Team Template' to a new sheet named 'Tx' with x being the next consecutive team number.</t>
  </si>
  <si>
    <t xml:space="preserve">  To do this, rightclick on the sheet 'Team Template' and select Move/Copy, then flag 'Make a Copy' and press OK. To rename the new sheet,</t>
  </si>
  <si>
    <t xml:space="preserve">  doubleclick on the sheet register.</t>
  </si>
  <si>
    <t>- If a player gains a skill, select the skill from the dropdown in the green 'Improvements' area. The skill will be added into column K and you don't have to</t>
  </si>
  <si>
    <t xml:space="preserve">  overwrite the formula there. Profile upgrades and downgrades (ST+, MA-, etc.) will now be automatically calculated into the players profile. Just select</t>
  </si>
  <si>
    <t xml:space="preserve">  upgrades in the skill boxes and write downgrades into the 'Injuries' box at the end of the green 'Improvements' area, seperated by comma (for example: MA-, ST-, Nig, Nig)</t>
  </si>
  <si>
    <t>- You can easily retire a player to the HallofFame, by placing the selection on the player's row in the teamsheet (Tx) and calling the RetirePlayer macro by</t>
  </si>
  <si>
    <t xml:space="preserve">  pressing CTRL+SHIFT+R (if this does not work, please check your macro security settings).</t>
  </si>
  <si>
    <t>- To plan the inducements for next game, you can select Star Players and Mercenaries using the dropdown lists, as well as other inducements by entering</t>
  </si>
  <si>
    <t xml:space="preserve">  the number purchased. If you play with cards, you can also state an amount reserved for card purchases.</t>
  </si>
  <si>
    <t xml:space="preserve">- The sheet will tell you when you are able to use Journeymen. To add a Journeyman, add a lineman position in an empty slot of your roster and select </t>
  </si>
  <si>
    <t xml:space="preserve">  'Journeyman' from the dropdown in the status field (column P).</t>
  </si>
  <si>
    <t>- Try not to delete formulas and NEVER DELETE A COMPLETE ROW OR COLUMN. This may delete important formulas in hidden cells. The sheets are</t>
  </si>
  <si>
    <t xml:space="preserve">  protected to avoid this happening accidentially. However, the sheets are not password protected, so if you want, you can mess around with everything.</t>
  </si>
  <si>
    <t>- All race, position and star player data is stored in a hidden sheet called "Database" (Format -&gt; Sheet -&gt; Unhide). In that sheet you'll also find the Ruleset switch</t>
  </si>
  <si>
    <t xml:space="preserve">  to select LRB 5 or 6 rules, the point scheme for league ranking and several other customizing options. Please be careful when editing that sheet.</t>
  </si>
  <si>
    <t xml:space="preserve">- If your sheet does not update properly, it's Excel's fault. I found out it's a little lazy sometimes ... save it and press F9 to recalulate, this will fix it. </t>
  </si>
  <si>
    <t xml:space="preserve">- I've tested this sheet as well as possible, based on Excel 2003 SP3. It should run on older and newer versions of Excel, as well as Open Office. </t>
  </si>
  <si>
    <t xml:space="preserve">  However, i take no responsibility if this sheet stops working and i can not guarantee any kind of support. If you edit the structure of the sheet and the formulas</t>
  </si>
  <si>
    <t xml:space="preserve">  in it, please make sure that you know what you are doing and backup you data. I can not repair broken sheets.</t>
  </si>
  <si>
    <t>Maximum league size</t>
  </si>
  <si>
    <t>Current league size</t>
  </si>
  <si>
    <t>Contact:</t>
  </si>
  <si>
    <t>max. 25 teams</t>
  </si>
  <si>
    <t>max. 500 players</t>
  </si>
  <si>
    <t>max. 500 matches</t>
  </si>
  <si>
    <t>max. 100 HallOfFamers</t>
  </si>
  <si>
    <t>This sheet is completely unofficial and in no way endorsed by Games Workshop Limited.
Blood Bowl, Games Workshop, Khemri, Nurgle, Ork, Skaven and all associated marks, names, races, race insignia, characters are either ®, TM and/or © Copyright Games Workshop Ltd 2000-2009, variably registered in the UK and other countries around the world. Used without permission. No challenge to their status intended. All Rights Reserved to their respective owners.</t>
  </si>
  <si>
    <t>Ruleset:</t>
  </si>
  <si>
    <t>LRB 6</t>
  </si>
  <si>
    <t>(red formating indicates value dependent on ruleset)</t>
  </si>
  <si>
    <t xml:space="preserve"> The fat frames indicate a named area and the fat descriptions are the name this area has! Modify this data by inserting cells (not complete rows!) into the relevant area (fat frame) and check the name reference (same as fat font description) afterwards.</t>
  </si>
  <si>
    <t>DBTeams / TeamList (first column)</t>
  </si>
  <si>
    <t>DBPlayers</t>
  </si>
  <si>
    <t>DBTeamsStars</t>
  </si>
  <si>
    <t>DBStars</t>
  </si>
  <si>
    <t>Scoring System</t>
  </si>
  <si>
    <t>Texts</t>
  </si>
  <si>
    <t>RR-Cost</t>
  </si>
  <si>
    <t>Max</t>
  </si>
  <si>
    <t>Normal</t>
  </si>
  <si>
    <t>Cost</t>
  </si>
  <si>
    <t>Star</t>
  </si>
  <si>
    <t>Skills, Traits and Racial Characteristics</t>
  </si>
  <si>
    <t>PTS_WIN</t>
  </si>
  <si>
    <t>Points for a won game</t>
  </si>
  <si>
    <t>T_MA</t>
  </si>
  <si>
    <t>Amazon1</t>
  </si>
  <si>
    <t>G</t>
  </si>
  <si>
    <t>A S P</t>
  </si>
  <si>
    <t>Willow Rosebark</t>
  </si>
  <si>
    <t>Barik Farblast</t>
  </si>
  <si>
    <t>Loner, Hail Mary Pass, Pass, Secret Weapon, Strong Arm, Sure Hands, Thick Skull</t>
  </si>
  <si>
    <t>PTS_TIE</t>
  </si>
  <si>
    <t>Points for a tied game</t>
  </si>
  <si>
    <t>T_ST</t>
  </si>
  <si>
    <t>Chaos</t>
  </si>
  <si>
    <t>Amazon2</t>
  </si>
  <si>
    <t>Dodge, Pass</t>
  </si>
  <si>
    <t xml:space="preserve">G P </t>
  </si>
  <si>
    <t>A S</t>
  </si>
  <si>
    <t>Roxanna Darknail</t>
  </si>
  <si>
    <t>Bertha Bigfist</t>
  </si>
  <si>
    <t>Loner, Bone-head, Break Tackle, Dodge, Mighty Blow, Thick Skull, Throw Team-Mate</t>
  </si>
  <si>
    <t>PTS_LOSS</t>
  </si>
  <si>
    <t>Points for a lost game</t>
  </si>
  <si>
    <t>T_AG</t>
  </si>
  <si>
    <t>Chaos Dwarf</t>
  </si>
  <si>
    <t>Amazon3</t>
  </si>
  <si>
    <t>Dodge, Catch</t>
  </si>
  <si>
    <t>G A</t>
  </si>
  <si>
    <t>S P</t>
  </si>
  <si>
    <t>Bomber Dribblesnot</t>
  </si>
  <si>
    <t>PTS_PER_TD_FOR</t>
  </si>
  <si>
    <t>Points per touchdown scored</t>
  </si>
  <si>
    <t>T_AV</t>
  </si>
  <si>
    <t>Amazon4</t>
  </si>
  <si>
    <t>Dodge, Block</t>
  </si>
  <si>
    <t>G S</t>
  </si>
  <si>
    <t>A P</t>
  </si>
  <si>
    <t>Helmut Wulff</t>
  </si>
  <si>
    <t>Boomer Eziasson</t>
  </si>
  <si>
    <t>PTS_PER_TD_AG</t>
  </si>
  <si>
    <t>Points per touchdown scored against (usually a negative number will be entered here to deduct from score)</t>
  </si>
  <si>
    <t>T_Error</t>
  </si>
  <si>
    <t>Error</t>
  </si>
  <si>
    <t>Chaos1</t>
  </si>
  <si>
    <t>Beastman</t>
  </si>
  <si>
    <t>Horns</t>
  </si>
  <si>
    <t>G S M</t>
  </si>
  <si>
    <t>Morg 'n' Thorg</t>
  </si>
  <si>
    <t>Brick</t>
  </si>
  <si>
    <t>Brick Far'th (+Grotty)</t>
  </si>
  <si>
    <t>Loner, Bone-head, Mighty Blow, Nerves of Steel, Strong Arm, Thick Skull, Throw Team-Mate</t>
  </si>
  <si>
    <t>PTS_TD_MAX</t>
  </si>
  <si>
    <t>Maximum points to be awarded for touchdowns</t>
  </si>
  <si>
    <t>T_Error1</t>
  </si>
  <si>
    <t>Unknown player/position for this race</t>
  </si>
  <si>
    <t>Daemons of Khorne</t>
  </si>
  <si>
    <t>Chaos2</t>
  </si>
  <si>
    <t>Chaos Warrior</t>
  </si>
  <si>
    <t>Zara the Slayer</t>
  </si>
  <si>
    <t>Count Luthor von Drakenborg</t>
  </si>
  <si>
    <t>PTS_TD_MIN</t>
  </si>
  <si>
    <t>Minimum points to be awarded for touchdowns (usually cap of point deduction)</t>
  </si>
  <si>
    <t>T_Error2</t>
  </si>
  <si>
    <t>Positional limit exceeded</t>
  </si>
  <si>
    <t>Dwarf</t>
  </si>
  <si>
    <t>Chaos3</t>
  </si>
  <si>
    <t>Minotaur</t>
  </si>
  <si>
    <t>Loner, Frenzy, Horns, Mighty Blow, Thick Skull, Wild Animal</t>
  </si>
  <si>
    <t xml:space="preserve">S M </t>
  </si>
  <si>
    <t>G A P</t>
  </si>
  <si>
    <t>Chaos6</t>
  </si>
  <si>
    <t>Crazy Igor</t>
  </si>
  <si>
    <t>Loner, Dauntless, Regeneration, Thick Skull, *Thrall</t>
  </si>
  <si>
    <t>PTS_TD_THRESHOLD</t>
  </si>
  <si>
    <t>Touchdown threshold that needs to be exceeded before points are awarded (e.g. if set to 2, only the 3rd and all following touchdown will add points). Combine with PTS_TD_MAX for flat bonus points awarded for a certain TD level reached.</t>
  </si>
  <si>
    <t>T_Error3</t>
  </si>
  <si>
    <t>Maximum number of players (16) exceeded</t>
  </si>
  <si>
    <t>Chaos Dwarf1</t>
  </si>
  <si>
    <t>Hobgoblin</t>
  </si>
  <si>
    <t>Chaos5</t>
  </si>
  <si>
    <t>Grashnak Blackhoof</t>
  </si>
  <si>
    <t>Deeproot Strongbranch</t>
  </si>
  <si>
    <t>Loner, Block, Mighty Blow, Stand Firm, Strong Arm, Thick Skull, Throw Team-Mate</t>
  </si>
  <si>
    <t>PTS_PER_CS_FOR</t>
  </si>
  <si>
    <t>Points per casualty scored</t>
  </si>
  <si>
    <t>T_Error4</t>
  </si>
  <si>
    <t xml:space="preserve">Star Player can only be hired once </t>
  </si>
  <si>
    <t>Chaos Dwarf2</t>
  </si>
  <si>
    <t>Block, Tackle, Thick Skull</t>
  </si>
  <si>
    <t>A P M</t>
  </si>
  <si>
    <t>Chaos4</t>
  </si>
  <si>
    <t>Lord Borak the Despoiler</t>
  </si>
  <si>
    <t>Dolfar Longstride</t>
  </si>
  <si>
    <t>Loner, Diving Catch, Hail Mary Pass, Kick, Kick-off Return, Pass Block</t>
  </si>
  <si>
    <t>PTS_PER_CS_AG</t>
  </si>
  <si>
    <t>Points per casualty scored against (usually a negative number will be entered here to deduct from score)</t>
  </si>
  <si>
    <t>T_Error5</t>
  </si>
  <si>
    <t>Maximum number of Star Players (2) exceeded</t>
  </si>
  <si>
    <t>Halfing</t>
  </si>
  <si>
    <t>Halfling</t>
  </si>
  <si>
    <t>Chaos Dwarf3</t>
  </si>
  <si>
    <t>Bull Centaur</t>
  </si>
  <si>
    <t>Sprint, Sure Feet, Thick Skull</t>
  </si>
  <si>
    <t>Max Spleenripper</t>
  </si>
  <si>
    <t>Eldril Sidewinder</t>
  </si>
  <si>
    <t>Loner, Catch, Dodge, Hypnotic Gaze, Nerves of Steel, Pass Block</t>
  </si>
  <si>
    <t>PTS_CS_MAX</t>
  </si>
  <si>
    <t>Maximum points to be awarded for casulties</t>
  </si>
  <si>
    <t>T_Error6</t>
  </si>
  <si>
    <t>Error when adding Grotty, check Grotty for more information</t>
  </si>
  <si>
    <t>High Elf</t>
  </si>
  <si>
    <t>Chaos Dwarf4</t>
  </si>
  <si>
    <t>S</t>
  </si>
  <si>
    <t>G A P M</t>
  </si>
  <si>
    <t>Fezglitch</t>
  </si>
  <si>
    <t>Loner, Ball &amp; Chain, Disturbing Presence, Foul Appearance, No Hands, Secret Weapon</t>
  </si>
  <si>
    <t>PTS_CS_MIN</t>
  </si>
  <si>
    <t>Minimum points to be awarded for casulties (usually cap of point deduction)</t>
  </si>
  <si>
    <t>T_Error7</t>
  </si>
  <si>
    <t>This position is not available as Journeyman</t>
  </si>
  <si>
    <t>Marauder</t>
  </si>
  <si>
    <t>G S P M</t>
  </si>
  <si>
    <t>Flint Churnblade</t>
  </si>
  <si>
    <t>PTS_CS_THRESHOLD</t>
  </si>
  <si>
    <t>Casualty threshold that needs to be exceeded before points are awarded (e.g. if set to 2, only the 3rd and all following casualties will add points). Combine with PTS_CS_MAX for flat bonus points awarded for a certain CAS level reached.</t>
  </si>
  <si>
    <t>T_Error8</t>
  </si>
  <si>
    <t>Maximum number of allowed Journeymen exceeded</t>
  </si>
  <si>
    <t>Khemri</t>
  </si>
  <si>
    <t>Goblin Renegade</t>
  </si>
  <si>
    <t>Animosity, Dodge, Stunty, Right Stuff</t>
  </si>
  <si>
    <t>A M</t>
  </si>
  <si>
    <t>G S P</t>
  </si>
  <si>
    <t>Chaos Dwarf6</t>
  </si>
  <si>
    <t>Fungus the Loon</t>
  </si>
  <si>
    <t>Loner, Ball &amp; Chain, Mighty Blow, No Hands, Secret Weapon, Stunty</t>
  </si>
  <si>
    <t>PTS_TD_CS_MAX</t>
  </si>
  <si>
    <t>Maximum points to be awarded for TD and CAS combined.</t>
  </si>
  <si>
    <t>T_Merc</t>
  </si>
  <si>
    <t>Mercenary</t>
  </si>
  <si>
    <t>Skaven Renegade</t>
  </si>
  <si>
    <t>Animosity</t>
  </si>
  <si>
    <t>G M</t>
  </si>
  <si>
    <t>Chaos Dwarf5</t>
  </si>
  <si>
    <t>Hthark the Unstoppable</t>
  </si>
  <si>
    <t>Glart Smashrip Jr.</t>
  </si>
  <si>
    <t>Loner, Block, Claw, Juggernaut</t>
  </si>
  <si>
    <t>PTS_TD_CS_MIN</t>
  </si>
  <si>
    <t>Minimum points to be awarded for TD and CAS combined.</t>
  </si>
  <si>
    <t>T_Loner</t>
  </si>
  <si>
    <t>Loner</t>
  </si>
  <si>
    <t>Dark Elf Renegade</t>
  </si>
  <si>
    <t>G A M</t>
  </si>
  <si>
    <t>Loner, Frenzy, Horns, Mighty Blow, Thick Skull</t>
  </si>
  <si>
    <t>PTS_TD_CS_COMB_THRES</t>
  </si>
  <si>
    <t>Both thresholds on TD and CAS must be exceeded to award points</t>
  </si>
  <si>
    <t>T_AllowedJourney</t>
  </si>
  <si>
    <t>allowed Journeymen used</t>
  </si>
  <si>
    <t>Norse</t>
  </si>
  <si>
    <t>Chaos Troll</t>
  </si>
  <si>
    <t>Loner, Mighty Blow, Regeneration, Really Stupid, Always Hungry, Throw Teammate</t>
  </si>
  <si>
    <t>Nobbla Blackwart</t>
  </si>
  <si>
    <t>Griff Oberwald</t>
  </si>
  <si>
    <t>Loner, Block, Dodge, Fend, Sprint, Sure Feet</t>
  </si>
  <si>
    <t>PTS_WINRATIO</t>
  </si>
  <si>
    <t>Divide score by number of games played</t>
  </si>
  <si>
    <t>T_NoName</t>
  </si>
  <si>
    <t>Nameless</t>
  </si>
  <si>
    <t>Nurgle</t>
  </si>
  <si>
    <t>Chaos Orge</t>
  </si>
  <si>
    <t>Loner, Mighty Blow, Thick Skull, Bonehead, Throw Teammate</t>
  </si>
  <si>
    <t>Rashnak Backstabber</t>
  </si>
  <si>
    <t>Grim Ironjaw</t>
  </si>
  <si>
    <t>T_retired</t>
  </si>
  <si>
    <t>retired</t>
  </si>
  <si>
    <t>Ogre</t>
  </si>
  <si>
    <t>Zzharg Madeye</t>
  </si>
  <si>
    <t>Grotty</t>
  </si>
  <si>
    <t>Loner, Dodge, Right Stuff, Stunty</t>
  </si>
  <si>
    <t>Star Player Points</t>
  </si>
  <si>
    <t>T_empty</t>
  </si>
  <si>
    <t>empty</t>
  </si>
  <si>
    <t>Dark Elf1</t>
  </si>
  <si>
    <t>Hack Enslash</t>
  </si>
  <si>
    <t>SPP_CP</t>
  </si>
  <si>
    <t>T_missing</t>
  </si>
  <si>
    <t>missing</t>
  </si>
  <si>
    <t>Skaven</t>
  </si>
  <si>
    <t>Dark Elf2</t>
  </si>
  <si>
    <t>Runner</t>
  </si>
  <si>
    <t>Dump Off</t>
  </si>
  <si>
    <t>Lewdgrip Whiparm</t>
  </si>
  <si>
    <t>Hakflem Skuttlespike</t>
  </si>
  <si>
    <t>Loner, Dodge, Extra Arms, Prehensile Tail, Two Heads</t>
  </si>
  <si>
    <t>SPP_TD</t>
  </si>
  <si>
    <t>T_MS</t>
  </si>
  <si>
    <t>New Skill</t>
  </si>
  <si>
    <t>Dark Elf3</t>
  </si>
  <si>
    <t>Assassin</t>
  </si>
  <si>
    <t>Shadowing, Stab</t>
  </si>
  <si>
    <t>Headsplitter</t>
  </si>
  <si>
    <t>Loner, Frenzy, Mighty Blow, Prehensile Tail</t>
  </si>
  <si>
    <t>SPP_IN</t>
  </si>
  <si>
    <t>Dark Elf4</t>
  </si>
  <si>
    <t>SPP_CS</t>
  </si>
  <si>
    <t>StatusDropdowm</t>
  </si>
  <si>
    <t>Dark Elf5</t>
  </si>
  <si>
    <t>Witch Elf</t>
  </si>
  <si>
    <t>Frenzy, Dodge, Jump Up</t>
  </si>
  <si>
    <t>Ugroth Bolgrot</t>
  </si>
  <si>
    <t>Hemlock</t>
  </si>
  <si>
    <t>Loner, Block, Dodge, Side Step, Jump Up, Stab, Stunty</t>
  </si>
  <si>
    <t>SPP_VP</t>
  </si>
  <si>
    <t>T_MNG</t>
  </si>
  <si>
    <t>Daemons of Khorne1</t>
  </si>
  <si>
    <t>Pit Fighter</t>
  </si>
  <si>
    <t>Frenzy</t>
  </si>
  <si>
    <t>G P</t>
  </si>
  <si>
    <t>Horkon Heartripper</t>
  </si>
  <si>
    <t>Loner, Dodge, Leap, Multiple Block, Shadowing, Stab</t>
  </si>
  <si>
    <t>T_Journey</t>
  </si>
  <si>
    <t>Journeyman</t>
  </si>
  <si>
    <t>Wood Elf</t>
  </si>
  <si>
    <t>Daemons of Khorne2</t>
  </si>
  <si>
    <t>Bloodletter Daemon</t>
  </si>
  <si>
    <t>Horns, Juggernaut, Regeneration</t>
  </si>
  <si>
    <t>G A S</t>
  </si>
  <si>
    <t>P</t>
  </si>
  <si>
    <t>Ithaca Benoin</t>
  </si>
  <si>
    <t>Loner, Block, Break Tackle, Juggernaut, Sprint, Sure Feet, Thick Skull</t>
  </si>
  <si>
    <t xml:space="preserve">Star Player Rolls </t>
  </si>
  <si>
    <t>Daemons of Khorne3</t>
  </si>
  <si>
    <t>Khorne Herald</t>
  </si>
  <si>
    <t>Frenzy, Horns, Juggernaut</t>
  </si>
  <si>
    <t>Hubris Rakarth</t>
  </si>
  <si>
    <t>Loner, Block, Dirty Player, Jump Up, Mighty Blow, Strip Ball</t>
  </si>
  <si>
    <t>SPP_1</t>
  </si>
  <si>
    <t>GameTypes</t>
  </si>
  <si>
    <t>DBSkills</t>
  </si>
  <si>
    <t>Daemons of Khorne4</t>
  </si>
  <si>
    <t>Bloodthirster</t>
  </si>
  <si>
    <t>Loner, Wild Animal, Claw, Frenzy, Horns, Juggernaut, Regeneration</t>
  </si>
  <si>
    <t>Humerus Carpal</t>
  </si>
  <si>
    <t>Loner, Catch, Dodge, Regeneration, Nerves of Steel</t>
  </si>
  <si>
    <t>SPP_2</t>
  </si>
  <si>
    <t>Category</t>
  </si>
  <si>
    <t>Dwarf1</t>
  </si>
  <si>
    <t>Blocker</t>
  </si>
  <si>
    <t>Icepelt Hammerblow</t>
  </si>
  <si>
    <t>SPP_3</t>
  </si>
  <si>
    <t>Old Season</t>
  </si>
  <si>
    <t>----- General -----</t>
  </si>
  <si>
    <t>Dwarf2</t>
  </si>
  <si>
    <t>Sure Hands, Thick Skull</t>
  </si>
  <si>
    <t>Loner, Accurate, Dump Off, Nerves of Steel, Pass, Regeneration, Sure Hands</t>
  </si>
  <si>
    <t>SPP_4</t>
  </si>
  <si>
    <t>Dwarf3</t>
  </si>
  <si>
    <t>Block, Thick Skull</t>
  </si>
  <si>
    <t>J Earlice</t>
  </si>
  <si>
    <t>Loner, Catch, Diving Catch, Dodge, Sprint</t>
  </si>
  <si>
    <t>SPP_5</t>
  </si>
  <si>
    <t>Dauntless</t>
  </si>
  <si>
    <t>Dwarf4</t>
  </si>
  <si>
    <t>Troll Slayer</t>
  </si>
  <si>
    <t>Block, Dauntless, Frenzy, Thick Skull</t>
  </si>
  <si>
    <t>Jordell Freshbreeze</t>
  </si>
  <si>
    <t>Loner, Block, Diving Catch, Dodge, Leap, Side Step</t>
  </si>
  <si>
    <t>SPP_6</t>
  </si>
  <si>
    <t>Dirty Player</t>
  </si>
  <si>
    <t>Dwarf5</t>
  </si>
  <si>
    <t>Deathroller</t>
  </si>
  <si>
    <t>Loner, Pass, Strong Arm, Sure Hands, Tentacles</t>
  </si>
  <si>
    <t>RetireTypes</t>
  </si>
  <si>
    <t>Fend</t>
  </si>
  <si>
    <t>Elf1</t>
  </si>
  <si>
    <t>Dwarf6</t>
  </si>
  <si>
    <t>Loner, Block, Dirty Player, Mighty Blow</t>
  </si>
  <si>
    <t>Improvement Values</t>
  </si>
  <si>
    <t>dead</t>
  </si>
  <si>
    <t>Elf2</t>
  </si>
  <si>
    <t>Pass</t>
  </si>
  <si>
    <t>Lottabottol</t>
  </si>
  <si>
    <t>Loner, Catch, Diving Tackle, Jump Up, Leap, Pass Block, Shadowing, Very Long Legs</t>
  </si>
  <si>
    <t>IMP_REGULAR</t>
  </si>
  <si>
    <t>dead and raised</t>
  </si>
  <si>
    <t>Kick</t>
  </si>
  <si>
    <t>Elf3</t>
  </si>
  <si>
    <t>Catch, Nerves of Steel</t>
  </si>
  <si>
    <t>IMP_DOUBLE</t>
  </si>
  <si>
    <t>Kick-Off Return</t>
  </si>
  <si>
    <t>Elf4</t>
  </si>
  <si>
    <t>Block, Sidestep</t>
  </si>
  <si>
    <t>Mighty Zug</t>
  </si>
  <si>
    <t>Loner, Block, Mighty Blow</t>
  </si>
  <si>
    <t>IMP_MA</t>
  </si>
  <si>
    <t>Pass Block</t>
  </si>
  <si>
    <t>Goblin1</t>
  </si>
  <si>
    <t>Dodge, Stunty, Right Stuff</t>
  </si>
  <si>
    <t>Loner, Block, Mighty Blow, Thick Skull, Throw Team Mate</t>
  </si>
  <si>
    <t>IMP_AV</t>
  </si>
  <si>
    <t>Pro</t>
  </si>
  <si>
    <t>Goblin2</t>
  </si>
  <si>
    <t>Bombardier</t>
  </si>
  <si>
    <t>IMP_AG</t>
  </si>
  <si>
    <t>Shadowing</t>
  </si>
  <si>
    <t>Goblin3</t>
  </si>
  <si>
    <t>Looney</t>
  </si>
  <si>
    <t>Prince Moranion</t>
  </si>
  <si>
    <t>Loner, Block, Dauntless, Tackle, Wrestle</t>
  </si>
  <si>
    <t>IMP_ST</t>
  </si>
  <si>
    <t>Strip Ball</t>
  </si>
  <si>
    <t>Goblin4</t>
  </si>
  <si>
    <t>Fanatic</t>
  </si>
  <si>
    <t>Ball &amp; Chain, No Hands, Secret Weapon, Stunty</t>
  </si>
  <si>
    <t>Elf5</t>
  </si>
  <si>
    <t>Puggy Baconbreath</t>
  </si>
  <si>
    <t>Loner, Block, Dodge, Nerves of Steel, Right Stuff, Stunty</t>
  </si>
  <si>
    <t>Goblin5</t>
  </si>
  <si>
    <t>Pogoer</t>
  </si>
  <si>
    <t xml:space="preserve">Quetzal Leap </t>
  </si>
  <si>
    <t>Loner, Catch, Diving Catch, Fend, Kick-off Return, Leap, Nerves of Steel, Very Long Legs</t>
  </si>
  <si>
    <t>ExistsTx</t>
  </si>
  <si>
    <t>Tackle</t>
  </si>
  <si>
    <t>Goblin6</t>
  </si>
  <si>
    <t>Ramtut III</t>
  </si>
  <si>
    <t>Loner, Break Tackle, Mighty Blow, Regeneration, Wrestle</t>
  </si>
  <si>
    <t>Halfling1</t>
  </si>
  <si>
    <t>Loner, Dodge, Side Step, Sneaky Git, Stab</t>
  </si>
  <si>
    <t>Halfling2</t>
  </si>
  <si>
    <t>Treeman</t>
  </si>
  <si>
    <t>Ripper</t>
  </si>
  <si>
    <t>Loner, Grab, Mighty Blow, Regeneration, Throw Team-Mate</t>
  </si>
  <si>
    <t>----- Agility -----</t>
  </si>
  <si>
    <t>High Elf1</t>
  </si>
  <si>
    <t>Loner, Dodge, Frenzy, Jump Up, Juggernaut, Leap</t>
  </si>
  <si>
    <t>Catch</t>
  </si>
  <si>
    <t>High Elf2</t>
  </si>
  <si>
    <t>Pass, Safe Throw</t>
  </si>
  <si>
    <t>Scrappa Sorehead</t>
  </si>
  <si>
    <t>Diving Catch</t>
  </si>
  <si>
    <t>High Elf3</t>
  </si>
  <si>
    <t>Setekh</t>
  </si>
  <si>
    <t>Loner, Block, Break Tackle, Juggernaut, Regeneration, Strip Ball</t>
  </si>
  <si>
    <t>Diving Tackle</t>
  </si>
  <si>
    <t>High Elf4</t>
  </si>
  <si>
    <t>Sinnedbad</t>
  </si>
  <si>
    <t>Loner, Block, Jump Up, Pass Block, Regeneration, Secret Weapon, Side Step, Stab</t>
  </si>
  <si>
    <t>Human1</t>
  </si>
  <si>
    <t>Lineman</t>
  </si>
  <si>
    <t>Skitter Stab-Stab</t>
  </si>
  <si>
    <t>Loner, Dodge, Prehensile Tail, Shadowing, Stab</t>
  </si>
  <si>
    <t>Jump Up</t>
  </si>
  <si>
    <t>Human2</t>
  </si>
  <si>
    <t>Catch, Dodge</t>
  </si>
  <si>
    <t>Slibli</t>
  </si>
  <si>
    <t>Loner, Block, Grab, Guard, Stand Firm</t>
  </si>
  <si>
    <t>Leap</t>
  </si>
  <si>
    <t>Human3</t>
  </si>
  <si>
    <t>Pass, Sure Hands</t>
  </si>
  <si>
    <t>Soaren Hightower</t>
  </si>
  <si>
    <t>Loner, Fend, Kick-off Return, Pass, Safe Throw, Sure Hands, Strong Arm</t>
  </si>
  <si>
    <t>Human4</t>
  </si>
  <si>
    <t>Sneaky Git</t>
  </si>
  <si>
    <t>Human5</t>
  </si>
  <si>
    <t>Varag Ghoul-Chewer</t>
  </si>
  <si>
    <t>Loner, Block, Jump Up, Mighty Blow, Thick Skull</t>
  </si>
  <si>
    <t>Sprint</t>
  </si>
  <si>
    <t>Khemri1</t>
  </si>
  <si>
    <t>Skeleton</t>
  </si>
  <si>
    <t>Halfling3</t>
  </si>
  <si>
    <t>Wilhelm Chaney</t>
  </si>
  <si>
    <t>Loner, Catch, Claws, Frenzy, Regeneration, Wrestle</t>
  </si>
  <si>
    <t>Sure Feet</t>
  </si>
  <si>
    <t>Khemri2</t>
  </si>
  <si>
    <t>Thro-Ra</t>
  </si>
  <si>
    <t>Sure Hands, Pass, Regeneration</t>
  </si>
  <si>
    <t>Loner, Dauntless, Side Step, Thick Skull</t>
  </si>
  <si>
    <t>Khemri3</t>
  </si>
  <si>
    <t>Blitz-Ra</t>
  </si>
  <si>
    <t>Block, Regeneration</t>
  </si>
  <si>
    <t>Loner, Block, Dauntless, Dodge, Jump Up, Stab Stakes</t>
  </si>
  <si>
    <t>----- Strength -----</t>
  </si>
  <si>
    <t>Khemri4</t>
  </si>
  <si>
    <t>Loner, Hail Mary Pass, Pass, Secret Weapon, Strong Arm, Sure Hands, Tackle, Thick Skull</t>
  </si>
  <si>
    <t>Break Tackle</t>
  </si>
  <si>
    <t>Dodge, Stunty</t>
  </si>
  <si>
    <t>Grab</t>
  </si>
  <si>
    <t>Loner, Mighty Blow, Thick Skull, Prehensile Tail, Bonehead</t>
  </si>
  <si>
    <t>Juggernaut</t>
  </si>
  <si>
    <t>Necromantic1</t>
  </si>
  <si>
    <t>Regeneration</t>
  </si>
  <si>
    <t>Necromantic2</t>
  </si>
  <si>
    <t>Multiple Block</t>
  </si>
  <si>
    <t>Necromantic3</t>
  </si>
  <si>
    <t>Human6</t>
  </si>
  <si>
    <t>Piling On</t>
  </si>
  <si>
    <t>Necromantic4</t>
  </si>
  <si>
    <t>Flesh Golem</t>
  </si>
  <si>
    <t>Standfirm, Thick Skull, Regeneration</t>
  </si>
  <si>
    <t>Necromantic5</t>
  </si>
  <si>
    <t>Frenzy, Claws, Regeneration</t>
  </si>
  <si>
    <t>Strong Arm</t>
  </si>
  <si>
    <t>Norse1</t>
  </si>
  <si>
    <t>Thick Skull</t>
  </si>
  <si>
    <t>Norse2</t>
  </si>
  <si>
    <t>Block, Pass</t>
  </si>
  <si>
    <t>Norse3</t>
  </si>
  <si>
    <t>Block, Dauntless</t>
  </si>
  <si>
    <t>---- Passing -----</t>
  </si>
  <si>
    <t>Norse4</t>
  </si>
  <si>
    <t>Berserkers</t>
  </si>
  <si>
    <t>Block, Frenzy, Jump Up</t>
  </si>
  <si>
    <t>Accurate</t>
  </si>
  <si>
    <t>Norse5</t>
  </si>
  <si>
    <t>Ulfwerener</t>
  </si>
  <si>
    <t>Dump-Off</t>
  </si>
  <si>
    <t>Norse6</t>
  </si>
  <si>
    <t>Snow Troll</t>
  </si>
  <si>
    <t>Loner, Claws, Disturbing Presence, Frenzy, Wild Animal</t>
  </si>
  <si>
    <t>Hail Mary Pass</t>
  </si>
  <si>
    <t>Nurgle1</t>
  </si>
  <si>
    <t>Rotter</t>
  </si>
  <si>
    <t>Decay, Nurgle’s Rot</t>
  </si>
  <si>
    <t>Leader</t>
  </si>
  <si>
    <t>Nurgle2</t>
  </si>
  <si>
    <t>Pestigor</t>
  </si>
  <si>
    <t>Horns, Nurgle’s Rot, Regeneration</t>
  </si>
  <si>
    <t>Nerves of Steel</t>
  </si>
  <si>
    <t>Nurgle3</t>
  </si>
  <si>
    <t>Nurgle Warrior</t>
  </si>
  <si>
    <t>Disturbing Presence, Foul Appearance, Nurgle’s Rot, Regeneration</t>
  </si>
  <si>
    <t>Nurgle4</t>
  </si>
  <si>
    <t>Beast of Nurgle</t>
  </si>
  <si>
    <t>Loner, Disturbing Presence, Foul Appearance, Mighty Blow, Nurgle’s Rot, Really Stupid, Regeneration, Tentacles</t>
  </si>
  <si>
    <t>Safe Throw</t>
  </si>
  <si>
    <t>Ogre1</t>
  </si>
  <si>
    <t>Snotling</t>
  </si>
  <si>
    <t>Dodge, Right Stuff, Side Step, Stunty, Titchy</t>
  </si>
  <si>
    <t>Ogre2</t>
  </si>
  <si>
    <t>Mighty Blow, Thick Skull, Bonehead, Throw Teammate</t>
  </si>
  <si>
    <t>---- Mutation -----</t>
  </si>
  <si>
    <t>Orc1</t>
  </si>
  <si>
    <t>Big Hand</t>
  </si>
  <si>
    <t>M</t>
  </si>
  <si>
    <t>Orc2</t>
  </si>
  <si>
    <t>Claw(s)</t>
  </si>
  <si>
    <t>Orc3</t>
  </si>
  <si>
    <t>Disturbing Presence</t>
  </si>
  <si>
    <t>Orc4</t>
  </si>
  <si>
    <t>Extra Arms</t>
  </si>
  <si>
    <t>Orc5</t>
  </si>
  <si>
    <t>Foul Appearance</t>
  </si>
  <si>
    <t>Orc6</t>
  </si>
  <si>
    <t>Skaven1</t>
  </si>
  <si>
    <t>A S P M</t>
  </si>
  <si>
    <t>Prehensile Tail</t>
  </si>
  <si>
    <t>Skaven2</t>
  </si>
  <si>
    <t>A S M</t>
  </si>
  <si>
    <t>Tentacles</t>
  </si>
  <si>
    <t>Skaven3</t>
  </si>
  <si>
    <t>Gutter Runner</t>
  </si>
  <si>
    <t>S P M</t>
  </si>
  <si>
    <t>Two Heads</t>
  </si>
  <si>
    <t>Skaven4</t>
  </si>
  <si>
    <t>Very Long Legs</t>
  </si>
  <si>
    <t>Skaven5</t>
  </si>
  <si>
    <t>Rat Ogre</t>
  </si>
  <si>
    <t>Loner, Mighty Blow, Frenzy, Prehensile Tail,Wild Animal</t>
  </si>
  <si>
    <t>Leap, Very Long Legs</t>
  </si>
  <si>
    <t>---- Stat Increase ----</t>
  </si>
  <si>
    <t>Diving Catch, Leap, Very Long Legs</t>
  </si>
  <si>
    <t xml:space="preserve">G A </t>
  </si>
  <si>
    <t>X</t>
  </si>
  <si>
    <t>Diving Tackle, Jump Up, Leap, Very Long Legs</t>
  </si>
  <si>
    <t>Undead1</t>
  </si>
  <si>
    <t>Nurgle6</t>
  </si>
  <si>
    <t>Undead2</t>
  </si>
  <si>
    <t>Nurgle5</t>
  </si>
  <si>
    <t>Undead3</t>
  </si>
  <si>
    <t>Undead4</t>
  </si>
  <si>
    <t>Undead5</t>
  </si>
  <si>
    <t>Mighty Blow, Regeneration</t>
  </si>
  <si>
    <t>Underworld Goblin</t>
  </si>
  <si>
    <t xml:space="preserve">A M </t>
  </si>
  <si>
    <t>Skaven Lineman</t>
  </si>
  <si>
    <t>Skaven Thrower</t>
  </si>
  <si>
    <t>Animosity, Pass, Sure Hands</t>
  </si>
  <si>
    <t>G P M</t>
  </si>
  <si>
    <t>Skaven Blitzer</t>
  </si>
  <si>
    <t>Animosity, Block</t>
  </si>
  <si>
    <t>Ogre4</t>
  </si>
  <si>
    <t>Warpstone Troll</t>
  </si>
  <si>
    <t>Ogre3</t>
  </si>
  <si>
    <t>Vampire1</t>
  </si>
  <si>
    <t>Vampire2</t>
  </si>
  <si>
    <t>Blood Blust, Hypnotic Gaze, Regeneration</t>
  </si>
  <si>
    <t>Wood Elf1</t>
  </si>
  <si>
    <t>Wood Elf2</t>
  </si>
  <si>
    <t>Wood Elf3</t>
  </si>
  <si>
    <t>Wood Elf4</t>
  </si>
  <si>
    <t>Wardancer</t>
  </si>
  <si>
    <t>Block, Dodge, Leap</t>
  </si>
  <si>
    <t>Wood Elf5</t>
  </si>
  <si>
    <t>Loner, Mighty Blow, Stand Firm, Thick Skull, Strong Arm, Take Root, Throw Teammate</t>
  </si>
  <si>
    <t>End of Active Players, below Hall of Famers</t>
  </si>
  <si>
    <t>Vampire4</t>
  </si>
  <si>
    <t>Vampire3</t>
  </si>
  <si>
    <r>
      <t xml:space="preserve">                         Inducements</t>
    </r>
    <r>
      <rPr>
        <sz val="8"/>
        <color rgb="FFFFFFFF"/>
        <rFont val="Tahoma"/>
      </rPr>
      <t xml:space="preserve">  (next game only)</t>
    </r>
  </si>
  <si>
    <t>Max Ranks</t>
  </si>
  <si>
    <t>Lizardman</t>
  </si>
  <si>
    <t>Lizardman1</t>
  </si>
  <si>
    <t>Lizardman2</t>
  </si>
  <si>
    <t>Lizardman3</t>
  </si>
  <si>
    <t>Lizardman4</t>
  </si>
</sst>
</file>

<file path=xl/styles.xml><?xml version="1.0" encoding="utf-8"?>
<styleSheet xmlns="http://schemas.openxmlformats.org/spreadsheetml/2006/main">
  <numFmts count="2">
    <numFmt numFmtId="164" formatCode="&quot;:&quot;_#0"/>
    <numFmt numFmtId="165" formatCode="\+0;\-0"/>
  </numFmts>
  <fonts count="52">
    <font>
      <sz val="10"/>
      <color rgb="FF000000"/>
      <name val="Arial"/>
    </font>
    <font>
      <sz val="10"/>
      <name val="Arial"/>
    </font>
    <font>
      <sz val="10"/>
      <color rgb="FFFFFFFF"/>
      <name val="Arial"/>
    </font>
    <font>
      <b/>
      <sz val="16"/>
      <color rgb="FFFFFFFF"/>
      <name val="Arial"/>
    </font>
    <font>
      <sz val="10"/>
      <name val="Arial"/>
    </font>
    <font>
      <sz val="10"/>
      <color rgb="FFFF6600"/>
      <name val="Arial"/>
    </font>
    <font>
      <sz val="16"/>
      <color rgb="FFFFFFFF"/>
      <name val="Arial"/>
    </font>
    <font>
      <b/>
      <u/>
      <sz val="10"/>
      <name val="Tahoma"/>
    </font>
    <font>
      <b/>
      <u/>
      <sz val="10"/>
      <name val="Tahoma"/>
    </font>
    <font>
      <b/>
      <u/>
      <sz val="10"/>
      <name val="Tahoma"/>
    </font>
    <font>
      <b/>
      <u/>
      <sz val="10"/>
      <name val="Tahoma"/>
    </font>
    <font>
      <b/>
      <u/>
      <sz val="10"/>
      <name val="Tahoma"/>
    </font>
    <font>
      <sz val="10"/>
      <name val="Tahoma"/>
    </font>
    <font>
      <sz val="10"/>
      <color rgb="FFFFFFFF"/>
      <name val="Tahoma"/>
    </font>
    <font>
      <b/>
      <u/>
      <sz val="10"/>
      <name val="Tahoma"/>
    </font>
    <font>
      <b/>
      <u/>
      <sz val="10"/>
      <name val="Tahoma"/>
    </font>
    <font>
      <b/>
      <u/>
      <sz val="10"/>
      <name val="Tahoma"/>
    </font>
    <font>
      <i/>
      <sz val="10"/>
      <color rgb="FF969696"/>
      <name val="Tahoma"/>
    </font>
    <font>
      <b/>
      <sz val="10"/>
      <color rgb="FFFFFFFF"/>
      <name val="Tahoma"/>
    </font>
    <font>
      <b/>
      <u/>
      <sz val="10"/>
      <name val="Tahoma"/>
    </font>
    <font>
      <sz val="10"/>
      <color rgb="FFFFFF99"/>
      <name val="Tahoma"/>
    </font>
    <font>
      <sz val="8"/>
      <color rgb="FFFFFFFF"/>
      <name val="Arial"/>
    </font>
    <font>
      <b/>
      <u/>
      <sz val="10"/>
      <name val="Tahoma"/>
    </font>
    <font>
      <b/>
      <u/>
      <sz val="10"/>
      <name val="Tahoma"/>
    </font>
    <font>
      <b/>
      <sz val="8"/>
      <color rgb="FFFFFFFF"/>
      <name val="Tahoma"/>
    </font>
    <font>
      <sz val="8"/>
      <color rgb="FFFFFFFF"/>
      <name val="Tahoma"/>
    </font>
    <font>
      <b/>
      <sz val="10"/>
      <color rgb="FFFFFFFF"/>
      <name val="Arial"/>
    </font>
    <font>
      <b/>
      <sz val="10"/>
      <name val="Arial"/>
    </font>
    <font>
      <b/>
      <u/>
      <sz val="10"/>
      <name val="Tahoma"/>
    </font>
    <font>
      <b/>
      <u/>
      <sz val="10"/>
      <color rgb="FFFFFFFF"/>
      <name val="Tahoma"/>
    </font>
    <font>
      <sz val="8"/>
      <color rgb="FFFFFF99"/>
      <name val="Tahoma"/>
    </font>
    <font>
      <b/>
      <sz val="10"/>
      <color rgb="FFFFFF99"/>
      <name val="Tahoma"/>
    </font>
    <font>
      <b/>
      <sz val="8"/>
      <name val="Tahoma"/>
    </font>
    <font>
      <sz val="8"/>
      <name val="Tahoma"/>
    </font>
    <font>
      <sz val="5"/>
      <color rgb="FFFFFFFF"/>
      <name val="Tahoma"/>
    </font>
    <font>
      <sz val="10"/>
      <color rgb="FFFF0000"/>
      <name val="Tahoma"/>
    </font>
    <font>
      <b/>
      <sz val="8"/>
      <color rgb="FFFFFF99"/>
      <name val="Tahoma"/>
    </font>
    <font>
      <sz val="9"/>
      <name val="Tahoma"/>
    </font>
    <font>
      <b/>
      <u/>
      <sz val="8"/>
      <name val="Tahoma"/>
    </font>
    <font>
      <b/>
      <u/>
      <sz val="8"/>
      <name val="Tahoma"/>
    </font>
    <font>
      <b/>
      <u/>
      <sz val="8"/>
      <name val="Tahoma"/>
    </font>
    <font>
      <b/>
      <u/>
      <sz val="8"/>
      <name val="Tahoma"/>
    </font>
    <font>
      <sz val="10"/>
      <color rgb="FFFFCC00"/>
      <name val="Tahoma"/>
    </font>
    <font>
      <b/>
      <u/>
      <sz val="10"/>
      <color rgb="FFFFCC00"/>
      <name val="Tahoma"/>
    </font>
    <font>
      <b/>
      <sz val="10"/>
      <color rgb="FFFFCC00"/>
      <name val="Tahoma"/>
    </font>
    <font>
      <u/>
      <sz val="8"/>
      <color rgb="FFFFCC00"/>
      <name val="Arial"/>
    </font>
    <font>
      <b/>
      <u/>
      <sz val="10"/>
      <color rgb="FFFFFFFF"/>
      <name val="Tahoma"/>
    </font>
    <font>
      <u/>
      <sz val="10"/>
      <color rgb="FFFFFFFF"/>
      <name val="Arial"/>
    </font>
    <font>
      <b/>
      <sz val="12"/>
      <color rgb="FFFF0000"/>
      <name val="Arial"/>
    </font>
    <font>
      <sz val="10"/>
      <color rgb="FFFF0000"/>
      <name val="Arial"/>
    </font>
    <font>
      <i/>
      <sz val="10"/>
      <name val="Arial"/>
    </font>
    <font>
      <b/>
      <sz val="7"/>
      <name val="Arial"/>
    </font>
  </fonts>
  <fills count="11">
    <fill>
      <patternFill patternType="none"/>
    </fill>
    <fill>
      <patternFill patternType="gray125"/>
    </fill>
    <fill>
      <patternFill patternType="solid">
        <fgColor rgb="FF000000"/>
        <bgColor rgb="FF000000"/>
      </patternFill>
    </fill>
    <fill>
      <patternFill patternType="solid">
        <fgColor rgb="FFFF6600"/>
        <bgColor rgb="FFFF6600"/>
      </patternFill>
    </fill>
    <fill>
      <patternFill patternType="solid">
        <fgColor rgb="FF993300"/>
        <bgColor rgb="FF993300"/>
      </patternFill>
    </fill>
    <fill>
      <patternFill patternType="solid">
        <fgColor rgb="FF003366"/>
        <bgColor rgb="FF003366"/>
      </patternFill>
    </fill>
    <fill>
      <patternFill patternType="solid">
        <fgColor rgb="FF003300"/>
        <bgColor rgb="FF003300"/>
      </patternFill>
    </fill>
    <fill>
      <patternFill patternType="solid">
        <fgColor rgb="FF333333"/>
        <bgColor rgb="FF333333"/>
      </patternFill>
    </fill>
    <fill>
      <patternFill patternType="solid">
        <fgColor rgb="FF99CC00"/>
        <bgColor rgb="FF99CC00"/>
      </patternFill>
    </fill>
    <fill>
      <patternFill patternType="solid">
        <fgColor rgb="FF008000"/>
        <bgColor rgb="FF008000"/>
      </patternFill>
    </fill>
    <fill>
      <patternFill patternType="solid">
        <fgColor rgb="FF666699"/>
        <bgColor rgb="FF666699"/>
      </patternFill>
    </fill>
  </fills>
  <borders count="7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ck">
        <color rgb="FFFF6600"/>
      </left>
      <right/>
      <top style="thick">
        <color rgb="FFFF6600"/>
      </top>
      <bottom/>
      <diagonal/>
    </border>
    <border>
      <left/>
      <right/>
      <top style="thick">
        <color rgb="FFFF6600"/>
      </top>
      <bottom/>
      <diagonal/>
    </border>
    <border>
      <left/>
      <right style="thick">
        <color rgb="FFFF6600"/>
      </right>
      <top style="thick">
        <color rgb="FFFF6600"/>
      </top>
      <bottom/>
      <diagonal/>
    </border>
    <border>
      <left/>
      <right/>
      <top style="thin">
        <color rgb="FF000000"/>
      </top>
      <bottom style="thin">
        <color rgb="FF000000"/>
      </bottom>
      <diagonal/>
    </border>
    <border>
      <left style="thick">
        <color rgb="FFFF6600"/>
      </left>
      <right style="thick">
        <color rgb="FFFF6600"/>
      </right>
      <top style="thick">
        <color rgb="FFFF6600"/>
      </top>
      <bottom/>
      <diagonal/>
    </border>
    <border>
      <left style="thick">
        <color rgb="FFFF6600"/>
      </left>
      <right/>
      <top/>
      <bottom/>
      <diagonal/>
    </border>
    <border>
      <left/>
      <right style="thick">
        <color rgb="FFFF6600"/>
      </right>
      <top/>
      <bottom/>
      <diagonal/>
    </border>
    <border>
      <left style="thick">
        <color rgb="FFFF6600"/>
      </left>
      <right style="thick">
        <color rgb="FFFF6600"/>
      </right>
      <top/>
      <bottom/>
      <diagonal/>
    </border>
    <border>
      <left/>
      <right style="medium">
        <color rgb="FFFF6600"/>
      </right>
      <top style="thick">
        <color rgb="FFFF6600"/>
      </top>
      <bottom/>
      <diagonal/>
    </border>
    <border>
      <left style="medium">
        <color rgb="FFFF6600"/>
      </left>
      <right/>
      <top style="thick">
        <color rgb="FFFF6600"/>
      </top>
      <bottom/>
      <diagonal/>
    </border>
    <border>
      <left/>
      <right style="medium">
        <color rgb="FFFF6600"/>
      </right>
      <top/>
      <bottom/>
      <diagonal/>
    </border>
    <border>
      <left style="medium">
        <color rgb="FFFF6600"/>
      </left>
      <right/>
      <top/>
      <bottom/>
      <diagonal/>
    </border>
    <border>
      <left/>
      <right style="thin">
        <color rgb="FF000000"/>
      </right>
      <top/>
      <bottom style="thin">
        <color rgb="FF000000"/>
      </bottom>
      <diagonal/>
    </border>
    <border>
      <left style="thick">
        <color rgb="FFFF6600"/>
      </left>
      <right style="thick">
        <color rgb="FFFF6600"/>
      </right>
      <top/>
      <bottom style="thick">
        <color rgb="FFFF6600"/>
      </bottom>
      <diagonal/>
    </border>
    <border>
      <left style="thin">
        <color rgb="FF000000"/>
      </left>
      <right style="thin">
        <color rgb="FF000000"/>
      </right>
      <top style="thick">
        <color rgb="FFFF6600"/>
      </top>
      <bottom/>
      <diagonal/>
    </border>
    <border>
      <left style="thin">
        <color rgb="FF000000"/>
      </left>
      <right/>
      <top style="thick">
        <color rgb="FFFF6600"/>
      </top>
      <bottom/>
      <diagonal/>
    </border>
    <border>
      <left style="thin">
        <color rgb="FF000000"/>
      </left>
      <right/>
      <top style="thick">
        <color rgb="FFFF6600"/>
      </top>
      <bottom style="thin">
        <color rgb="FF000000"/>
      </bottom>
      <diagonal/>
    </border>
    <border>
      <left/>
      <right style="thin">
        <color rgb="FF000000"/>
      </right>
      <top style="thick">
        <color rgb="FFFF6600"/>
      </top>
      <bottom/>
      <diagonal/>
    </border>
    <border>
      <left/>
      <right/>
      <top style="thick">
        <color rgb="FFFF6600"/>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ck">
        <color rgb="FFFF6600"/>
      </left>
      <right/>
      <top/>
      <bottom style="thick">
        <color rgb="FFFF6600"/>
      </bottom>
      <diagonal/>
    </border>
    <border>
      <left/>
      <right/>
      <top/>
      <bottom style="thick">
        <color rgb="FFFF6600"/>
      </bottom>
      <diagonal/>
    </border>
    <border>
      <left/>
      <right style="thick">
        <color rgb="FFFF6600"/>
      </right>
      <top/>
      <bottom style="thick">
        <color rgb="FFFF6600"/>
      </bottom>
      <diagonal/>
    </border>
    <border>
      <left style="medium">
        <color rgb="FFFF6600"/>
      </left>
      <right/>
      <top style="medium">
        <color rgb="FFFF6600"/>
      </top>
      <bottom/>
      <diagonal/>
    </border>
    <border>
      <left/>
      <right/>
      <top style="medium">
        <color rgb="FFFF6600"/>
      </top>
      <bottom/>
      <diagonal/>
    </border>
    <border>
      <left/>
      <right style="medium">
        <color rgb="FFFF6600"/>
      </right>
      <top style="medium">
        <color rgb="FFFF6600"/>
      </top>
      <bottom/>
      <diagonal/>
    </border>
    <border>
      <left/>
      <right/>
      <top/>
      <bottom style="medium">
        <color rgb="FFFF6600"/>
      </bottom>
      <diagonal/>
    </border>
    <border>
      <left style="thick">
        <color rgb="FF99CC00"/>
      </left>
      <right/>
      <top style="thick">
        <color rgb="FF99CC00"/>
      </top>
      <bottom style="thick">
        <color rgb="FF99CC00"/>
      </bottom>
      <diagonal/>
    </border>
    <border>
      <left/>
      <right/>
      <top style="thick">
        <color rgb="FF99CC00"/>
      </top>
      <bottom style="thick">
        <color rgb="FF99CC00"/>
      </bottom>
      <diagonal/>
    </border>
    <border>
      <left style="thick">
        <color rgb="FF99CC00"/>
      </left>
      <right/>
      <top/>
      <bottom/>
      <diagonal/>
    </border>
    <border>
      <left/>
      <right style="thin">
        <color rgb="FF993300"/>
      </right>
      <top/>
      <bottom/>
      <diagonal/>
    </border>
    <border>
      <left style="thin">
        <color rgb="FF993300"/>
      </left>
      <right style="thin">
        <color rgb="FF993300"/>
      </right>
      <top/>
      <bottom/>
      <diagonal/>
    </border>
    <border>
      <left style="thin">
        <color rgb="FF993300"/>
      </left>
      <right/>
      <top/>
      <bottom/>
      <diagonal/>
    </border>
    <border>
      <left/>
      <right style="thin">
        <color rgb="FF99CC00"/>
      </right>
      <top/>
      <bottom/>
      <diagonal/>
    </border>
    <border>
      <left style="thin">
        <color rgb="FF99CC00"/>
      </left>
      <right style="thin">
        <color rgb="FF99CC00"/>
      </right>
      <top/>
      <bottom/>
      <diagonal/>
    </border>
    <border>
      <left/>
      <right/>
      <top/>
      <bottom style="thin">
        <color rgb="FF993300"/>
      </bottom>
      <diagonal/>
    </border>
    <border>
      <left/>
      <right style="thin">
        <color rgb="FF993300"/>
      </right>
      <top/>
      <bottom style="thin">
        <color rgb="FF993300"/>
      </bottom>
      <diagonal/>
    </border>
    <border>
      <left style="thin">
        <color rgb="FF993300"/>
      </left>
      <right style="thin">
        <color rgb="FF993300"/>
      </right>
      <top/>
      <bottom style="thin">
        <color rgb="FF993300"/>
      </bottom>
      <diagonal/>
    </border>
    <border>
      <left style="thin">
        <color rgb="FF993300"/>
      </left>
      <right/>
      <top/>
      <bottom style="thin">
        <color rgb="FF993300"/>
      </bottom>
      <diagonal/>
    </border>
    <border>
      <left/>
      <right/>
      <top style="thin">
        <color rgb="FF993300"/>
      </top>
      <bottom style="thin">
        <color rgb="FF993300"/>
      </bottom>
      <diagonal/>
    </border>
    <border>
      <left/>
      <right style="thin">
        <color rgb="FF993300"/>
      </right>
      <top style="thin">
        <color rgb="FF993300"/>
      </top>
      <bottom style="thin">
        <color rgb="FF993300"/>
      </bottom>
      <diagonal/>
    </border>
    <border>
      <left style="thin">
        <color rgb="FF993300"/>
      </left>
      <right style="thin">
        <color rgb="FF993300"/>
      </right>
      <top style="thin">
        <color rgb="FF993300"/>
      </top>
      <bottom style="thin">
        <color rgb="FF993300"/>
      </bottom>
      <diagonal/>
    </border>
    <border>
      <left style="thin">
        <color rgb="FF993300"/>
      </left>
      <right/>
      <top style="thin">
        <color rgb="FF993300"/>
      </top>
      <bottom style="thin">
        <color rgb="FF993300"/>
      </bottom>
      <diagonal/>
    </border>
    <border>
      <left/>
      <right/>
      <top style="thin">
        <color rgb="FF993300"/>
      </top>
      <bottom/>
      <diagonal/>
    </border>
    <border>
      <left/>
      <right style="thin">
        <color rgb="FF993300"/>
      </right>
      <top style="thin">
        <color rgb="FF993300"/>
      </top>
      <bottom/>
      <diagonal/>
    </border>
    <border>
      <left style="thin">
        <color rgb="FF993300"/>
      </left>
      <right style="thin">
        <color rgb="FF993300"/>
      </right>
      <top style="thin">
        <color rgb="FF993300"/>
      </top>
      <bottom/>
      <diagonal/>
    </border>
    <border>
      <left style="thin">
        <color rgb="FF993300"/>
      </left>
      <right/>
      <top style="thin">
        <color rgb="FF993300"/>
      </top>
      <bottom/>
      <diagonal/>
    </border>
    <border>
      <left/>
      <right style="thin">
        <color rgb="FF99CC00"/>
      </right>
      <top/>
      <bottom style="thick">
        <color rgb="FF99CC00"/>
      </bottom>
      <diagonal/>
    </border>
    <border>
      <left style="thin">
        <color rgb="FF99CC00"/>
      </left>
      <right style="thin">
        <color rgb="FF99CC00"/>
      </right>
      <top/>
      <bottom style="thick">
        <color rgb="FF99CC00"/>
      </bottom>
      <diagonal/>
    </border>
    <border>
      <left style="medium">
        <color rgb="FFFF6600"/>
      </left>
      <right/>
      <top style="thick">
        <color rgb="FF99CC00"/>
      </top>
      <bottom/>
      <diagonal/>
    </border>
    <border>
      <left/>
      <right/>
      <top style="thick">
        <color rgb="FF99CC00"/>
      </top>
      <bottom/>
      <diagonal/>
    </border>
    <border>
      <left style="medium">
        <color rgb="FFFF6600"/>
      </left>
      <right/>
      <top/>
      <bottom style="medium">
        <color rgb="FFFF6600"/>
      </bottom>
      <diagonal/>
    </border>
    <border>
      <left/>
      <right style="medium">
        <color rgb="FFFF6600"/>
      </right>
      <top/>
      <bottom style="medium">
        <color rgb="FFFF66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s>
  <cellStyleXfs count="1">
    <xf numFmtId="0" fontId="0" fillId="0" borderId="0"/>
  </cellStyleXfs>
  <cellXfs count="355">
    <xf numFmtId="0" fontId="0" fillId="0" borderId="0" xfId="0" applyFont="1" applyAlignment="1"/>
    <xf numFmtId="0" fontId="1" fillId="2" borderId="0" xfId="0" applyFont="1" applyFill="1" applyBorder="1"/>
    <xf numFmtId="0" fontId="2" fillId="2" borderId="0" xfId="0" applyFont="1" applyFill="1" applyBorder="1"/>
    <xf numFmtId="0" fontId="2" fillId="2" borderId="1" xfId="0" applyFont="1" applyFill="1" applyBorder="1"/>
    <xf numFmtId="0" fontId="2" fillId="2" borderId="0" xfId="0" applyFont="1" applyFill="1" applyBorder="1" applyAlignment="1">
      <alignment horizontal="center"/>
    </xf>
    <xf numFmtId="0" fontId="1" fillId="3" borderId="0" xfId="0" applyFont="1" applyFill="1" applyBorder="1"/>
    <xf numFmtId="0" fontId="5" fillId="3" borderId="0" xfId="0" applyFont="1" applyFill="1" applyBorder="1" applyAlignment="1">
      <alignment horizontal="center"/>
    </xf>
    <xf numFmtId="0" fontId="2" fillId="2" borderId="2" xfId="0" applyFont="1" applyFill="1" applyBorder="1"/>
    <xf numFmtId="0" fontId="5" fillId="3" borderId="0" xfId="0" applyFont="1" applyFill="1" applyBorder="1" applyAlignment="1">
      <alignment horizontal="right"/>
    </xf>
    <xf numFmtId="0" fontId="6" fillId="2" borderId="0" xfId="0" applyFont="1" applyFill="1" applyBorder="1" applyAlignment="1">
      <alignment horizontal="center" vertical="center"/>
    </xf>
    <xf numFmtId="0" fontId="1" fillId="2" borderId="3" xfId="0" applyFont="1" applyFill="1" applyBorder="1"/>
    <xf numFmtId="0" fontId="2" fillId="2" borderId="4" xfId="0" applyFont="1" applyFill="1" applyBorder="1"/>
    <xf numFmtId="0" fontId="1" fillId="2" borderId="1" xfId="0" applyFont="1" applyFill="1" applyBorder="1"/>
    <xf numFmtId="0" fontId="5" fillId="3" borderId="0" xfId="0" applyFont="1" applyFill="1" applyBorder="1"/>
    <xf numFmtId="0" fontId="2" fillId="2" borderId="1" xfId="0" applyFont="1" applyFill="1" applyBorder="1" applyAlignment="1">
      <alignment horizontal="center"/>
    </xf>
    <xf numFmtId="0" fontId="7" fillId="3" borderId="0" xfId="0" applyFont="1" applyFill="1" applyBorder="1" applyAlignment="1">
      <alignment horizontal="center" vertical="center"/>
    </xf>
    <xf numFmtId="0" fontId="8" fillId="3" borderId="0" xfId="0" applyFont="1" applyFill="1" applyBorder="1" applyAlignment="1">
      <alignment horizontal="left" vertical="center"/>
    </xf>
    <xf numFmtId="0" fontId="9" fillId="3" borderId="0" xfId="0" applyFont="1" applyFill="1" applyBorder="1" applyAlignment="1">
      <alignment horizontal="right" vertical="center"/>
    </xf>
    <xf numFmtId="0" fontId="10" fillId="3" borderId="0" xfId="0" applyFont="1" applyFill="1" applyBorder="1" applyAlignment="1">
      <alignment vertical="center"/>
    </xf>
    <xf numFmtId="0" fontId="2" fillId="2" borderId="2" xfId="0" applyFont="1" applyFill="1" applyBorder="1" applyAlignment="1">
      <alignment horizontal="center"/>
    </xf>
    <xf numFmtId="0" fontId="1" fillId="2" borderId="0" xfId="0" applyFont="1" applyFill="1" applyBorder="1" applyAlignment="1">
      <alignment horizontal="center"/>
    </xf>
    <xf numFmtId="0" fontId="12" fillId="3" borderId="5" xfId="0" applyFont="1" applyFill="1" applyBorder="1" applyAlignment="1">
      <alignment horizontal="center"/>
    </xf>
    <xf numFmtId="14" fontId="13" fillId="4" borderId="0" xfId="0" applyNumberFormat="1" applyFont="1" applyFill="1" applyBorder="1" applyAlignment="1">
      <alignment horizontal="center"/>
    </xf>
    <xf numFmtId="0" fontId="14" fillId="3" borderId="6" xfId="0" applyFont="1" applyFill="1" applyBorder="1" applyAlignment="1">
      <alignment horizontal="left" vertical="center"/>
    </xf>
    <xf numFmtId="0" fontId="13" fillId="4" borderId="0" xfId="0" applyFont="1" applyFill="1" applyBorder="1" applyAlignment="1">
      <alignment horizontal="right"/>
    </xf>
    <xf numFmtId="0" fontId="15" fillId="3" borderId="6" xfId="0" applyFont="1" applyFill="1" applyBorder="1" applyAlignment="1">
      <alignment horizontal="center" vertical="center"/>
    </xf>
    <xf numFmtId="0" fontId="13" fillId="4" borderId="0" xfId="0" applyFont="1" applyFill="1" applyBorder="1"/>
    <xf numFmtId="0" fontId="16" fillId="3" borderId="7" xfId="0" applyFont="1" applyFill="1" applyBorder="1" applyAlignment="1">
      <alignment horizontal="center" vertical="center"/>
    </xf>
    <xf numFmtId="0" fontId="13" fillId="4" borderId="0" xfId="0" applyFont="1" applyFill="1" applyBorder="1" applyAlignment="1">
      <alignment horizontal="center"/>
    </xf>
    <xf numFmtId="164" fontId="13" fillId="4" borderId="0" xfId="0" applyNumberFormat="1" applyFont="1" applyFill="1" applyBorder="1" applyAlignment="1">
      <alignment horizontal="left"/>
    </xf>
    <xf numFmtId="0" fontId="17" fillId="4" borderId="0" xfId="0" applyFont="1" applyFill="1" applyBorder="1"/>
    <xf numFmtId="0" fontId="18" fillId="4" borderId="0" xfId="0" applyFont="1" applyFill="1" applyBorder="1" applyAlignment="1">
      <alignment horizontal="center"/>
    </xf>
    <xf numFmtId="0" fontId="1" fillId="2" borderId="8" xfId="0" applyFont="1" applyFill="1" applyBorder="1"/>
    <xf numFmtId="0" fontId="19" fillId="3" borderId="9" xfId="0" applyFont="1" applyFill="1" applyBorder="1" applyAlignment="1">
      <alignment horizontal="center" vertical="center"/>
    </xf>
    <xf numFmtId="0" fontId="12" fillId="3" borderId="10" xfId="0" applyFont="1" applyFill="1" applyBorder="1" applyAlignment="1">
      <alignment horizontal="center"/>
    </xf>
    <xf numFmtId="0" fontId="18" fillId="4" borderId="0" xfId="0" applyFont="1" applyFill="1" applyBorder="1" applyAlignment="1">
      <alignment horizontal="left"/>
    </xf>
    <xf numFmtId="0" fontId="18" fillId="4" borderId="11" xfId="0" applyFont="1" applyFill="1" applyBorder="1" applyAlignment="1">
      <alignment horizontal="center"/>
    </xf>
    <xf numFmtId="0" fontId="20" fillId="4" borderId="12" xfId="0" applyFont="1" applyFill="1" applyBorder="1" applyAlignment="1">
      <alignment horizontal="center"/>
    </xf>
    <xf numFmtId="0" fontId="21" fillId="2" borderId="0" xfId="0" applyFont="1" applyFill="1" applyBorder="1" applyAlignment="1">
      <alignment horizontal="center"/>
    </xf>
    <xf numFmtId="0" fontId="21" fillId="5" borderId="0" xfId="0" applyFont="1" applyFill="1" applyBorder="1" applyAlignment="1">
      <alignment horizontal="center" vertical="center"/>
    </xf>
    <xf numFmtId="0" fontId="21" fillId="6" borderId="0" xfId="0" applyFont="1" applyFill="1" applyBorder="1" applyAlignment="1">
      <alignment horizontal="center" vertical="center"/>
    </xf>
    <xf numFmtId="1" fontId="21" fillId="7" borderId="0" xfId="0" applyNumberFormat="1" applyFont="1" applyFill="1" applyBorder="1" applyAlignment="1">
      <alignment horizontal="center" vertical="center"/>
    </xf>
    <xf numFmtId="0" fontId="2" fillId="2" borderId="0" xfId="0" applyFont="1" applyFill="1" applyBorder="1" applyAlignment="1">
      <alignment horizontal="center" vertical="center"/>
    </xf>
    <xf numFmtId="0" fontId="18" fillId="3" borderId="5" xfId="0" applyFont="1" applyFill="1" applyBorder="1" applyAlignment="1">
      <alignment horizontal="center" vertical="center"/>
    </xf>
    <xf numFmtId="0" fontId="1" fillId="2" borderId="0" xfId="0" applyFont="1" applyFill="1" applyBorder="1" applyAlignment="1">
      <alignment vertical="center"/>
    </xf>
    <xf numFmtId="0" fontId="21" fillId="5" borderId="0" xfId="0" applyFont="1" applyFill="1" applyBorder="1" applyAlignment="1">
      <alignment horizontal="center"/>
    </xf>
    <xf numFmtId="0" fontId="21" fillId="6" borderId="0" xfId="0" applyFont="1" applyFill="1" applyBorder="1"/>
    <xf numFmtId="1" fontId="21" fillId="7" borderId="0" xfId="0" applyNumberFormat="1" applyFont="1" applyFill="1" applyBorder="1" applyAlignment="1">
      <alignment horizontal="center"/>
    </xf>
    <xf numFmtId="0" fontId="13" fillId="4" borderId="0" xfId="0" applyFont="1" applyFill="1" applyBorder="1" applyAlignment="1">
      <alignment horizontal="left"/>
    </xf>
    <xf numFmtId="0" fontId="24" fillId="4" borderId="0" xfId="0" applyFont="1" applyFill="1" applyBorder="1" applyAlignment="1">
      <alignment horizontal="left"/>
    </xf>
    <xf numFmtId="1" fontId="24" fillId="4" borderId="15" xfId="0" applyNumberFormat="1" applyFont="1" applyFill="1" applyBorder="1" applyAlignment="1">
      <alignment horizontal="center"/>
    </xf>
    <xf numFmtId="0" fontId="24" fillId="4" borderId="16" xfId="0" applyFont="1" applyFill="1" applyBorder="1" applyAlignment="1">
      <alignment horizontal="left"/>
    </xf>
    <xf numFmtId="0" fontId="13" fillId="4" borderId="11" xfId="0" applyFont="1" applyFill="1" applyBorder="1" applyAlignment="1">
      <alignment horizontal="center"/>
    </xf>
    <xf numFmtId="2" fontId="24" fillId="4" borderId="15" xfId="0" applyNumberFormat="1" applyFont="1" applyFill="1" applyBorder="1" applyAlignment="1">
      <alignment horizontal="center"/>
    </xf>
    <xf numFmtId="165" fontId="24" fillId="4" borderId="11" xfId="0" applyNumberFormat="1" applyFont="1" applyFill="1" applyBorder="1" applyAlignment="1">
      <alignment horizontal="center"/>
    </xf>
    <xf numFmtId="0" fontId="25" fillId="4" borderId="0" xfId="0" applyFont="1" applyFill="1" applyBorder="1" applyAlignment="1">
      <alignment horizontal="left"/>
    </xf>
    <xf numFmtId="1" fontId="25" fillId="4" borderId="15" xfId="0" applyNumberFormat="1" applyFont="1" applyFill="1" applyBorder="1" applyAlignment="1">
      <alignment horizontal="center"/>
    </xf>
    <xf numFmtId="0" fontId="25" fillId="4" borderId="16" xfId="0" applyFont="1" applyFill="1" applyBorder="1" applyAlignment="1">
      <alignment horizontal="left"/>
    </xf>
    <xf numFmtId="2" fontId="25" fillId="4" borderId="15" xfId="0" applyNumberFormat="1" applyFont="1" applyFill="1" applyBorder="1" applyAlignment="1">
      <alignment horizontal="center"/>
    </xf>
    <xf numFmtId="165" fontId="25" fillId="4" borderId="11" xfId="0" applyNumberFormat="1" applyFont="1" applyFill="1" applyBorder="1" applyAlignment="1">
      <alignment horizontal="center"/>
    </xf>
    <xf numFmtId="0" fontId="1" fillId="2" borderId="17" xfId="0" applyFont="1" applyFill="1" applyBorder="1"/>
    <xf numFmtId="0" fontId="1" fillId="2" borderId="4" xfId="0" applyFont="1" applyFill="1" applyBorder="1"/>
    <xf numFmtId="0" fontId="26" fillId="2" borderId="0" xfId="0" applyFont="1" applyFill="1" applyBorder="1"/>
    <xf numFmtId="0" fontId="27" fillId="2" borderId="1" xfId="0" applyFont="1" applyFill="1" applyBorder="1"/>
    <xf numFmtId="0" fontId="20" fillId="4" borderId="18" xfId="0" applyFont="1" applyFill="1" applyBorder="1" applyAlignment="1">
      <alignment horizontal="center"/>
    </xf>
    <xf numFmtId="0" fontId="1" fillId="2" borderId="19" xfId="0" applyFont="1" applyFill="1" applyBorder="1" applyAlignment="1">
      <alignment horizontal="center"/>
    </xf>
    <xf numFmtId="0" fontId="1" fillId="2" borderId="19" xfId="0" applyFont="1" applyFill="1" applyBorder="1"/>
    <xf numFmtId="0" fontId="1" fillId="2" borderId="20" xfId="0" applyFont="1" applyFill="1" applyBorder="1"/>
    <xf numFmtId="0" fontId="1" fillId="2" borderId="6" xfId="0" applyFont="1" applyFill="1" applyBorder="1"/>
    <xf numFmtId="0" fontId="1" fillId="2" borderId="21" xfId="0" applyFont="1" applyFill="1" applyBorder="1"/>
    <xf numFmtId="0" fontId="1" fillId="2" borderId="22" xfId="0" applyFont="1" applyFill="1" applyBorder="1"/>
    <xf numFmtId="0" fontId="1" fillId="2" borderId="23" xfId="0" applyFont="1" applyFill="1" applyBorder="1"/>
    <xf numFmtId="0" fontId="21" fillId="2" borderId="1" xfId="0" applyFont="1" applyFill="1" applyBorder="1"/>
    <xf numFmtId="1" fontId="21" fillId="2" borderId="1" xfId="0" applyNumberFormat="1" applyFont="1" applyFill="1" applyBorder="1"/>
    <xf numFmtId="1" fontId="21" fillId="2" borderId="1" xfId="0" applyNumberFormat="1" applyFont="1" applyFill="1" applyBorder="1" applyAlignment="1">
      <alignment horizontal="center"/>
    </xf>
    <xf numFmtId="1" fontId="21" fillId="2" borderId="2" xfId="0" applyNumberFormat="1" applyFont="1" applyFill="1" applyBorder="1"/>
    <xf numFmtId="0" fontId="1" fillId="2" borderId="24" xfId="0" applyFont="1" applyFill="1" applyBorder="1"/>
    <xf numFmtId="0" fontId="1" fillId="2" borderId="25" xfId="0" applyFont="1" applyFill="1" applyBorder="1"/>
    <xf numFmtId="1" fontId="24" fillId="4" borderId="0" xfId="0" applyNumberFormat="1" applyFont="1" applyFill="1" applyBorder="1" applyAlignment="1">
      <alignment horizontal="center"/>
    </xf>
    <xf numFmtId="2" fontId="24" fillId="4" borderId="11" xfId="0" applyNumberFormat="1" applyFont="1" applyFill="1" applyBorder="1" applyAlignment="1">
      <alignment horizontal="center"/>
    </xf>
    <xf numFmtId="1" fontId="25" fillId="4" borderId="0" xfId="0" applyNumberFormat="1" applyFont="1" applyFill="1" applyBorder="1" applyAlignment="1">
      <alignment horizontal="center"/>
    </xf>
    <xf numFmtId="2" fontId="25" fillId="4" borderId="11" xfId="0" applyNumberFormat="1" applyFont="1" applyFill="1" applyBorder="1" applyAlignment="1">
      <alignment horizontal="center"/>
    </xf>
    <xf numFmtId="0" fontId="2" fillId="2" borderId="26" xfId="0" applyFont="1" applyFill="1" applyBorder="1"/>
    <xf numFmtId="0" fontId="12" fillId="3" borderId="27" xfId="0" applyFont="1" applyFill="1" applyBorder="1" applyAlignment="1">
      <alignment horizontal="center"/>
    </xf>
    <xf numFmtId="3" fontId="24" fillId="4" borderId="0" xfId="0" applyNumberFormat="1" applyFont="1" applyFill="1" applyBorder="1" applyAlignment="1">
      <alignment horizontal="right"/>
    </xf>
    <xf numFmtId="1" fontId="24" fillId="4" borderId="11" xfId="0" applyNumberFormat="1" applyFont="1" applyFill="1" applyBorder="1" applyAlignment="1">
      <alignment horizontal="center"/>
    </xf>
    <xf numFmtId="3" fontId="25" fillId="4" borderId="0" xfId="0" applyNumberFormat="1" applyFont="1" applyFill="1" applyBorder="1" applyAlignment="1">
      <alignment horizontal="right"/>
    </xf>
    <xf numFmtId="1" fontId="25" fillId="4" borderId="11" xfId="0" applyNumberFormat="1" applyFont="1" applyFill="1" applyBorder="1" applyAlignment="1">
      <alignment horizontal="center"/>
    </xf>
    <xf numFmtId="0" fontId="2" fillId="5" borderId="0" xfId="0" applyFont="1" applyFill="1" applyBorder="1" applyAlignment="1">
      <alignment horizontal="center"/>
    </xf>
    <xf numFmtId="0" fontId="2" fillId="6" borderId="0" xfId="0" applyFont="1" applyFill="1" applyBorder="1"/>
    <xf numFmtId="0" fontId="2" fillId="6" borderId="0" xfId="0" applyFont="1" applyFill="1" applyBorder="1" applyAlignment="1">
      <alignment horizontal="center"/>
    </xf>
    <xf numFmtId="0" fontId="2" fillId="7" borderId="0" xfId="0" applyFont="1" applyFill="1" applyBorder="1"/>
    <xf numFmtId="0" fontId="29" fillId="2" borderId="0" xfId="0" applyFont="1" applyFill="1" applyBorder="1" applyAlignment="1">
      <alignment horizontal="center" vertical="center"/>
    </xf>
    <xf numFmtId="0" fontId="24" fillId="4" borderId="11" xfId="0" applyFont="1" applyFill="1" applyBorder="1" applyAlignment="1">
      <alignment horizontal="center"/>
    </xf>
    <xf numFmtId="0" fontId="24" fillId="2" borderId="0" xfId="0" applyFont="1" applyFill="1" applyBorder="1" applyAlignment="1">
      <alignment horizontal="center"/>
    </xf>
    <xf numFmtId="0" fontId="1" fillId="2" borderId="26" xfId="0" applyFont="1" applyFill="1" applyBorder="1"/>
    <xf numFmtId="0" fontId="1" fillId="2" borderId="2" xfId="0" applyFont="1" applyFill="1" applyBorder="1"/>
    <xf numFmtId="0" fontId="25" fillId="4" borderId="11" xfId="0" applyFont="1" applyFill="1" applyBorder="1" applyAlignment="1">
      <alignment horizontal="center"/>
    </xf>
    <xf numFmtId="0" fontId="25" fillId="2" borderId="0" xfId="0" applyFont="1" applyFill="1" applyBorder="1" applyAlignment="1">
      <alignment horizontal="center"/>
    </xf>
    <xf numFmtId="0" fontId="13" fillId="4" borderId="28" xfId="0" applyFont="1" applyFill="1" applyBorder="1" applyAlignment="1">
      <alignment horizontal="left"/>
    </xf>
    <xf numFmtId="0" fontId="13" fillId="4" borderId="28" xfId="0" applyFont="1" applyFill="1" applyBorder="1" applyAlignment="1">
      <alignment horizontal="center"/>
    </xf>
    <xf numFmtId="0" fontId="13" fillId="4" borderId="29" xfId="0" applyFont="1" applyFill="1" applyBorder="1" applyAlignment="1">
      <alignment horizontal="center"/>
    </xf>
    <xf numFmtId="0" fontId="13" fillId="2" borderId="0" xfId="0" applyFont="1" applyFill="1" applyBorder="1" applyAlignment="1">
      <alignment vertical="center"/>
    </xf>
    <xf numFmtId="0" fontId="18" fillId="2" borderId="0" xfId="0" applyFont="1" applyFill="1" applyBorder="1" applyAlignment="1">
      <alignment horizontal="left"/>
    </xf>
    <xf numFmtId="0" fontId="25" fillId="2" borderId="0" xfId="0" applyFont="1" applyFill="1" applyBorder="1" applyAlignment="1">
      <alignment horizontal="center" vertical="center"/>
    </xf>
    <xf numFmtId="0" fontId="13" fillId="2" borderId="0" xfId="0" applyFont="1" applyFill="1" applyBorder="1" applyAlignment="1">
      <alignment horizontal="center" vertical="center"/>
    </xf>
    <xf numFmtId="0" fontId="13" fillId="2" borderId="0" xfId="0" applyFont="1" applyFill="1" applyBorder="1" applyAlignment="1">
      <alignment horizontal="left" vertical="center"/>
    </xf>
    <xf numFmtId="0" fontId="13" fillId="3" borderId="30" xfId="0" applyFont="1" applyFill="1" applyBorder="1" applyAlignment="1">
      <alignment vertical="center"/>
    </xf>
    <xf numFmtId="0" fontId="13" fillId="3" borderId="31" xfId="0" applyFont="1" applyFill="1" applyBorder="1" applyAlignment="1">
      <alignment horizontal="center" vertical="center"/>
    </xf>
    <xf numFmtId="0" fontId="13" fillId="3" borderId="31" xfId="0" applyFont="1" applyFill="1" applyBorder="1" applyAlignment="1">
      <alignment vertical="center"/>
    </xf>
    <xf numFmtId="0" fontId="25" fillId="3" borderId="31" xfId="0" applyFont="1" applyFill="1" applyBorder="1" applyAlignment="1">
      <alignment horizontal="center" vertical="center"/>
    </xf>
    <xf numFmtId="0" fontId="13" fillId="3" borderId="32" xfId="0" applyFont="1" applyFill="1" applyBorder="1" applyAlignment="1">
      <alignment vertical="center"/>
    </xf>
    <xf numFmtId="0" fontId="12" fillId="2" borderId="0" xfId="0" applyFont="1" applyFill="1" applyBorder="1" applyAlignment="1">
      <alignment horizontal="left" vertical="center"/>
    </xf>
    <xf numFmtId="0" fontId="12" fillId="2" borderId="0" xfId="0" applyFont="1" applyFill="1" applyBorder="1" applyAlignment="1">
      <alignment vertical="center"/>
    </xf>
    <xf numFmtId="0" fontId="13" fillId="3" borderId="16" xfId="0" applyFont="1" applyFill="1" applyBorder="1" applyAlignment="1">
      <alignment vertical="center"/>
    </xf>
    <xf numFmtId="0" fontId="13" fillId="4" borderId="0" xfId="0" applyFont="1" applyFill="1" applyBorder="1" applyAlignment="1">
      <alignment horizontal="center" vertical="center"/>
    </xf>
    <xf numFmtId="0" fontId="30" fillId="4" borderId="0" xfId="0" applyFont="1" applyFill="1" applyBorder="1" applyAlignment="1">
      <alignment horizontal="right" vertical="center"/>
    </xf>
    <xf numFmtId="0" fontId="13" fillId="3" borderId="15" xfId="0" applyFont="1" applyFill="1" applyBorder="1" applyAlignment="1">
      <alignment vertical="center"/>
    </xf>
    <xf numFmtId="0" fontId="32" fillId="2" borderId="0" xfId="0" applyFont="1" applyFill="1" applyBorder="1" applyAlignment="1">
      <alignment vertical="center"/>
    </xf>
    <xf numFmtId="0" fontId="24" fillId="2" borderId="0" xfId="0" applyFont="1" applyFill="1" applyBorder="1" applyAlignment="1">
      <alignment horizontal="left" vertical="center"/>
    </xf>
    <xf numFmtId="0" fontId="13" fillId="2" borderId="36" xfId="0" applyFont="1" applyFill="1" applyBorder="1" applyAlignment="1">
      <alignment vertical="center"/>
    </xf>
    <xf numFmtId="0" fontId="13" fillId="8" borderId="0" xfId="0" applyFont="1" applyFill="1" applyBorder="1" applyAlignment="1">
      <alignment vertical="center"/>
    </xf>
    <xf numFmtId="0" fontId="35" fillId="8" borderId="0" xfId="0" applyFont="1" applyFill="1" applyBorder="1" applyAlignment="1">
      <alignment horizontal="left" vertical="center"/>
    </xf>
    <xf numFmtId="0" fontId="25" fillId="2" borderId="0" xfId="0" applyFont="1" applyFill="1" applyBorder="1" applyAlignment="1">
      <alignment vertical="center"/>
    </xf>
    <xf numFmtId="0" fontId="25" fillId="3" borderId="16" xfId="0" applyFont="1" applyFill="1" applyBorder="1" applyAlignment="1">
      <alignment vertical="center"/>
    </xf>
    <xf numFmtId="0" fontId="36" fillId="4" borderId="0" xfId="0" applyFont="1" applyFill="1" applyBorder="1" applyAlignment="1">
      <alignment horizontal="center" vertical="center"/>
    </xf>
    <xf numFmtId="0" fontId="36" fillId="4" borderId="0" xfId="0" applyFont="1" applyFill="1" applyBorder="1" applyAlignment="1">
      <alignment vertical="center"/>
    </xf>
    <xf numFmtId="0" fontId="24" fillId="4" borderId="0" xfId="0" applyFont="1" applyFill="1" applyBorder="1" applyAlignment="1">
      <alignment horizontal="center" vertical="center"/>
    </xf>
    <xf numFmtId="0" fontId="24" fillId="4" borderId="0" xfId="0" applyFont="1" applyFill="1" applyBorder="1" applyAlignment="1">
      <alignment horizontal="left" vertical="center"/>
    </xf>
    <xf numFmtId="0" fontId="36" fillId="4" borderId="37" xfId="0" applyFont="1" applyFill="1" applyBorder="1" applyAlignment="1">
      <alignment horizontal="center" vertical="center"/>
    </xf>
    <xf numFmtId="0" fontId="36" fillId="4" borderId="38" xfId="0" applyFont="1" applyFill="1" applyBorder="1" applyAlignment="1">
      <alignment horizontal="center" vertical="center"/>
    </xf>
    <xf numFmtId="0" fontId="24" fillId="4" borderId="39" xfId="0" applyFont="1" applyFill="1" applyBorder="1" applyAlignment="1">
      <alignment horizontal="center" vertical="center"/>
    </xf>
    <xf numFmtId="0" fontId="24" fillId="4" borderId="0" xfId="0" applyFont="1" applyFill="1" applyBorder="1" applyAlignment="1">
      <alignment horizontal="right" vertical="center"/>
    </xf>
    <xf numFmtId="0" fontId="24" fillId="9" borderId="0" xfId="0" applyFont="1" applyFill="1" applyBorder="1" applyAlignment="1">
      <alignment horizontal="center" vertical="center"/>
    </xf>
    <xf numFmtId="0" fontId="24" fillId="9" borderId="0" xfId="0" applyFont="1" applyFill="1" applyBorder="1" applyAlignment="1">
      <alignment horizontal="left" vertical="center"/>
    </xf>
    <xf numFmtId="0" fontId="25" fillId="8" borderId="0" xfId="0" applyFont="1" applyFill="1" applyBorder="1" applyAlignment="1">
      <alignment vertical="center"/>
    </xf>
    <xf numFmtId="0" fontId="36" fillId="9" borderId="0" xfId="0" applyFont="1" applyFill="1" applyBorder="1" applyAlignment="1">
      <alignment horizontal="center" vertical="center"/>
    </xf>
    <xf numFmtId="0" fontId="36" fillId="9" borderId="40" xfId="0" applyFont="1" applyFill="1" applyBorder="1" applyAlignment="1">
      <alignment horizontal="center" vertical="center"/>
    </xf>
    <xf numFmtId="0" fontId="36" fillId="9" borderId="41" xfId="0" applyFont="1" applyFill="1" applyBorder="1" applyAlignment="1">
      <alignment horizontal="center" vertical="center"/>
    </xf>
    <xf numFmtId="0" fontId="36" fillId="9" borderId="0" xfId="0" applyFont="1" applyFill="1" applyBorder="1" applyAlignment="1">
      <alignment horizontal="left" vertical="center"/>
    </xf>
    <xf numFmtId="0" fontId="36" fillId="9" borderId="40" xfId="0" applyFont="1" applyFill="1" applyBorder="1" applyAlignment="1">
      <alignment horizontal="left" vertical="center"/>
    </xf>
    <xf numFmtId="0" fontId="25" fillId="2" borderId="0" xfId="0" applyFont="1" applyFill="1" applyBorder="1" applyAlignment="1">
      <alignment horizontal="left" vertical="center"/>
    </xf>
    <xf numFmtId="0" fontId="30" fillId="4" borderId="42" xfId="0" applyFont="1" applyFill="1" applyBorder="1" applyAlignment="1">
      <alignment horizontal="center" vertical="center"/>
    </xf>
    <xf numFmtId="0" fontId="30" fillId="4" borderId="42" xfId="0" applyFont="1" applyFill="1" applyBorder="1" applyAlignment="1">
      <alignment vertical="center"/>
    </xf>
    <xf numFmtId="0" fontId="25" fillId="4" borderId="42" xfId="0" applyFont="1" applyFill="1" applyBorder="1" applyAlignment="1">
      <alignment horizontal="center" vertical="center" wrapText="1"/>
    </xf>
    <xf numFmtId="0" fontId="25" fillId="4" borderId="42" xfId="0" applyFont="1" applyFill="1" applyBorder="1" applyAlignment="1">
      <alignment horizontal="center" vertical="center"/>
    </xf>
    <xf numFmtId="0" fontId="25" fillId="4" borderId="42" xfId="0" applyFont="1" applyFill="1" applyBorder="1" applyAlignment="1">
      <alignment vertical="center" wrapText="1"/>
    </xf>
    <xf numFmtId="0" fontId="30" fillId="4" borderId="42" xfId="0" applyFont="1" applyFill="1" applyBorder="1" applyAlignment="1">
      <alignment horizontal="left" vertical="center"/>
    </xf>
    <xf numFmtId="0" fontId="30" fillId="4" borderId="43" xfId="0" applyFont="1" applyFill="1" applyBorder="1" applyAlignment="1">
      <alignment horizontal="center" vertical="center"/>
    </xf>
    <xf numFmtId="0" fontId="30" fillId="4" borderId="44" xfId="0" applyFont="1" applyFill="1" applyBorder="1" applyAlignment="1">
      <alignment horizontal="center" vertical="center"/>
    </xf>
    <xf numFmtId="0" fontId="25" fillId="4" borderId="45" xfId="0" applyFont="1" applyFill="1" applyBorder="1" applyAlignment="1">
      <alignment horizontal="center" vertical="center"/>
    </xf>
    <xf numFmtId="3" fontId="25" fillId="4" borderId="42" xfId="0" applyNumberFormat="1" applyFont="1" applyFill="1" applyBorder="1" applyAlignment="1">
      <alignment horizontal="right" vertical="center" wrapText="1"/>
    </xf>
    <xf numFmtId="0" fontId="25" fillId="9" borderId="0" xfId="0" applyFont="1" applyFill="1" applyBorder="1" applyAlignment="1">
      <alignment horizontal="center" vertical="center" wrapText="1"/>
    </xf>
    <xf numFmtId="0" fontId="13" fillId="9" borderId="0" xfId="0" applyFont="1" applyFill="1" applyBorder="1" applyAlignment="1">
      <alignment horizontal="center" vertical="center"/>
    </xf>
    <xf numFmtId="0" fontId="30" fillId="9" borderId="0" xfId="0" applyFont="1" applyFill="1" applyBorder="1" applyAlignment="1">
      <alignment horizontal="center" vertical="center"/>
    </xf>
    <xf numFmtId="0" fontId="30" fillId="9" borderId="40" xfId="0" applyFont="1" applyFill="1" applyBorder="1" applyAlignment="1">
      <alignment horizontal="center" vertical="center"/>
    </xf>
    <xf numFmtId="0" fontId="30" fillId="9" borderId="41" xfId="0" applyFont="1" applyFill="1" applyBorder="1" applyAlignment="1">
      <alignment horizontal="center" vertical="center"/>
    </xf>
    <xf numFmtId="0" fontId="30" fillId="9" borderId="0" xfId="0" applyFont="1" applyFill="1" applyBorder="1" applyAlignment="1">
      <alignment horizontal="left" vertical="center"/>
    </xf>
    <xf numFmtId="0" fontId="30" fillId="9" borderId="40" xfId="0" applyFont="1" applyFill="1" applyBorder="1" applyAlignment="1">
      <alignment horizontal="left" vertical="center"/>
    </xf>
    <xf numFmtId="0" fontId="25" fillId="10" borderId="0" xfId="0" applyFont="1" applyFill="1" applyBorder="1" applyAlignment="1">
      <alignment vertical="center"/>
    </xf>
    <xf numFmtId="0" fontId="25" fillId="10" borderId="0" xfId="0" applyFont="1" applyFill="1" applyBorder="1" applyAlignment="1">
      <alignment horizontal="center" vertical="center"/>
    </xf>
    <xf numFmtId="0" fontId="30" fillId="4" borderId="46" xfId="0" applyFont="1" applyFill="1" applyBorder="1" applyAlignment="1">
      <alignment horizontal="center" vertical="center"/>
    </xf>
    <xf numFmtId="0" fontId="30" fillId="4" borderId="46" xfId="0" applyFont="1" applyFill="1" applyBorder="1" applyAlignment="1">
      <alignment vertical="center"/>
    </xf>
    <xf numFmtId="0" fontId="25" fillId="4" borderId="46" xfId="0" applyFont="1" applyFill="1" applyBorder="1" applyAlignment="1">
      <alignment horizontal="center" vertical="center" wrapText="1"/>
    </xf>
    <xf numFmtId="0" fontId="25" fillId="4" borderId="46" xfId="0" applyFont="1" applyFill="1" applyBorder="1" applyAlignment="1">
      <alignment horizontal="center" vertical="center"/>
    </xf>
    <xf numFmtId="0" fontId="25" fillId="4" borderId="28" xfId="0" applyFont="1" applyFill="1" applyBorder="1" applyAlignment="1">
      <alignment horizontal="left"/>
    </xf>
    <xf numFmtId="0" fontId="25" fillId="4" borderId="29" xfId="0" applyFont="1" applyFill="1" applyBorder="1" applyAlignment="1">
      <alignment horizontal="center"/>
    </xf>
    <xf numFmtId="0" fontId="25" fillId="4" borderId="46" xfId="0" applyFont="1" applyFill="1" applyBorder="1" applyAlignment="1">
      <alignment vertical="center" wrapText="1"/>
    </xf>
    <xf numFmtId="0" fontId="30" fillId="4" borderId="46" xfId="0" applyFont="1" applyFill="1" applyBorder="1" applyAlignment="1">
      <alignment horizontal="left" vertical="center"/>
    </xf>
    <xf numFmtId="0" fontId="30" fillId="4" borderId="47" xfId="0" applyFont="1" applyFill="1" applyBorder="1" applyAlignment="1">
      <alignment horizontal="center" vertical="center"/>
    </xf>
    <xf numFmtId="0" fontId="30" fillId="4" borderId="48" xfId="0" applyFont="1" applyFill="1" applyBorder="1" applyAlignment="1">
      <alignment horizontal="center" vertical="center"/>
    </xf>
    <xf numFmtId="0" fontId="25" fillId="4" borderId="49" xfId="0" applyFont="1" applyFill="1" applyBorder="1" applyAlignment="1">
      <alignment horizontal="center" vertical="center"/>
    </xf>
    <xf numFmtId="3" fontId="25" fillId="4" borderId="46" xfId="0" applyNumberFormat="1" applyFont="1" applyFill="1" applyBorder="1" applyAlignment="1">
      <alignment horizontal="right" vertical="center" wrapText="1"/>
    </xf>
    <xf numFmtId="0" fontId="30" fillId="9" borderId="0" xfId="0" applyFont="1" applyFill="1" applyBorder="1" applyAlignment="1">
      <alignment vertical="center"/>
    </xf>
    <xf numFmtId="0" fontId="30" fillId="9" borderId="40" xfId="0" applyFont="1" applyFill="1" applyBorder="1" applyAlignment="1">
      <alignment vertical="center"/>
    </xf>
    <xf numFmtId="0" fontId="30" fillId="4" borderId="50" xfId="0" applyFont="1" applyFill="1" applyBorder="1" applyAlignment="1">
      <alignment vertical="center"/>
    </xf>
    <xf numFmtId="0" fontId="30" fillId="4" borderId="50" xfId="0" applyFont="1" applyFill="1" applyBorder="1" applyAlignment="1">
      <alignment horizontal="center" vertical="center"/>
    </xf>
    <xf numFmtId="0" fontId="25" fillId="4" borderId="50" xfId="0" applyFont="1" applyFill="1" applyBorder="1" applyAlignment="1">
      <alignment horizontal="center" vertical="center" wrapText="1"/>
    </xf>
    <xf numFmtId="0" fontId="25" fillId="4" borderId="50" xfId="0" applyFont="1" applyFill="1" applyBorder="1" applyAlignment="1">
      <alignment horizontal="center" vertical="center"/>
    </xf>
    <xf numFmtId="0" fontId="25" fillId="4" borderId="50" xfId="0" applyFont="1" applyFill="1" applyBorder="1" applyAlignment="1">
      <alignment vertical="center" wrapText="1"/>
    </xf>
    <xf numFmtId="0" fontId="30" fillId="4" borderId="50" xfId="0" applyFont="1" applyFill="1" applyBorder="1" applyAlignment="1">
      <alignment horizontal="left" vertical="center"/>
    </xf>
    <xf numFmtId="0" fontId="30" fillId="4" borderId="51" xfId="0" applyFont="1" applyFill="1" applyBorder="1" applyAlignment="1">
      <alignment horizontal="center" vertical="center"/>
    </xf>
    <xf numFmtId="0" fontId="30" fillId="4" borderId="52" xfId="0" applyFont="1" applyFill="1" applyBorder="1" applyAlignment="1">
      <alignment horizontal="center" vertical="center"/>
    </xf>
    <xf numFmtId="0" fontId="25" fillId="4" borderId="53" xfId="0" applyFont="1" applyFill="1" applyBorder="1" applyAlignment="1">
      <alignment horizontal="center" vertical="center"/>
    </xf>
    <xf numFmtId="3" fontId="25" fillId="4" borderId="50" xfId="0" applyNumberFormat="1" applyFont="1" applyFill="1" applyBorder="1" applyAlignment="1">
      <alignment horizontal="right" vertical="center" wrapText="1"/>
    </xf>
    <xf numFmtId="0" fontId="30" fillId="9" borderId="54" xfId="0" applyFont="1" applyFill="1" applyBorder="1" applyAlignment="1">
      <alignment horizontal="center" vertical="center"/>
    </xf>
    <xf numFmtId="0" fontId="30" fillId="9" borderId="55" xfId="0" applyFont="1" applyFill="1" applyBorder="1" applyAlignment="1">
      <alignment horizontal="center" vertical="center"/>
    </xf>
    <xf numFmtId="0" fontId="30" fillId="4" borderId="0" xfId="0" applyFont="1" applyFill="1" applyBorder="1" applyAlignment="1">
      <alignment horizontal="center" vertical="center"/>
    </xf>
    <xf numFmtId="0" fontId="30" fillId="4" borderId="0" xfId="0" applyFont="1" applyFill="1" applyBorder="1" applyAlignment="1">
      <alignment vertical="center"/>
    </xf>
    <xf numFmtId="0" fontId="25" fillId="4" borderId="0" xfId="0" applyFont="1" applyFill="1" applyBorder="1" applyAlignment="1">
      <alignment horizontal="right" vertical="center"/>
    </xf>
    <xf numFmtId="0" fontId="25" fillId="4" borderId="0" xfId="0" applyFont="1" applyFill="1" applyBorder="1" applyAlignment="1">
      <alignment horizontal="center" vertical="center"/>
    </xf>
    <xf numFmtId="0" fontId="25" fillId="4" borderId="0" xfId="0" applyFont="1" applyFill="1" applyBorder="1" applyAlignment="1">
      <alignment vertical="center"/>
    </xf>
    <xf numFmtId="0" fontId="25" fillId="4" borderId="0" xfId="0" applyFont="1" applyFill="1" applyBorder="1" applyAlignment="1">
      <alignment horizontal="left" vertical="center"/>
    </xf>
    <xf numFmtId="0" fontId="25" fillId="4" borderId="0" xfId="0" applyFont="1" applyFill="1" applyBorder="1" applyAlignment="1">
      <alignment vertical="center" wrapText="1"/>
    </xf>
    <xf numFmtId="3" fontId="25" fillId="4" borderId="0" xfId="0" applyNumberFormat="1" applyFont="1" applyFill="1" applyBorder="1" applyAlignment="1">
      <alignment horizontal="right" vertical="center"/>
    </xf>
    <xf numFmtId="0" fontId="37" fillId="2" borderId="56" xfId="0" applyFont="1" applyFill="1" applyBorder="1" applyAlignment="1">
      <alignment horizontal="center" vertical="center" wrapText="1"/>
    </xf>
    <xf numFmtId="0" fontId="37" fillId="2" borderId="57" xfId="0" applyFont="1" applyFill="1" applyBorder="1" applyAlignment="1">
      <alignment horizontal="center" vertical="center" wrapText="1"/>
    </xf>
    <xf numFmtId="0" fontId="37" fillId="2" borderId="57" xfId="0" applyFont="1" applyFill="1" applyBorder="1" applyAlignment="1">
      <alignment horizontal="center" vertical="center"/>
    </xf>
    <xf numFmtId="0" fontId="12" fillId="2" borderId="57" xfId="0" applyFont="1" applyFill="1" applyBorder="1" applyAlignment="1">
      <alignment vertical="center"/>
    </xf>
    <xf numFmtId="0" fontId="25" fillId="2" borderId="0" xfId="0" applyFont="1" applyFill="1" applyBorder="1" applyAlignment="1">
      <alignment horizontal="right" vertical="center"/>
    </xf>
    <xf numFmtId="3" fontId="25" fillId="10" borderId="0" xfId="0" applyNumberFormat="1" applyFont="1" applyFill="1" applyBorder="1" applyAlignment="1">
      <alignment vertical="center"/>
    </xf>
    <xf numFmtId="3" fontId="13" fillId="3" borderId="31" xfId="0" applyNumberFormat="1" applyFont="1" applyFill="1" applyBorder="1" applyAlignment="1">
      <alignment vertical="center"/>
    </xf>
    <xf numFmtId="0" fontId="13" fillId="8" borderId="0" xfId="0" applyFont="1" applyFill="1" applyBorder="1" applyAlignment="1">
      <alignment horizontal="left" vertical="center"/>
    </xf>
    <xf numFmtId="0" fontId="25" fillId="4" borderId="0" xfId="0" applyFont="1" applyFill="1" applyBorder="1" applyAlignment="1">
      <alignment horizontal="center" vertical="top"/>
    </xf>
    <xf numFmtId="3" fontId="13" fillId="4" borderId="0" xfId="0" applyNumberFormat="1" applyFont="1" applyFill="1" applyBorder="1" applyAlignment="1">
      <alignment horizontal="center" vertical="center"/>
    </xf>
    <xf numFmtId="0" fontId="25" fillId="4" borderId="0" xfId="0" applyFont="1" applyFill="1" applyBorder="1" applyAlignment="1">
      <alignment horizontal="center" vertical="center" wrapText="1"/>
    </xf>
    <xf numFmtId="3" fontId="25" fillId="4" borderId="0" xfId="0" applyNumberFormat="1" applyFont="1" applyFill="1" applyBorder="1" applyAlignment="1">
      <alignment horizontal="right" vertical="center" wrapText="1"/>
    </xf>
    <xf numFmtId="0" fontId="25" fillId="9" borderId="0" xfId="0" applyFont="1" applyFill="1" applyBorder="1" applyAlignment="1">
      <alignment horizontal="center" vertical="top" wrapText="1"/>
    </xf>
    <xf numFmtId="0" fontId="30" fillId="4" borderId="0" xfId="0" applyFont="1" applyFill="1" applyBorder="1" applyAlignment="1">
      <alignment horizontal="center" vertical="top"/>
    </xf>
    <xf numFmtId="0" fontId="30" fillId="2" borderId="0" xfId="0" applyFont="1" applyFill="1" applyBorder="1" applyAlignment="1">
      <alignment horizontal="center" vertical="center"/>
    </xf>
    <xf numFmtId="0" fontId="30" fillId="4" borderId="0" xfId="0" applyFont="1" applyFill="1" applyBorder="1" applyAlignment="1">
      <alignment horizontal="left" vertical="center"/>
    </xf>
    <xf numFmtId="3" fontId="25" fillId="4" borderId="0" xfId="0" applyNumberFormat="1" applyFont="1" applyFill="1" applyBorder="1" applyAlignment="1">
      <alignment horizontal="left" vertical="center" wrapText="1"/>
    </xf>
    <xf numFmtId="0" fontId="13" fillId="4" borderId="0" xfId="0" applyFont="1" applyFill="1" applyBorder="1" applyAlignment="1">
      <alignment vertical="center"/>
    </xf>
    <xf numFmtId="3" fontId="13" fillId="4" borderId="0" xfId="0" applyNumberFormat="1" applyFont="1" applyFill="1" applyBorder="1" applyAlignment="1">
      <alignment vertical="center"/>
    </xf>
    <xf numFmtId="0" fontId="33" fillId="2" borderId="0" xfId="0" applyFont="1" applyFill="1" applyBorder="1" applyAlignment="1">
      <alignment vertical="center"/>
    </xf>
    <xf numFmtId="0" fontId="33" fillId="2" borderId="0" xfId="0" applyFont="1" applyFill="1" applyBorder="1" applyAlignment="1">
      <alignment horizontal="left" vertical="center"/>
    </xf>
    <xf numFmtId="0" fontId="20" fillId="2" borderId="0" xfId="0" applyFont="1" applyFill="1" applyBorder="1" applyAlignment="1">
      <alignment vertical="center"/>
    </xf>
    <xf numFmtId="0" fontId="35" fillId="2" borderId="0" xfId="0" applyFont="1" applyFill="1" applyBorder="1" applyAlignment="1">
      <alignment vertical="center"/>
    </xf>
    <xf numFmtId="0" fontId="24" fillId="4" borderId="0" xfId="0" applyFont="1" applyFill="1" applyBorder="1" applyAlignment="1">
      <alignment vertical="center"/>
    </xf>
    <xf numFmtId="0" fontId="13" fillId="3" borderId="58" xfId="0" applyFont="1" applyFill="1" applyBorder="1" applyAlignment="1">
      <alignment vertical="center"/>
    </xf>
    <xf numFmtId="0" fontId="13" fillId="3" borderId="33" xfId="0" applyFont="1" applyFill="1" applyBorder="1" applyAlignment="1">
      <alignment horizontal="center" vertical="center"/>
    </xf>
    <xf numFmtId="0" fontId="13" fillId="3" borderId="33" xfId="0" applyFont="1" applyFill="1" applyBorder="1" applyAlignment="1">
      <alignment vertical="center"/>
    </xf>
    <xf numFmtId="0" fontId="25" fillId="3" borderId="33" xfId="0" applyFont="1" applyFill="1" applyBorder="1" applyAlignment="1">
      <alignment horizontal="center" vertical="center"/>
    </xf>
    <xf numFmtId="0" fontId="13" fillId="3" borderId="59" xfId="0" applyFont="1" applyFill="1" applyBorder="1" applyAlignment="1">
      <alignment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33" fillId="0" borderId="0" xfId="0" applyFont="1" applyBorder="1" applyAlignment="1">
      <alignment horizontal="center" vertical="center"/>
    </xf>
    <xf numFmtId="0" fontId="12" fillId="0" borderId="0" xfId="0" applyFont="1" applyBorder="1" applyAlignment="1">
      <alignment horizontal="left" vertical="center"/>
    </xf>
    <xf numFmtId="0" fontId="12" fillId="0" borderId="0" xfId="0" applyFont="1" applyBorder="1" applyAlignment="1">
      <alignment horizontal="right" vertical="center"/>
    </xf>
    <xf numFmtId="0" fontId="1" fillId="0" borderId="0" xfId="0" applyFont="1" applyBorder="1" applyAlignment="1">
      <alignment horizontal="center"/>
    </xf>
    <xf numFmtId="0" fontId="1" fillId="0" borderId="0" xfId="0" applyFont="1" applyBorder="1"/>
    <xf numFmtId="0" fontId="1" fillId="4" borderId="0" xfId="0" applyFont="1" applyFill="1" applyBorder="1" applyAlignment="1">
      <alignment horizontal="center"/>
    </xf>
    <xf numFmtId="0" fontId="13" fillId="3" borderId="0" xfId="0" applyFont="1" applyFill="1" applyBorder="1" applyAlignment="1">
      <alignment horizontal="center"/>
    </xf>
    <xf numFmtId="0" fontId="13" fillId="3" borderId="0" xfId="0" applyFont="1" applyFill="1" applyBorder="1" applyAlignment="1">
      <alignment horizontal="right"/>
    </xf>
    <xf numFmtId="0" fontId="13" fillId="10" borderId="0" xfId="0" applyFont="1" applyFill="1" applyBorder="1" applyAlignment="1">
      <alignment vertical="center"/>
    </xf>
    <xf numFmtId="0" fontId="13" fillId="2" borderId="0" xfId="0" applyFont="1" applyFill="1" applyBorder="1" applyAlignment="1">
      <alignment horizontal="right" vertical="center"/>
    </xf>
    <xf numFmtId="0" fontId="38" fillId="3" borderId="5" xfId="0" applyFont="1" applyFill="1" applyBorder="1" applyAlignment="1">
      <alignment horizontal="center" vertical="center"/>
    </xf>
    <xf numFmtId="0" fontId="39" fillId="3" borderId="6" xfId="0" applyFont="1" applyFill="1" applyBorder="1" applyAlignment="1">
      <alignment horizontal="center" vertical="center"/>
    </xf>
    <xf numFmtId="0" fontId="40" fillId="3" borderId="6" xfId="0" applyFont="1" applyFill="1" applyBorder="1" applyAlignment="1">
      <alignment vertical="center"/>
    </xf>
    <xf numFmtId="0" fontId="41" fillId="3" borderId="7" xfId="0" applyFont="1" applyFill="1" applyBorder="1" applyAlignment="1">
      <alignment horizontal="center" vertical="center"/>
    </xf>
    <xf numFmtId="14" fontId="25" fillId="4" borderId="10" xfId="0" applyNumberFormat="1" applyFont="1" applyFill="1" applyBorder="1" applyAlignment="1">
      <alignment horizontal="center" vertical="center"/>
    </xf>
    <xf numFmtId="14" fontId="25" fillId="4" borderId="0" xfId="0" applyNumberFormat="1" applyFont="1" applyFill="1" applyBorder="1" applyAlignment="1">
      <alignment horizontal="center" vertical="center"/>
    </xf>
    <xf numFmtId="0" fontId="30" fillId="4" borderId="0" xfId="0" applyFont="1" applyFill="1" applyBorder="1" applyAlignment="1">
      <alignment vertical="center" wrapText="1"/>
    </xf>
    <xf numFmtId="0" fontId="25" fillId="4" borderId="11" xfId="0" applyFont="1" applyFill="1" applyBorder="1" applyAlignment="1">
      <alignment horizontal="center" vertical="center"/>
    </xf>
    <xf numFmtId="0" fontId="25" fillId="4" borderId="10" xfId="0" applyFont="1" applyFill="1" applyBorder="1" applyAlignment="1">
      <alignment horizontal="center" vertical="center"/>
    </xf>
    <xf numFmtId="0" fontId="25" fillId="4" borderId="27" xfId="0" applyFont="1" applyFill="1" applyBorder="1" applyAlignment="1">
      <alignment horizontal="center" vertical="center"/>
    </xf>
    <xf numFmtId="0" fontId="25" fillId="4" borderId="28" xfId="0" applyFont="1" applyFill="1" applyBorder="1" applyAlignment="1">
      <alignment horizontal="center" vertical="center"/>
    </xf>
    <xf numFmtId="0" fontId="30" fillId="4" borderId="28" xfId="0" applyFont="1" applyFill="1" applyBorder="1" applyAlignment="1">
      <alignment horizontal="center" vertical="center"/>
    </xf>
    <xf numFmtId="0" fontId="30" fillId="4" borderId="28" xfId="0" applyFont="1" applyFill="1" applyBorder="1" applyAlignment="1">
      <alignment vertical="center"/>
    </xf>
    <xf numFmtId="0" fontId="30" fillId="4" borderId="28" xfId="0" applyFont="1" applyFill="1" applyBorder="1" applyAlignment="1">
      <alignment vertical="center" wrapText="1"/>
    </xf>
    <xf numFmtId="0" fontId="25" fillId="4" borderId="29" xfId="0" applyFont="1" applyFill="1" applyBorder="1" applyAlignment="1">
      <alignment horizontal="center" vertical="center"/>
    </xf>
    <xf numFmtId="0" fontId="42" fillId="2" borderId="0" xfId="0" applyFont="1" applyFill="1" applyBorder="1"/>
    <xf numFmtId="0" fontId="13" fillId="2" borderId="0" xfId="0" applyFont="1" applyFill="1" applyBorder="1" applyAlignment="1">
      <alignment horizontal="left" wrapText="1"/>
    </xf>
    <xf numFmtId="0" fontId="42" fillId="2" borderId="0" xfId="0" applyFont="1" applyFill="1" applyBorder="1" applyAlignment="1">
      <alignment horizontal="center"/>
    </xf>
    <xf numFmtId="0" fontId="25" fillId="2" borderId="0" xfId="0" applyFont="1" applyFill="1" applyBorder="1" applyAlignment="1">
      <alignment wrapText="1"/>
    </xf>
    <xf numFmtId="0" fontId="43" fillId="2" borderId="0" xfId="0" applyFont="1" applyFill="1" applyBorder="1"/>
    <xf numFmtId="0" fontId="44" fillId="2" borderId="0" xfId="0" applyFont="1" applyFill="1" applyBorder="1"/>
    <xf numFmtId="0" fontId="45" fillId="2" borderId="0" xfId="0" applyFont="1" applyFill="1" applyBorder="1" applyAlignment="1">
      <alignment horizontal="center" vertical="top"/>
    </xf>
    <xf numFmtId="0" fontId="13" fillId="2" borderId="0" xfId="0" applyFont="1" applyFill="1" applyBorder="1"/>
    <xf numFmtId="0" fontId="46" fillId="2" borderId="0" xfId="0" applyFont="1" applyFill="1" applyBorder="1" applyAlignment="1">
      <alignment horizontal="center"/>
    </xf>
    <xf numFmtId="0" fontId="47" fillId="2" borderId="0" xfId="0" applyFont="1" applyFill="1" applyBorder="1" applyAlignment="1">
      <alignment vertical="top"/>
    </xf>
    <xf numFmtId="0" fontId="48" fillId="0" borderId="0" xfId="0" applyFont="1" applyAlignment="1">
      <alignment horizontal="center" vertical="center"/>
    </xf>
    <xf numFmtId="0" fontId="49" fillId="0" borderId="0" xfId="0" applyFont="1" applyAlignment="1">
      <alignment horizontal="left" vertical="center"/>
    </xf>
    <xf numFmtId="0" fontId="49" fillId="0" borderId="0" xfId="0" applyFont="1" applyAlignment="1">
      <alignment horizontal="center" vertical="center"/>
    </xf>
    <xf numFmtId="0" fontId="50"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50" fillId="0" borderId="0" xfId="0" applyFont="1" applyAlignment="1">
      <alignment horizontal="left" vertical="top"/>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1" fillId="0" borderId="0" xfId="0" applyFont="1"/>
    <xf numFmtId="0" fontId="27" fillId="0" borderId="0" xfId="0" applyFont="1" applyAlignment="1">
      <alignment vertical="center"/>
    </xf>
    <xf numFmtId="0" fontId="27" fillId="0" borderId="0" xfId="0" applyFont="1" applyAlignment="1">
      <alignment horizontal="left" vertical="center"/>
    </xf>
    <xf numFmtId="0" fontId="1" fillId="0" borderId="0" xfId="0" applyFont="1" applyAlignment="1">
      <alignment horizontal="right" vertical="center"/>
    </xf>
    <xf numFmtId="0" fontId="50" fillId="0" borderId="0" xfId="0" applyFont="1" applyAlignment="1">
      <alignment vertical="center"/>
    </xf>
    <xf numFmtId="0" fontId="50" fillId="0" borderId="0" xfId="0" applyFont="1" applyAlignment="1">
      <alignment horizontal="center" vertical="center"/>
    </xf>
    <xf numFmtId="0" fontId="50" fillId="0" borderId="0" xfId="0" applyFont="1" applyAlignment="1">
      <alignment horizontal="right" vertical="center"/>
    </xf>
    <xf numFmtId="0" fontId="1" fillId="0" borderId="60" xfId="0" applyFont="1" applyBorder="1" applyAlignment="1">
      <alignment vertical="center"/>
    </xf>
    <xf numFmtId="0" fontId="51" fillId="0" borderId="0" xfId="0" applyFont="1" applyAlignment="1">
      <alignment vertical="center"/>
    </xf>
    <xf numFmtId="0" fontId="1" fillId="0" borderId="61" xfId="0" applyFont="1" applyBorder="1" applyAlignment="1">
      <alignment vertical="center"/>
    </xf>
    <xf numFmtId="0" fontId="1" fillId="0" borderId="62" xfId="0" applyFont="1" applyBorder="1" applyAlignment="1">
      <alignment vertical="center"/>
    </xf>
    <xf numFmtId="0" fontId="1" fillId="0" borderId="63" xfId="0" applyFont="1" applyBorder="1" applyAlignment="1">
      <alignment horizontal="center" vertical="center"/>
    </xf>
    <xf numFmtId="0" fontId="1" fillId="0" borderId="63" xfId="0" applyFont="1" applyBorder="1" applyAlignment="1">
      <alignment vertical="center"/>
    </xf>
    <xf numFmtId="0" fontId="1" fillId="0" borderId="63" xfId="0" applyFont="1" applyBorder="1" applyAlignment="1">
      <alignment horizontal="left" vertical="center"/>
    </xf>
    <xf numFmtId="0" fontId="1" fillId="0" borderId="62" xfId="0" applyFont="1" applyBorder="1" applyAlignment="1">
      <alignment horizontal="right" vertical="center"/>
    </xf>
    <xf numFmtId="0" fontId="49" fillId="0" borderId="61" xfId="0" applyFont="1" applyBorder="1" applyAlignment="1">
      <alignment horizontal="left" vertical="center"/>
    </xf>
    <xf numFmtId="0" fontId="1" fillId="0" borderId="64" xfId="0" applyFont="1" applyBorder="1" applyAlignment="1">
      <alignment vertical="center"/>
    </xf>
    <xf numFmtId="0" fontId="1" fillId="0" borderId="65" xfId="0" applyFont="1" applyBorder="1" applyAlignment="1">
      <alignment vertical="center"/>
    </xf>
    <xf numFmtId="0" fontId="1" fillId="0" borderId="66" xfId="0" applyFont="1" applyBorder="1" applyAlignment="1">
      <alignment vertical="center"/>
    </xf>
    <xf numFmtId="0" fontId="1" fillId="0" borderId="66" xfId="0" applyFont="1" applyBorder="1" applyAlignment="1">
      <alignment horizontal="right" vertical="center"/>
    </xf>
    <xf numFmtId="0" fontId="49" fillId="0" borderId="65" xfId="0" applyFont="1" applyBorder="1" applyAlignment="1">
      <alignment vertical="center"/>
    </xf>
    <xf numFmtId="0" fontId="1" fillId="0" borderId="60" xfId="0" applyFont="1" applyBorder="1" applyAlignment="1">
      <alignment horizontal="left" vertical="center"/>
    </xf>
    <xf numFmtId="0" fontId="49" fillId="0" borderId="0" xfId="0" applyFont="1" applyAlignment="1">
      <alignment vertical="center"/>
    </xf>
    <xf numFmtId="0" fontId="1" fillId="0" borderId="67" xfId="0" applyFont="1" applyBorder="1" applyAlignment="1">
      <alignment vertical="center"/>
    </xf>
    <xf numFmtId="0" fontId="27" fillId="0" borderId="0" xfId="0" applyFont="1" applyAlignment="1">
      <alignment horizontal="right" vertical="center"/>
    </xf>
    <xf numFmtId="0" fontId="1" fillId="0" borderId="65" xfId="0" applyFont="1" applyBorder="1" applyAlignment="1">
      <alignment horizontal="left" vertical="center"/>
    </xf>
    <xf numFmtId="0" fontId="49" fillId="0" borderId="66" xfId="0" applyFont="1" applyBorder="1" applyAlignment="1">
      <alignment vertical="center"/>
    </xf>
    <xf numFmtId="0" fontId="1" fillId="0" borderId="66" xfId="0" applyFont="1" applyBorder="1" applyAlignment="1">
      <alignment horizontal="left" vertical="center"/>
    </xf>
    <xf numFmtId="0" fontId="49" fillId="0" borderId="66" xfId="0" applyFont="1" applyBorder="1" applyAlignment="1">
      <alignment horizontal="right" vertical="center"/>
    </xf>
    <xf numFmtId="0" fontId="1" fillId="0" borderId="68" xfId="0" applyFont="1" applyBorder="1" applyAlignment="1">
      <alignment vertical="center"/>
    </xf>
    <xf numFmtId="0" fontId="1" fillId="0" borderId="69" xfId="0" applyFont="1" applyBorder="1" applyAlignment="1">
      <alignment vertical="center"/>
    </xf>
    <xf numFmtId="0" fontId="1" fillId="0" borderId="70" xfId="0" applyFont="1" applyBorder="1" applyAlignment="1">
      <alignment vertical="center"/>
    </xf>
    <xf numFmtId="0" fontId="49" fillId="0" borderId="65" xfId="0" applyFont="1" applyBorder="1" applyAlignment="1">
      <alignment horizontal="left" vertical="center"/>
    </xf>
    <xf numFmtId="0" fontId="1" fillId="0" borderId="61" xfId="0" applyFont="1" applyBorder="1" applyAlignment="1">
      <alignment horizontal="left" vertical="center"/>
    </xf>
    <xf numFmtId="0" fontId="1" fillId="0" borderId="71" xfId="0" applyFont="1" applyBorder="1" applyAlignment="1">
      <alignment horizontal="center" vertical="center"/>
    </xf>
    <xf numFmtId="0" fontId="1" fillId="0" borderId="71" xfId="0" applyFont="1" applyBorder="1" applyAlignment="1">
      <alignment vertical="center"/>
    </xf>
    <xf numFmtId="0" fontId="49" fillId="0" borderId="70" xfId="0" applyFont="1" applyBorder="1" applyAlignment="1">
      <alignment horizontal="right" vertical="center"/>
    </xf>
    <xf numFmtId="0" fontId="1" fillId="0" borderId="71" xfId="0" applyFont="1" applyBorder="1" applyAlignment="1">
      <alignment horizontal="left" vertical="center"/>
    </xf>
    <xf numFmtId="0" fontId="1" fillId="0" borderId="70" xfId="0" applyFont="1" applyBorder="1" applyAlignment="1">
      <alignment horizontal="right" vertical="center"/>
    </xf>
    <xf numFmtId="14" fontId="1" fillId="0" borderId="0" xfId="0" applyNumberFormat="1" applyFont="1" applyBorder="1"/>
    <xf numFmtId="0" fontId="1" fillId="0" borderId="0" xfId="0" applyFont="1" applyBorder="1" applyAlignment="1">
      <alignment horizontal="right"/>
    </xf>
    <xf numFmtId="0" fontId="1" fillId="0" borderId="69" xfId="0" applyFont="1" applyBorder="1" applyAlignment="1">
      <alignment horizontal="left" vertical="center"/>
    </xf>
    <xf numFmtId="3" fontId="1" fillId="0" borderId="0" xfId="0" applyNumberFormat="1" applyFont="1" applyBorder="1"/>
    <xf numFmtId="0" fontId="3" fillId="2" borderId="0" xfId="0" applyFont="1" applyFill="1" applyBorder="1" applyAlignment="1">
      <alignment horizontal="center" vertical="center"/>
    </xf>
    <xf numFmtId="0" fontId="4" fillId="0" borderId="0" xfId="0" applyFont="1" applyBorder="1"/>
    <xf numFmtId="0" fontId="13" fillId="3" borderId="0" xfId="0" applyFont="1" applyFill="1" applyBorder="1" applyAlignment="1">
      <alignment horizontal="center"/>
    </xf>
    <xf numFmtId="0" fontId="11" fillId="3" borderId="0" xfId="0" applyFont="1" applyFill="1" applyBorder="1" applyAlignment="1">
      <alignment horizontal="center" vertical="center"/>
    </xf>
    <xf numFmtId="0" fontId="18" fillId="3" borderId="0" xfId="0" applyFont="1" applyFill="1" applyBorder="1" applyAlignment="1">
      <alignment horizontal="center"/>
    </xf>
    <xf numFmtId="0" fontId="25" fillId="4" borderId="10" xfId="0" applyFont="1" applyFill="1" applyBorder="1" applyAlignment="1">
      <alignment horizontal="center"/>
    </xf>
    <xf numFmtId="0" fontId="21" fillId="3" borderId="2" xfId="0" applyFont="1" applyFill="1" applyBorder="1" applyAlignment="1">
      <alignment horizontal="center"/>
    </xf>
    <xf numFmtId="0" fontId="4" fillId="0" borderId="8" xfId="0" applyFont="1" applyBorder="1"/>
    <xf numFmtId="0" fontId="23" fillId="3" borderId="14" xfId="0" applyFont="1" applyFill="1" applyBorder="1" applyAlignment="1">
      <alignment horizontal="center" vertical="center"/>
    </xf>
    <xf numFmtId="0" fontId="4" fillId="0" borderId="7" xfId="0" applyFont="1" applyBorder="1"/>
    <xf numFmtId="0" fontId="3" fillId="2" borderId="0" xfId="0" applyFont="1" applyFill="1" applyBorder="1" applyAlignment="1">
      <alignment horizontal="left" vertical="center"/>
    </xf>
    <xf numFmtId="0" fontId="22" fillId="3" borderId="6" xfId="0" applyFont="1" applyFill="1" applyBorder="1" applyAlignment="1">
      <alignment horizontal="center" vertical="center"/>
    </xf>
    <xf numFmtId="0" fontId="4" fillId="0" borderId="13" xfId="0" applyFont="1" applyBorder="1"/>
    <xf numFmtId="0" fontId="28" fillId="3" borderId="5" xfId="0" applyFont="1" applyFill="1" applyBorder="1" applyAlignment="1">
      <alignment horizontal="center" vertical="center"/>
    </xf>
    <xf numFmtId="0" fontId="4" fillId="0" borderId="6" xfId="0" applyFont="1" applyBorder="1"/>
    <xf numFmtId="0" fontId="24" fillId="4" borderId="10" xfId="0" applyFont="1" applyFill="1" applyBorder="1" applyAlignment="1">
      <alignment horizontal="center"/>
    </xf>
    <xf numFmtId="0" fontId="2" fillId="5" borderId="0" xfId="0" applyFont="1" applyFill="1" applyBorder="1" applyAlignment="1">
      <alignment horizontal="center"/>
    </xf>
    <xf numFmtId="0" fontId="2" fillId="6" borderId="0" xfId="0" applyFont="1" applyFill="1" applyBorder="1" applyAlignment="1">
      <alignment horizontal="center"/>
    </xf>
    <xf numFmtId="0" fontId="2" fillId="7" borderId="0" xfId="0" applyFont="1" applyFill="1" applyBorder="1" applyAlignment="1">
      <alignment horizontal="center"/>
    </xf>
    <xf numFmtId="0" fontId="30" fillId="9" borderId="0" xfId="0" applyFont="1" applyFill="1" applyBorder="1" applyAlignment="1">
      <alignment horizontal="center" vertical="center"/>
    </xf>
    <xf numFmtId="0" fontId="34" fillId="2" borderId="0" xfId="0" applyFont="1" applyFill="1" applyBorder="1" applyAlignment="1">
      <alignment horizontal="center" vertical="center" wrapText="1"/>
    </xf>
    <xf numFmtId="0" fontId="33" fillId="8" borderId="34" xfId="0" applyFont="1" applyFill="1" applyBorder="1" applyAlignment="1">
      <alignment horizontal="center" vertical="center"/>
    </xf>
    <xf numFmtId="0" fontId="4" fillId="0" borderId="35" xfId="0" applyFont="1" applyBorder="1"/>
    <xf numFmtId="0" fontId="24" fillId="2" borderId="0" xfId="0" applyFont="1" applyFill="1" applyBorder="1" applyAlignment="1">
      <alignment horizontal="center" vertical="center"/>
    </xf>
    <xf numFmtId="0" fontId="31" fillId="4" borderId="33" xfId="0" applyFont="1" applyFill="1" applyBorder="1" applyAlignment="1">
      <alignment horizontal="left" vertical="center"/>
    </xf>
    <xf numFmtId="0" fontId="4" fillId="0" borderId="33" xfId="0" applyFont="1" applyBorder="1"/>
    <xf numFmtId="0" fontId="36" fillId="9" borderId="0" xfId="0" applyFont="1" applyFill="1" applyBorder="1" applyAlignment="1">
      <alignment horizontal="center" vertical="center"/>
    </xf>
    <xf numFmtId="0" fontId="30" fillId="4" borderId="0" xfId="0" applyFont="1" applyFill="1" applyBorder="1" applyAlignment="1">
      <alignment horizontal="right" vertical="center"/>
    </xf>
    <xf numFmtId="0" fontId="25" fillId="4" borderId="0" xfId="0" applyFont="1" applyFill="1" applyBorder="1" applyAlignment="1">
      <alignment horizontal="right" vertical="center" wrapText="1"/>
    </xf>
    <xf numFmtId="3" fontId="25" fillId="4" borderId="0" xfId="0" applyNumberFormat="1" applyFont="1" applyFill="1" applyBorder="1" applyAlignment="1">
      <alignment horizontal="right" vertical="center"/>
    </xf>
    <xf numFmtId="0" fontId="24" fillId="4" borderId="0" xfId="0" applyFont="1" applyFill="1" applyBorder="1" applyAlignment="1">
      <alignment horizontal="center" vertical="center"/>
    </xf>
    <xf numFmtId="0" fontId="30" fillId="4" borderId="0" xfId="0" applyFont="1" applyFill="1" applyBorder="1" applyAlignment="1">
      <alignment horizontal="left" vertical="center"/>
    </xf>
    <xf numFmtId="0" fontId="25" fillId="4" borderId="0" xfId="0" applyFont="1" applyFill="1" applyBorder="1" applyAlignment="1">
      <alignment horizontal="left" vertical="center" wrapText="1"/>
    </xf>
    <xf numFmtId="0" fontId="24" fillId="4" borderId="0" xfId="0" applyFont="1" applyFill="1" applyBorder="1" applyAlignment="1">
      <alignment horizontal="left" vertical="center"/>
    </xf>
    <xf numFmtId="3" fontId="30" fillId="4" borderId="0" xfId="0" applyNumberFormat="1" applyFont="1" applyFill="1" applyBorder="1" applyAlignment="1">
      <alignment horizontal="right" vertical="center"/>
    </xf>
    <xf numFmtId="3" fontId="24" fillId="4" borderId="0" xfId="0" applyNumberFormat="1" applyFont="1" applyFill="1" applyBorder="1" applyAlignment="1">
      <alignment horizontal="right" vertical="center"/>
    </xf>
    <xf numFmtId="0" fontId="36" fillId="4" borderId="0" xfId="0" applyFont="1" applyFill="1" applyBorder="1" applyAlignment="1">
      <alignment horizontal="left" vertical="center"/>
    </xf>
    <xf numFmtId="3" fontId="25" fillId="4" borderId="0" xfId="0" applyNumberFormat="1" applyFont="1" applyFill="1" applyBorder="1" applyAlignment="1">
      <alignment horizontal="center" vertical="center"/>
    </xf>
    <xf numFmtId="3" fontId="30" fillId="4" borderId="0" xfId="0" applyNumberFormat="1" applyFont="1" applyFill="1" applyBorder="1" applyAlignment="1">
      <alignment horizontal="center" vertical="center"/>
    </xf>
    <xf numFmtId="0" fontId="42" fillId="2" borderId="0" xfId="0" applyFont="1" applyFill="1" applyBorder="1" applyAlignment="1">
      <alignment horizontal="left" wrapText="1"/>
    </xf>
  </cellXfs>
  <cellStyles count="1">
    <cellStyle name="Normal" xfId="0" builtinId="0"/>
  </cellStyles>
  <dxfs count="23">
    <dxf>
      <font>
        <b/>
        <i/>
      </font>
      <fill>
        <patternFill patternType="none"/>
      </fill>
      <border>
        <left/>
        <right/>
        <top/>
        <bottom/>
      </border>
    </dxf>
    <dxf>
      <font>
        <b/>
      </font>
      <fill>
        <patternFill patternType="none"/>
      </fill>
      <border>
        <left/>
        <right/>
        <top/>
        <bottom/>
      </border>
    </dxf>
    <dxf>
      <fill>
        <patternFill patternType="none"/>
      </fill>
      <border>
        <left/>
        <right/>
        <top/>
        <bottom/>
      </border>
    </dxf>
    <dxf>
      <font>
        <b/>
        <i/>
      </font>
      <fill>
        <patternFill patternType="none"/>
      </fill>
      <border>
        <left/>
        <right/>
        <top/>
        <bottom/>
      </border>
    </dxf>
    <dxf>
      <font>
        <b/>
      </font>
      <fill>
        <patternFill patternType="none"/>
      </fill>
      <border>
        <left/>
        <right/>
        <top/>
        <bottom/>
      </border>
    </dxf>
    <dxf>
      <font>
        <b/>
        <i/>
      </font>
      <fill>
        <patternFill patternType="none"/>
      </fill>
      <border>
        <left/>
        <right/>
        <top/>
        <bottom/>
      </border>
    </dxf>
    <dxf>
      <font>
        <b/>
      </font>
      <fill>
        <patternFill patternType="none"/>
      </fill>
      <border>
        <left/>
        <right/>
        <top/>
        <bottom/>
      </border>
    </dxf>
    <dxf>
      <font>
        <b/>
        <i/>
      </font>
      <fill>
        <patternFill patternType="none"/>
      </fill>
      <border>
        <left/>
        <right/>
        <top/>
        <bottom/>
      </border>
    </dxf>
    <dxf>
      <font>
        <b/>
      </font>
      <fill>
        <patternFill patternType="none"/>
      </fill>
      <border>
        <left/>
        <right/>
        <top/>
        <bottom/>
      </border>
    </dxf>
    <dxf>
      <font>
        <b/>
        <i/>
      </font>
      <fill>
        <patternFill patternType="none"/>
      </fill>
      <border>
        <left/>
        <right/>
        <top/>
        <bottom/>
      </border>
    </dxf>
    <dxf>
      <font>
        <b/>
      </font>
      <fill>
        <patternFill patternType="none"/>
      </fill>
      <border>
        <left/>
        <right/>
        <top/>
        <bottom/>
      </border>
    </dxf>
    <dxf>
      <font>
        <b/>
        <i/>
      </font>
      <fill>
        <patternFill patternType="none"/>
      </fill>
      <border>
        <left/>
        <right/>
        <top/>
        <bottom/>
      </border>
    </dxf>
    <dxf>
      <font>
        <b/>
      </font>
      <fill>
        <patternFill patternType="none"/>
      </fill>
      <border>
        <left/>
        <right/>
        <top/>
        <bottom/>
      </border>
    </dxf>
    <dxf>
      <font>
        <b/>
        <i/>
      </font>
      <fill>
        <patternFill patternType="none"/>
      </fill>
      <border>
        <left/>
        <right/>
        <top/>
        <bottom/>
      </border>
    </dxf>
    <dxf>
      <font>
        <b/>
      </font>
      <fill>
        <patternFill patternType="none"/>
      </fill>
      <border>
        <left/>
        <right/>
        <top/>
        <bottom/>
      </border>
    </dxf>
    <dxf>
      <font>
        <b/>
        <i/>
      </font>
      <fill>
        <patternFill patternType="none"/>
      </fill>
      <border>
        <left/>
        <right/>
        <top/>
        <bottom/>
      </border>
    </dxf>
    <dxf>
      <font>
        <b/>
      </font>
      <fill>
        <patternFill patternType="none"/>
      </fill>
      <border>
        <left/>
        <right/>
        <top/>
        <bottom/>
      </border>
    </dxf>
    <dxf>
      <font>
        <b/>
        <i/>
      </font>
      <fill>
        <patternFill patternType="none"/>
      </fill>
      <border>
        <left/>
        <right/>
        <top/>
        <bottom/>
      </border>
    </dxf>
    <dxf>
      <font>
        <b/>
      </font>
      <fill>
        <patternFill patternType="none"/>
      </fill>
      <border>
        <left/>
        <right/>
        <top/>
        <bottom/>
      </border>
    </dxf>
    <dxf>
      <font>
        <b/>
        <i/>
      </font>
      <fill>
        <patternFill patternType="none"/>
      </fill>
      <border>
        <left/>
        <right/>
        <top/>
        <bottom/>
      </border>
    </dxf>
    <dxf>
      <font>
        <b/>
      </font>
      <fill>
        <patternFill patternType="none"/>
      </fill>
      <border>
        <left/>
        <right/>
        <top/>
        <bottom/>
      </border>
    </dxf>
    <dxf>
      <font>
        <b/>
        <i/>
      </font>
      <fill>
        <patternFill patternType="none"/>
      </fill>
      <border>
        <left/>
        <right/>
        <top/>
        <bottom/>
      </border>
    </dxf>
    <dxf>
      <font>
        <b/>
      </font>
      <fill>
        <patternFill patternType="none"/>
      </fill>
      <border>
        <left/>
        <right/>
        <top/>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95250</xdr:rowOff>
    </xdr:from>
    <xdr:to>
      <xdr:col>4</xdr:col>
      <xdr:colOff>228600</xdr:colOff>
      <xdr:row>2</xdr:row>
      <xdr:rowOff>9525</xdr:rowOff>
    </xdr:to>
    <xdr:pic>
      <xdr:nvPicPr>
        <xdr:cNvPr id="2" name="image1.png" descr="title"/>
        <xdr:cNvPicPr preferRelativeResize="0"/>
      </xdr:nvPicPr>
      <xdr:blipFill>
        <a:blip xmlns:r="http://schemas.openxmlformats.org/officeDocument/2006/relationships" r:embed="rId1" cstate="print"/>
        <a:stretch>
          <a:fillRect/>
        </a:stretch>
      </xdr:blipFill>
      <xdr:spPr>
        <a:xfrm>
          <a:off x="0" y="0"/>
          <a:ext cx="3800475" cy="962025"/>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dimension ref="A1:Z29"/>
  <sheetViews>
    <sheetView workbookViewId="0"/>
  </sheetViews>
  <sheetFormatPr defaultColWidth="14.42578125" defaultRowHeight="15" customHeight="1"/>
  <cols>
    <col min="1" max="1" width="3.5703125" customWidth="1"/>
    <col min="2" max="2" width="0.5703125" customWidth="1"/>
    <col min="3" max="3" width="5.85546875" customWidth="1"/>
    <col min="4" max="4" width="32.7109375" customWidth="1"/>
    <col min="5" max="5" width="14.28515625" customWidth="1"/>
    <col min="6" max="6" width="23.85546875" customWidth="1"/>
    <col min="7" max="7" width="0.5703125" customWidth="1"/>
    <col min="8" max="8" width="11.42578125" customWidth="1"/>
    <col min="9" max="18" width="9.140625" hidden="1" customWidth="1"/>
    <col min="19" max="20" width="0" hidden="1" customWidth="1"/>
    <col min="21" max="26" width="11.42578125" customWidth="1"/>
  </cols>
  <sheetData>
    <row r="1" spans="1:26" ht="32.25" customHeight="1">
      <c r="A1" s="1"/>
      <c r="B1" s="1"/>
      <c r="C1" s="315" t="s">
        <v>1</v>
      </c>
      <c r="D1" s="316"/>
      <c r="E1" s="316"/>
      <c r="F1" s="316"/>
      <c r="G1" s="1"/>
      <c r="H1" s="1"/>
      <c r="I1" s="4"/>
      <c r="J1" s="4"/>
      <c r="K1" s="4"/>
      <c r="L1" s="4"/>
      <c r="M1" s="1"/>
      <c r="N1" s="4"/>
      <c r="O1" s="1"/>
      <c r="P1" s="1"/>
      <c r="Q1" s="1"/>
      <c r="R1" s="1"/>
      <c r="S1" s="1"/>
      <c r="T1" s="1"/>
      <c r="U1" s="2"/>
      <c r="V1" s="2"/>
      <c r="W1" s="2"/>
      <c r="X1" s="1"/>
      <c r="Y1" s="1"/>
      <c r="Z1" s="1"/>
    </row>
    <row r="2" spans="1:26" ht="2.25" customHeight="1">
      <c r="A2" s="1"/>
      <c r="B2" s="5"/>
      <c r="C2" s="6"/>
      <c r="D2" s="8"/>
      <c r="E2" s="13"/>
      <c r="F2" s="8"/>
      <c r="G2" s="13"/>
      <c r="H2" s="1"/>
      <c r="I2" s="4"/>
      <c r="J2" s="4"/>
      <c r="K2" s="4"/>
      <c r="L2" s="4"/>
      <c r="M2" s="1"/>
      <c r="N2" s="4"/>
      <c r="O2" s="1"/>
      <c r="P2" s="1"/>
      <c r="Q2" s="1"/>
      <c r="R2" s="1"/>
      <c r="S2" s="1"/>
      <c r="T2" s="1"/>
      <c r="U2" s="2"/>
      <c r="V2" s="2"/>
      <c r="W2" s="2"/>
      <c r="X2" s="1"/>
      <c r="Y2" s="1"/>
      <c r="Z2" s="1"/>
    </row>
    <row r="3" spans="1:26" ht="19.5" customHeight="1">
      <c r="A3" s="1"/>
      <c r="B3" s="5"/>
      <c r="C3" s="15" t="s">
        <v>5</v>
      </c>
      <c r="D3" s="16" t="s">
        <v>4</v>
      </c>
      <c r="E3" s="18" t="s">
        <v>18</v>
      </c>
      <c r="F3" s="15" t="s">
        <v>22</v>
      </c>
      <c r="G3" s="5"/>
      <c r="H3" s="1"/>
      <c r="I3" s="4" t="s">
        <v>23</v>
      </c>
      <c r="J3" s="4" t="s">
        <v>24</v>
      </c>
      <c r="K3" s="4" t="s">
        <v>25</v>
      </c>
      <c r="L3" s="4" t="s">
        <v>26</v>
      </c>
      <c r="M3" s="2" t="s">
        <v>27</v>
      </c>
      <c r="N3" s="4" t="s">
        <v>28</v>
      </c>
      <c r="O3" s="1"/>
      <c r="P3" s="1"/>
      <c r="Q3" s="1"/>
      <c r="R3" s="1"/>
      <c r="S3" s="1"/>
      <c r="T3" s="1"/>
      <c r="U3" s="2"/>
      <c r="V3" s="2"/>
      <c r="W3" s="2"/>
      <c r="X3" s="1"/>
      <c r="Y3" s="1"/>
      <c r="Z3" s="1"/>
    </row>
    <row r="4" spans="1:26" ht="15" customHeight="1">
      <c r="A4" s="1"/>
      <c r="B4" s="5"/>
      <c r="C4" s="22" t="s">
        <v>29</v>
      </c>
      <c r="D4" s="30" t="str">
        <f t="shared" ref="D4:D28" ca="1" si="0">IF(ISERROR(INDIRECT($C4&amp;"!J3")),HYPERLINK(,T_missing),IF(INDIRECT($C4&amp;"!J3")="",HYPERLINK(,T_empty),HYPERLINK(MID(CELL("filename"),SEARCH("[",CELL("filename")),SEARCH("]",CELL("filename"))-SEARCH("[",CELL("filename"))+1)&amp;$C4&amp;"!A1",INDIRECT($C4&amp;"!J3"))))</f>
        <v>Sylvania Suckhawks</v>
      </c>
      <c r="E4" s="26" t="str">
        <f t="shared" ref="E4:E28" ca="1" si="1">IF(ISERROR(INDIRECT($C4&amp;"!E3")),"",IF(D4=T_empty,"",INDIRECT($C4&amp;"!E3")))</f>
        <v>Vampire</v>
      </c>
      <c r="F4" s="26" t="str">
        <f t="shared" ref="F4:F28" ca="1" si="2">IF(ISERROR(INDIRECT($C4&amp;"!N3")),"",IF(D4=T_empty,"",IF(INDIRECT($C4&amp;"!N3")&lt;&gt;"",INDIRECT($C4&amp;"!N3"),"")))</f>
        <v>Joe R</v>
      </c>
      <c r="G4" s="5"/>
      <c r="H4" s="1"/>
      <c r="I4" s="4" t="e">
        <f>IF(#REF!&lt;&gt;"",$K4*PTS_WIN+$L4*PTS_LOSS+(1-$K4-$L4)*PTS_TIE+#REF!*PTS_PER_TD_FOR-#REF!*PTS_PER_TD_AG+#REF!*PTS_PER_CS_FOR-#REF!*PTS_PER_CS_AG,0)</f>
        <v>#REF!</v>
      </c>
      <c r="J4" s="4" t="e">
        <f>IF(#REF!&lt;&gt;"",IF($F4&lt;#REF!,PTS_WIN,IF($F4=#REF!,PTS_TIE,PTS_LOSS))+#REF!*PTS_PER_TD_AG-#REF!*PTS_PER_TD_FOR+#REF!*PTS_PER_CS_AG-#REF!*PTS_PER_CS_FOR,0)</f>
        <v>#REF!</v>
      </c>
      <c r="K4" s="4" t="e">
        <f t="shared" ref="K4:K28" ca="1" si="3">IF($F4&gt;#REF!,1,0)</f>
        <v>#REF!</v>
      </c>
      <c r="L4" s="4" t="e">
        <f t="shared" ref="L4:L28" ca="1" si="4">IF($F4&lt;#REF!,1,0)</f>
        <v>#REF!</v>
      </c>
      <c r="M4" s="2">
        <f>IF(N4&gt;0,RANK(N4,Overview!RES_GATE),-1)</f>
        <v>-1</v>
      </c>
      <c r="N4" s="4">
        <f>IF(NOT(ISERROR(MATCH(#REF!,Team_Stat_Sel,0))),#REF!+#REF!+1/(ROW()+7777777),0)</f>
        <v>0</v>
      </c>
      <c r="O4" s="2" t="str">
        <f t="shared" ref="O4:O28" ca="1" si="5">D4&amp;" - "&amp;E4&amp;IF(C4&lt;&gt;""," ("&amp;C4&amp;")","")</f>
        <v>Sylvania Suckhawks - Vampire (T1)</v>
      </c>
      <c r="P4" s="1"/>
      <c r="Q4" s="1"/>
      <c r="R4" s="1"/>
      <c r="S4" s="1"/>
      <c r="T4" s="1"/>
      <c r="U4" s="2"/>
      <c r="V4" s="2"/>
      <c r="W4" s="2"/>
      <c r="X4" s="1"/>
      <c r="Y4" s="1"/>
      <c r="Z4" s="1"/>
    </row>
    <row r="5" spans="1:26" ht="15" customHeight="1">
      <c r="A5" s="1"/>
      <c r="B5" s="5"/>
      <c r="C5" s="22" t="s">
        <v>42</v>
      </c>
      <c r="D5" s="30" t="str">
        <f t="shared" ca="1" si="0"/>
        <v>Jacksonville Thrillers</v>
      </c>
      <c r="E5" s="26" t="str">
        <f t="shared" ca="1" si="1"/>
        <v>Necromantic</v>
      </c>
      <c r="F5" s="26" t="str">
        <f t="shared" ca="1" si="2"/>
        <v>Joe R</v>
      </c>
      <c r="G5" s="5"/>
      <c r="H5" s="1"/>
      <c r="I5" s="4" t="e">
        <f>IF(#REF!&lt;&gt;"",$K5*PTS_WIN+$L5*PTS_LOSS+(1-$K5-$L5)*PTS_TIE+#REF!*PTS_PER_TD_FOR-#REF!*PTS_PER_TD_AG+#REF!*PTS_PER_CS_FOR-#REF!*PTS_PER_CS_AG,0)</f>
        <v>#REF!</v>
      </c>
      <c r="J5" s="4" t="e">
        <f>IF(#REF!&lt;&gt;"",IF($F5&lt;#REF!,PTS_WIN,IF($F5=#REF!,PTS_TIE,PTS_LOSS))+#REF!*PTS_PER_TD_AG-#REF!*PTS_PER_TD_FOR+#REF!*PTS_PER_CS_AG-#REF!*PTS_PER_CS_FOR,0)</f>
        <v>#REF!</v>
      </c>
      <c r="K5" s="4" t="e">
        <f t="shared" ca="1" si="3"/>
        <v>#REF!</v>
      </c>
      <c r="L5" s="4" t="e">
        <f t="shared" ca="1" si="4"/>
        <v>#REF!</v>
      </c>
      <c r="M5" s="2">
        <f>IF(N5&gt;0,RANK(N5,Overview!RES_GATE),-1)</f>
        <v>-1</v>
      </c>
      <c r="N5" s="4">
        <f>IF(NOT(ISERROR(MATCH(#REF!,Team_Stat_Sel,0))),#REF!+#REF!+1/(ROW()+777777777),0)</f>
        <v>0</v>
      </c>
      <c r="O5" s="2" t="str">
        <f t="shared" ca="1" si="5"/>
        <v>Jacksonville Thrillers - Necromantic (T2)</v>
      </c>
      <c r="P5" s="1"/>
      <c r="Q5" s="1"/>
      <c r="R5" s="1"/>
      <c r="S5" s="1"/>
      <c r="T5" s="1"/>
      <c r="U5" s="2"/>
      <c r="V5" s="2"/>
      <c r="W5" s="2"/>
      <c r="X5" s="1"/>
      <c r="Y5" s="1"/>
      <c r="Z5" s="1"/>
    </row>
    <row r="6" spans="1:26" ht="15" customHeight="1">
      <c r="A6" s="1"/>
      <c r="B6" s="5"/>
      <c r="C6" s="22" t="s">
        <v>45</v>
      </c>
      <c r="D6" s="30" t="str">
        <f t="shared" ca="1" si="0"/>
        <v>Population: Orc</v>
      </c>
      <c r="E6" s="26" t="str">
        <f t="shared" ca="1" si="1"/>
        <v>Orc</v>
      </c>
      <c r="F6" s="26" t="str">
        <f t="shared" ca="1" si="2"/>
        <v>Phil</v>
      </c>
      <c r="G6" s="5"/>
      <c r="H6" s="1"/>
      <c r="I6" s="4" t="e">
        <f>IF(#REF!&lt;&gt;"",$K6*PTS_WIN+$L6*PTS_LOSS+(1-$K6-$L6)*PTS_TIE+#REF!*PTS_PER_TD_FOR-#REF!*PTS_PER_TD_AG+#REF!*PTS_PER_CS_FOR-#REF!*PTS_PER_CS_AG,0)</f>
        <v>#REF!</v>
      </c>
      <c r="J6" s="4" t="e">
        <f>IF(#REF!&lt;&gt;"",IF($F6&lt;#REF!,PTS_WIN,IF($F6=#REF!,PTS_TIE,PTS_LOSS))+#REF!*PTS_PER_TD_AG-#REF!*PTS_PER_TD_FOR+#REF!*PTS_PER_CS_AG-#REF!*PTS_PER_CS_FOR,0)</f>
        <v>#REF!</v>
      </c>
      <c r="K6" s="4" t="e">
        <f t="shared" ca="1" si="3"/>
        <v>#REF!</v>
      </c>
      <c r="L6" s="4" t="e">
        <f t="shared" ca="1" si="4"/>
        <v>#REF!</v>
      </c>
      <c r="M6" s="2">
        <f>IF(N6&gt;0,RANK(N6,Overview!RES_GATE),-1)</f>
        <v>-1</v>
      </c>
      <c r="N6" s="4">
        <f>IF(NOT(ISERROR(MATCH(#REF!,Team_Stat_Sel,0))),#REF!+#REF!+1/(ROW()+777777777),0)</f>
        <v>0</v>
      </c>
      <c r="O6" s="2" t="str">
        <f t="shared" ca="1" si="5"/>
        <v>Population: Orc - Orc (T3)</v>
      </c>
      <c r="P6" s="1"/>
      <c r="Q6" s="1"/>
      <c r="R6" s="1"/>
      <c r="S6" s="1"/>
      <c r="T6" s="1"/>
      <c r="U6" s="2"/>
      <c r="V6" s="2"/>
      <c r="W6" s="2"/>
      <c r="X6" s="1"/>
      <c r="Y6" s="1"/>
      <c r="Z6" s="1"/>
    </row>
    <row r="7" spans="1:26" ht="15" customHeight="1">
      <c r="A7" s="1"/>
      <c r="B7" s="5"/>
      <c r="C7" s="22" t="s">
        <v>48</v>
      </c>
      <c r="D7" s="30" t="str">
        <f t="shared" ca="1" si="0"/>
        <v>Wrath of the Month</v>
      </c>
      <c r="E7" s="26" t="str">
        <f t="shared" ca="1" si="1"/>
        <v>Amazon</v>
      </c>
      <c r="F7" s="26" t="str">
        <f t="shared" ca="1" si="2"/>
        <v>Chris</v>
      </c>
      <c r="G7" s="5"/>
      <c r="H7" s="1"/>
      <c r="I7" s="4" t="e">
        <f>IF(#REF!&lt;&gt;"",$K7*PTS_WIN+$L7*PTS_LOSS+(1-$K7-$L7)*PTS_TIE+#REF!*PTS_PER_TD_FOR-#REF!*PTS_PER_TD_AG+#REF!*PTS_PER_CS_FOR-#REF!*PTS_PER_CS_AG,0)</f>
        <v>#REF!</v>
      </c>
      <c r="J7" s="4" t="e">
        <f>IF(#REF!&lt;&gt;"",IF($F7&lt;#REF!,PTS_WIN,IF($F7=#REF!,PTS_TIE,PTS_LOSS))+#REF!*PTS_PER_TD_AG-#REF!*PTS_PER_TD_FOR+#REF!*PTS_PER_CS_AG-#REF!*PTS_PER_CS_FOR,0)</f>
        <v>#REF!</v>
      </c>
      <c r="K7" s="4" t="e">
        <f t="shared" ca="1" si="3"/>
        <v>#REF!</v>
      </c>
      <c r="L7" s="4" t="e">
        <f t="shared" ca="1" si="4"/>
        <v>#REF!</v>
      </c>
      <c r="M7" s="2">
        <f>IF(N7&gt;0,RANK(N7,Overview!RES_GATE),-1)</f>
        <v>-1</v>
      </c>
      <c r="N7" s="4">
        <f>IF(NOT(ISERROR(MATCH(#REF!,Team_Stat_Sel,0))),#REF!+#REF!+1/(ROW()+777777777),0)</f>
        <v>0</v>
      </c>
      <c r="O7" s="2" t="str">
        <f t="shared" ca="1" si="5"/>
        <v>Wrath of the Month - Amazon (T4)</v>
      </c>
      <c r="P7" s="1"/>
      <c r="Q7" s="1"/>
      <c r="R7" s="1"/>
      <c r="S7" s="1"/>
      <c r="T7" s="1"/>
      <c r="U7" s="2"/>
      <c r="V7" s="2"/>
      <c r="W7" s="2"/>
      <c r="X7" s="1"/>
      <c r="Y7" s="1"/>
      <c r="Z7" s="1"/>
    </row>
    <row r="8" spans="1:26" ht="15" customHeight="1">
      <c r="A8" s="1"/>
      <c r="B8" s="5"/>
      <c r="C8" s="22" t="s">
        <v>50</v>
      </c>
      <c r="D8" s="30" t="str">
        <f t="shared" ca="1" si="0"/>
        <v>OrCares</v>
      </c>
      <c r="E8" s="26" t="str">
        <f t="shared" ca="1" si="1"/>
        <v>Orc</v>
      </c>
      <c r="F8" s="26" t="str">
        <f t="shared" ca="1" si="2"/>
        <v>Troy</v>
      </c>
      <c r="G8" s="5"/>
      <c r="H8" s="1"/>
      <c r="I8" s="4" t="e">
        <f>IF(#REF!&lt;&gt;"",$K8*PTS_WIN+$L8*PTS_LOSS+(1-$K8-$L8)*PTS_TIE+#REF!*PTS_PER_TD_FOR-#REF!*PTS_PER_TD_AG+#REF!*PTS_PER_CS_FOR-#REF!*PTS_PER_CS_AG,0)</f>
        <v>#REF!</v>
      </c>
      <c r="J8" s="4" t="e">
        <f>IF(#REF!&lt;&gt;"",IF($F8&lt;#REF!,PTS_WIN,IF($F8=#REF!,PTS_TIE,PTS_LOSS))+#REF!*PTS_PER_TD_AG-#REF!*PTS_PER_TD_FOR+#REF!*PTS_PER_CS_AG-#REF!*PTS_PER_CS_FOR,0)</f>
        <v>#REF!</v>
      </c>
      <c r="K8" s="4" t="e">
        <f t="shared" ca="1" si="3"/>
        <v>#REF!</v>
      </c>
      <c r="L8" s="4" t="e">
        <f t="shared" ca="1" si="4"/>
        <v>#REF!</v>
      </c>
      <c r="M8" s="2">
        <f>IF(N8&gt;0,RANK(N8,Overview!RES_GATE),-1)</f>
        <v>-1</v>
      </c>
      <c r="N8" s="4">
        <f>IF(NOT(ISERROR(MATCH(#REF!,Team_Stat_Sel,0))),#REF!+#REF!+1/(ROW()+777777777),0)</f>
        <v>0</v>
      </c>
      <c r="O8" s="2" t="str">
        <f t="shared" ca="1" si="5"/>
        <v>OrCares - Orc (T5)</v>
      </c>
      <c r="P8" s="1"/>
      <c r="Q8" s="1"/>
      <c r="R8" s="1"/>
      <c r="S8" s="1"/>
      <c r="T8" s="1"/>
      <c r="U8" s="2"/>
      <c r="V8" s="2"/>
      <c r="W8" s="2"/>
      <c r="X8" s="1"/>
      <c r="Y8" s="1"/>
      <c r="Z8" s="1"/>
    </row>
    <row r="9" spans="1:26" ht="15" customHeight="1">
      <c r="A9" s="1"/>
      <c r="B9" s="5"/>
      <c r="C9" s="22" t="s">
        <v>51</v>
      </c>
      <c r="D9" s="30" t="str">
        <f t="shared" ca="1" si="0"/>
        <v>Guardians of the Nile</v>
      </c>
      <c r="E9" s="26" t="str">
        <f t="shared" ca="1" si="1"/>
        <v>Lizardman</v>
      </c>
      <c r="F9" s="26" t="str">
        <f t="shared" ca="1" si="2"/>
        <v>Kendal</v>
      </c>
      <c r="G9" s="5"/>
      <c r="H9" s="1"/>
      <c r="I9" s="4" t="e">
        <f>IF(#REF!&lt;&gt;"",$K9*PTS_WIN+$L9*PTS_LOSS+(1-$K9-$L9)*PTS_TIE+#REF!*PTS_PER_TD_FOR-#REF!*PTS_PER_TD_AG+#REF!*PTS_PER_CS_FOR-#REF!*PTS_PER_CS_AG,0)</f>
        <v>#REF!</v>
      </c>
      <c r="J9" s="4" t="e">
        <f>IF(#REF!&lt;&gt;"",IF($F9&lt;#REF!,PTS_WIN,IF($F9=#REF!,PTS_TIE,PTS_LOSS))+#REF!*PTS_PER_TD_AG-#REF!*PTS_PER_TD_FOR+#REF!*PTS_PER_CS_AG-#REF!*PTS_PER_CS_FOR,0)</f>
        <v>#REF!</v>
      </c>
      <c r="K9" s="4" t="e">
        <f t="shared" ca="1" si="3"/>
        <v>#REF!</v>
      </c>
      <c r="L9" s="4" t="e">
        <f t="shared" ca="1" si="4"/>
        <v>#REF!</v>
      </c>
      <c r="M9" s="2">
        <f>IF(N9&gt;0,RANK(N9,Overview!RES_GATE),-1)</f>
        <v>-1</v>
      </c>
      <c r="N9" s="4">
        <f>IF(NOT(ISERROR(MATCH(#REF!,Team_Stat_Sel,0))),#REF!+#REF!+1/(ROW()+777777777),0)</f>
        <v>0</v>
      </c>
      <c r="O9" s="2" t="str">
        <f t="shared" ca="1" si="5"/>
        <v>Guardians of the Nile - Lizardman (T6)</v>
      </c>
      <c r="P9" s="1"/>
      <c r="Q9" s="1"/>
      <c r="R9" s="1"/>
      <c r="S9" s="1"/>
      <c r="T9" s="1"/>
      <c r="U9" s="2"/>
      <c r="V9" s="2"/>
      <c r="W9" s="2"/>
      <c r="X9" s="1"/>
      <c r="Y9" s="1"/>
      <c r="Z9" s="1"/>
    </row>
    <row r="10" spans="1:26" ht="15" customHeight="1">
      <c r="A10" s="1"/>
      <c r="B10" s="5"/>
      <c r="C10" s="22" t="s">
        <v>52</v>
      </c>
      <c r="D10" s="30" t="str">
        <f t="shared" ca="1" si="0"/>
        <v>Skyhaven Silverfoxes</v>
      </c>
      <c r="E10" s="26" t="str">
        <f t="shared" ca="1" si="1"/>
        <v>Elf</v>
      </c>
      <c r="F10" s="26" t="str">
        <f t="shared" ca="1" si="2"/>
        <v>Chris</v>
      </c>
      <c r="G10" s="5"/>
      <c r="H10" s="1"/>
      <c r="I10" s="4" t="e">
        <f>IF(#REF!&lt;&gt;"",$K10*PTS_WIN+$L10*PTS_LOSS+(1-$K10-$L10)*PTS_TIE+#REF!*PTS_PER_TD_FOR-#REF!*PTS_PER_TD_AG+#REF!*PTS_PER_CS_FOR-#REF!*PTS_PER_CS_AG,0)</f>
        <v>#REF!</v>
      </c>
      <c r="J10" s="4" t="e">
        <f>IF(#REF!&lt;&gt;"",IF($F10&lt;#REF!,PTS_WIN,IF($F10=#REF!,PTS_TIE,PTS_LOSS))+#REF!*PTS_PER_TD_AG-#REF!*PTS_PER_TD_FOR+#REF!*PTS_PER_CS_AG-#REF!*PTS_PER_CS_FOR,0)</f>
        <v>#REF!</v>
      </c>
      <c r="K10" s="4" t="e">
        <f t="shared" ca="1" si="3"/>
        <v>#REF!</v>
      </c>
      <c r="L10" s="4" t="e">
        <f t="shared" ca="1" si="4"/>
        <v>#REF!</v>
      </c>
      <c r="M10" s="2">
        <f>IF(N10&gt;0,RANK(N10,Overview!RES_GATE),-1)</f>
        <v>-1</v>
      </c>
      <c r="N10" s="4">
        <f>IF(NOT(ISERROR(MATCH(#REF!,Team_Stat_Sel,0))),#REF!+#REF!+1/(ROW()+777777777),0)</f>
        <v>0</v>
      </c>
      <c r="O10" s="2" t="str">
        <f t="shared" ca="1" si="5"/>
        <v>Skyhaven Silverfoxes - Elf (T7)</v>
      </c>
      <c r="P10" s="1"/>
      <c r="Q10" s="1"/>
      <c r="R10" s="1"/>
      <c r="S10" s="1"/>
      <c r="T10" s="1"/>
      <c r="U10" s="2"/>
      <c r="V10" s="2"/>
      <c r="W10" s="2"/>
      <c r="X10" s="1"/>
      <c r="Y10" s="1"/>
      <c r="Z10" s="1"/>
    </row>
    <row r="11" spans="1:26" ht="15" customHeight="1">
      <c r="A11" s="1"/>
      <c r="B11" s="5"/>
      <c r="C11" s="22" t="s">
        <v>54</v>
      </c>
      <c r="D11" s="30" t="str">
        <f t="shared" ca="1" si="0"/>
        <v>Ashtown Villains</v>
      </c>
      <c r="E11" s="26" t="str">
        <f t="shared" ca="1" si="1"/>
        <v>Undead</v>
      </c>
      <c r="F11" s="26" t="str">
        <f t="shared" ca="1" si="2"/>
        <v>Joe H</v>
      </c>
      <c r="G11" s="5"/>
      <c r="H11" s="1"/>
      <c r="I11" s="4" t="e">
        <f>IF(#REF!&lt;&gt;"",$K11*PTS_WIN+$L11*PTS_LOSS+(1-$K11-$L11)*PTS_TIE+#REF!*PTS_PER_TD_FOR-#REF!*PTS_PER_TD_AG+#REF!*PTS_PER_CS_FOR-#REF!*PTS_PER_CS_AG,0)</f>
        <v>#REF!</v>
      </c>
      <c r="J11" s="4" t="e">
        <f>IF(#REF!&lt;&gt;"",IF($F11&lt;#REF!,PTS_WIN,IF($F11=#REF!,PTS_TIE,PTS_LOSS))+#REF!*PTS_PER_TD_AG-#REF!*PTS_PER_TD_FOR+#REF!*PTS_PER_CS_AG-#REF!*PTS_PER_CS_FOR,0)</f>
        <v>#REF!</v>
      </c>
      <c r="K11" s="4" t="e">
        <f t="shared" ca="1" si="3"/>
        <v>#REF!</v>
      </c>
      <c r="L11" s="4" t="e">
        <f t="shared" ca="1" si="4"/>
        <v>#REF!</v>
      </c>
      <c r="M11" s="2">
        <f>IF(N11&gt;0,RANK(N11,Overview!RES_GATE),-1)</f>
        <v>-1</v>
      </c>
      <c r="N11" s="4">
        <f>IF(NOT(ISERROR(MATCH(#REF!,Team_Stat_Sel,0))),#REF!+#REF!+1/(ROW()+777777777),0)</f>
        <v>0</v>
      </c>
      <c r="O11" s="2" t="str">
        <f t="shared" ca="1" si="5"/>
        <v>Ashtown Villains - Undead (T8)</v>
      </c>
      <c r="P11" s="1"/>
      <c r="Q11" s="1"/>
      <c r="R11" s="1"/>
      <c r="S11" s="1"/>
      <c r="T11" s="1"/>
      <c r="U11" s="2"/>
      <c r="V11" s="2"/>
      <c r="W11" s="2"/>
      <c r="X11" s="1"/>
      <c r="Y11" s="1"/>
      <c r="Z11" s="1"/>
    </row>
    <row r="12" spans="1:26" ht="15" customHeight="1">
      <c r="A12" s="1"/>
      <c r="B12" s="5"/>
      <c r="C12" s="22" t="s">
        <v>56</v>
      </c>
      <c r="D12" s="30" t="str">
        <f t="shared" ca="1" si="0"/>
        <v>Aedra &amp; Daedra</v>
      </c>
      <c r="E12" s="26" t="str">
        <f t="shared" ca="1" si="1"/>
        <v>Dark Elf</v>
      </c>
      <c r="F12" s="26" t="str">
        <f t="shared" ca="1" si="2"/>
        <v>Kendal</v>
      </c>
      <c r="G12" s="5"/>
      <c r="H12" s="1"/>
      <c r="I12" s="4" t="e">
        <f>IF(#REF!&lt;&gt;"",$K12*PTS_WIN+$L12*PTS_LOSS+(1-$K12-$L12)*PTS_TIE+#REF!*PTS_PER_TD_FOR-#REF!*PTS_PER_TD_AG+#REF!*PTS_PER_CS_FOR-#REF!*PTS_PER_CS_AG,0)</f>
        <v>#REF!</v>
      </c>
      <c r="J12" s="4" t="e">
        <f>IF(#REF!&lt;&gt;"",IF($F12&lt;#REF!,PTS_WIN,IF($F12=#REF!,PTS_TIE,PTS_LOSS))+#REF!*PTS_PER_TD_AG-#REF!*PTS_PER_TD_FOR+#REF!*PTS_PER_CS_AG-#REF!*PTS_PER_CS_FOR,0)</f>
        <v>#REF!</v>
      </c>
      <c r="K12" s="4" t="e">
        <f t="shared" ca="1" si="3"/>
        <v>#REF!</v>
      </c>
      <c r="L12" s="4" t="e">
        <f t="shared" ca="1" si="4"/>
        <v>#REF!</v>
      </c>
      <c r="M12" s="2">
        <f>IF(N12&gt;0,RANK(N12,Overview!RES_GATE),-1)</f>
        <v>-1</v>
      </c>
      <c r="N12" s="4">
        <f>IF(NOT(ISERROR(MATCH(#REF!,Team_Stat_Sel,0))),#REF!+#REF!+1/(ROW()+777777777),0)</f>
        <v>0</v>
      </c>
      <c r="O12" s="2" t="str">
        <f t="shared" ca="1" si="5"/>
        <v>Aedra &amp; Daedra - Dark Elf (T9)</v>
      </c>
      <c r="P12" s="1"/>
      <c r="Q12" s="1"/>
      <c r="R12" s="1"/>
      <c r="S12" s="1"/>
      <c r="T12" s="1"/>
      <c r="U12" s="2"/>
      <c r="V12" s="2"/>
      <c r="W12" s="2"/>
      <c r="X12" s="1"/>
      <c r="Y12" s="1"/>
      <c r="Z12" s="1"/>
    </row>
    <row r="13" spans="1:26" ht="15" customHeight="1">
      <c r="A13" s="1"/>
      <c r="B13" s="5"/>
      <c r="C13" s="22" t="s">
        <v>57</v>
      </c>
      <c r="D13" s="30" t="str">
        <f t="shared" ca="1" si="0"/>
        <v>Hellions of Troy</v>
      </c>
      <c r="E13" s="26" t="str">
        <f t="shared" ca="1" si="1"/>
        <v>Human</v>
      </c>
      <c r="F13" s="26" t="str">
        <f t="shared" ca="1" si="2"/>
        <v>Troy</v>
      </c>
      <c r="G13" s="5">
        <v>4</v>
      </c>
      <c r="H13" s="1"/>
      <c r="I13" s="4" t="e">
        <f>IF(#REF!&lt;&gt;"",$K13*PTS_WIN+$L13*PTS_LOSS+(1-$K13-$L13)*PTS_TIE+#REF!*PTS_PER_TD_FOR-#REF!*PTS_PER_TD_AG+#REF!*PTS_PER_CS_FOR-#REF!*PTS_PER_CS_AG,0)</f>
        <v>#REF!</v>
      </c>
      <c r="J13" s="4" t="e">
        <f>IF(#REF!&lt;&gt;"",IF($F13&lt;#REF!,PTS_WIN,IF($F13=#REF!,PTS_TIE,PTS_LOSS))+#REF!*PTS_PER_TD_AG-#REF!*PTS_PER_TD_FOR+#REF!*PTS_PER_CS_AG-#REF!*PTS_PER_CS_FOR,0)</f>
        <v>#REF!</v>
      </c>
      <c r="K13" s="4" t="e">
        <f t="shared" ca="1" si="3"/>
        <v>#REF!</v>
      </c>
      <c r="L13" s="4" t="e">
        <f t="shared" ca="1" si="4"/>
        <v>#REF!</v>
      </c>
      <c r="M13" s="2">
        <f>IF(N13&gt;0,RANK(N13,Overview!RES_GATE),-1)</f>
        <v>-1</v>
      </c>
      <c r="N13" s="4">
        <f>IF(NOT(ISERROR(MATCH(#REF!,Team_Stat_Sel,0))),#REF!+#REF!+1/(ROW()+777777777),0)</f>
        <v>0</v>
      </c>
      <c r="O13" s="2" t="str">
        <f t="shared" ca="1" si="5"/>
        <v>Hellions of Troy - Human (T10)</v>
      </c>
      <c r="P13" s="1"/>
      <c r="Q13" s="1"/>
      <c r="R13" s="1"/>
      <c r="S13" s="1"/>
      <c r="T13" s="1"/>
      <c r="U13" s="2"/>
      <c r="V13" s="2"/>
      <c r="W13" s="2"/>
      <c r="X13" s="1"/>
      <c r="Y13" s="1"/>
      <c r="Z13" s="1"/>
    </row>
    <row r="14" spans="1:26" ht="15" customHeight="1">
      <c r="A14" s="1"/>
      <c r="B14" s="5"/>
      <c r="C14" s="22" t="s">
        <v>58</v>
      </c>
      <c r="D14" s="30" t="str">
        <f t="shared" ca="1" si="0"/>
        <v>missing</v>
      </c>
      <c r="E14" s="26" t="str">
        <f t="shared" ca="1" si="1"/>
        <v/>
      </c>
      <c r="F14" s="26" t="str">
        <f t="shared" ca="1" si="2"/>
        <v/>
      </c>
      <c r="G14" s="5"/>
      <c r="H14" s="1"/>
      <c r="I14" s="4" t="e">
        <f>IF(#REF!&lt;&gt;"",$K14*PTS_WIN+$L14*PTS_LOSS+(1-$K14-$L14)*PTS_TIE+#REF!*PTS_PER_TD_FOR-#REF!*PTS_PER_TD_AG+#REF!*PTS_PER_CS_FOR-#REF!*PTS_PER_CS_AG,0)</f>
        <v>#REF!</v>
      </c>
      <c r="J14" s="4" t="e">
        <f>IF(#REF!&lt;&gt;"",IF($F14&lt;#REF!,PTS_WIN,IF($F14=#REF!,PTS_TIE,PTS_LOSS))+#REF!*PTS_PER_TD_AG-#REF!*PTS_PER_TD_FOR+#REF!*PTS_PER_CS_AG-#REF!*PTS_PER_CS_FOR,0)</f>
        <v>#REF!</v>
      </c>
      <c r="K14" s="4" t="e">
        <f t="shared" ca="1" si="3"/>
        <v>#REF!</v>
      </c>
      <c r="L14" s="4" t="e">
        <f t="shared" ca="1" si="4"/>
        <v>#REF!</v>
      </c>
      <c r="M14" s="2">
        <f>IF(N14&gt;0,RANK(N14,Overview!RES_GATE),-1)</f>
        <v>-1</v>
      </c>
      <c r="N14" s="4">
        <f>IF(NOT(ISERROR(MATCH(#REF!,Team_Stat_Sel,0))),#REF!+#REF!+1/(ROW()+777777777),0)</f>
        <v>0</v>
      </c>
      <c r="O14" s="2" t="str">
        <f t="shared" ca="1" si="5"/>
        <v>missing -  (T11)</v>
      </c>
      <c r="P14" s="1"/>
      <c r="Q14" s="1"/>
      <c r="R14" s="1"/>
      <c r="S14" s="1"/>
      <c r="T14" s="1"/>
      <c r="U14" s="2"/>
      <c r="V14" s="2"/>
      <c r="W14" s="2"/>
      <c r="X14" s="1"/>
      <c r="Y14" s="1"/>
      <c r="Z14" s="1"/>
    </row>
    <row r="15" spans="1:26" ht="15" customHeight="1">
      <c r="A15" s="1"/>
      <c r="B15" s="5"/>
      <c r="C15" s="22" t="s">
        <v>59</v>
      </c>
      <c r="D15" s="30" t="str">
        <f t="shared" ca="1" si="0"/>
        <v>missing</v>
      </c>
      <c r="E15" s="26" t="str">
        <f t="shared" ca="1" si="1"/>
        <v/>
      </c>
      <c r="F15" s="26" t="str">
        <f t="shared" ca="1" si="2"/>
        <v/>
      </c>
      <c r="G15" s="5"/>
      <c r="H15" s="1"/>
      <c r="I15" s="4" t="e">
        <f>IF(#REF!&lt;&gt;"",$K15*PTS_WIN+$L15*PTS_LOSS+(1-$K15-$L15)*PTS_TIE+#REF!*PTS_PER_TD_FOR-#REF!*PTS_PER_TD_AG+#REF!*PTS_PER_CS_FOR-#REF!*PTS_PER_CS_AG,0)</f>
        <v>#REF!</v>
      </c>
      <c r="J15" s="4" t="e">
        <f>IF(#REF!&lt;&gt;"",IF($F15&lt;#REF!,PTS_WIN,IF($F15=#REF!,PTS_TIE,PTS_LOSS))+#REF!*PTS_PER_TD_AG-#REF!*PTS_PER_TD_FOR+#REF!*PTS_PER_CS_AG-#REF!*PTS_PER_CS_FOR,0)</f>
        <v>#REF!</v>
      </c>
      <c r="K15" s="4" t="e">
        <f t="shared" ca="1" si="3"/>
        <v>#REF!</v>
      </c>
      <c r="L15" s="4" t="e">
        <f t="shared" ca="1" si="4"/>
        <v>#REF!</v>
      </c>
      <c r="M15" s="2">
        <f>IF(N15&gt;0,RANK(N15,Overview!RES_GATE),-1)</f>
        <v>-1</v>
      </c>
      <c r="N15" s="4">
        <f>IF(NOT(ISERROR(MATCH(#REF!,Team_Stat_Sel,0))),#REF!+#REF!+1/(ROW()+777777777),0)</f>
        <v>0</v>
      </c>
      <c r="O15" s="2" t="str">
        <f t="shared" ca="1" si="5"/>
        <v>missing -  (T12)</v>
      </c>
      <c r="P15" s="1"/>
      <c r="Q15" s="1"/>
      <c r="R15" s="1"/>
      <c r="S15" s="1"/>
      <c r="T15" s="1"/>
      <c r="U15" s="2"/>
      <c r="V15" s="2"/>
      <c r="W15" s="2"/>
      <c r="X15" s="1"/>
      <c r="Y15" s="1"/>
      <c r="Z15" s="1"/>
    </row>
    <row r="16" spans="1:26" ht="15" customHeight="1">
      <c r="A16" s="1"/>
      <c r="B16" s="5"/>
      <c r="C16" s="22" t="s">
        <v>60</v>
      </c>
      <c r="D16" s="30" t="str">
        <f t="shared" ca="1" si="0"/>
        <v>missing</v>
      </c>
      <c r="E16" s="26" t="str">
        <f t="shared" ca="1" si="1"/>
        <v/>
      </c>
      <c r="F16" s="26" t="str">
        <f t="shared" ca="1" si="2"/>
        <v/>
      </c>
      <c r="G16" s="5"/>
      <c r="H16" s="1"/>
      <c r="I16" s="4" t="e">
        <f>IF(#REF!&lt;&gt;"",$K16*PTS_WIN+$L16*PTS_LOSS+(1-$K16-$L16)*PTS_TIE+#REF!*PTS_PER_TD_FOR-#REF!*PTS_PER_TD_AG+#REF!*PTS_PER_CS_FOR-#REF!*PTS_PER_CS_AG,0)</f>
        <v>#REF!</v>
      </c>
      <c r="J16" s="4" t="e">
        <f>IF(#REF!&lt;&gt;"",IF($F16&lt;#REF!,PTS_WIN,IF($F16=#REF!,PTS_TIE,PTS_LOSS))+#REF!*PTS_PER_TD_AG-#REF!*PTS_PER_TD_FOR+#REF!*PTS_PER_CS_AG-#REF!*PTS_PER_CS_FOR,0)</f>
        <v>#REF!</v>
      </c>
      <c r="K16" s="4" t="e">
        <f t="shared" ca="1" si="3"/>
        <v>#REF!</v>
      </c>
      <c r="L16" s="4" t="e">
        <f t="shared" ca="1" si="4"/>
        <v>#REF!</v>
      </c>
      <c r="M16" s="2">
        <f>IF(N16&gt;0,RANK(N16,Overview!RES_GATE),-1)</f>
        <v>-1</v>
      </c>
      <c r="N16" s="4">
        <f>IF(NOT(ISERROR(MATCH(#REF!,Team_Stat_Sel,0))),#REF!+#REF!+1/(ROW()+777777777),0)</f>
        <v>0</v>
      </c>
      <c r="O16" s="2" t="str">
        <f t="shared" ca="1" si="5"/>
        <v>missing -  (T13)</v>
      </c>
      <c r="P16" s="1"/>
      <c r="Q16" s="1"/>
      <c r="R16" s="1"/>
      <c r="S16" s="1"/>
      <c r="T16" s="1"/>
      <c r="U16" s="2"/>
      <c r="V16" s="2"/>
      <c r="W16" s="2"/>
      <c r="X16" s="1"/>
      <c r="Y16" s="1"/>
      <c r="Z16" s="1"/>
    </row>
    <row r="17" spans="1:26" ht="15" customHeight="1">
      <c r="A17" s="1"/>
      <c r="B17" s="5"/>
      <c r="C17" s="22" t="s">
        <v>61</v>
      </c>
      <c r="D17" s="30" t="str">
        <f t="shared" ca="1" si="0"/>
        <v>missing</v>
      </c>
      <c r="E17" s="26" t="str">
        <f t="shared" ca="1" si="1"/>
        <v/>
      </c>
      <c r="F17" s="26" t="str">
        <f t="shared" ca="1" si="2"/>
        <v/>
      </c>
      <c r="G17" s="5"/>
      <c r="H17" s="1"/>
      <c r="I17" s="4" t="e">
        <f>IF(#REF!&lt;&gt;"",$K17*PTS_WIN+$L17*PTS_LOSS+(1-$K17-$L17)*PTS_TIE+#REF!*PTS_PER_TD_FOR-#REF!*PTS_PER_TD_AG+#REF!*PTS_PER_CS_FOR-#REF!*PTS_PER_CS_AG,0)</f>
        <v>#REF!</v>
      </c>
      <c r="J17" s="4" t="e">
        <f>IF(#REF!&lt;&gt;"",IF($F17&lt;#REF!,PTS_WIN,IF($F17=#REF!,PTS_TIE,PTS_LOSS))+#REF!*PTS_PER_TD_AG-#REF!*PTS_PER_TD_FOR+#REF!*PTS_PER_CS_AG-#REF!*PTS_PER_CS_FOR,0)</f>
        <v>#REF!</v>
      </c>
      <c r="K17" s="4" t="e">
        <f t="shared" ca="1" si="3"/>
        <v>#REF!</v>
      </c>
      <c r="L17" s="4" t="e">
        <f t="shared" ca="1" si="4"/>
        <v>#REF!</v>
      </c>
      <c r="M17" s="2">
        <f>IF(N17&gt;0,RANK(N17,Overview!RES_GATE),-1)</f>
        <v>-1</v>
      </c>
      <c r="N17" s="4">
        <f>IF(NOT(ISERROR(MATCH(#REF!,Team_Stat_Sel,0))),#REF!+#REF!+1/(ROW()+777777777),0)</f>
        <v>0</v>
      </c>
      <c r="O17" s="2" t="str">
        <f t="shared" ca="1" si="5"/>
        <v>missing -  (T14)</v>
      </c>
      <c r="P17" s="1"/>
      <c r="Q17" s="1"/>
      <c r="R17" s="1"/>
      <c r="S17" s="1"/>
      <c r="T17" s="1"/>
      <c r="U17" s="2"/>
      <c r="V17" s="2"/>
      <c r="W17" s="2"/>
      <c r="X17" s="1"/>
      <c r="Y17" s="1"/>
      <c r="Z17" s="1"/>
    </row>
    <row r="18" spans="1:26" ht="15" customHeight="1">
      <c r="A18" s="1"/>
      <c r="B18" s="5"/>
      <c r="C18" s="22" t="s">
        <v>62</v>
      </c>
      <c r="D18" s="30" t="str">
        <f t="shared" ca="1" si="0"/>
        <v>missing</v>
      </c>
      <c r="E18" s="26" t="str">
        <f t="shared" ca="1" si="1"/>
        <v/>
      </c>
      <c r="F18" s="26" t="str">
        <f t="shared" ca="1" si="2"/>
        <v/>
      </c>
      <c r="G18" s="5"/>
      <c r="H18" s="1"/>
      <c r="I18" s="4" t="e">
        <f>IF(#REF!&lt;&gt;"",$K18*PTS_WIN+$L18*PTS_LOSS+(1-$K18-$L18)*PTS_TIE+#REF!*PTS_PER_TD_FOR-#REF!*PTS_PER_TD_AG+#REF!*PTS_PER_CS_FOR-#REF!*PTS_PER_CS_AG,0)</f>
        <v>#REF!</v>
      </c>
      <c r="J18" s="4" t="e">
        <f>IF(#REF!&lt;&gt;"",IF($F18&lt;#REF!,PTS_WIN,IF($F18=#REF!,PTS_TIE,PTS_LOSS))+#REF!*PTS_PER_TD_AG-#REF!*PTS_PER_TD_FOR+#REF!*PTS_PER_CS_AG-#REF!*PTS_PER_CS_FOR,0)</f>
        <v>#REF!</v>
      </c>
      <c r="K18" s="4" t="e">
        <f t="shared" ca="1" si="3"/>
        <v>#REF!</v>
      </c>
      <c r="L18" s="4" t="e">
        <f t="shared" ca="1" si="4"/>
        <v>#REF!</v>
      </c>
      <c r="M18" s="2">
        <f>IF(N18&gt;0,RANK(N18,Overview!RES_GATE),-1)</f>
        <v>-1</v>
      </c>
      <c r="N18" s="4">
        <f>IF(NOT(ISERROR(MATCH(#REF!,Team_Stat_Sel,0))),#REF!+#REF!+1/(ROW()+777777777),0)</f>
        <v>0</v>
      </c>
      <c r="O18" s="2" t="str">
        <f t="shared" ca="1" si="5"/>
        <v>missing -  (T15)</v>
      </c>
      <c r="P18" s="1"/>
      <c r="Q18" s="1"/>
      <c r="R18" s="1"/>
      <c r="S18" s="1"/>
      <c r="T18" s="1"/>
      <c r="U18" s="2"/>
      <c r="V18" s="2"/>
      <c r="W18" s="2"/>
      <c r="X18" s="1"/>
      <c r="Y18" s="1"/>
      <c r="Z18" s="1"/>
    </row>
    <row r="19" spans="1:26" ht="15" customHeight="1">
      <c r="A19" s="1"/>
      <c r="B19" s="5"/>
      <c r="C19" s="22" t="s">
        <v>63</v>
      </c>
      <c r="D19" s="30" t="str">
        <f t="shared" ca="1" si="0"/>
        <v>missing</v>
      </c>
      <c r="E19" s="26" t="str">
        <f t="shared" ca="1" si="1"/>
        <v/>
      </c>
      <c r="F19" s="26" t="str">
        <f t="shared" ca="1" si="2"/>
        <v/>
      </c>
      <c r="G19" s="5"/>
      <c r="H19" s="1"/>
      <c r="I19" s="4" t="e">
        <f>IF(#REF!&lt;&gt;"",$K19*PTS_WIN+$L19*PTS_LOSS+(1-$K19-$L19)*PTS_TIE+#REF!*PTS_PER_TD_FOR-#REF!*PTS_PER_TD_AG+#REF!*PTS_PER_CS_FOR-#REF!*PTS_PER_CS_AG,0)</f>
        <v>#REF!</v>
      </c>
      <c r="J19" s="4" t="e">
        <f>IF(#REF!&lt;&gt;"",IF($F19&lt;#REF!,PTS_WIN,IF($F19=#REF!,PTS_TIE,PTS_LOSS))+#REF!*PTS_PER_TD_AG-#REF!*PTS_PER_TD_FOR+#REF!*PTS_PER_CS_AG-#REF!*PTS_PER_CS_FOR,0)</f>
        <v>#REF!</v>
      </c>
      <c r="K19" s="4" t="e">
        <f t="shared" ca="1" si="3"/>
        <v>#REF!</v>
      </c>
      <c r="L19" s="4" t="e">
        <f t="shared" ca="1" si="4"/>
        <v>#REF!</v>
      </c>
      <c r="M19" s="2">
        <f>IF(N19&gt;0,RANK(N19,Overview!RES_GATE),-1)</f>
        <v>-1</v>
      </c>
      <c r="N19" s="4">
        <f>IF(NOT(ISERROR(MATCH(#REF!,Team_Stat_Sel,0))),#REF!+#REF!+1/(ROW()+777777777),0)</f>
        <v>0</v>
      </c>
      <c r="O19" s="2" t="str">
        <f t="shared" ca="1" si="5"/>
        <v>missing -  (T16)</v>
      </c>
      <c r="P19" s="1"/>
      <c r="Q19" s="1"/>
      <c r="R19" s="1"/>
      <c r="S19" s="1"/>
      <c r="T19" s="1"/>
      <c r="U19" s="2"/>
      <c r="V19" s="2"/>
      <c r="W19" s="2"/>
      <c r="X19" s="1"/>
      <c r="Y19" s="1"/>
      <c r="Z19" s="1"/>
    </row>
    <row r="20" spans="1:26" ht="15" customHeight="1">
      <c r="A20" s="1"/>
      <c r="B20" s="5"/>
      <c r="C20" s="22" t="s">
        <v>64</v>
      </c>
      <c r="D20" s="30" t="str">
        <f t="shared" ca="1" si="0"/>
        <v>missing</v>
      </c>
      <c r="E20" s="26" t="str">
        <f t="shared" ca="1" si="1"/>
        <v/>
      </c>
      <c r="F20" s="26" t="str">
        <f t="shared" ca="1" si="2"/>
        <v/>
      </c>
      <c r="G20" s="5"/>
      <c r="H20" s="1"/>
      <c r="I20" s="4" t="e">
        <f>IF(#REF!&lt;&gt;"",$K20*PTS_WIN+$L20*PTS_LOSS+(1-$K20-$L20)*PTS_TIE+#REF!*PTS_PER_TD_FOR-#REF!*PTS_PER_TD_AG+#REF!*PTS_PER_CS_FOR-#REF!*PTS_PER_CS_AG,0)</f>
        <v>#REF!</v>
      </c>
      <c r="J20" s="4" t="e">
        <f>IF(#REF!&lt;&gt;"",IF($F20&lt;#REF!,PTS_WIN,IF($F20=#REF!,PTS_TIE,PTS_LOSS))+#REF!*PTS_PER_TD_AG-#REF!*PTS_PER_TD_FOR+#REF!*PTS_PER_CS_AG-#REF!*PTS_PER_CS_FOR,0)</f>
        <v>#REF!</v>
      </c>
      <c r="K20" s="4" t="e">
        <f t="shared" ca="1" si="3"/>
        <v>#REF!</v>
      </c>
      <c r="L20" s="4" t="e">
        <f t="shared" ca="1" si="4"/>
        <v>#REF!</v>
      </c>
      <c r="M20" s="2">
        <f>IF(N20&gt;0,RANK(N20,Overview!RES_GATE),-1)</f>
        <v>-1</v>
      </c>
      <c r="N20" s="4">
        <f>IF(NOT(ISERROR(MATCH(#REF!,Team_Stat_Sel,0))),#REF!+#REF!+1/(ROW()+777777777),0)</f>
        <v>0</v>
      </c>
      <c r="O20" s="2" t="str">
        <f t="shared" ca="1" si="5"/>
        <v>missing -  (T17)</v>
      </c>
      <c r="P20" s="1"/>
      <c r="Q20" s="1"/>
      <c r="R20" s="1"/>
      <c r="S20" s="1"/>
      <c r="T20" s="1"/>
      <c r="U20" s="2"/>
      <c r="V20" s="2"/>
      <c r="W20" s="2"/>
      <c r="X20" s="1"/>
      <c r="Y20" s="1"/>
      <c r="Z20" s="1"/>
    </row>
    <row r="21" spans="1:26" ht="15" customHeight="1">
      <c r="A21" s="1"/>
      <c r="B21" s="5"/>
      <c r="C21" s="22" t="s">
        <v>66</v>
      </c>
      <c r="D21" s="30" t="str">
        <f t="shared" ca="1" si="0"/>
        <v>missing</v>
      </c>
      <c r="E21" s="26" t="str">
        <f t="shared" ca="1" si="1"/>
        <v/>
      </c>
      <c r="F21" s="26" t="str">
        <f t="shared" ca="1" si="2"/>
        <v/>
      </c>
      <c r="G21" s="5"/>
      <c r="H21" s="1"/>
      <c r="I21" s="4" t="e">
        <f>IF(#REF!&lt;&gt;"",$K21*PTS_WIN+$L21*PTS_LOSS+(1-$K21-$L21)*PTS_TIE+#REF!*PTS_PER_TD_FOR-#REF!*PTS_PER_TD_AG+#REF!*PTS_PER_CS_FOR-#REF!*PTS_PER_CS_AG,0)</f>
        <v>#REF!</v>
      </c>
      <c r="J21" s="4" t="e">
        <f>IF(#REF!&lt;&gt;"",IF($F21&lt;#REF!,PTS_WIN,IF($F21=#REF!,PTS_TIE,PTS_LOSS))+#REF!*PTS_PER_TD_AG-#REF!*PTS_PER_TD_FOR+#REF!*PTS_PER_CS_AG-#REF!*PTS_PER_CS_FOR,0)</f>
        <v>#REF!</v>
      </c>
      <c r="K21" s="4" t="e">
        <f t="shared" ca="1" si="3"/>
        <v>#REF!</v>
      </c>
      <c r="L21" s="4" t="e">
        <f t="shared" ca="1" si="4"/>
        <v>#REF!</v>
      </c>
      <c r="M21" s="2">
        <f>IF(N21&gt;0,RANK(N21,Overview!RES_GATE),-1)</f>
        <v>-1</v>
      </c>
      <c r="N21" s="4">
        <f>IF(NOT(ISERROR(MATCH(#REF!,Team_Stat_Sel,0))),#REF!+#REF!+1/(ROW()+777777777),0)</f>
        <v>0</v>
      </c>
      <c r="O21" s="2" t="str">
        <f t="shared" ca="1" si="5"/>
        <v>missing -  (T18)</v>
      </c>
      <c r="P21" s="1"/>
      <c r="Q21" s="1"/>
      <c r="R21" s="1"/>
      <c r="S21" s="1"/>
      <c r="T21" s="1"/>
      <c r="U21" s="2"/>
      <c r="V21" s="2"/>
      <c r="W21" s="2"/>
      <c r="X21" s="1"/>
      <c r="Y21" s="1"/>
      <c r="Z21" s="1"/>
    </row>
    <row r="22" spans="1:26" ht="15" customHeight="1">
      <c r="A22" s="1"/>
      <c r="B22" s="5"/>
      <c r="C22" s="22" t="s">
        <v>67</v>
      </c>
      <c r="D22" s="30" t="str">
        <f t="shared" ca="1" si="0"/>
        <v>missing</v>
      </c>
      <c r="E22" s="26" t="str">
        <f t="shared" ca="1" si="1"/>
        <v/>
      </c>
      <c r="F22" s="26" t="str">
        <f t="shared" ca="1" si="2"/>
        <v/>
      </c>
      <c r="G22" s="5"/>
      <c r="H22" s="1"/>
      <c r="I22" s="4" t="e">
        <f>IF(#REF!&lt;&gt;"",$K22*PTS_WIN+$L22*PTS_LOSS+(1-$K22-$L22)*PTS_TIE+#REF!*PTS_PER_TD_FOR-#REF!*PTS_PER_TD_AG+#REF!*PTS_PER_CS_FOR-#REF!*PTS_PER_CS_AG,0)</f>
        <v>#REF!</v>
      </c>
      <c r="J22" s="4" t="e">
        <f>IF(#REF!&lt;&gt;"",IF($F22&lt;#REF!,PTS_WIN,IF($F22=#REF!,PTS_TIE,PTS_LOSS))+#REF!*PTS_PER_TD_AG-#REF!*PTS_PER_TD_FOR+#REF!*PTS_PER_CS_AG-#REF!*PTS_PER_CS_FOR,0)</f>
        <v>#REF!</v>
      </c>
      <c r="K22" s="4" t="e">
        <f t="shared" ca="1" si="3"/>
        <v>#REF!</v>
      </c>
      <c r="L22" s="4" t="e">
        <f t="shared" ca="1" si="4"/>
        <v>#REF!</v>
      </c>
      <c r="M22" s="2">
        <f>IF(N22&gt;0,RANK(N22,Overview!RES_GATE),-1)</f>
        <v>-1</v>
      </c>
      <c r="N22" s="4">
        <f>IF(NOT(ISERROR(MATCH(#REF!,Team_Stat_Sel,0))),#REF!+#REF!+1/(ROW()+777777777),0)</f>
        <v>0</v>
      </c>
      <c r="O22" s="2" t="str">
        <f t="shared" ca="1" si="5"/>
        <v>missing -  (T19)</v>
      </c>
      <c r="P22" s="1"/>
      <c r="Q22" s="1"/>
      <c r="R22" s="1"/>
      <c r="S22" s="1"/>
      <c r="T22" s="1"/>
      <c r="U22" s="2"/>
      <c r="V22" s="2"/>
      <c r="W22" s="2"/>
      <c r="X22" s="1"/>
      <c r="Y22" s="1"/>
      <c r="Z22" s="1"/>
    </row>
    <row r="23" spans="1:26" ht="15" customHeight="1">
      <c r="A23" s="1"/>
      <c r="B23" s="5"/>
      <c r="C23" s="22" t="s">
        <v>68</v>
      </c>
      <c r="D23" s="30" t="str">
        <f t="shared" ca="1" si="0"/>
        <v>missing</v>
      </c>
      <c r="E23" s="26" t="str">
        <f t="shared" ca="1" si="1"/>
        <v/>
      </c>
      <c r="F23" s="26" t="str">
        <f t="shared" ca="1" si="2"/>
        <v/>
      </c>
      <c r="G23" s="5"/>
      <c r="H23" s="1"/>
      <c r="I23" s="4" t="e">
        <f>IF(#REF!&lt;&gt;"",$K23*PTS_WIN+$L23*PTS_LOSS+(1-$K23-$L23)*PTS_TIE+#REF!*PTS_PER_TD_FOR-#REF!*PTS_PER_TD_AG+#REF!*PTS_PER_CS_FOR-#REF!*PTS_PER_CS_AG,0)</f>
        <v>#REF!</v>
      </c>
      <c r="J23" s="4" t="e">
        <f>IF(#REF!&lt;&gt;"",IF($F23&lt;#REF!,PTS_WIN,IF($F23=#REF!,PTS_TIE,PTS_LOSS))+#REF!*PTS_PER_TD_AG-#REF!*PTS_PER_TD_FOR+#REF!*PTS_PER_CS_AG-#REF!*PTS_PER_CS_FOR,0)</f>
        <v>#REF!</v>
      </c>
      <c r="K23" s="4" t="e">
        <f t="shared" ca="1" si="3"/>
        <v>#REF!</v>
      </c>
      <c r="L23" s="4" t="e">
        <f t="shared" ca="1" si="4"/>
        <v>#REF!</v>
      </c>
      <c r="M23" s="2">
        <f>IF(N23&gt;0,RANK(N23,Overview!RES_GATE),-1)</f>
        <v>-1</v>
      </c>
      <c r="N23" s="4">
        <f>IF(NOT(ISERROR(MATCH(#REF!,Team_Stat_Sel,0))),#REF!+#REF!+1/(ROW()+777777777),0)</f>
        <v>0</v>
      </c>
      <c r="O23" s="2" t="str">
        <f t="shared" ca="1" si="5"/>
        <v>missing -  (T20)</v>
      </c>
      <c r="P23" s="1"/>
      <c r="Q23" s="1"/>
      <c r="R23" s="1"/>
      <c r="S23" s="1"/>
      <c r="T23" s="1"/>
      <c r="U23" s="2"/>
      <c r="V23" s="2"/>
      <c r="W23" s="2"/>
      <c r="X23" s="1"/>
      <c r="Y23" s="1"/>
      <c r="Z23" s="1"/>
    </row>
    <row r="24" spans="1:26" ht="15" customHeight="1">
      <c r="A24" s="1"/>
      <c r="B24" s="5"/>
      <c r="C24" s="22" t="s">
        <v>69</v>
      </c>
      <c r="D24" s="30" t="str">
        <f t="shared" ca="1" si="0"/>
        <v>missing</v>
      </c>
      <c r="E24" s="26" t="str">
        <f t="shared" ca="1" si="1"/>
        <v/>
      </c>
      <c r="F24" s="26" t="str">
        <f t="shared" ca="1" si="2"/>
        <v/>
      </c>
      <c r="G24" s="5"/>
      <c r="H24" s="1"/>
      <c r="I24" s="4" t="e">
        <f>IF(#REF!&lt;&gt;"",$K24*PTS_WIN+$L24*PTS_LOSS+(1-$K24-$L24)*PTS_TIE+#REF!*PTS_PER_TD_FOR-#REF!*PTS_PER_TD_AG+#REF!*PTS_PER_CS_FOR-#REF!*PTS_PER_CS_AG,0)</f>
        <v>#REF!</v>
      </c>
      <c r="J24" s="4" t="e">
        <f>IF(#REF!&lt;&gt;"",IF($F24&lt;#REF!,PTS_WIN,IF($F24=#REF!,PTS_TIE,PTS_LOSS))+#REF!*PTS_PER_TD_AG-#REF!*PTS_PER_TD_FOR+#REF!*PTS_PER_CS_AG-#REF!*PTS_PER_CS_FOR,0)</f>
        <v>#REF!</v>
      </c>
      <c r="K24" s="4" t="e">
        <f t="shared" ca="1" si="3"/>
        <v>#REF!</v>
      </c>
      <c r="L24" s="4" t="e">
        <f t="shared" ca="1" si="4"/>
        <v>#REF!</v>
      </c>
      <c r="M24" s="2">
        <f>IF(N24&gt;0,RANK(N24,Overview!RES_GATE),-1)</f>
        <v>-1</v>
      </c>
      <c r="N24" s="4">
        <f>IF(NOT(ISERROR(MATCH(#REF!,Team_Stat_Sel,0))),#REF!+#REF!+1/(ROW()+777777777),0)</f>
        <v>0</v>
      </c>
      <c r="O24" s="2" t="str">
        <f t="shared" ca="1" si="5"/>
        <v>missing -  (T21)</v>
      </c>
      <c r="P24" s="1"/>
      <c r="Q24" s="1"/>
      <c r="R24" s="1"/>
      <c r="S24" s="1"/>
      <c r="T24" s="1"/>
      <c r="U24" s="2"/>
      <c r="V24" s="2"/>
      <c r="W24" s="2"/>
      <c r="X24" s="1"/>
      <c r="Y24" s="1"/>
      <c r="Z24" s="1"/>
    </row>
    <row r="25" spans="1:26" ht="15" customHeight="1">
      <c r="A25" s="1"/>
      <c r="B25" s="5"/>
      <c r="C25" s="22" t="s">
        <v>71</v>
      </c>
      <c r="D25" s="30" t="str">
        <f t="shared" ca="1" si="0"/>
        <v>missing</v>
      </c>
      <c r="E25" s="26" t="str">
        <f t="shared" ca="1" si="1"/>
        <v/>
      </c>
      <c r="F25" s="26" t="str">
        <f t="shared" ca="1" si="2"/>
        <v/>
      </c>
      <c r="G25" s="5"/>
      <c r="H25" s="1"/>
      <c r="I25" s="4" t="e">
        <f>IF(#REF!&lt;&gt;"",$K25*PTS_WIN+$L25*PTS_LOSS+(1-$K25-$L25)*PTS_TIE+#REF!*PTS_PER_TD_FOR-#REF!*PTS_PER_TD_AG+#REF!*PTS_PER_CS_FOR-#REF!*PTS_PER_CS_AG,0)</f>
        <v>#REF!</v>
      </c>
      <c r="J25" s="4" t="e">
        <f>IF(#REF!&lt;&gt;"",IF($F25&lt;#REF!,PTS_WIN,IF($F25=#REF!,PTS_TIE,PTS_LOSS))+#REF!*PTS_PER_TD_AG-#REF!*PTS_PER_TD_FOR+#REF!*PTS_PER_CS_AG-#REF!*PTS_PER_CS_FOR,0)</f>
        <v>#REF!</v>
      </c>
      <c r="K25" s="4" t="e">
        <f t="shared" ca="1" si="3"/>
        <v>#REF!</v>
      </c>
      <c r="L25" s="4" t="e">
        <f t="shared" ca="1" si="4"/>
        <v>#REF!</v>
      </c>
      <c r="M25" s="2">
        <f>IF(N25&gt;0,RANK(N25,Overview!RES_GATE),-1)</f>
        <v>-1</v>
      </c>
      <c r="N25" s="4">
        <f>IF(NOT(ISERROR(MATCH(#REF!,Team_Stat_Sel,0))),#REF!+#REF!+1/(ROW()+777777777),0)</f>
        <v>0</v>
      </c>
      <c r="O25" s="2" t="str">
        <f t="shared" ca="1" si="5"/>
        <v>missing -  (T22)</v>
      </c>
      <c r="P25" s="1"/>
      <c r="Q25" s="1"/>
      <c r="R25" s="1"/>
      <c r="S25" s="1"/>
      <c r="T25" s="1"/>
      <c r="U25" s="2"/>
      <c r="V25" s="2"/>
      <c r="W25" s="2"/>
      <c r="X25" s="1"/>
      <c r="Y25" s="1"/>
      <c r="Z25" s="1"/>
    </row>
    <row r="26" spans="1:26" ht="15" customHeight="1">
      <c r="A26" s="1"/>
      <c r="B26" s="5"/>
      <c r="C26" s="22" t="s">
        <v>72</v>
      </c>
      <c r="D26" s="30" t="str">
        <f t="shared" ca="1" si="0"/>
        <v>missing</v>
      </c>
      <c r="E26" s="26" t="str">
        <f t="shared" ca="1" si="1"/>
        <v/>
      </c>
      <c r="F26" s="26" t="str">
        <f t="shared" ca="1" si="2"/>
        <v/>
      </c>
      <c r="G26" s="5"/>
      <c r="H26" s="1"/>
      <c r="I26" s="4" t="e">
        <f>IF(#REF!&lt;&gt;"",$K26*PTS_WIN+$L26*PTS_LOSS+(1-$K26-$L26)*PTS_TIE+#REF!*PTS_PER_TD_FOR-#REF!*PTS_PER_TD_AG+#REF!*PTS_PER_CS_FOR-#REF!*PTS_PER_CS_AG,0)</f>
        <v>#REF!</v>
      </c>
      <c r="J26" s="4" t="e">
        <f>IF(#REF!&lt;&gt;"",IF($F26&lt;#REF!,PTS_WIN,IF($F26=#REF!,PTS_TIE,PTS_LOSS))+#REF!*PTS_PER_TD_AG-#REF!*PTS_PER_TD_FOR+#REF!*PTS_PER_CS_AG-#REF!*PTS_PER_CS_FOR,0)</f>
        <v>#REF!</v>
      </c>
      <c r="K26" s="4" t="e">
        <f t="shared" ca="1" si="3"/>
        <v>#REF!</v>
      </c>
      <c r="L26" s="4" t="e">
        <f t="shared" ca="1" si="4"/>
        <v>#REF!</v>
      </c>
      <c r="M26" s="2">
        <f>IF(N26&gt;0,RANK(N26,Overview!RES_GATE),-1)</f>
        <v>-1</v>
      </c>
      <c r="N26" s="4">
        <f>IF(NOT(ISERROR(MATCH(#REF!,Team_Stat_Sel,0))),#REF!+#REF!+1/(ROW()+777777777),0)</f>
        <v>0</v>
      </c>
      <c r="O26" s="2" t="str">
        <f t="shared" ca="1" si="5"/>
        <v>missing -  (T23)</v>
      </c>
      <c r="P26" s="1"/>
      <c r="Q26" s="1"/>
      <c r="R26" s="1"/>
      <c r="S26" s="1"/>
      <c r="T26" s="1"/>
      <c r="U26" s="2"/>
      <c r="V26" s="2"/>
      <c r="W26" s="2"/>
      <c r="X26" s="1"/>
      <c r="Y26" s="1"/>
      <c r="Z26" s="1"/>
    </row>
    <row r="27" spans="1:26" ht="15" customHeight="1">
      <c r="A27" s="1"/>
      <c r="B27" s="5"/>
      <c r="C27" s="22" t="s">
        <v>73</v>
      </c>
      <c r="D27" s="30" t="str">
        <f t="shared" ca="1" si="0"/>
        <v>missing</v>
      </c>
      <c r="E27" s="26" t="str">
        <f t="shared" ca="1" si="1"/>
        <v/>
      </c>
      <c r="F27" s="26" t="str">
        <f t="shared" ca="1" si="2"/>
        <v/>
      </c>
      <c r="G27" s="5"/>
      <c r="H27" s="1"/>
      <c r="I27" s="4" t="e">
        <f>IF(#REF!&lt;&gt;"",$K27*PTS_WIN+$L27*PTS_LOSS+(1-$K27-$L27)*PTS_TIE+#REF!*PTS_PER_TD_FOR-#REF!*PTS_PER_TD_AG+#REF!*PTS_PER_CS_FOR-#REF!*PTS_PER_CS_AG,0)</f>
        <v>#REF!</v>
      </c>
      <c r="J27" s="4" t="e">
        <f>IF(#REF!&lt;&gt;"",IF($F27&lt;#REF!,PTS_WIN,IF($F27=#REF!,PTS_TIE,PTS_LOSS))+#REF!*PTS_PER_TD_AG-#REF!*PTS_PER_TD_FOR+#REF!*PTS_PER_CS_AG-#REF!*PTS_PER_CS_FOR,0)</f>
        <v>#REF!</v>
      </c>
      <c r="K27" s="4" t="e">
        <f t="shared" ca="1" si="3"/>
        <v>#REF!</v>
      </c>
      <c r="L27" s="4" t="e">
        <f t="shared" ca="1" si="4"/>
        <v>#REF!</v>
      </c>
      <c r="M27" s="2">
        <f>IF(N27&gt;0,RANK(N27,Overview!RES_GATE),-1)</f>
        <v>-1</v>
      </c>
      <c r="N27" s="4">
        <f>IF(NOT(ISERROR(MATCH(#REF!,Team_Stat_Sel,0))),#REF!+#REF!+1/(ROW()+777777777),0)</f>
        <v>0</v>
      </c>
      <c r="O27" s="2" t="str">
        <f t="shared" ca="1" si="5"/>
        <v>missing -  (T24)</v>
      </c>
      <c r="P27" s="1"/>
      <c r="Q27" s="1"/>
      <c r="R27" s="1"/>
      <c r="S27" s="1"/>
      <c r="T27" s="1"/>
      <c r="U27" s="2"/>
      <c r="V27" s="2"/>
      <c r="W27" s="2"/>
      <c r="X27" s="1"/>
      <c r="Y27" s="1"/>
      <c r="Z27" s="1"/>
    </row>
    <row r="28" spans="1:26" ht="15" customHeight="1">
      <c r="A28" s="1"/>
      <c r="B28" s="5"/>
      <c r="C28" s="22" t="s">
        <v>74</v>
      </c>
      <c r="D28" s="30" t="str">
        <f t="shared" ca="1" si="0"/>
        <v>missing</v>
      </c>
      <c r="E28" s="26" t="str">
        <f t="shared" ca="1" si="1"/>
        <v/>
      </c>
      <c r="F28" s="26" t="str">
        <f t="shared" ca="1" si="2"/>
        <v/>
      </c>
      <c r="G28" s="5"/>
      <c r="H28" s="1"/>
      <c r="I28" s="4" t="e">
        <f>IF(#REF!&lt;&gt;"",$K28*PTS_WIN+$L28*PTS_LOSS+(1-$K28-$L28)*PTS_TIE+#REF!*PTS_PER_TD_FOR-#REF!*PTS_PER_TD_AG+#REF!*PTS_PER_CS_FOR-#REF!*PTS_PER_CS_AG,0)</f>
        <v>#REF!</v>
      </c>
      <c r="J28" s="4" t="e">
        <f>IF(#REF!&lt;&gt;"",IF($F28&lt;#REF!,PTS_WIN,IF($F28=#REF!,PTS_TIE,PTS_LOSS))+#REF!*PTS_PER_TD_AG-#REF!*PTS_PER_TD_FOR+#REF!*PTS_PER_CS_AG-#REF!*PTS_PER_CS_FOR,0)</f>
        <v>#REF!</v>
      </c>
      <c r="K28" s="4" t="e">
        <f t="shared" ca="1" si="3"/>
        <v>#REF!</v>
      </c>
      <c r="L28" s="4" t="e">
        <f t="shared" ca="1" si="4"/>
        <v>#REF!</v>
      </c>
      <c r="M28" s="2">
        <f>IF(N28&gt;0,RANK(N28,Overview!RES_GATE),-1)</f>
        <v>-1</v>
      </c>
      <c r="N28" s="4">
        <f>IF(NOT(ISERROR(MATCH(#REF!,Team_Stat_Sel,0))),#REF!+#REF!+1/(ROW()+777777777),0)</f>
        <v>0</v>
      </c>
      <c r="O28" s="2" t="str">
        <f t="shared" ca="1" si="5"/>
        <v>missing -  (T25)</v>
      </c>
      <c r="P28" s="1"/>
      <c r="Q28" s="1"/>
      <c r="R28" s="1"/>
      <c r="S28" s="1"/>
      <c r="T28" s="1"/>
      <c r="U28" s="2"/>
      <c r="V28" s="2"/>
      <c r="W28" s="2"/>
      <c r="X28" s="1"/>
      <c r="Y28" s="1"/>
      <c r="Z28" s="1"/>
    </row>
    <row r="29" spans="1:26" ht="3" customHeight="1">
      <c r="A29" s="1"/>
      <c r="B29" s="5"/>
      <c r="C29" s="5"/>
      <c r="D29" s="5"/>
      <c r="E29" s="5"/>
      <c r="F29" s="5"/>
      <c r="G29" s="5"/>
      <c r="H29" s="1"/>
      <c r="I29" s="4"/>
      <c r="J29" s="4"/>
      <c r="K29" s="4"/>
      <c r="L29" s="4"/>
      <c r="M29" s="1"/>
      <c r="N29" s="4"/>
      <c r="O29" s="1"/>
      <c r="P29" s="1"/>
      <c r="Q29" s="1"/>
      <c r="R29" s="1"/>
      <c r="S29" s="1"/>
      <c r="T29" s="1"/>
      <c r="U29" s="2"/>
      <c r="V29" s="2"/>
      <c r="W29" s="2"/>
      <c r="X29" s="1"/>
      <c r="Y29" s="1"/>
      <c r="Z29" s="1"/>
    </row>
  </sheetData>
  <mergeCells count="1">
    <mergeCell ref="C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506"/>
  <sheetViews>
    <sheetView workbookViewId="0"/>
  </sheetViews>
  <sheetFormatPr defaultColWidth="14.42578125" defaultRowHeight="15" customHeight="1"/>
  <cols>
    <col min="1" max="1" width="3.5703125" customWidth="1"/>
    <col min="2" max="2" width="0.5703125" customWidth="1"/>
    <col min="3" max="3" width="11.42578125" customWidth="1"/>
    <col min="4" max="4" width="27" customWidth="1"/>
    <col min="5" max="5" width="29.85546875" customWidth="1"/>
    <col min="6" max="6" width="3" customWidth="1"/>
    <col min="7" max="7" width="5.5703125" customWidth="1"/>
    <col min="8" max="8" width="3" customWidth="1"/>
    <col min="9" max="9" width="4.85546875" customWidth="1"/>
    <col min="10" max="11" width="10.5703125" customWidth="1"/>
    <col min="12" max="12" width="11.7109375" customWidth="1"/>
    <col min="13" max="13" width="0.5703125" customWidth="1"/>
    <col min="14" max="14" width="11.42578125" customWidth="1"/>
    <col min="15" max="19" width="9.140625" hidden="1" customWidth="1"/>
    <col min="20" max="20" width="17" hidden="1" customWidth="1"/>
    <col min="21" max="24" width="9.140625" hidden="1" customWidth="1"/>
    <col min="25" max="26" width="11.42578125" hidden="1" customWidth="1"/>
    <col min="27" max="29" width="11.42578125" customWidth="1"/>
  </cols>
  <sheetData>
    <row r="1" spans="1:29" ht="26.25" customHeight="1">
      <c r="A1" s="1"/>
      <c r="B1" s="1"/>
      <c r="C1" s="315" t="s">
        <v>0</v>
      </c>
      <c r="D1" s="316"/>
      <c r="E1" s="316"/>
      <c r="F1" s="316"/>
      <c r="G1" s="316"/>
      <c r="H1" s="316"/>
      <c r="I1" s="316"/>
      <c r="J1" s="316"/>
      <c r="K1" s="316"/>
      <c r="L1" s="316"/>
      <c r="M1" s="1"/>
      <c r="N1" s="1"/>
      <c r="O1" s="4"/>
      <c r="P1" s="4"/>
      <c r="Q1" s="4"/>
      <c r="R1" s="4"/>
      <c r="S1" s="1"/>
      <c r="T1" s="4"/>
      <c r="U1" s="1"/>
      <c r="V1" s="1"/>
      <c r="W1" s="1"/>
      <c r="X1" s="1"/>
      <c r="Y1" s="1"/>
      <c r="Z1" s="1"/>
      <c r="AA1" s="2"/>
      <c r="AB1" s="2"/>
      <c r="AC1" s="2"/>
    </row>
    <row r="2" spans="1:29" ht="2.25" customHeight="1">
      <c r="A2" s="1"/>
      <c r="B2" s="5"/>
      <c r="C2" s="6"/>
      <c r="D2" s="8"/>
      <c r="E2" s="13"/>
      <c r="F2" s="8"/>
      <c r="G2" s="6"/>
      <c r="H2" s="6"/>
      <c r="I2" s="6"/>
      <c r="J2" s="6"/>
      <c r="K2" s="6"/>
      <c r="L2" s="6"/>
      <c r="M2" s="13"/>
      <c r="N2" s="1"/>
      <c r="O2" s="4"/>
      <c r="P2" s="4"/>
      <c r="Q2" s="4"/>
      <c r="R2" s="4"/>
      <c r="S2" s="1"/>
      <c r="T2" s="4"/>
      <c r="U2" s="1"/>
      <c r="V2" s="1"/>
      <c r="W2" s="1"/>
      <c r="X2" s="1"/>
      <c r="Y2" s="1"/>
      <c r="Z2" s="1"/>
      <c r="AA2" s="2"/>
      <c r="AB2" s="2"/>
      <c r="AC2" s="2"/>
    </row>
    <row r="3" spans="1:29" ht="22.5" customHeight="1">
      <c r="A3" s="1"/>
      <c r="B3" s="5"/>
      <c r="C3" s="15" t="s">
        <v>16</v>
      </c>
      <c r="D3" s="17" t="s">
        <v>17</v>
      </c>
      <c r="E3" s="18" t="s">
        <v>19</v>
      </c>
      <c r="F3" s="318" t="s">
        <v>20</v>
      </c>
      <c r="G3" s="316"/>
      <c r="H3" s="318" t="s">
        <v>21</v>
      </c>
      <c r="I3" s="316"/>
      <c r="J3" s="15" t="s">
        <v>30</v>
      </c>
      <c r="K3" s="15" t="s">
        <v>31</v>
      </c>
      <c r="L3" s="15" t="s">
        <v>32</v>
      </c>
      <c r="M3" s="5"/>
      <c r="N3" s="1"/>
      <c r="O3" s="4" t="s">
        <v>23</v>
      </c>
      <c r="P3" s="4" t="s">
        <v>24</v>
      </c>
      <c r="Q3" s="4" t="s">
        <v>25</v>
      </c>
      <c r="R3" s="4" t="s">
        <v>26</v>
      </c>
      <c r="S3" s="2" t="s">
        <v>27</v>
      </c>
      <c r="T3" s="4" t="s">
        <v>28</v>
      </c>
      <c r="U3" s="1"/>
      <c r="V3" s="1"/>
      <c r="W3" s="1"/>
      <c r="X3" s="1"/>
      <c r="Y3" s="1"/>
      <c r="Z3" s="1"/>
      <c r="AA3" s="2"/>
      <c r="AB3" s="2"/>
      <c r="AC3" s="2"/>
    </row>
    <row r="4" spans="1:29" ht="12" customHeight="1">
      <c r="A4" s="1"/>
      <c r="B4" s="5"/>
      <c r="C4" s="22">
        <v>42747</v>
      </c>
      <c r="D4" s="24" t="s">
        <v>33</v>
      </c>
      <c r="E4" s="26" t="s">
        <v>35</v>
      </c>
      <c r="F4" s="28">
        <v>1</v>
      </c>
      <c r="G4" s="29">
        <v>0</v>
      </c>
      <c r="H4" s="28">
        <v>1</v>
      </c>
      <c r="I4" s="29">
        <v>0</v>
      </c>
      <c r="J4" s="28">
        <v>6000</v>
      </c>
      <c r="K4" s="28">
        <v>6000</v>
      </c>
      <c r="L4" s="28" t="s">
        <v>40</v>
      </c>
      <c r="M4" s="5"/>
      <c r="N4" s="1"/>
      <c r="O4" s="4">
        <f t="shared" ref="O4:O67" si="0">IF($L4&lt;&gt;"",$Q4*PTS_WIN+$R4*PTS_LOSS+(1-$Q4-$R4)*PTS_TIE+MAX(MIN(MAX(PTS_TD_MIN,MIN(PTS_TD_MAX,MAX(0,$F4-PTS_TD_THRESHOLD)*PTS_PER_TD_FOR*IF($H4-PTS_CS_THRESHOLD&gt;0,1,1-PTS_TD_CS_COMB_THRES)+MAX(0,$G4-PTS_TD_THRESHOLD)*PTS_PER_TD_AG*IF($I4-PTS_CS_THRESHOLD&gt;0,1,1-PTS_TD_CS_COMB_THRES)))+MAX(PTS_CS_MIN,MIN(PTS_CS_MAX,MAX(0,$H4-PTS_CS_THRESHOLD)*PTS_PER_CS_FOR*IF($F4-PTS_TD_THRESHOLD&gt;0,1,1-PTS_TD_CS_COMB_THRES)+MAX(0,$I4-PTS_CS_THRESHOLD)*PTS_PER_CS_AG*IF($G4-PTS_TD_THRESHOLD&gt;0,1,1-PTS_TD_CS_COMB_THRES))),PTS_TD_CS_MAX),PTS_TD_CS_MIN),0)</f>
        <v>3</v>
      </c>
      <c r="P4" s="4">
        <f t="shared" ref="P4:P67" si="1">IF($L4&lt;&gt;"",$R4*PTS_WIN+$Q4*PTS_LOSS+(1-$Q4-$R4)*PTS_TIE+MAX(MIN(MAX(PTS_TD_MIN,MIN(PTS_TD_MAX,MAX(0,$G4-PTS_TD_THRESHOLD)*PTS_PER_TD_FOR*IF($I4-PTS_CS_THRESHOLD&gt;0,1,1-PTS_TD_CS_COMB_THRES)+MAX(0,$F4-PTS_TD_THRESHOLD)*PTS_PER_TD_AG*IF($H4-PTS_CS_THRESHOLD&gt;0,1,1-PTS_TD_CS_COMB_THRES)))+MAX(PTS_CS_MIN,MIN(PTS_CS_MAX,MAX(0,$I4-PTS_CS_THRESHOLD)*PTS_PER_CS_FOR*IF($G4-PTS_TD_THRESHOLD&gt;0,1,1-PTS_TD_CS_COMB_THRES)+MAX(0,$H4-PTS_CS_THRESHOLD)*PTS_PER_CS_AG*IF($F4-PTS_TD_THRESHOLD&gt;0,1,1-PTS_TD_CS_COMB_THRES))),PTS_TD_CS_MAX),PTS_TD_CS_MIN),0)</f>
        <v>0</v>
      </c>
      <c r="Q4" s="4">
        <f t="shared" ref="Q4:Q503" si="2">IF($F4&gt;$G4,1,0)</f>
        <v>1</v>
      </c>
      <c r="R4" s="4">
        <f t="shared" ref="R4:R503" si="3">IF($F4&lt;$G4,1,0)</f>
        <v>0</v>
      </c>
      <c r="S4" s="2">
        <f t="shared" ref="S4:S67" si="4">IF(T4&gt;0,RANK(T4,RES_GATE),-1)</f>
        <v>16</v>
      </c>
      <c r="T4" s="4">
        <f>IF(NOT(ISERROR(MATCH(L4,Team_Stat_Sel,0))),J4+K4+1/(ROW()+7777777),0)</f>
        <v>12000.000000128572</v>
      </c>
      <c r="U4" s="2" t="str">
        <f t="shared" ref="U4:U503" si="5">D4&amp;" - "&amp;E4&amp;IF(C4&lt;&gt;""," ("&amp;C4&amp;")","")</f>
        <v>Sylvania Suckhawks - Population: Orc (42747)</v>
      </c>
      <c r="V4" s="1"/>
      <c r="W4" s="1"/>
      <c r="X4" s="1"/>
      <c r="Y4" s="1"/>
      <c r="Z4" s="1"/>
      <c r="AA4" s="2"/>
      <c r="AB4" s="2"/>
      <c r="AC4" s="2"/>
    </row>
    <row r="5" spans="1:29" ht="12.75" customHeight="1">
      <c r="A5" s="1"/>
      <c r="B5" s="5"/>
      <c r="C5" s="22">
        <v>42752</v>
      </c>
      <c r="D5" s="24" t="s">
        <v>43</v>
      </c>
      <c r="E5" s="26" t="s">
        <v>44</v>
      </c>
      <c r="F5" s="28">
        <v>1</v>
      </c>
      <c r="G5" s="29">
        <v>0</v>
      </c>
      <c r="H5" s="28">
        <v>0</v>
      </c>
      <c r="I5" s="29">
        <v>2</v>
      </c>
      <c r="J5" s="28">
        <v>7000</v>
      </c>
      <c r="K5" s="28">
        <v>11000</v>
      </c>
      <c r="L5" s="28" t="s">
        <v>40</v>
      </c>
      <c r="M5" s="5"/>
      <c r="N5" s="1"/>
      <c r="O5" s="4">
        <f t="shared" si="0"/>
        <v>3</v>
      </c>
      <c r="P5" s="4">
        <f t="shared" si="1"/>
        <v>0</v>
      </c>
      <c r="Q5" s="4">
        <f t="shared" si="2"/>
        <v>1</v>
      </c>
      <c r="R5" s="4">
        <f t="shared" si="3"/>
        <v>0</v>
      </c>
      <c r="S5" s="2">
        <f t="shared" si="4"/>
        <v>6</v>
      </c>
      <c r="T5" s="4">
        <f t="shared" ref="T5:T68" si="6">IF(NOT(ISERROR(MATCH(L5,Team_Stat_Sel,0))),J5+K5+1/(ROW()+777777777),0)</f>
        <v>18000.000000001284</v>
      </c>
      <c r="U5" s="2" t="str">
        <f t="shared" si="5"/>
        <v>Jacksonville Thrillers - OrCares (42752)</v>
      </c>
      <c r="V5" s="1"/>
      <c r="W5" s="1"/>
      <c r="X5" s="1"/>
      <c r="Y5" s="1"/>
      <c r="Z5" s="1"/>
      <c r="AA5" s="2"/>
      <c r="AB5" s="2"/>
      <c r="AC5" s="2"/>
    </row>
    <row r="6" spans="1:29" ht="12.75" customHeight="1">
      <c r="A6" s="1"/>
      <c r="B6" s="5"/>
      <c r="C6" s="22">
        <v>42745</v>
      </c>
      <c r="D6" s="24" t="s">
        <v>46</v>
      </c>
      <c r="E6" s="26" t="s">
        <v>47</v>
      </c>
      <c r="F6" s="28">
        <v>1</v>
      </c>
      <c r="G6" s="29">
        <v>0</v>
      </c>
      <c r="H6" s="28">
        <v>1</v>
      </c>
      <c r="I6" s="29">
        <v>0</v>
      </c>
      <c r="J6" s="28"/>
      <c r="K6" s="28"/>
      <c r="L6" s="28" t="s">
        <v>40</v>
      </c>
      <c r="M6" s="5"/>
      <c r="N6" s="1"/>
      <c r="O6" s="4">
        <f t="shared" si="0"/>
        <v>3</v>
      </c>
      <c r="P6" s="4">
        <f t="shared" si="1"/>
        <v>0</v>
      </c>
      <c r="Q6" s="4">
        <f t="shared" si="2"/>
        <v>1</v>
      </c>
      <c r="R6" s="4">
        <f t="shared" si="3"/>
        <v>0</v>
      </c>
      <c r="S6" s="2">
        <f t="shared" si="4"/>
        <v>18</v>
      </c>
      <c r="T6" s="4">
        <f t="shared" si="6"/>
        <v>1.2857142770816327E-9</v>
      </c>
      <c r="U6" s="2" t="str">
        <f t="shared" si="5"/>
        <v>Guardians of the Nile - Wrath of the Month (42745)</v>
      </c>
      <c r="V6" s="1"/>
      <c r="W6" s="1"/>
      <c r="X6" s="1"/>
      <c r="Y6" s="1"/>
      <c r="Z6" s="1"/>
      <c r="AA6" s="2"/>
      <c r="AB6" s="2"/>
      <c r="AC6" s="2"/>
    </row>
    <row r="7" spans="1:29" ht="12.75" customHeight="1">
      <c r="A7" s="1"/>
      <c r="B7" s="5"/>
      <c r="C7" s="22">
        <v>42736</v>
      </c>
      <c r="D7" s="24" t="s">
        <v>49</v>
      </c>
      <c r="E7" s="26" t="s">
        <v>35</v>
      </c>
      <c r="F7" s="28">
        <v>4</v>
      </c>
      <c r="G7" s="29">
        <v>0</v>
      </c>
      <c r="H7" s="28">
        <v>1</v>
      </c>
      <c r="I7" s="29">
        <v>2</v>
      </c>
      <c r="J7" s="28">
        <v>10000</v>
      </c>
      <c r="K7" s="28">
        <v>9000</v>
      </c>
      <c r="L7" s="28" t="s">
        <v>40</v>
      </c>
      <c r="M7" s="5"/>
      <c r="N7" s="1"/>
      <c r="O7" s="4">
        <f t="shared" si="0"/>
        <v>3</v>
      </c>
      <c r="P7" s="4">
        <f t="shared" si="1"/>
        <v>0</v>
      </c>
      <c r="Q7" s="4">
        <f t="shared" si="2"/>
        <v>1</v>
      </c>
      <c r="R7" s="4">
        <f t="shared" si="3"/>
        <v>0</v>
      </c>
      <c r="S7" s="2">
        <f t="shared" si="4"/>
        <v>5</v>
      </c>
      <c r="T7" s="4">
        <f t="shared" si="6"/>
        <v>19000.000000001284</v>
      </c>
      <c r="U7" s="2" t="str">
        <f t="shared" si="5"/>
        <v>Skyhaven Silverfoxes - Population: Orc (42736)</v>
      </c>
      <c r="V7" s="1"/>
      <c r="W7" s="1"/>
      <c r="X7" s="1"/>
      <c r="Y7" s="1"/>
      <c r="Z7" s="1"/>
      <c r="AA7" s="2"/>
      <c r="AB7" s="2"/>
      <c r="AC7" s="2"/>
    </row>
    <row r="8" spans="1:29" ht="12.75" customHeight="1">
      <c r="A8" s="1"/>
      <c r="B8" s="5"/>
      <c r="C8" s="22">
        <v>42742</v>
      </c>
      <c r="D8" s="24" t="s">
        <v>47</v>
      </c>
      <c r="E8" s="26" t="s">
        <v>35</v>
      </c>
      <c r="F8" s="28">
        <v>1</v>
      </c>
      <c r="G8" s="29">
        <v>2</v>
      </c>
      <c r="H8" s="28">
        <v>3</v>
      </c>
      <c r="I8" s="29">
        <v>2</v>
      </c>
      <c r="J8" s="28">
        <v>7000</v>
      </c>
      <c r="K8" s="28">
        <v>5000</v>
      </c>
      <c r="L8" s="28" t="s">
        <v>40</v>
      </c>
      <c r="M8" s="5"/>
      <c r="N8" s="1"/>
      <c r="O8" s="4">
        <f t="shared" si="0"/>
        <v>0</v>
      </c>
      <c r="P8" s="4">
        <f t="shared" si="1"/>
        <v>3</v>
      </c>
      <c r="Q8" s="4">
        <f t="shared" si="2"/>
        <v>0</v>
      </c>
      <c r="R8" s="4">
        <f t="shared" si="3"/>
        <v>1</v>
      </c>
      <c r="S8" s="2">
        <f t="shared" si="4"/>
        <v>17</v>
      </c>
      <c r="T8" s="4">
        <f t="shared" si="6"/>
        <v>12000.000000001286</v>
      </c>
      <c r="U8" s="2" t="str">
        <f t="shared" si="5"/>
        <v>Wrath of the Month - Population: Orc (42742)</v>
      </c>
      <c r="V8" s="1"/>
      <c r="W8" s="1"/>
      <c r="X8" s="1"/>
      <c r="Y8" s="1"/>
      <c r="Z8" s="1"/>
      <c r="AA8" s="2"/>
      <c r="AB8" s="2"/>
      <c r="AC8" s="2"/>
    </row>
    <row r="9" spans="1:29" ht="12.75" customHeight="1">
      <c r="A9" s="1"/>
      <c r="B9" s="5"/>
      <c r="C9" s="22">
        <v>42745</v>
      </c>
      <c r="D9" s="24" t="s">
        <v>33</v>
      </c>
      <c r="E9" s="26" t="s">
        <v>46</v>
      </c>
      <c r="F9" s="28">
        <v>0</v>
      </c>
      <c r="G9" s="29">
        <v>1</v>
      </c>
      <c r="H9" s="28">
        <v>1</v>
      </c>
      <c r="I9" s="29">
        <v>3</v>
      </c>
      <c r="J9" s="28"/>
      <c r="K9" s="28"/>
      <c r="L9" s="28" t="s">
        <v>40</v>
      </c>
      <c r="M9" s="5"/>
      <c r="N9" s="1"/>
      <c r="O9" s="4">
        <f t="shared" si="0"/>
        <v>0</v>
      </c>
      <c r="P9" s="4">
        <f t="shared" si="1"/>
        <v>3</v>
      </c>
      <c r="Q9" s="4">
        <f t="shared" si="2"/>
        <v>0</v>
      </c>
      <c r="R9" s="4">
        <f t="shared" si="3"/>
        <v>1</v>
      </c>
      <c r="S9" s="2">
        <f t="shared" si="4"/>
        <v>19</v>
      </c>
      <c r="T9" s="4">
        <f t="shared" si="6"/>
        <v>1.2857142721224492E-9</v>
      </c>
      <c r="U9" s="2" t="str">
        <f t="shared" si="5"/>
        <v>Sylvania Suckhawks - Guardians of the Nile (42745)</v>
      </c>
      <c r="V9" s="1"/>
      <c r="W9" s="1"/>
      <c r="X9" s="1"/>
      <c r="Y9" s="1"/>
      <c r="Z9" s="1"/>
      <c r="AA9" s="2"/>
      <c r="AB9" s="2"/>
      <c r="AC9" s="2"/>
    </row>
    <row r="10" spans="1:29" ht="12.75" customHeight="1">
      <c r="A10" s="1"/>
      <c r="B10" s="5"/>
      <c r="C10" s="22">
        <v>42736</v>
      </c>
      <c r="D10" s="24" t="s">
        <v>49</v>
      </c>
      <c r="E10" s="26" t="s">
        <v>53</v>
      </c>
      <c r="F10" s="28">
        <v>2</v>
      </c>
      <c r="G10" s="29">
        <v>2</v>
      </c>
      <c r="H10" s="28">
        <v>0</v>
      </c>
      <c r="I10" s="29">
        <v>2</v>
      </c>
      <c r="J10" s="28">
        <v>10000</v>
      </c>
      <c r="K10" s="28">
        <v>10000</v>
      </c>
      <c r="L10" s="28" t="s">
        <v>40</v>
      </c>
      <c r="M10" s="5"/>
      <c r="N10" s="1"/>
      <c r="O10" s="4">
        <f t="shared" si="0"/>
        <v>1</v>
      </c>
      <c r="P10" s="4">
        <f t="shared" si="1"/>
        <v>1</v>
      </c>
      <c r="Q10" s="4">
        <f t="shared" si="2"/>
        <v>0</v>
      </c>
      <c r="R10" s="4">
        <f t="shared" si="3"/>
        <v>0</v>
      </c>
      <c r="S10" s="2">
        <f t="shared" si="4"/>
        <v>4</v>
      </c>
      <c r="T10" s="4">
        <f t="shared" si="6"/>
        <v>20000.000000001284</v>
      </c>
      <c r="U10" s="2" t="str">
        <f t="shared" si="5"/>
        <v>Skyhaven Silverfoxes - Ashtown Villains (42736)</v>
      </c>
      <c r="V10" s="1"/>
      <c r="W10" s="1"/>
      <c r="X10" s="1"/>
      <c r="Y10" s="1"/>
      <c r="Z10" s="1"/>
      <c r="AA10" s="2"/>
      <c r="AB10" s="2"/>
      <c r="AC10" s="2"/>
    </row>
    <row r="11" spans="1:29" ht="12.75" customHeight="1">
      <c r="A11" s="1"/>
      <c r="B11" s="5"/>
      <c r="C11" s="22">
        <v>42736</v>
      </c>
      <c r="D11" s="24" t="s">
        <v>43</v>
      </c>
      <c r="E11" s="26" t="s">
        <v>55</v>
      </c>
      <c r="F11" s="28">
        <v>2</v>
      </c>
      <c r="G11" s="29">
        <v>1</v>
      </c>
      <c r="H11" s="28">
        <v>2</v>
      </c>
      <c r="I11" s="29">
        <v>2</v>
      </c>
      <c r="J11" s="28">
        <v>14000</v>
      </c>
      <c r="K11" s="28">
        <v>4000</v>
      </c>
      <c r="L11" s="28" t="s">
        <v>40</v>
      </c>
      <c r="M11" s="5"/>
      <c r="N11" s="1"/>
      <c r="O11" s="4">
        <f t="shared" si="0"/>
        <v>3</v>
      </c>
      <c r="P11" s="4">
        <f t="shared" si="1"/>
        <v>0</v>
      </c>
      <c r="Q11" s="4">
        <f t="shared" si="2"/>
        <v>1</v>
      </c>
      <c r="R11" s="4">
        <f t="shared" si="3"/>
        <v>0</v>
      </c>
      <c r="S11" s="2">
        <f t="shared" si="4"/>
        <v>6</v>
      </c>
      <c r="T11" s="4">
        <f t="shared" si="6"/>
        <v>18000.000000001284</v>
      </c>
      <c r="U11" s="2" t="str">
        <f t="shared" si="5"/>
        <v>Jacksonville Thrillers - Aedra &amp; Daedra (42736)</v>
      </c>
      <c r="V11" s="1"/>
      <c r="W11" s="1"/>
      <c r="X11" s="1"/>
      <c r="Y11" s="1"/>
      <c r="Z11" s="1"/>
      <c r="AA11" s="2"/>
      <c r="AB11" s="2"/>
      <c r="AC11" s="2"/>
    </row>
    <row r="12" spans="1:29" ht="12.75" customHeight="1">
      <c r="A12" s="1"/>
      <c r="B12" s="5"/>
      <c r="C12" s="22">
        <v>42736</v>
      </c>
      <c r="D12" s="24" t="s">
        <v>55</v>
      </c>
      <c r="E12" s="26" t="s">
        <v>53</v>
      </c>
      <c r="F12" s="28">
        <v>2</v>
      </c>
      <c r="G12" s="29">
        <v>0</v>
      </c>
      <c r="H12" s="28">
        <v>0</v>
      </c>
      <c r="I12" s="29">
        <v>1</v>
      </c>
      <c r="J12" s="28">
        <v>8000</v>
      </c>
      <c r="K12" s="28">
        <v>7000</v>
      </c>
      <c r="L12" s="28" t="s">
        <v>40</v>
      </c>
      <c r="M12" s="5"/>
      <c r="N12" s="1"/>
      <c r="O12" s="4">
        <f t="shared" si="0"/>
        <v>3</v>
      </c>
      <c r="P12" s="4">
        <f t="shared" si="1"/>
        <v>0</v>
      </c>
      <c r="Q12" s="4">
        <f t="shared" si="2"/>
        <v>1</v>
      </c>
      <c r="R12" s="4">
        <f t="shared" si="3"/>
        <v>0</v>
      </c>
      <c r="S12" s="2">
        <f t="shared" si="4"/>
        <v>13</v>
      </c>
      <c r="T12" s="4">
        <f t="shared" si="6"/>
        <v>15000.000000001286</v>
      </c>
      <c r="U12" s="2" t="str">
        <f t="shared" si="5"/>
        <v>Aedra &amp; Daedra - Ashtown Villains (42736)</v>
      </c>
      <c r="V12" s="1"/>
      <c r="W12" s="1"/>
      <c r="X12" s="1"/>
      <c r="Y12" s="1"/>
      <c r="Z12" s="1"/>
      <c r="AA12" s="2"/>
      <c r="AB12" s="2"/>
      <c r="AC12" s="2"/>
    </row>
    <row r="13" spans="1:29" ht="12.75" customHeight="1">
      <c r="A13" s="1"/>
      <c r="B13" s="5"/>
      <c r="C13" s="22">
        <v>42801</v>
      </c>
      <c r="D13" s="24" t="s">
        <v>33</v>
      </c>
      <c r="E13" s="26" t="s">
        <v>35</v>
      </c>
      <c r="F13" s="28">
        <v>2</v>
      </c>
      <c r="G13" s="29">
        <v>0</v>
      </c>
      <c r="H13" s="28">
        <v>3</v>
      </c>
      <c r="I13" s="29">
        <v>4</v>
      </c>
      <c r="J13" s="28">
        <v>8000</v>
      </c>
      <c r="K13" s="28">
        <v>9000</v>
      </c>
      <c r="L13" s="28" t="s">
        <v>40</v>
      </c>
      <c r="M13" s="5">
        <v>4</v>
      </c>
      <c r="N13" s="1"/>
      <c r="O13" s="4">
        <f t="shared" si="0"/>
        <v>3</v>
      </c>
      <c r="P13" s="4">
        <f t="shared" si="1"/>
        <v>0</v>
      </c>
      <c r="Q13" s="4">
        <f t="shared" si="2"/>
        <v>1</v>
      </c>
      <c r="R13" s="4">
        <f t="shared" si="3"/>
        <v>0</v>
      </c>
      <c r="S13" s="2">
        <f t="shared" si="4"/>
        <v>9</v>
      </c>
      <c r="T13" s="4">
        <f t="shared" si="6"/>
        <v>17000.000000001284</v>
      </c>
      <c r="U13" s="2" t="str">
        <f t="shared" si="5"/>
        <v>Sylvania Suckhawks - Population: Orc (42801)</v>
      </c>
      <c r="V13" s="1"/>
      <c r="W13" s="1"/>
      <c r="X13" s="1"/>
      <c r="Y13" s="1"/>
      <c r="Z13" s="1"/>
      <c r="AA13" s="2"/>
      <c r="AB13" s="2"/>
      <c r="AC13" s="2"/>
    </row>
    <row r="14" spans="1:29" ht="12.75" customHeight="1">
      <c r="A14" s="1"/>
      <c r="B14" s="5"/>
      <c r="C14" s="22">
        <v>42801</v>
      </c>
      <c r="D14" s="24" t="s">
        <v>49</v>
      </c>
      <c r="E14" s="26" t="s">
        <v>46</v>
      </c>
      <c r="F14" s="28">
        <v>1</v>
      </c>
      <c r="G14" s="29">
        <v>2</v>
      </c>
      <c r="H14" s="28">
        <v>0</v>
      </c>
      <c r="I14" s="29">
        <v>0</v>
      </c>
      <c r="J14" s="28">
        <v>12000</v>
      </c>
      <c r="K14" s="28">
        <v>15000</v>
      </c>
      <c r="L14" s="28" t="s">
        <v>40</v>
      </c>
      <c r="M14" s="5"/>
      <c r="N14" s="1"/>
      <c r="O14" s="4">
        <f t="shared" si="0"/>
        <v>0</v>
      </c>
      <c r="P14" s="4">
        <f t="shared" si="1"/>
        <v>3</v>
      </c>
      <c r="Q14" s="4">
        <f t="shared" si="2"/>
        <v>0</v>
      </c>
      <c r="R14" s="4">
        <f t="shared" si="3"/>
        <v>1</v>
      </c>
      <c r="S14" s="2">
        <f t="shared" si="4"/>
        <v>3</v>
      </c>
      <c r="T14" s="4">
        <f t="shared" si="6"/>
        <v>27000.000000001284</v>
      </c>
      <c r="U14" s="2" t="str">
        <f t="shared" si="5"/>
        <v>Skyhaven Silverfoxes - Guardians of the Nile (42801)</v>
      </c>
      <c r="V14" s="1"/>
      <c r="W14" s="1"/>
      <c r="X14" s="1"/>
      <c r="Y14" s="1"/>
      <c r="Z14" s="1"/>
      <c r="AA14" s="2"/>
      <c r="AB14" s="2"/>
      <c r="AC14" s="2"/>
    </row>
    <row r="15" spans="1:29" ht="12.75" customHeight="1">
      <c r="A15" s="1"/>
      <c r="B15" s="5"/>
      <c r="C15" s="22">
        <v>42766</v>
      </c>
      <c r="D15" s="24" t="s">
        <v>33</v>
      </c>
      <c r="E15" s="26" t="s">
        <v>49</v>
      </c>
      <c r="F15" s="28">
        <v>2</v>
      </c>
      <c r="G15" s="29">
        <v>1</v>
      </c>
      <c r="H15" s="28">
        <v>1</v>
      </c>
      <c r="I15" s="29">
        <v>1</v>
      </c>
      <c r="J15" s="28">
        <v>9000</v>
      </c>
      <c r="K15" s="28">
        <v>9000</v>
      </c>
      <c r="L15" s="28" t="s">
        <v>40</v>
      </c>
      <c r="M15" s="5"/>
      <c r="N15" s="1"/>
      <c r="O15" s="4">
        <f t="shared" si="0"/>
        <v>3</v>
      </c>
      <c r="P15" s="4">
        <f t="shared" si="1"/>
        <v>0</v>
      </c>
      <c r="Q15" s="4">
        <f t="shared" si="2"/>
        <v>1</v>
      </c>
      <c r="R15" s="4">
        <f t="shared" si="3"/>
        <v>0</v>
      </c>
      <c r="S15" s="2">
        <f t="shared" si="4"/>
        <v>6</v>
      </c>
      <c r="T15" s="4">
        <f t="shared" si="6"/>
        <v>18000.000000001284</v>
      </c>
      <c r="U15" s="2" t="str">
        <f t="shared" si="5"/>
        <v>Sylvania Suckhawks - Skyhaven Silverfoxes (42766)</v>
      </c>
      <c r="V15" s="1"/>
      <c r="W15" s="1"/>
      <c r="X15" s="1"/>
      <c r="Y15" s="1"/>
      <c r="Z15" s="1"/>
      <c r="AA15" s="2"/>
      <c r="AB15" s="2"/>
      <c r="AC15" s="2"/>
    </row>
    <row r="16" spans="1:29" ht="12.75" customHeight="1">
      <c r="A16" s="1"/>
      <c r="B16" s="5"/>
      <c r="C16" s="22">
        <v>42773</v>
      </c>
      <c r="D16" s="24" t="s">
        <v>33</v>
      </c>
      <c r="E16" s="26" t="s">
        <v>46</v>
      </c>
      <c r="F16" s="28">
        <v>0</v>
      </c>
      <c r="G16" s="29">
        <v>1</v>
      </c>
      <c r="H16" s="28">
        <v>1</v>
      </c>
      <c r="I16" s="29">
        <v>2</v>
      </c>
      <c r="J16" s="28">
        <v>9000</v>
      </c>
      <c r="K16" s="28">
        <v>7000</v>
      </c>
      <c r="L16" s="28" t="s">
        <v>40</v>
      </c>
      <c r="M16" s="5"/>
      <c r="N16" s="1"/>
      <c r="O16" s="4">
        <f t="shared" si="0"/>
        <v>0</v>
      </c>
      <c r="P16" s="4">
        <f t="shared" si="1"/>
        <v>3</v>
      </c>
      <c r="Q16" s="4">
        <f t="shared" si="2"/>
        <v>0</v>
      </c>
      <c r="R16" s="4">
        <f t="shared" si="3"/>
        <v>1</v>
      </c>
      <c r="S16" s="2">
        <f t="shared" si="4"/>
        <v>11</v>
      </c>
      <c r="T16" s="4">
        <f t="shared" si="6"/>
        <v>16000.000000001286</v>
      </c>
      <c r="U16" s="2" t="str">
        <f t="shared" si="5"/>
        <v>Sylvania Suckhawks - Guardians of the Nile (42773)</v>
      </c>
      <c r="V16" s="1"/>
      <c r="W16" s="1"/>
      <c r="X16" s="1"/>
      <c r="Y16" s="1"/>
      <c r="Z16" s="1"/>
      <c r="AA16" s="2"/>
      <c r="AB16" s="2"/>
      <c r="AC16" s="2"/>
    </row>
    <row r="17" spans="1:29" ht="12.75" customHeight="1">
      <c r="A17" s="1"/>
      <c r="B17" s="5"/>
      <c r="C17" s="22">
        <v>42787</v>
      </c>
      <c r="D17" s="24" t="s">
        <v>33</v>
      </c>
      <c r="E17" s="26" t="s">
        <v>35</v>
      </c>
      <c r="F17" s="28">
        <v>2</v>
      </c>
      <c r="G17" s="29">
        <v>1</v>
      </c>
      <c r="H17" s="28">
        <v>1</v>
      </c>
      <c r="I17" s="29">
        <v>3</v>
      </c>
      <c r="J17" s="28">
        <v>6000</v>
      </c>
      <c r="K17" s="28">
        <v>9000</v>
      </c>
      <c r="L17" s="28" t="s">
        <v>40</v>
      </c>
      <c r="M17" s="5"/>
      <c r="N17" s="1"/>
      <c r="O17" s="4">
        <f t="shared" si="0"/>
        <v>3</v>
      </c>
      <c r="P17" s="4">
        <f t="shared" si="1"/>
        <v>0</v>
      </c>
      <c r="Q17" s="4">
        <f t="shared" si="2"/>
        <v>1</v>
      </c>
      <c r="R17" s="4">
        <f t="shared" si="3"/>
        <v>0</v>
      </c>
      <c r="S17" s="2">
        <f t="shared" si="4"/>
        <v>13</v>
      </c>
      <c r="T17" s="4">
        <f t="shared" si="6"/>
        <v>15000.000000001286</v>
      </c>
      <c r="U17" s="2" t="str">
        <f t="shared" si="5"/>
        <v>Sylvania Suckhawks - Population: Orc (42787)</v>
      </c>
      <c r="V17" s="1"/>
      <c r="W17" s="1"/>
      <c r="X17" s="1"/>
      <c r="Y17" s="1"/>
      <c r="Z17" s="1"/>
      <c r="AA17" s="2"/>
      <c r="AB17" s="2"/>
      <c r="AC17" s="2"/>
    </row>
    <row r="18" spans="1:29" ht="12.75" customHeight="1">
      <c r="A18" s="1"/>
      <c r="B18" s="5"/>
      <c r="C18" s="22"/>
      <c r="D18" s="24" t="s">
        <v>47</v>
      </c>
      <c r="E18" s="26" t="s">
        <v>55</v>
      </c>
      <c r="F18" s="28">
        <v>1</v>
      </c>
      <c r="G18" s="29">
        <v>1</v>
      </c>
      <c r="H18" s="28">
        <v>2</v>
      </c>
      <c r="I18" s="29">
        <v>1</v>
      </c>
      <c r="J18" s="28">
        <v>8000</v>
      </c>
      <c r="K18" s="28">
        <v>6000</v>
      </c>
      <c r="L18" s="28" t="s">
        <v>40</v>
      </c>
      <c r="M18" s="5"/>
      <c r="N18" s="1"/>
      <c r="O18" s="4">
        <f t="shared" si="0"/>
        <v>1</v>
      </c>
      <c r="P18" s="4">
        <f t="shared" si="1"/>
        <v>1</v>
      </c>
      <c r="Q18" s="4">
        <f t="shared" si="2"/>
        <v>0</v>
      </c>
      <c r="R18" s="4">
        <f t="shared" si="3"/>
        <v>0</v>
      </c>
      <c r="S18" s="2">
        <f t="shared" si="4"/>
        <v>15</v>
      </c>
      <c r="T18" s="4">
        <f t="shared" si="6"/>
        <v>14000.000000001286</v>
      </c>
      <c r="U18" s="2" t="str">
        <f t="shared" si="5"/>
        <v>Wrath of the Month - Aedra &amp; Daedra</v>
      </c>
      <c r="V18" s="1"/>
      <c r="W18" s="1"/>
      <c r="X18" s="1"/>
      <c r="Y18" s="1"/>
      <c r="Z18" s="1"/>
      <c r="AA18" s="2"/>
      <c r="AB18" s="2"/>
      <c r="AC18" s="2"/>
    </row>
    <row r="19" spans="1:29" ht="12.75" customHeight="1">
      <c r="A19" s="1"/>
      <c r="B19" s="5"/>
      <c r="C19" s="22"/>
      <c r="D19" s="24" t="s">
        <v>65</v>
      </c>
      <c r="E19" s="26" t="s">
        <v>55</v>
      </c>
      <c r="F19" s="28">
        <v>0</v>
      </c>
      <c r="G19" s="29">
        <v>3</v>
      </c>
      <c r="H19" s="28">
        <v>2</v>
      </c>
      <c r="I19" s="29">
        <v>2</v>
      </c>
      <c r="J19" s="28"/>
      <c r="K19" s="28"/>
      <c r="L19" s="28" t="s">
        <v>40</v>
      </c>
      <c r="M19" s="5"/>
      <c r="N19" s="1"/>
      <c r="O19" s="4">
        <f t="shared" si="0"/>
        <v>0</v>
      </c>
      <c r="P19" s="4">
        <f t="shared" si="1"/>
        <v>3</v>
      </c>
      <c r="Q19" s="4">
        <f t="shared" si="2"/>
        <v>0</v>
      </c>
      <c r="R19" s="4">
        <f t="shared" si="3"/>
        <v>1</v>
      </c>
      <c r="S19" s="2">
        <f t="shared" si="4"/>
        <v>20</v>
      </c>
      <c r="T19" s="4">
        <f t="shared" si="6"/>
        <v>1.2857142555918375E-9</v>
      </c>
      <c r="U19" s="2" t="str">
        <f t="shared" si="5"/>
        <v>Hellions of Troy - Aedra &amp; Daedra</v>
      </c>
      <c r="V19" s="1"/>
      <c r="W19" s="1"/>
      <c r="X19" s="1"/>
      <c r="Y19" s="1"/>
      <c r="Z19" s="1"/>
      <c r="AA19" s="2"/>
      <c r="AB19" s="2"/>
      <c r="AC19" s="2"/>
    </row>
    <row r="20" spans="1:29" ht="12.75" customHeight="1">
      <c r="A20" s="1"/>
      <c r="B20" s="5"/>
      <c r="C20" s="22">
        <v>42794</v>
      </c>
      <c r="D20" s="24" t="s">
        <v>65</v>
      </c>
      <c r="E20" s="26" t="s">
        <v>35</v>
      </c>
      <c r="F20" s="28">
        <v>1</v>
      </c>
      <c r="G20" s="29">
        <v>0</v>
      </c>
      <c r="H20" s="28">
        <v>2</v>
      </c>
      <c r="I20" s="29">
        <v>1</v>
      </c>
      <c r="J20" s="28"/>
      <c r="K20" s="28"/>
      <c r="L20" s="28" t="s">
        <v>40</v>
      </c>
      <c r="M20" s="5"/>
      <c r="N20" s="1"/>
      <c r="O20" s="4">
        <f t="shared" si="0"/>
        <v>3</v>
      </c>
      <c r="P20" s="4">
        <f t="shared" si="1"/>
        <v>0</v>
      </c>
      <c r="Q20" s="4">
        <f t="shared" si="2"/>
        <v>1</v>
      </c>
      <c r="R20" s="4">
        <f t="shared" si="3"/>
        <v>0</v>
      </c>
      <c r="S20" s="2">
        <f t="shared" si="4"/>
        <v>21</v>
      </c>
      <c r="T20" s="4">
        <f t="shared" si="6"/>
        <v>1.2857142539387762E-9</v>
      </c>
      <c r="U20" s="2" t="str">
        <f t="shared" si="5"/>
        <v>Hellions of Troy - Population: Orc (42794)</v>
      </c>
      <c r="V20" s="1"/>
      <c r="W20" s="1"/>
      <c r="X20" s="1"/>
      <c r="Y20" s="1"/>
      <c r="Z20" s="1"/>
      <c r="AA20" s="2"/>
      <c r="AB20" s="2"/>
      <c r="AC20" s="2"/>
    </row>
    <row r="21" spans="1:29" ht="12.75" customHeight="1">
      <c r="A21" s="1"/>
      <c r="B21" s="5"/>
      <c r="C21" s="22"/>
      <c r="D21" s="24" t="s">
        <v>44</v>
      </c>
      <c r="E21" s="26" t="s">
        <v>49</v>
      </c>
      <c r="F21" s="28">
        <v>0</v>
      </c>
      <c r="G21" s="29">
        <v>1</v>
      </c>
      <c r="H21" s="28">
        <v>4</v>
      </c>
      <c r="I21" s="29">
        <v>0</v>
      </c>
      <c r="J21" s="28">
        <v>9000</v>
      </c>
      <c r="K21" s="28">
        <v>8000</v>
      </c>
      <c r="L21" s="28" t="s">
        <v>40</v>
      </c>
      <c r="M21" s="5"/>
      <c r="N21" s="1"/>
      <c r="O21" s="4">
        <f t="shared" si="0"/>
        <v>0</v>
      </c>
      <c r="P21" s="4">
        <f t="shared" si="1"/>
        <v>3</v>
      </c>
      <c r="Q21" s="4">
        <f t="shared" si="2"/>
        <v>0</v>
      </c>
      <c r="R21" s="4">
        <f t="shared" si="3"/>
        <v>1</v>
      </c>
      <c r="S21" s="2">
        <f t="shared" si="4"/>
        <v>9</v>
      </c>
      <c r="T21" s="4">
        <f t="shared" si="6"/>
        <v>17000.000000001284</v>
      </c>
      <c r="U21" s="2" t="str">
        <f t="shared" si="5"/>
        <v>OrCares - Skyhaven Silverfoxes</v>
      </c>
      <c r="V21" s="1"/>
      <c r="W21" s="1"/>
      <c r="X21" s="1"/>
      <c r="Y21" s="1"/>
      <c r="Z21" s="1"/>
      <c r="AA21" s="2"/>
      <c r="AB21" s="2"/>
      <c r="AC21" s="2"/>
    </row>
    <row r="22" spans="1:29" ht="12.75" customHeight="1">
      <c r="A22" s="1"/>
      <c r="B22" s="5"/>
      <c r="C22" s="22">
        <v>42826</v>
      </c>
      <c r="D22" s="24" t="s">
        <v>46</v>
      </c>
      <c r="E22" s="26" t="s">
        <v>44</v>
      </c>
      <c r="F22" s="28">
        <v>2</v>
      </c>
      <c r="G22" s="29">
        <v>1</v>
      </c>
      <c r="H22" s="28">
        <v>0</v>
      </c>
      <c r="I22" s="29">
        <v>1</v>
      </c>
      <c r="J22" s="28">
        <v>9000</v>
      </c>
      <c r="K22" s="28">
        <v>7000</v>
      </c>
      <c r="L22" s="28" t="s">
        <v>70</v>
      </c>
      <c r="M22" s="5"/>
      <c r="N22" s="1"/>
      <c r="O22" s="4">
        <f t="shared" si="0"/>
        <v>3</v>
      </c>
      <c r="P22" s="4">
        <f t="shared" si="1"/>
        <v>0</v>
      </c>
      <c r="Q22" s="4">
        <f t="shared" si="2"/>
        <v>1</v>
      </c>
      <c r="R22" s="4">
        <f t="shared" si="3"/>
        <v>0</v>
      </c>
      <c r="S22" s="2">
        <f t="shared" si="4"/>
        <v>11</v>
      </c>
      <c r="T22" s="4">
        <f t="shared" si="6"/>
        <v>16000.000000001286</v>
      </c>
      <c r="U22" s="2" t="str">
        <f t="shared" si="5"/>
        <v>Guardians of the Nile - OrCares (42826)</v>
      </c>
      <c r="V22" s="1"/>
      <c r="W22" s="1"/>
      <c r="X22" s="1"/>
      <c r="Y22" s="1"/>
      <c r="Z22" s="1"/>
      <c r="AA22" s="2"/>
      <c r="AB22" s="2"/>
      <c r="AC22" s="2"/>
    </row>
    <row r="23" spans="1:29" ht="12.75" customHeight="1">
      <c r="A23" s="1"/>
      <c r="B23" s="5"/>
      <c r="C23" s="22">
        <v>42808</v>
      </c>
      <c r="D23" s="24" t="s">
        <v>35</v>
      </c>
      <c r="E23" s="26" t="s">
        <v>44</v>
      </c>
      <c r="F23" s="28">
        <v>0</v>
      </c>
      <c r="G23" s="29">
        <v>1</v>
      </c>
      <c r="H23" s="28">
        <v>1</v>
      </c>
      <c r="I23" s="29">
        <v>1</v>
      </c>
      <c r="J23" s="28">
        <v>24000</v>
      </c>
      <c r="K23" s="28">
        <v>18000</v>
      </c>
      <c r="L23" s="28" t="s">
        <v>70</v>
      </c>
      <c r="M23" s="5"/>
      <c r="N23" s="1"/>
      <c r="O23" s="4">
        <f t="shared" si="0"/>
        <v>0</v>
      </c>
      <c r="P23" s="4">
        <f t="shared" si="1"/>
        <v>3</v>
      </c>
      <c r="Q23" s="4">
        <f t="shared" si="2"/>
        <v>0</v>
      </c>
      <c r="R23" s="4">
        <f t="shared" si="3"/>
        <v>1</v>
      </c>
      <c r="S23" s="2">
        <f t="shared" si="4"/>
        <v>1</v>
      </c>
      <c r="T23" s="4">
        <f t="shared" si="6"/>
        <v>42000.000000001288</v>
      </c>
      <c r="U23" s="2" t="str">
        <f t="shared" si="5"/>
        <v>Population: Orc - OrCares (42808)</v>
      </c>
      <c r="V23" s="1"/>
      <c r="W23" s="1"/>
      <c r="X23" s="1"/>
      <c r="Y23" s="1"/>
      <c r="Z23" s="1"/>
      <c r="AA23" s="2"/>
      <c r="AB23" s="2"/>
      <c r="AC23" s="2"/>
    </row>
    <row r="24" spans="1:29" ht="12.75" customHeight="1">
      <c r="A24" s="1"/>
      <c r="B24" s="5"/>
      <c r="C24" s="22">
        <v>42815</v>
      </c>
      <c r="D24" s="24" t="s">
        <v>53</v>
      </c>
      <c r="E24" s="26" t="s">
        <v>49</v>
      </c>
      <c r="F24" s="28">
        <v>2</v>
      </c>
      <c r="G24" s="29">
        <v>1</v>
      </c>
      <c r="H24" s="28">
        <v>5</v>
      </c>
      <c r="I24" s="29">
        <v>1</v>
      </c>
      <c r="J24" s="28">
        <v>18000</v>
      </c>
      <c r="K24" s="28">
        <v>20000</v>
      </c>
      <c r="L24" s="28" t="s">
        <v>70</v>
      </c>
      <c r="M24" s="5"/>
      <c r="N24" s="1"/>
      <c r="O24" s="4">
        <f t="shared" si="0"/>
        <v>3</v>
      </c>
      <c r="P24" s="4">
        <f t="shared" si="1"/>
        <v>0</v>
      </c>
      <c r="Q24" s="4">
        <f t="shared" si="2"/>
        <v>1</v>
      </c>
      <c r="R24" s="4">
        <f t="shared" si="3"/>
        <v>0</v>
      </c>
      <c r="S24" s="2">
        <f t="shared" si="4"/>
        <v>2</v>
      </c>
      <c r="T24" s="4">
        <f t="shared" si="6"/>
        <v>38000.000000001288</v>
      </c>
      <c r="U24" s="2" t="str">
        <f t="shared" si="5"/>
        <v>Ashtown Villains - Skyhaven Silverfoxes (42815)</v>
      </c>
      <c r="V24" s="1"/>
      <c r="W24" s="1"/>
      <c r="X24" s="1"/>
      <c r="Y24" s="1"/>
      <c r="Z24" s="1"/>
      <c r="AA24" s="2"/>
      <c r="AB24" s="2"/>
      <c r="AC24" s="2"/>
    </row>
    <row r="25" spans="1:29" ht="12.75" customHeight="1">
      <c r="A25" s="1"/>
      <c r="B25" s="5"/>
      <c r="C25" s="22">
        <v>42829</v>
      </c>
      <c r="D25" s="24" t="s">
        <v>46</v>
      </c>
      <c r="E25" s="26" t="s">
        <v>53</v>
      </c>
      <c r="F25" s="28">
        <v>2</v>
      </c>
      <c r="G25" s="29">
        <v>0</v>
      </c>
      <c r="H25" s="28">
        <v>1</v>
      </c>
      <c r="I25" s="29">
        <v>2</v>
      </c>
      <c r="J25" s="28"/>
      <c r="K25" s="28"/>
      <c r="L25" s="28" t="s">
        <v>70</v>
      </c>
      <c r="M25" s="5"/>
      <c r="N25" s="1"/>
      <c r="O25" s="4">
        <f t="shared" si="0"/>
        <v>3</v>
      </c>
      <c r="P25" s="4">
        <f t="shared" si="1"/>
        <v>0</v>
      </c>
      <c r="Q25" s="4">
        <f t="shared" si="2"/>
        <v>1</v>
      </c>
      <c r="R25" s="4">
        <f t="shared" si="3"/>
        <v>0</v>
      </c>
      <c r="S25" s="2">
        <f t="shared" si="4"/>
        <v>22</v>
      </c>
      <c r="T25" s="4">
        <f t="shared" si="6"/>
        <v>1.2857142456734707E-9</v>
      </c>
      <c r="U25" s="2" t="str">
        <f t="shared" si="5"/>
        <v>Guardians of the Nile - Ashtown Villains (42829)</v>
      </c>
      <c r="V25" s="1"/>
      <c r="W25" s="1"/>
      <c r="X25" s="1"/>
      <c r="Y25" s="1"/>
      <c r="Z25" s="1"/>
      <c r="AA25" s="2"/>
      <c r="AB25" s="2"/>
      <c r="AC25" s="2"/>
    </row>
    <row r="26" spans="1:29" ht="12.75" customHeight="1">
      <c r="A26" s="1"/>
      <c r="B26" s="5"/>
      <c r="C26" s="22"/>
      <c r="D26" s="24"/>
      <c r="E26" s="26"/>
      <c r="F26" s="28"/>
      <c r="G26" s="29"/>
      <c r="H26" s="28"/>
      <c r="I26" s="29"/>
      <c r="J26" s="28"/>
      <c r="K26" s="28"/>
      <c r="L26" s="28"/>
      <c r="M26" s="5"/>
      <c r="N26" s="1"/>
      <c r="O26" s="4">
        <f t="shared" si="0"/>
        <v>0</v>
      </c>
      <c r="P26" s="4">
        <f t="shared" si="1"/>
        <v>0</v>
      </c>
      <c r="Q26" s="4">
        <f t="shared" si="2"/>
        <v>0</v>
      </c>
      <c r="R26" s="4">
        <f t="shared" si="3"/>
        <v>0</v>
      </c>
      <c r="S26" s="2">
        <f t="shared" si="4"/>
        <v>-1</v>
      </c>
      <c r="T26" s="4">
        <f t="shared" si="6"/>
        <v>0</v>
      </c>
      <c r="U26" s="2" t="str">
        <f t="shared" si="5"/>
        <v xml:space="preserve"> - </v>
      </c>
      <c r="V26" s="1"/>
      <c r="W26" s="1"/>
      <c r="X26" s="1"/>
      <c r="Y26" s="1"/>
      <c r="Z26" s="1"/>
      <c r="AA26" s="2"/>
      <c r="AB26" s="2"/>
      <c r="AC26" s="2"/>
    </row>
    <row r="27" spans="1:29" ht="12.75" customHeight="1">
      <c r="A27" s="1"/>
      <c r="B27" s="5"/>
      <c r="C27" s="22"/>
      <c r="D27" s="24"/>
      <c r="E27" s="26"/>
      <c r="F27" s="28"/>
      <c r="G27" s="29"/>
      <c r="H27" s="28"/>
      <c r="I27" s="29"/>
      <c r="J27" s="28"/>
      <c r="K27" s="28"/>
      <c r="L27" s="28"/>
      <c r="M27" s="5"/>
      <c r="N27" s="1"/>
      <c r="O27" s="4">
        <f t="shared" si="0"/>
        <v>0</v>
      </c>
      <c r="P27" s="4">
        <f t="shared" si="1"/>
        <v>0</v>
      </c>
      <c r="Q27" s="4">
        <f t="shared" si="2"/>
        <v>0</v>
      </c>
      <c r="R27" s="4">
        <f t="shared" si="3"/>
        <v>0</v>
      </c>
      <c r="S27" s="2">
        <f t="shared" si="4"/>
        <v>-1</v>
      </c>
      <c r="T27" s="4">
        <f t="shared" si="6"/>
        <v>0</v>
      </c>
      <c r="U27" s="2" t="str">
        <f t="shared" si="5"/>
        <v xml:space="preserve"> - </v>
      </c>
      <c r="V27" s="1"/>
      <c r="W27" s="1"/>
      <c r="X27" s="1"/>
      <c r="Y27" s="1"/>
      <c r="Z27" s="1"/>
      <c r="AA27" s="2"/>
      <c r="AB27" s="2"/>
      <c r="AC27" s="2"/>
    </row>
    <row r="28" spans="1:29" ht="12.75" customHeight="1">
      <c r="A28" s="1"/>
      <c r="B28" s="5"/>
      <c r="C28" s="22"/>
      <c r="D28" s="24"/>
      <c r="E28" s="26"/>
      <c r="F28" s="28"/>
      <c r="G28" s="29"/>
      <c r="H28" s="28"/>
      <c r="I28" s="29"/>
      <c r="J28" s="28"/>
      <c r="K28" s="28"/>
      <c r="L28" s="28"/>
      <c r="M28" s="5"/>
      <c r="N28" s="1"/>
      <c r="O28" s="4">
        <f t="shared" si="0"/>
        <v>0</v>
      </c>
      <c r="P28" s="4">
        <f t="shared" si="1"/>
        <v>0</v>
      </c>
      <c r="Q28" s="4">
        <f t="shared" si="2"/>
        <v>0</v>
      </c>
      <c r="R28" s="4">
        <f t="shared" si="3"/>
        <v>0</v>
      </c>
      <c r="S28" s="2">
        <f t="shared" si="4"/>
        <v>-1</v>
      </c>
      <c r="T28" s="4">
        <f t="shared" si="6"/>
        <v>0</v>
      </c>
      <c r="U28" s="2" t="str">
        <f t="shared" si="5"/>
        <v xml:space="preserve"> - </v>
      </c>
      <c r="V28" s="1"/>
      <c r="W28" s="1"/>
      <c r="X28" s="1"/>
      <c r="Y28" s="1"/>
      <c r="Z28" s="1"/>
      <c r="AA28" s="2"/>
      <c r="AB28" s="2"/>
      <c r="AC28" s="2"/>
    </row>
    <row r="29" spans="1:29" ht="12.75" customHeight="1">
      <c r="A29" s="1"/>
      <c r="B29" s="5"/>
      <c r="C29" s="22"/>
      <c r="D29" s="24"/>
      <c r="E29" s="26"/>
      <c r="F29" s="28"/>
      <c r="G29" s="29"/>
      <c r="H29" s="28"/>
      <c r="I29" s="29"/>
      <c r="J29" s="28"/>
      <c r="K29" s="28"/>
      <c r="L29" s="28"/>
      <c r="M29" s="5"/>
      <c r="N29" s="1"/>
      <c r="O29" s="4">
        <f t="shared" si="0"/>
        <v>0</v>
      </c>
      <c r="P29" s="4">
        <f t="shared" si="1"/>
        <v>0</v>
      </c>
      <c r="Q29" s="4">
        <f t="shared" si="2"/>
        <v>0</v>
      </c>
      <c r="R29" s="4">
        <f t="shared" si="3"/>
        <v>0</v>
      </c>
      <c r="S29" s="2">
        <f t="shared" si="4"/>
        <v>-1</v>
      </c>
      <c r="T29" s="4">
        <f t="shared" si="6"/>
        <v>0</v>
      </c>
      <c r="U29" s="2" t="str">
        <f t="shared" si="5"/>
        <v xml:space="preserve"> - </v>
      </c>
      <c r="V29" s="1"/>
      <c r="W29" s="1"/>
      <c r="X29" s="1"/>
      <c r="Y29" s="1"/>
      <c r="Z29" s="1"/>
      <c r="AA29" s="2"/>
      <c r="AB29" s="2"/>
      <c r="AC29" s="2"/>
    </row>
    <row r="30" spans="1:29" ht="12.75" customHeight="1">
      <c r="A30" s="1"/>
      <c r="B30" s="5"/>
      <c r="C30" s="22"/>
      <c r="D30" s="24"/>
      <c r="E30" s="26"/>
      <c r="F30" s="28"/>
      <c r="G30" s="29"/>
      <c r="H30" s="28"/>
      <c r="I30" s="29"/>
      <c r="J30" s="28"/>
      <c r="K30" s="28"/>
      <c r="L30" s="28"/>
      <c r="M30" s="5"/>
      <c r="N30" s="1"/>
      <c r="O30" s="4">
        <f t="shared" si="0"/>
        <v>0</v>
      </c>
      <c r="P30" s="4">
        <f t="shared" si="1"/>
        <v>0</v>
      </c>
      <c r="Q30" s="4">
        <f t="shared" si="2"/>
        <v>0</v>
      </c>
      <c r="R30" s="4">
        <f t="shared" si="3"/>
        <v>0</v>
      </c>
      <c r="S30" s="2">
        <f t="shared" si="4"/>
        <v>-1</v>
      </c>
      <c r="T30" s="4">
        <f t="shared" si="6"/>
        <v>0</v>
      </c>
      <c r="U30" s="2" t="str">
        <f t="shared" si="5"/>
        <v xml:space="preserve"> - </v>
      </c>
      <c r="V30" s="1"/>
      <c r="W30" s="1"/>
      <c r="X30" s="1"/>
      <c r="Y30" s="1"/>
      <c r="Z30" s="1"/>
      <c r="AA30" s="2"/>
      <c r="AB30" s="2"/>
      <c r="AC30" s="2"/>
    </row>
    <row r="31" spans="1:29" ht="12.75" customHeight="1">
      <c r="A31" s="1"/>
      <c r="B31" s="5"/>
      <c r="C31" s="22"/>
      <c r="D31" s="24"/>
      <c r="E31" s="26"/>
      <c r="F31" s="28"/>
      <c r="G31" s="29"/>
      <c r="H31" s="28"/>
      <c r="I31" s="29"/>
      <c r="J31" s="28"/>
      <c r="K31" s="28"/>
      <c r="L31" s="28"/>
      <c r="M31" s="5"/>
      <c r="N31" s="1"/>
      <c r="O31" s="4">
        <f t="shared" si="0"/>
        <v>0</v>
      </c>
      <c r="P31" s="4">
        <f t="shared" si="1"/>
        <v>0</v>
      </c>
      <c r="Q31" s="4">
        <f t="shared" si="2"/>
        <v>0</v>
      </c>
      <c r="R31" s="4">
        <f t="shared" si="3"/>
        <v>0</v>
      </c>
      <c r="S31" s="2">
        <f t="shared" si="4"/>
        <v>-1</v>
      </c>
      <c r="T31" s="4">
        <f t="shared" si="6"/>
        <v>0</v>
      </c>
      <c r="U31" s="2" t="str">
        <f t="shared" si="5"/>
        <v xml:space="preserve"> - </v>
      </c>
      <c r="V31" s="1"/>
      <c r="W31" s="1"/>
      <c r="X31" s="1"/>
      <c r="Y31" s="1"/>
      <c r="Z31" s="1"/>
      <c r="AA31" s="2"/>
      <c r="AB31" s="2"/>
      <c r="AC31" s="2"/>
    </row>
    <row r="32" spans="1:29" ht="12.75" customHeight="1">
      <c r="A32" s="1"/>
      <c r="B32" s="5"/>
      <c r="C32" s="22"/>
      <c r="D32" s="24"/>
      <c r="E32" s="26"/>
      <c r="F32" s="28"/>
      <c r="G32" s="29"/>
      <c r="H32" s="28"/>
      <c r="I32" s="29"/>
      <c r="J32" s="28"/>
      <c r="K32" s="28"/>
      <c r="L32" s="28"/>
      <c r="M32" s="5"/>
      <c r="N32" s="1"/>
      <c r="O32" s="4">
        <f t="shared" si="0"/>
        <v>0</v>
      </c>
      <c r="P32" s="4">
        <f t="shared" si="1"/>
        <v>0</v>
      </c>
      <c r="Q32" s="4">
        <f t="shared" si="2"/>
        <v>0</v>
      </c>
      <c r="R32" s="4">
        <f t="shared" si="3"/>
        <v>0</v>
      </c>
      <c r="S32" s="2">
        <f t="shared" si="4"/>
        <v>-1</v>
      </c>
      <c r="T32" s="4">
        <f t="shared" si="6"/>
        <v>0</v>
      </c>
      <c r="U32" s="2" t="str">
        <f t="shared" si="5"/>
        <v xml:space="preserve"> - </v>
      </c>
      <c r="V32" s="1"/>
      <c r="W32" s="1"/>
      <c r="X32" s="1"/>
      <c r="Y32" s="1"/>
      <c r="Z32" s="1"/>
      <c r="AA32" s="2"/>
      <c r="AB32" s="2"/>
      <c r="AC32" s="2"/>
    </row>
    <row r="33" spans="1:29" ht="12.75" customHeight="1">
      <c r="A33" s="1"/>
      <c r="B33" s="5"/>
      <c r="C33" s="22"/>
      <c r="D33" s="24"/>
      <c r="E33" s="26"/>
      <c r="F33" s="28"/>
      <c r="G33" s="29"/>
      <c r="H33" s="28"/>
      <c r="I33" s="29"/>
      <c r="J33" s="28"/>
      <c r="K33" s="28"/>
      <c r="L33" s="28"/>
      <c r="M33" s="5"/>
      <c r="N33" s="1"/>
      <c r="O33" s="4">
        <f t="shared" si="0"/>
        <v>0</v>
      </c>
      <c r="P33" s="4">
        <f t="shared" si="1"/>
        <v>0</v>
      </c>
      <c r="Q33" s="4">
        <f t="shared" si="2"/>
        <v>0</v>
      </c>
      <c r="R33" s="4">
        <f t="shared" si="3"/>
        <v>0</v>
      </c>
      <c r="S33" s="2">
        <f t="shared" si="4"/>
        <v>-1</v>
      </c>
      <c r="T33" s="4">
        <f t="shared" si="6"/>
        <v>0</v>
      </c>
      <c r="U33" s="2" t="str">
        <f t="shared" si="5"/>
        <v xml:space="preserve"> - </v>
      </c>
      <c r="V33" s="1"/>
      <c r="W33" s="1"/>
      <c r="X33" s="1"/>
      <c r="Y33" s="1"/>
      <c r="Z33" s="1"/>
      <c r="AA33" s="2"/>
      <c r="AB33" s="2"/>
      <c r="AC33" s="2"/>
    </row>
    <row r="34" spans="1:29" ht="12.75" customHeight="1">
      <c r="A34" s="1"/>
      <c r="B34" s="5"/>
      <c r="C34" s="22"/>
      <c r="D34" s="24"/>
      <c r="E34" s="26"/>
      <c r="F34" s="28"/>
      <c r="G34" s="29"/>
      <c r="H34" s="28"/>
      <c r="I34" s="29"/>
      <c r="J34" s="28"/>
      <c r="K34" s="28"/>
      <c r="L34" s="28"/>
      <c r="M34" s="5"/>
      <c r="N34" s="1"/>
      <c r="O34" s="4">
        <f t="shared" si="0"/>
        <v>0</v>
      </c>
      <c r="P34" s="4">
        <f t="shared" si="1"/>
        <v>0</v>
      </c>
      <c r="Q34" s="4">
        <f t="shared" si="2"/>
        <v>0</v>
      </c>
      <c r="R34" s="4">
        <f t="shared" si="3"/>
        <v>0</v>
      </c>
      <c r="S34" s="2">
        <f t="shared" si="4"/>
        <v>-1</v>
      </c>
      <c r="T34" s="4">
        <f t="shared" si="6"/>
        <v>0</v>
      </c>
      <c r="U34" s="2" t="str">
        <f t="shared" si="5"/>
        <v xml:space="preserve"> - </v>
      </c>
      <c r="V34" s="1"/>
      <c r="W34" s="1"/>
      <c r="X34" s="1"/>
      <c r="Y34" s="1"/>
      <c r="Z34" s="1"/>
      <c r="AA34" s="2"/>
      <c r="AB34" s="2"/>
      <c r="AC34" s="2"/>
    </row>
    <row r="35" spans="1:29" ht="12.75" customHeight="1">
      <c r="A35" s="1"/>
      <c r="B35" s="5"/>
      <c r="C35" s="22"/>
      <c r="D35" s="24"/>
      <c r="E35" s="26"/>
      <c r="F35" s="28"/>
      <c r="G35" s="29"/>
      <c r="H35" s="28"/>
      <c r="I35" s="29"/>
      <c r="J35" s="28"/>
      <c r="K35" s="28"/>
      <c r="L35" s="28"/>
      <c r="M35" s="5"/>
      <c r="N35" s="1"/>
      <c r="O35" s="4">
        <f t="shared" si="0"/>
        <v>0</v>
      </c>
      <c r="P35" s="4">
        <f t="shared" si="1"/>
        <v>0</v>
      </c>
      <c r="Q35" s="4">
        <f t="shared" si="2"/>
        <v>0</v>
      </c>
      <c r="R35" s="4">
        <f t="shared" si="3"/>
        <v>0</v>
      </c>
      <c r="S35" s="2">
        <f t="shared" si="4"/>
        <v>-1</v>
      </c>
      <c r="T35" s="4">
        <f t="shared" si="6"/>
        <v>0</v>
      </c>
      <c r="U35" s="2" t="str">
        <f t="shared" si="5"/>
        <v xml:space="preserve"> - </v>
      </c>
      <c r="V35" s="1"/>
      <c r="W35" s="1"/>
      <c r="X35" s="1"/>
      <c r="Y35" s="1"/>
      <c r="Z35" s="1"/>
      <c r="AA35" s="2"/>
      <c r="AB35" s="2"/>
      <c r="AC35" s="2"/>
    </row>
    <row r="36" spans="1:29" ht="12.75" customHeight="1">
      <c r="A36" s="1"/>
      <c r="B36" s="5"/>
      <c r="C36" s="22"/>
      <c r="D36" s="24"/>
      <c r="E36" s="26"/>
      <c r="F36" s="28"/>
      <c r="G36" s="29"/>
      <c r="H36" s="28"/>
      <c r="I36" s="29"/>
      <c r="J36" s="28"/>
      <c r="K36" s="28"/>
      <c r="L36" s="28"/>
      <c r="M36" s="5"/>
      <c r="N36" s="1"/>
      <c r="O36" s="4">
        <f t="shared" si="0"/>
        <v>0</v>
      </c>
      <c r="P36" s="4">
        <f t="shared" si="1"/>
        <v>0</v>
      </c>
      <c r="Q36" s="4">
        <f t="shared" si="2"/>
        <v>0</v>
      </c>
      <c r="R36" s="4">
        <f t="shared" si="3"/>
        <v>0</v>
      </c>
      <c r="S36" s="2">
        <f t="shared" si="4"/>
        <v>-1</v>
      </c>
      <c r="T36" s="4">
        <f t="shared" si="6"/>
        <v>0</v>
      </c>
      <c r="U36" s="2" t="str">
        <f t="shared" si="5"/>
        <v xml:space="preserve"> - </v>
      </c>
      <c r="V36" s="1"/>
      <c r="W36" s="1"/>
      <c r="X36" s="1"/>
      <c r="Y36" s="1"/>
      <c r="Z36" s="1"/>
      <c r="AA36" s="2"/>
      <c r="AB36" s="2"/>
      <c r="AC36" s="2"/>
    </row>
    <row r="37" spans="1:29" ht="12.75" customHeight="1">
      <c r="A37" s="1"/>
      <c r="B37" s="5"/>
      <c r="C37" s="22"/>
      <c r="D37" s="24"/>
      <c r="E37" s="26"/>
      <c r="F37" s="28"/>
      <c r="G37" s="29"/>
      <c r="H37" s="28"/>
      <c r="I37" s="29"/>
      <c r="J37" s="28"/>
      <c r="K37" s="28"/>
      <c r="L37" s="28"/>
      <c r="M37" s="5"/>
      <c r="N37" s="1"/>
      <c r="O37" s="4">
        <f t="shared" si="0"/>
        <v>0</v>
      </c>
      <c r="P37" s="4">
        <f t="shared" si="1"/>
        <v>0</v>
      </c>
      <c r="Q37" s="4">
        <f t="shared" si="2"/>
        <v>0</v>
      </c>
      <c r="R37" s="4">
        <f t="shared" si="3"/>
        <v>0</v>
      </c>
      <c r="S37" s="2">
        <f t="shared" si="4"/>
        <v>-1</v>
      </c>
      <c r="T37" s="4">
        <f t="shared" si="6"/>
        <v>0</v>
      </c>
      <c r="U37" s="2" t="str">
        <f t="shared" si="5"/>
        <v xml:space="preserve"> - </v>
      </c>
      <c r="V37" s="1"/>
      <c r="W37" s="1"/>
      <c r="X37" s="1"/>
      <c r="Y37" s="1"/>
      <c r="Z37" s="1"/>
      <c r="AA37" s="2"/>
      <c r="AB37" s="2"/>
      <c r="AC37" s="2"/>
    </row>
    <row r="38" spans="1:29" ht="12.75" customHeight="1">
      <c r="A38" s="1"/>
      <c r="B38" s="5"/>
      <c r="C38" s="22"/>
      <c r="D38" s="24"/>
      <c r="E38" s="26"/>
      <c r="F38" s="28"/>
      <c r="G38" s="29"/>
      <c r="H38" s="28"/>
      <c r="I38" s="29"/>
      <c r="J38" s="28"/>
      <c r="K38" s="28"/>
      <c r="L38" s="28"/>
      <c r="M38" s="5"/>
      <c r="N38" s="1"/>
      <c r="O38" s="4">
        <f t="shared" si="0"/>
        <v>0</v>
      </c>
      <c r="P38" s="4">
        <f t="shared" si="1"/>
        <v>0</v>
      </c>
      <c r="Q38" s="4">
        <f t="shared" si="2"/>
        <v>0</v>
      </c>
      <c r="R38" s="4">
        <f t="shared" si="3"/>
        <v>0</v>
      </c>
      <c r="S38" s="2">
        <f t="shared" si="4"/>
        <v>-1</v>
      </c>
      <c r="T38" s="4">
        <f t="shared" si="6"/>
        <v>0</v>
      </c>
      <c r="U38" s="2" t="str">
        <f t="shared" si="5"/>
        <v xml:space="preserve"> - </v>
      </c>
      <c r="V38" s="1"/>
      <c r="W38" s="1"/>
      <c r="X38" s="1"/>
      <c r="Y38" s="1"/>
      <c r="Z38" s="1"/>
      <c r="AA38" s="2"/>
      <c r="AB38" s="2"/>
      <c r="AC38" s="2"/>
    </row>
    <row r="39" spans="1:29" ht="12.75" customHeight="1">
      <c r="A39" s="1"/>
      <c r="B39" s="5"/>
      <c r="C39" s="22"/>
      <c r="D39" s="24"/>
      <c r="E39" s="26"/>
      <c r="F39" s="28"/>
      <c r="G39" s="29"/>
      <c r="H39" s="28"/>
      <c r="I39" s="29"/>
      <c r="J39" s="28"/>
      <c r="K39" s="28"/>
      <c r="L39" s="28"/>
      <c r="M39" s="5"/>
      <c r="N39" s="1"/>
      <c r="O39" s="4">
        <f t="shared" si="0"/>
        <v>0</v>
      </c>
      <c r="P39" s="4">
        <f t="shared" si="1"/>
        <v>0</v>
      </c>
      <c r="Q39" s="4">
        <f t="shared" si="2"/>
        <v>0</v>
      </c>
      <c r="R39" s="4">
        <f t="shared" si="3"/>
        <v>0</v>
      </c>
      <c r="S39" s="2">
        <f t="shared" si="4"/>
        <v>-1</v>
      </c>
      <c r="T39" s="4">
        <f t="shared" si="6"/>
        <v>0</v>
      </c>
      <c r="U39" s="2" t="str">
        <f t="shared" si="5"/>
        <v xml:space="preserve"> - </v>
      </c>
      <c r="V39" s="1"/>
      <c r="W39" s="1"/>
      <c r="X39" s="1"/>
      <c r="Y39" s="1"/>
      <c r="Z39" s="1"/>
      <c r="AA39" s="2"/>
      <c r="AB39" s="2"/>
      <c r="AC39" s="2"/>
    </row>
    <row r="40" spans="1:29" ht="12.75" customHeight="1">
      <c r="A40" s="1"/>
      <c r="B40" s="5"/>
      <c r="C40" s="22"/>
      <c r="D40" s="24"/>
      <c r="E40" s="26"/>
      <c r="F40" s="28"/>
      <c r="G40" s="29"/>
      <c r="H40" s="28"/>
      <c r="I40" s="29"/>
      <c r="J40" s="28"/>
      <c r="K40" s="28"/>
      <c r="L40" s="28"/>
      <c r="M40" s="5"/>
      <c r="N40" s="1"/>
      <c r="O40" s="4">
        <f t="shared" si="0"/>
        <v>0</v>
      </c>
      <c r="P40" s="4">
        <f t="shared" si="1"/>
        <v>0</v>
      </c>
      <c r="Q40" s="4">
        <f t="shared" si="2"/>
        <v>0</v>
      </c>
      <c r="R40" s="4">
        <f t="shared" si="3"/>
        <v>0</v>
      </c>
      <c r="S40" s="2">
        <f t="shared" si="4"/>
        <v>-1</v>
      </c>
      <c r="T40" s="4">
        <f t="shared" si="6"/>
        <v>0</v>
      </c>
      <c r="U40" s="2" t="str">
        <f t="shared" si="5"/>
        <v xml:space="preserve"> - </v>
      </c>
      <c r="V40" s="1"/>
      <c r="W40" s="1"/>
      <c r="X40" s="1"/>
      <c r="Y40" s="1"/>
      <c r="Z40" s="1"/>
      <c r="AA40" s="2"/>
      <c r="AB40" s="2"/>
      <c r="AC40" s="2"/>
    </row>
    <row r="41" spans="1:29" ht="12.75" customHeight="1">
      <c r="A41" s="1"/>
      <c r="B41" s="5"/>
      <c r="C41" s="22"/>
      <c r="D41" s="24"/>
      <c r="E41" s="26"/>
      <c r="F41" s="28"/>
      <c r="G41" s="29"/>
      <c r="H41" s="28"/>
      <c r="I41" s="29"/>
      <c r="J41" s="28"/>
      <c r="K41" s="28"/>
      <c r="L41" s="28"/>
      <c r="M41" s="5"/>
      <c r="N41" s="1"/>
      <c r="O41" s="4">
        <f t="shared" si="0"/>
        <v>0</v>
      </c>
      <c r="P41" s="4">
        <f t="shared" si="1"/>
        <v>0</v>
      </c>
      <c r="Q41" s="4">
        <f t="shared" si="2"/>
        <v>0</v>
      </c>
      <c r="R41" s="4">
        <f t="shared" si="3"/>
        <v>0</v>
      </c>
      <c r="S41" s="2">
        <f t="shared" si="4"/>
        <v>-1</v>
      </c>
      <c r="T41" s="4">
        <f t="shared" si="6"/>
        <v>0</v>
      </c>
      <c r="U41" s="2" t="str">
        <f t="shared" si="5"/>
        <v xml:space="preserve"> - </v>
      </c>
      <c r="V41" s="1"/>
      <c r="W41" s="1"/>
      <c r="X41" s="1"/>
      <c r="Y41" s="1"/>
      <c r="Z41" s="1"/>
      <c r="AA41" s="2"/>
      <c r="AB41" s="2"/>
      <c r="AC41" s="2"/>
    </row>
    <row r="42" spans="1:29" ht="12.75" customHeight="1">
      <c r="A42" s="1"/>
      <c r="B42" s="5"/>
      <c r="C42" s="22"/>
      <c r="D42" s="24"/>
      <c r="E42" s="26"/>
      <c r="F42" s="28"/>
      <c r="G42" s="29"/>
      <c r="H42" s="28"/>
      <c r="I42" s="29"/>
      <c r="J42" s="28"/>
      <c r="K42" s="28"/>
      <c r="L42" s="28"/>
      <c r="M42" s="5"/>
      <c r="N42" s="1"/>
      <c r="O42" s="4">
        <f t="shared" si="0"/>
        <v>0</v>
      </c>
      <c r="P42" s="4">
        <f t="shared" si="1"/>
        <v>0</v>
      </c>
      <c r="Q42" s="4">
        <f t="shared" si="2"/>
        <v>0</v>
      </c>
      <c r="R42" s="4">
        <f t="shared" si="3"/>
        <v>0</v>
      </c>
      <c r="S42" s="2">
        <f t="shared" si="4"/>
        <v>-1</v>
      </c>
      <c r="T42" s="4">
        <f t="shared" si="6"/>
        <v>0</v>
      </c>
      <c r="U42" s="2" t="str">
        <f t="shared" si="5"/>
        <v xml:space="preserve"> - </v>
      </c>
      <c r="V42" s="1"/>
      <c r="W42" s="1"/>
      <c r="X42" s="1"/>
      <c r="Y42" s="1"/>
      <c r="Z42" s="1"/>
      <c r="AA42" s="2"/>
      <c r="AB42" s="2"/>
      <c r="AC42" s="2"/>
    </row>
    <row r="43" spans="1:29" ht="12.75" customHeight="1">
      <c r="A43" s="1"/>
      <c r="B43" s="5"/>
      <c r="C43" s="22"/>
      <c r="D43" s="24"/>
      <c r="E43" s="26"/>
      <c r="F43" s="28"/>
      <c r="G43" s="29"/>
      <c r="H43" s="28"/>
      <c r="I43" s="29"/>
      <c r="J43" s="28"/>
      <c r="K43" s="28"/>
      <c r="L43" s="28"/>
      <c r="M43" s="5"/>
      <c r="N43" s="1"/>
      <c r="O43" s="4">
        <f t="shared" si="0"/>
        <v>0</v>
      </c>
      <c r="P43" s="4">
        <f t="shared" si="1"/>
        <v>0</v>
      </c>
      <c r="Q43" s="4">
        <f t="shared" si="2"/>
        <v>0</v>
      </c>
      <c r="R43" s="4">
        <f t="shared" si="3"/>
        <v>0</v>
      </c>
      <c r="S43" s="2">
        <f t="shared" si="4"/>
        <v>-1</v>
      </c>
      <c r="T43" s="4">
        <f t="shared" si="6"/>
        <v>0</v>
      </c>
      <c r="U43" s="2" t="str">
        <f t="shared" si="5"/>
        <v xml:space="preserve"> - </v>
      </c>
      <c r="V43" s="1"/>
      <c r="W43" s="1"/>
      <c r="X43" s="1"/>
      <c r="Y43" s="1"/>
      <c r="Z43" s="1"/>
      <c r="AA43" s="2"/>
      <c r="AB43" s="2"/>
      <c r="AC43" s="2"/>
    </row>
    <row r="44" spans="1:29" ht="12.75" customHeight="1">
      <c r="A44" s="1"/>
      <c r="B44" s="5"/>
      <c r="C44" s="22"/>
      <c r="D44" s="24"/>
      <c r="E44" s="26"/>
      <c r="F44" s="28"/>
      <c r="G44" s="29"/>
      <c r="H44" s="28"/>
      <c r="I44" s="29"/>
      <c r="J44" s="28"/>
      <c r="K44" s="28"/>
      <c r="L44" s="28"/>
      <c r="M44" s="5"/>
      <c r="N44" s="1"/>
      <c r="O44" s="4">
        <f t="shared" si="0"/>
        <v>0</v>
      </c>
      <c r="P44" s="4">
        <f t="shared" si="1"/>
        <v>0</v>
      </c>
      <c r="Q44" s="4">
        <f t="shared" si="2"/>
        <v>0</v>
      </c>
      <c r="R44" s="4">
        <f t="shared" si="3"/>
        <v>0</v>
      </c>
      <c r="S44" s="2">
        <f t="shared" si="4"/>
        <v>-1</v>
      </c>
      <c r="T44" s="4">
        <f t="shared" si="6"/>
        <v>0</v>
      </c>
      <c r="U44" s="2" t="str">
        <f t="shared" si="5"/>
        <v xml:space="preserve"> - </v>
      </c>
      <c r="V44" s="1"/>
      <c r="W44" s="1"/>
      <c r="X44" s="1"/>
      <c r="Y44" s="1"/>
      <c r="Z44" s="1"/>
      <c r="AA44" s="2"/>
      <c r="AB44" s="2"/>
      <c r="AC44" s="2"/>
    </row>
    <row r="45" spans="1:29" ht="12.75" customHeight="1">
      <c r="A45" s="1"/>
      <c r="B45" s="5"/>
      <c r="C45" s="22"/>
      <c r="D45" s="24"/>
      <c r="E45" s="26"/>
      <c r="F45" s="28"/>
      <c r="G45" s="29"/>
      <c r="H45" s="28"/>
      <c r="I45" s="29"/>
      <c r="J45" s="28"/>
      <c r="K45" s="28"/>
      <c r="L45" s="28"/>
      <c r="M45" s="5"/>
      <c r="N45" s="1"/>
      <c r="O45" s="4">
        <f t="shared" si="0"/>
        <v>0</v>
      </c>
      <c r="P45" s="4">
        <f t="shared" si="1"/>
        <v>0</v>
      </c>
      <c r="Q45" s="4">
        <f t="shared" si="2"/>
        <v>0</v>
      </c>
      <c r="R45" s="4">
        <f t="shared" si="3"/>
        <v>0</v>
      </c>
      <c r="S45" s="2">
        <f t="shared" si="4"/>
        <v>-1</v>
      </c>
      <c r="T45" s="4">
        <f t="shared" si="6"/>
        <v>0</v>
      </c>
      <c r="U45" s="2" t="str">
        <f t="shared" si="5"/>
        <v xml:space="preserve"> - </v>
      </c>
      <c r="V45" s="1"/>
      <c r="W45" s="1"/>
      <c r="X45" s="1"/>
      <c r="Y45" s="1"/>
      <c r="Z45" s="1"/>
      <c r="AA45" s="2"/>
      <c r="AB45" s="2"/>
      <c r="AC45" s="2"/>
    </row>
    <row r="46" spans="1:29" ht="12.75" customHeight="1">
      <c r="A46" s="1"/>
      <c r="B46" s="5"/>
      <c r="C46" s="22"/>
      <c r="D46" s="24"/>
      <c r="E46" s="26"/>
      <c r="F46" s="28"/>
      <c r="G46" s="29"/>
      <c r="H46" s="28"/>
      <c r="I46" s="29"/>
      <c r="J46" s="28"/>
      <c r="K46" s="28"/>
      <c r="L46" s="28"/>
      <c r="M46" s="5"/>
      <c r="N46" s="1"/>
      <c r="O46" s="4">
        <f t="shared" si="0"/>
        <v>0</v>
      </c>
      <c r="P46" s="4">
        <f t="shared" si="1"/>
        <v>0</v>
      </c>
      <c r="Q46" s="4">
        <f t="shared" si="2"/>
        <v>0</v>
      </c>
      <c r="R46" s="4">
        <f t="shared" si="3"/>
        <v>0</v>
      </c>
      <c r="S46" s="2">
        <f t="shared" si="4"/>
        <v>-1</v>
      </c>
      <c r="T46" s="4">
        <f t="shared" si="6"/>
        <v>0</v>
      </c>
      <c r="U46" s="2" t="str">
        <f t="shared" si="5"/>
        <v xml:space="preserve"> - </v>
      </c>
      <c r="V46" s="1"/>
      <c r="W46" s="1"/>
      <c r="X46" s="1"/>
      <c r="Y46" s="1"/>
      <c r="Z46" s="1"/>
      <c r="AA46" s="2"/>
      <c r="AB46" s="2"/>
      <c r="AC46" s="2"/>
    </row>
    <row r="47" spans="1:29" ht="12.75" customHeight="1">
      <c r="A47" s="1"/>
      <c r="B47" s="5"/>
      <c r="C47" s="22"/>
      <c r="D47" s="24"/>
      <c r="E47" s="26"/>
      <c r="F47" s="28"/>
      <c r="G47" s="29"/>
      <c r="H47" s="28"/>
      <c r="I47" s="29"/>
      <c r="J47" s="28"/>
      <c r="K47" s="28"/>
      <c r="L47" s="28"/>
      <c r="M47" s="5"/>
      <c r="N47" s="1"/>
      <c r="O47" s="4">
        <f t="shared" si="0"/>
        <v>0</v>
      </c>
      <c r="P47" s="4">
        <f t="shared" si="1"/>
        <v>0</v>
      </c>
      <c r="Q47" s="4">
        <f t="shared" si="2"/>
        <v>0</v>
      </c>
      <c r="R47" s="4">
        <f t="shared" si="3"/>
        <v>0</v>
      </c>
      <c r="S47" s="2">
        <f t="shared" si="4"/>
        <v>-1</v>
      </c>
      <c r="T47" s="4">
        <f t="shared" si="6"/>
        <v>0</v>
      </c>
      <c r="U47" s="2" t="str">
        <f t="shared" si="5"/>
        <v xml:space="preserve"> - </v>
      </c>
      <c r="V47" s="1"/>
      <c r="W47" s="1"/>
      <c r="X47" s="1"/>
      <c r="Y47" s="1"/>
      <c r="Z47" s="1"/>
      <c r="AA47" s="2"/>
      <c r="AB47" s="2"/>
      <c r="AC47" s="2"/>
    </row>
    <row r="48" spans="1:29" ht="12.75" customHeight="1">
      <c r="A48" s="1"/>
      <c r="B48" s="5"/>
      <c r="C48" s="22"/>
      <c r="D48" s="24"/>
      <c r="E48" s="26"/>
      <c r="F48" s="28"/>
      <c r="G48" s="29"/>
      <c r="H48" s="28"/>
      <c r="I48" s="29"/>
      <c r="J48" s="28"/>
      <c r="K48" s="28"/>
      <c r="L48" s="28"/>
      <c r="M48" s="5"/>
      <c r="N48" s="1"/>
      <c r="O48" s="4">
        <f t="shared" si="0"/>
        <v>0</v>
      </c>
      <c r="P48" s="4">
        <f t="shared" si="1"/>
        <v>0</v>
      </c>
      <c r="Q48" s="4">
        <f t="shared" si="2"/>
        <v>0</v>
      </c>
      <c r="R48" s="4">
        <f t="shared" si="3"/>
        <v>0</v>
      </c>
      <c r="S48" s="2">
        <f t="shared" si="4"/>
        <v>-1</v>
      </c>
      <c r="T48" s="4">
        <f t="shared" si="6"/>
        <v>0</v>
      </c>
      <c r="U48" s="2" t="str">
        <f t="shared" si="5"/>
        <v xml:space="preserve"> - </v>
      </c>
      <c r="V48" s="1"/>
      <c r="W48" s="1"/>
      <c r="X48" s="1"/>
      <c r="Y48" s="1"/>
      <c r="Z48" s="1"/>
      <c r="AA48" s="2"/>
      <c r="AB48" s="2"/>
      <c r="AC48" s="2"/>
    </row>
    <row r="49" spans="1:29" ht="12.75" customHeight="1">
      <c r="A49" s="1"/>
      <c r="B49" s="5"/>
      <c r="C49" s="22"/>
      <c r="D49" s="24"/>
      <c r="E49" s="26"/>
      <c r="F49" s="28"/>
      <c r="G49" s="29"/>
      <c r="H49" s="28"/>
      <c r="I49" s="29"/>
      <c r="J49" s="28"/>
      <c r="K49" s="28"/>
      <c r="L49" s="28"/>
      <c r="M49" s="5"/>
      <c r="N49" s="1"/>
      <c r="O49" s="4">
        <f t="shared" si="0"/>
        <v>0</v>
      </c>
      <c r="P49" s="4">
        <f t="shared" si="1"/>
        <v>0</v>
      </c>
      <c r="Q49" s="4">
        <f t="shared" si="2"/>
        <v>0</v>
      </c>
      <c r="R49" s="4">
        <f t="shared" si="3"/>
        <v>0</v>
      </c>
      <c r="S49" s="2">
        <f t="shared" si="4"/>
        <v>-1</v>
      </c>
      <c r="T49" s="4">
        <f t="shared" si="6"/>
        <v>0</v>
      </c>
      <c r="U49" s="2" t="str">
        <f t="shared" si="5"/>
        <v xml:space="preserve"> - </v>
      </c>
      <c r="V49" s="1"/>
      <c r="W49" s="1"/>
      <c r="X49" s="1"/>
      <c r="Y49" s="1"/>
      <c r="Z49" s="1"/>
      <c r="AA49" s="2"/>
      <c r="AB49" s="2"/>
      <c r="AC49" s="2"/>
    </row>
    <row r="50" spans="1:29" ht="12.75" customHeight="1">
      <c r="A50" s="1"/>
      <c r="B50" s="5"/>
      <c r="C50" s="22"/>
      <c r="D50" s="24"/>
      <c r="E50" s="26"/>
      <c r="F50" s="28"/>
      <c r="G50" s="29"/>
      <c r="H50" s="28"/>
      <c r="I50" s="29"/>
      <c r="J50" s="28"/>
      <c r="K50" s="28"/>
      <c r="L50" s="28"/>
      <c r="M50" s="5"/>
      <c r="N50" s="1"/>
      <c r="O50" s="4">
        <f t="shared" si="0"/>
        <v>0</v>
      </c>
      <c r="P50" s="4">
        <f t="shared" si="1"/>
        <v>0</v>
      </c>
      <c r="Q50" s="4">
        <f t="shared" si="2"/>
        <v>0</v>
      </c>
      <c r="R50" s="4">
        <f t="shared" si="3"/>
        <v>0</v>
      </c>
      <c r="S50" s="2">
        <f t="shared" si="4"/>
        <v>-1</v>
      </c>
      <c r="T50" s="4">
        <f t="shared" si="6"/>
        <v>0</v>
      </c>
      <c r="U50" s="2" t="str">
        <f t="shared" si="5"/>
        <v xml:space="preserve"> - </v>
      </c>
      <c r="V50" s="1"/>
      <c r="W50" s="1"/>
      <c r="X50" s="1"/>
      <c r="Y50" s="1"/>
      <c r="Z50" s="1"/>
      <c r="AA50" s="2"/>
      <c r="AB50" s="2"/>
      <c r="AC50" s="2"/>
    </row>
    <row r="51" spans="1:29" ht="12.75" customHeight="1">
      <c r="A51" s="1"/>
      <c r="B51" s="5"/>
      <c r="C51" s="22"/>
      <c r="D51" s="24"/>
      <c r="E51" s="26"/>
      <c r="F51" s="28"/>
      <c r="G51" s="29"/>
      <c r="H51" s="28"/>
      <c r="I51" s="29"/>
      <c r="J51" s="28"/>
      <c r="K51" s="28"/>
      <c r="L51" s="28"/>
      <c r="M51" s="5"/>
      <c r="N51" s="1"/>
      <c r="O51" s="4">
        <f t="shared" si="0"/>
        <v>0</v>
      </c>
      <c r="P51" s="4">
        <f t="shared" si="1"/>
        <v>0</v>
      </c>
      <c r="Q51" s="4">
        <f t="shared" si="2"/>
        <v>0</v>
      </c>
      <c r="R51" s="4">
        <f t="shared" si="3"/>
        <v>0</v>
      </c>
      <c r="S51" s="2">
        <f t="shared" si="4"/>
        <v>-1</v>
      </c>
      <c r="T51" s="4">
        <f t="shared" si="6"/>
        <v>0</v>
      </c>
      <c r="U51" s="2" t="str">
        <f t="shared" si="5"/>
        <v xml:space="preserve"> - </v>
      </c>
      <c r="V51" s="1"/>
      <c r="W51" s="1"/>
      <c r="X51" s="1"/>
      <c r="Y51" s="1"/>
      <c r="Z51" s="1"/>
      <c r="AA51" s="2"/>
      <c r="AB51" s="2"/>
      <c r="AC51" s="2"/>
    </row>
    <row r="52" spans="1:29" ht="12.75" customHeight="1">
      <c r="A52" s="1"/>
      <c r="B52" s="5"/>
      <c r="C52" s="22"/>
      <c r="D52" s="24"/>
      <c r="E52" s="26"/>
      <c r="F52" s="28"/>
      <c r="G52" s="29"/>
      <c r="H52" s="28"/>
      <c r="I52" s="29"/>
      <c r="J52" s="28"/>
      <c r="K52" s="28"/>
      <c r="L52" s="28"/>
      <c r="M52" s="5"/>
      <c r="N52" s="1"/>
      <c r="O52" s="4">
        <f t="shared" si="0"/>
        <v>0</v>
      </c>
      <c r="P52" s="4">
        <f t="shared" si="1"/>
        <v>0</v>
      </c>
      <c r="Q52" s="4">
        <f t="shared" si="2"/>
        <v>0</v>
      </c>
      <c r="R52" s="4">
        <f t="shared" si="3"/>
        <v>0</v>
      </c>
      <c r="S52" s="2">
        <f t="shared" si="4"/>
        <v>-1</v>
      </c>
      <c r="T52" s="4">
        <f t="shared" si="6"/>
        <v>0</v>
      </c>
      <c r="U52" s="2" t="str">
        <f t="shared" si="5"/>
        <v xml:space="preserve"> - </v>
      </c>
      <c r="V52" s="1"/>
      <c r="W52" s="1"/>
      <c r="X52" s="1"/>
      <c r="Y52" s="1"/>
      <c r="Z52" s="1"/>
      <c r="AA52" s="2"/>
      <c r="AB52" s="2"/>
      <c r="AC52" s="2"/>
    </row>
    <row r="53" spans="1:29" ht="12.75" customHeight="1">
      <c r="A53" s="1"/>
      <c r="B53" s="5"/>
      <c r="C53" s="22"/>
      <c r="D53" s="24"/>
      <c r="E53" s="26"/>
      <c r="F53" s="28"/>
      <c r="G53" s="29"/>
      <c r="H53" s="28"/>
      <c r="I53" s="29"/>
      <c r="J53" s="28"/>
      <c r="K53" s="28"/>
      <c r="L53" s="28"/>
      <c r="M53" s="5"/>
      <c r="N53" s="1"/>
      <c r="O53" s="4">
        <f t="shared" si="0"/>
        <v>0</v>
      </c>
      <c r="P53" s="4">
        <f t="shared" si="1"/>
        <v>0</v>
      </c>
      <c r="Q53" s="4">
        <f t="shared" si="2"/>
        <v>0</v>
      </c>
      <c r="R53" s="4">
        <f t="shared" si="3"/>
        <v>0</v>
      </c>
      <c r="S53" s="2">
        <f t="shared" si="4"/>
        <v>-1</v>
      </c>
      <c r="T53" s="4">
        <f t="shared" si="6"/>
        <v>0</v>
      </c>
      <c r="U53" s="2" t="str">
        <f t="shared" si="5"/>
        <v xml:space="preserve"> - </v>
      </c>
      <c r="V53" s="1"/>
      <c r="W53" s="1"/>
      <c r="X53" s="1"/>
      <c r="Y53" s="1"/>
      <c r="Z53" s="1"/>
      <c r="AA53" s="2"/>
      <c r="AB53" s="2"/>
      <c r="AC53" s="2"/>
    </row>
    <row r="54" spans="1:29" ht="12.75" customHeight="1">
      <c r="A54" s="1"/>
      <c r="B54" s="5"/>
      <c r="C54" s="22"/>
      <c r="D54" s="24"/>
      <c r="E54" s="26"/>
      <c r="F54" s="28"/>
      <c r="G54" s="29"/>
      <c r="H54" s="28"/>
      <c r="I54" s="29"/>
      <c r="J54" s="28"/>
      <c r="K54" s="28"/>
      <c r="L54" s="28"/>
      <c r="M54" s="5"/>
      <c r="N54" s="1"/>
      <c r="O54" s="4">
        <f t="shared" si="0"/>
        <v>0</v>
      </c>
      <c r="P54" s="4">
        <f t="shared" si="1"/>
        <v>0</v>
      </c>
      <c r="Q54" s="4">
        <f t="shared" si="2"/>
        <v>0</v>
      </c>
      <c r="R54" s="4">
        <f t="shared" si="3"/>
        <v>0</v>
      </c>
      <c r="S54" s="2">
        <f t="shared" si="4"/>
        <v>-1</v>
      </c>
      <c r="T54" s="4">
        <f t="shared" si="6"/>
        <v>0</v>
      </c>
      <c r="U54" s="2" t="str">
        <f t="shared" si="5"/>
        <v xml:space="preserve"> - </v>
      </c>
      <c r="V54" s="1"/>
      <c r="W54" s="1"/>
      <c r="X54" s="1"/>
      <c r="Y54" s="1"/>
      <c r="Z54" s="1"/>
      <c r="AA54" s="2"/>
      <c r="AB54" s="2"/>
      <c r="AC54" s="2"/>
    </row>
    <row r="55" spans="1:29" ht="12.75" customHeight="1">
      <c r="A55" s="1"/>
      <c r="B55" s="5"/>
      <c r="C55" s="22"/>
      <c r="D55" s="24"/>
      <c r="E55" s="26"/>
      <c r="F55" s="28"/>
      <c r="G55" s="29"/>
      <c r="H55" s="28"/>
      <c r="I55" s="29"/>
      <c r="J55" s="28"/>
      <c r="K55" s="28"/>
      <c r="L55" s="28"/>
      <c r="M55" s="5"/>
      <c r="N55" s="1"/>
      <c r="O55" s="4">
        <f t="shared" si="0"/>
        <v>0</v>
      </c>
      <c r="P55" s="4">
        <f t="shared" si="1"/>
        <v>0</v>
      </c>
      <c r="Q55" s="4">
        <f t="shared" si="2"/>
        <v>0</v>
      </c>
      <c r="R55" s="4">
        <f t="shared" si="3"/>
        <v>0</v>
      </c>
      <c r="S55" s="2">
        <f t="shared" si="4"/>
        <v>-1</v>
      </c>
      <c r="T55" s="4">
        <f t="shared" si="6"/>
        <v>0</v>
      </c>
      <c r="U55" s="2" t="str">
        <f t="shared" si="5"/>
        <v xml:space="preserve"> - </v>
      </c>
      <c r="V55" s="1"/>
      <c r="W55" s="1"/>
      <c r="X55" s="1"/>
      <c r="Y55" s="1"/>
      <c r="Z55" s="1"/>
      <c r="AA55" s="2"/>
      <c r="AB55" s="2"/>
      <c r="AC55" s="2"/>
    </row>
    <row r="56" spans="1:29" ht="12.75" customHeight="1">
      <c r="A56" s="1"/>
      <c r="B56" s="5"/>
      <c r="C56" s="22"/>
      <c r="D56" s="24"/>
      <c r="E56" s="26"/>
      <c r="F56" s="28"/>
      <c r="G56" s="29"/>
      <c r="H56" s="28"/>
      <c r="I56" s="29"/>
      <c r="J56" s="28"/>
      <c r="K56" s="28"/>
      <c r="L56" s="28"/>
      <c r="M56" s="5"/>
      <c r="N56" s="1"/>
      <c r="O56" s="4">
        <f t="shared" si="0"/>
        <v>0</v>
      </c>
      <c r="P56" s="4">
        <f t="shared" si="1"/>
        <v>0</v>
      </c>
      <c r="Q56" s="4">
        <f t="shared" si="2"/>
        <v>0</v>
      </c>
      <c r="R56" s="4">
        <f t="shared" si="3"/>
        <v>0</v>
      </c>
      <c r="S56" s="2">
        <f t="shared" si="4"/>
        <v>-1</v>
      </c>
      <c r="T56" s="4">
        <f t="shared" si="6"/>
        <v>0</v>
      </c>
      <c r="U56" s="2" t="str">
        <f t="shared" si="5"/>
        <v xml:space="preserve"> - </v>
      </c>
      <c r="V56" s="1"/>
      <c r="W56" s="1"/>
      <c r="X56" s="1"/>
      <c r="Y56" s="1"/>
      <c r="Z56" s="1"/>
      <c r="AA56" s="2"/>
      <c r="AB56" s="2"/>
      <c r="AC56" s="2"/>
    </row>
    <row r="57" spans="1:29" ht="12.75" customHeight="1">
      <c r="A57" s="1"/>
      <c r="B57" s="5"/>
      <c r="C57" s="22"/>
      <c r="D57" s="24"/>
      <c r="E57" s="26"/>
      <c r="F57" s="28"/>
      <c r="G57" s="29"/>
      <c r="H57" s="28"/>
      <c r="I57" s="29"/>
      <c r="J57" s="28"/>
      <c r="K57" s="28"/>
      <c r="L57" s="28"/>
      <c r="M57" s="5"/>
      <c r="N57" s="1"/>
      <c r="O57" s="4">
        <f t="shared" si="0"/>
        <v>0</v>
      </c>
      <c r="P57" s="4">
        <f t="shared" si="1"/>
        <v>0</v>
      </c>
      <c r="Q57" s="4">
        <f t="shared" si="2"/>
        <v>0</v>
      </c>
      <c r="R57" s="4">
        <f t="shared" si="3"/>
        <v>0</v>
      </c>
      <c r="S57" s="2">
        <f t="shared" si="4"/>
        <v>-1</v>
      </c>
      <c r="T57" s="4">
        <f t="shared" si="6"/>
        <v>0</v>
      </c>
      <c r="U57" s="2" t="str">
        <f t="shared" si="5"/>
        <v xml:space="preserve"> - </v>
      </c>
      <c r="V57" s="1"/>
      <c r="W57" s="1"/>
      <c r="X57" s="1"/>
      <c r="Y57" s="1"/>
      <c r="Z57" s="1"/>
      <c r="AA57" s="2"/>
      <c r="AB57" s="2"/>
      <c r="AC57" s="2"/>
    </row>
    <row r="58" spans="1:29" ht="12.75" customHeight="1">
      <c r="A58" s="1"/>
      <c r="B58" s="5"/>
      <c r="C58" s="22"/>
      <c r="D58" s="24"/>
      <c r="E58" s="26"/>
      <c r="F58" s="28"/>
      <c r="G58" s="29"/>
      <c r="H58" s="28"/>
      <c r="I58" s="29"/>
      <c r="J58" s="28"/>
      <c r="K58" s="28"/>
      <c r="L58" s="28"/>
      <c r="M58" s="5"/>
      <c r="N58" s="1"/>
      <c r="O58" s="4">
        <f t="shared" si="0"/>
        <v>0</v>
      </c>
      <c r="P58" s="4">
        <f t="shared" si="1"/>
        <v>0</v>
      </c>
      <c r="Q58" s="4">
        <f t="shared" si="2"/>
        <v>0</v>
      </c>
      <c r="R58" s="4">
        <f t="shared" si="3"/>
        <v>0</v>
      </c>
      <c r="S58" s="2">
        <f t="shared" si="4"/>
        <v>-1</v>
      </c>
      <c r="T58" s="4">
        <f t="shared" si="6"/>
        <v>0</v>
      </c>
      <c r="U58" s="2" t="str">
        <f t="shared" si="5"/>
        <v xml:space="preserve"> - </v>
      </c>
      <c r="V58" s="1"/>
      <c r="W58" s="1"/>
      <c r="X58" s="1"/>
      <c r="Y58" s="1"/>
      <c r="Z58" s="1"/>
      <c r="AA58" s="2"/>
      <c r="AB58" s="2"/>
      <c r="AC58" s="2"/>
    </row>
    <row r="59" spans="1:29" ht="12.75" customHeight="1">
      <c r="A59" s="1"/>
      <c r="B59" s="5"/>
      <c r="C59" s="22"/>
      <c r="D59" s="24"/>
      <c r="E59" s="26"/>
      <c r="F59" s="28"/>
      <c r="G59" s="29"/>
      <c r="H59" s="28"/>
      <c r="I59" s="29"/>
      <c r="J59" s="28"/>
      <c r="K59" s="28"/>
      <c r="L59" s="28"/>
      <c r="M59" s="5"/>
      <c r="N59" s="1"/>
      <c r="O59" s="4">
        <f t="shared" si="0"/>
        <v>0</v>
      </c>
      <c r="P59" s="4">
        <f t="shared" si="1"/>
        <v>0</v>
      </c>
      <c r="Q59" s="4">
        <f t="shared" si="2"/>
        <v>0</v>
      </c>
      <c r="R59" s="4">
        <f t="shared" si="3"/>
        <v>0</v>
      </c>
      <c r="S59" s="2">
        <f t="shared" si="4"/>
        <v>-1</v>
      </c>
      <c r="T59" s="4">
        <f t="shared" si="6"/>
        <v>0</v>
      </c>
      <c r="U59" s="2" t="str">
        <f t="shared" si="5"/>
        <v xml:space="preserve"> - </v>
      </c>
      <c r="V59" s="1"/>
      <c r="W59" s="1"/>
      <c r="X59" s="1"/>
      <c r="Y59" s="1"/>
      <c r="Z59" s="1"/>
      <c r="AA59" s="2"/>
      <c r="AB59" s="2"/>
      <c r="AC59" s="2"/>
    </row>
    <row r="60" spans="1:29" ht="12.75" customHeight="1">
      <c r="A60" s="1"/>
      <c r="B60" s="5"/>
      <c r="C60" s="22"/>
      <c r="D60" s="24"/>
      <c r="E60" s="26"/>
      <c r="F60" s="28"/>
      <c r="G60" s="29"/>
      <c r="H60" s="28"/>
      <c r="I60" s="29"/>
      <c r="J60" s="28"/>
      <c r="K60" s="28"/>
      <c r="L60" s="28"/>
      <c r="M60" s="5"/>
      <c r="N60" s="1"/>
      <c r="O60" s="4">
        <f t="shared" si="0"/>
        <v>0</v>
      </c>
      <c r="P60" s="4">
        <f t="shared" si="1"/>
        <v>0</v>
      </c>
      <c r="Q60" s="4">
        <f t="shared" si="2"/>
        <v>0</v>
      </c>
      <c r="R60" s="4">
        <f t="shared" si="3"/>
        <v>0</v>
      </c>
      <c r="S60" s="2">
        <f t="shared" si="4"/>
        <v>-1</v>
      </c>
      <c r="T60" s="4">
        <f t="shared" si="6"/>
        <v>0</v>
      </c>
      <c r="U60" s="2" t="str">
        <f t="shared" si="5"/>
        <v xml:space="preserve"> - </v>
      </c>
      <c r="V60" s="1"/>
      <c r="W60" s="1"/>
      <c r="X60" s="1"/>
      <c r="Y60" s="1"/>
      <c r="Z60" s="1"/>
      <c r="AA60" s="2"/>
      <c r="AB60" s="2"/>
      <c r="AC60" s="2"/>
    </row>
    <row r="61" spans="1:29" ht="12.75" customHeight="1">
      <c r="A61" s="1"/>
      <c r="B61" s="5"/>
      <c r="C61" s="22"/>
      <c r="D61" s="24"/>
      <c r="E61" s="26"/>
      <c r="F61" s="28"/>
      <c r="G61" s="29"/>
      <c r="H61" s="28"/>
      <c r="I61" s="29"/>
      <c r="J61" s="28"/>
      <c r="K61" s="28"/>
      <c r="L61" s="28"/>
      <c r="M61" s="5"/>
      <c r="N61" s="1"/>
      <c r="O61" s="4">
        <f t="shared" si="0"/>
        <v>0</v>
      </c>
      <c r="P61" s="4">
        <f t="shared" si="1"/>
        <v>0</v>
      </c>
      <c r="Q61" s="4">
        <f t="shared" si="2"/>
        <v>0</v>
      </c>
      <c r="R61" s="4">
        <f t="shared" si="3"/>
        <v>0</v>
      </c>
      <c r="S61" s="2">
        <f t="shared" si="4"/>
        <v>-1</v>
      </c>
      <c r="T61" s="4">
        <f t="shared" si="6"/>
        <v>0</v>
      </c>
      <c r="U61" s="2" t="str">
        <f t="shared" si="5"/>
        <v xml:space="preserve"> - </v>
      </c>
      <c r="V61" s="1"/>
      <c r="W61" s="1"/>
      <c r="X61" s="1"/>
      <c r="Y61" s="1"/>
      <c r="Z61" s="1"/>
      <c r="AA61" s="2"/>
      <c r="AB61" s="2"/>
      <c r="AC61" s="2"/>
    </row>
    <row r="62" spans="1:29" ht="12.75" customHeight="1">
      <c r="A62" s="1"/>
      <c r="B62" s="5"/>
      <c r="C62" s="22"/>
      <c r="D62" s="24"/>
      <c r="E62" s="26"/>
      <c r="F62" s="28"/>
      <c r="G62" s="29"/>
      <c r="H62" s="28"/>
      <c r="I62" s="29"/>
      <c r="J62" s="28"/>
      <c r="K62" s="28"/>
      <c r="L62" s="28"/>
      <c r="M62" s="5"/>
      <c r="N62" s="1"/>
      <c r="O62" s="4">
        <f t="shared" si="0"/>
        <v>0</v>
      </c>
      <c r="P62" s="4">
        <f t="shared" si="1"/>
        <v>0</v>
      </c>
      <c r="Q62" s="4">
        <f t="shared" si="2"/>
        <v>0</v>
      </c>
      <c r="R62" s="4">
        <f t="shared" si="3"/>
        <v>0</v>
      </c>
      <c r="S62" s="2">
        <f t="shared" si="4"/>
        <v>-1</v>
      </c>
      <c r="T62" s="4">
        <f t="shared" si="6"/>
        <v>0</v>
      </c>
      <c r="U62" s="2" t="str">
        <f t="shared" si="5"/>
        <v xml:space="preserve"> - </v>
      </c>
      <c r="V62" s="1"/>
      <c r="W62" s="1"/>
      <c r="X62" s="1"/>
      <c r="Y62" s="1"/>
      <c r="Z62" s="1"/>
      <c r="AA62" s="2"/>
      <c r="AB62" s="2"/>
      <c r="AC62" s="2"/>
    </row>
    <row r="63" spans="1:29" ht="12.75" customHeight="1">
      <c r="A63" s="1"/>
      <c r="B63" s="5"/>
      <c r="C63" s="22"/>
      <c r="D63" s="24"/>
      <c r="E63" s="26"/>
      <c r="F63" s="28"/>
      <c r="G63" s="29"/>
      <c r="H63" s="28"/>
      <c r="I63" s="29"/>
      <c r="J63" s="28"/>
      <c r="K63" s="28"/>
      <c r="L63" s="28"/>
      <c r="M63" s="5"/>
      <c r="N63" s="1"/>
      <c r="O63" s="4">
        <f t="shared" si="0"/>
        <v>0</v>
      </c>
      <c r="P63" s="4">
        <f t="shared" si="1"/>
        <v>0</v>
      </c>
      <c r="Q63" s="4">
        <f t="shared" si="2"/>
        <v>0</v>
      </c>
      <c r="R63" s="4">
        <f t="shared" si="3"/>
        <v>0</v>
      </c>
      <c r="S63" s="2">
        <f t="shared" si="4"/>
        <v>-1</v>
      </c>
      <c r="T63" s="4">
        <f t="shared" si="6"/>
        <v>0</v>
      </c>
      <c r="U63" s="2" t="str">
        <f t="shared" si="5"/>
        <v xml:space="preserve"> - </v>
      </c>
      <c r="V63" s="1"/>
      <c r="W63" s="1"/>
      <c r="X63" s="1"/>
      <c r="Y63" s="1"/>
      <c r="Z63" s="1"/>
      <c r="AA63" s="2"/>
      <c r="AB63" s="2"/>
      <c r="AC63" s="2"/>
    </row>
    <row r="64" spans="1:29" ht="12.75" customHeight="1">
      <c r="A64" s="1"/>
      <c r="B64" s="5"/>
      <c r="C64" s="22"/>
      <c r="D64" s="24"/>
      <c r="E64" s="26"/>
      <c r="F64" s="28"/>
      <c r="G64" s="29"/>
      <c r="H64" s="28"/>
      <c r="I64" s="29"/>
      <c r="J64" s="28"/>
      <c r="K64" s="28"/>
      <c r="L64" s="28"/>
      <c r="M64" s="5"/>
      <c r="N64" s="1"/>
      <c r="O64" s="4">
        <f t="shared" si="0"/>
        <v>0</v>
      </c>
      <c r="P64" s="4">
        <f t="shared" si="1"/>
        <v>0</v>
      </c>
      <c r="Q64" s="4">
        <f t="shared" si="2"/>
        <v>0</v>
      </c>
      <c r="R64" s="4">
        <f t="shared" si="3"/>
        <v>0</v>
      </c>
      <c r="S64" s="2">
        <f t="shared" si="4"/>
        <v>-1</v>
      </c>
      <c r="T64" s="4">
        <f t="shared" si="6"/>
        <v>0</v>
      </c>
      <c r="U64" s="2" t="str">
        <f t="shared" si="5"/>
        <v xml:space="preserve"> - </v>
      </c>
      <c r="V64" s="1"/>
      <c r="W64" s="1"/>
      <c r="X64" s="1"/>
      <c r="Y64" s="1"/>
      <c r="Z64" s="1"/>
      <c r="AA64" s="2"/>
      <c r="AB64" s="2"/>
      <c r="AC64" s="2"/>
    </row>
    <row r="65" spans="1:29" ht="12.75" customHeight="1">
      <c r="A65" s="1"/>
      <c r="B65" s="5"/>
      <c r="C65" s="22"/>
      <c r="D65" s="24"/>
      <c r="E65" s="26"/>
      <c r="F65" s="28"/>
      <c r="G65" s="29"/>
      <c r="H65" s="28"/>
      <c r="I65" s="29"/>
      <c r="J65" s="28"/>
      <c r="K65" s="28"/>
      <c r="L65" s="28"/>
      <c r="M65" s="5"/>
      <c r="N65" s="1"/>
      <c r="O65" s="4">
        <f t="shared" si="0"/>
        <v>0</v>
      </c>
      <c r="P65" s="4">
        <f t="shared" si="1"/>
        <v>0</v>
      </c>
      <c r="Q65" s="4">
        <f t="shared" si="2"/>
        <v>0</v>
      </c>
      <c r="R65" s="4">
        <f t="shared" si="3"/>
        <v>0</v>
      </c>
      <c r="S65" s="2">
        <f t="shared" si="4"/>
        <v>-1</v>
      </c>
      <c r="T65" s="4">
        <f t="shared" si="6"/>
        <v>0</v>
      </c>
      <c r="U65" s="2" t="str">
        <f t="shared" si="5"/>
        <v xml:space="preserve"> - </v>
      </c>
      <c r="V65" s="1"/>
      <c r="W65" s="1"/>
      <c r="X65" s="1"/>
      <c r="Y65" s="1"/>
      <c r="Z65" s="1"/>
      <c r="AA65" s="2"/>
      <c r="AB65" s="2"/>
      <c r="AC65" s="2"/>
    </row>
    <row r="66" spans="1:29" ht="12.75" customHeight="1">
      <c r="A66" s="1"/>
      <c r="B66" s="5"/>
      <c r="C66" s="22"/>
      <c r="D66" s="24"/>
      <c r="E66" s="26"/>
      <c r="F66" s="28"/>
      <c r="G66" s="29"/>
      <c r="H66" s="28"/>
      <c r="I66" s="29"/>
      <c r="J66" s="28"/>
      <c r="K66" s="28"/>
      <c r="L66" s="28"/>
      <c r="M66" s="5"/>
      <c r="N66" s="1"/>
      <c r="O66" s="4">
        <f t="shared" si="0"/>
        <v>0</v>
      </c>
      <c r="P66" s="4">
        <f t="shared" si="1"/>
        <v>0</v>
      </c>
      <c r="Q66" s="4">
        <f t="shared" si="2"/>
        <v>0</v>
      </c>
      <c r="R66" s="4">
        <f t="shared" si="3"/>
        <v>0</v>
      </c>
      <c r="S66" s="2">
        <f t="shared" si="4"/>
        <v>-1</v>
      </c>
      <c r="T66" s="4">
        <f t="shared" si="6"/>
        <v>0</v>
      </c>
      <c r="U66" s="2" t="str">
        <f t="shared" si="5"/>
        <v xml:space="preserve"> - </v>
      </c>
      <c r="V66" s="1"/>
      <c r="W66" s="1"/>
      <c r="X66" s="1"/>
      <c r="Y66" s="1"/>
      <c r="Z66" s="1"/>
      <c r="AA66" s="2"/>
      <c r="AB66" s="2"/>
      <c r="AC66" s="2"/>
    </row>
    <row r="67" spans="1:29" ht="12.75" customHeight="1">
      <c r="A67" s="1"/>
      <c r="B67" s="5"/>
      <c r="C67" s="22"/>
      <c r="D67" s="24"/>
      <c r="E67" s="26"/>
      <c r="F67" s="28"/>
      <c r="G67" s="29"/>
      <c r="H67" s="28"/>
      <c r="I67" s="29"/>
      <c r="J67" s="28"/>
      <c r="K67" s="28"/>
      <c r="L67" s="28"/>
      <c r="M67" s="5"/>
      <c r="N67" s="1"/>
      <c r="O67" s="4">
        <f t="shared" si="0"/>
        <v>0</v>
      </c>
      <c r="P67" s="4">
        <f t="shared" si="1"/>
        <v>0</v>
      </c>
      <c r="Q67" s="4">
        <f t="shared" si="2"/>
        <v>0</v>
      </c>
      <c r="R67" s="4">
        <f t="shared" si="3"/>
        <v>0</v>
      </c>
      <c r="S67" s="2">
        <f t="shared" si="4"/>
        <v>-1</v>
      </c>
      <c r="T67" s="4">
        <f t="shared" si="6"/>
        <v>0</v>
      </c>
      <c r="U67" s="2" t="str">
        <f t="shared" si="5"/>
        <v xml:space="preserve"> - </v>
      </c>
      <c r="V67" s="1"/>
      <c r="W67" s="1"/>
      <c r="X67" s="1"/>
      <c r="Y67" s="1"/>
      <c r="Z67" s="1"/>
      <c r="AA67" s="2"/>
      <c r="AB67" s="2"/>
      <c r="AC67" s="2"/>
    </row>
    <row r="68" spans="1:29" ht="12.75" customHeight="1">
      <c r="A68" s="1"/>
      <c r="B68" s="5"/>
      <c r="C68" s="22"/>
      <c r="D68" s="24"/>
      <c r="E68" s="26"/>
      <c r="F68" s="28"/>
      <c r="G68" s="29"/>
      <c r="H68" s="28"/>
      <c r="I68" s="29"/>
      <c r="J68" s="28"/>
      <c r="K68" s="28"/>
      <c r="L68" s="28"/>
      <c r="M68" s="5"/>
      <c r="N68" s="1"/>
      <c r="O68" s="4">
        <f t="shared" ref="O68:O131" si="7">IF($L68&lt;&gt;"",$Q68*PTS_WIN+$R68*PTS_LOSS+(1-$Q68-$R68)*PTS_TIE+MAX(MIN(MAX(PTS_TD_MIN,MIN(PTS_TD_MAX,MAX(0,$F68-PTS_TD_THRESHOLD)*PTS_PER_TD_FOR*IF($H68-PTS_CS_THRESHOLD&gt;0,1,1-PTS_TD_CS_COMB_THRES)+MAX(0,$G68-PTS_TD_THRESHOLD)*PTS_PER_TD_AG*IF($I68-PTS_CS_THRESHOLD&gt;0,1,1-PTS_TD_CS_COMB_THRES)))+MAX(PTS_CS_MIN,MIN(PTS_CS_MAX,MAX(0,$H68-PTS_CS_THRESHOLD)*PTS_PER_CS_FOR*IF($F68-PTS_TD_THRESHOLD&gt;0,1,1-PTS_TD_CS_COMB_THRES)+MAX(0,$I68-PTS_CS_THRESHOLD)*PTS_PER_CS_AG*IF($G68-PTS_TD_THRESHOLD&gt;0,1,1-PTS_TD_CS_COMB_THRES))),PTS_TD_CS_MAX),PTS_TD_CS_MIN),0)</f>
        <v>0</v>
      </c>
      <c r="P68" s="4">
        <f t="shared" ref="P68:P131" si="8">IF($L68&lt;&gt;"",$R68*PTS_WIN+$Q68*PTS_LOSS+(1-$Q68-$R68)*PTS_TIE+MAX(MIN(MAX(PTS_TD_MIN,MIN(PTS_TD_MAX,MAX(0,$G68-PTS_TD_THRESHOLD)*PTS_PER_TD_FOR*IF($I68-PTS_CS_THRESHOLD&gt;0,1,1-PTS_TD_CS_COMB_THRES)+MAX(0,$F68-PTS_TD_THRESHOLD)*PTS_PER_TD_AG*IF($H68-PTS_CS_THRESHOLD&gt;0,1,1-PTS_TD_CS_COMB_THRES)))+MAX(PTS_CS_MIN,MIN(PTS_CS_MAX,MAX(0,$I68-PTS_CS_THRESHOLD)*PTS_PER_CS_FOR*IF($G68-PTS_TD_THRESHOLD&gt;0,1,1-PTS_TD_CS_COMB_THRES)+MAX(0,$H68-PTS_CS_THRESHOLD)*PTS_PER_CS_AG*IF($F68-PTS_TD_THRESHOLD&gt;0,1,1-PTS_TD_CS_COMB_THRES))),PTS_TD_CS_MAX),PTS_TD_CS_MIN),0)</f>
        <v>0</v>
      </c>
      <c r="Q68" s="4">
        <f t="shared" si="2"/>
        <v>0</v>
      </c>
      <c r="R68" s="4">
        <f t="shared" si="3"/>
        <v>0</v>
      </c>
      <c r="S68" s="2">
        <f t="shared" ref="S68:S131" si="9">IF(T68&gt;0,RANK(T68,RES_GATE),-1)</f>
        <v>-1</v>
      </c>
      <c r="T68" s="4">
        <f t="shared" si="6"/>
        <v>0</v>
      </c>
      <c r="U68" s="2" t="str">
        <f t="shared" si="5"/>
        <v xml:space="preserve"> - </v>
      </c>
      <c r="V68" s="1"/>
      <c r="W68" s="1"/>
      <c r="X68" s="1"/>
      <c r="Y68" s="1"/>
      <c r="Z68" s="1"/>
      <c r="AA68" s="2"/>
      <c r="AB68" s="2"/>
      <c r="AC68" s="2"/>
    </row>
    <row r="69" spans="1:29" ht="12.75" customHeight="1">
      <c r="A69" s="1"/>
      <c r="B69" s="5"/>
      <c r="C69" s="22"/>
      <c r="D69" s="24"/>
      <c r="E69" s="26"/>
      <c r="F69" s="28"/>
      <c r="G69" s="29"/>
      <c r="H69" s="28"/>
      <c r="I69" s="29"/>
      <c r="J69" s="28"/>
      <c r="K69" s="28"/>
      <c r="L69" s="28"/>
      <c r="M69" s="5"/>
      <c r="N69" s="1"/>
      <c r="O69" s="4">
        <f t="shared" si="7"/>
        <v>0</v>
      </c>
      <c r="P69" s="4">
        <f t="shared" si="8"/>
        <v>0</v>
      </c>
      <c r="Q69" s="4">
        <f t="shared" si="2"/>
        <v>0</v>
      </c>
      <c r="R69" s="4">
        <f t="shared" si="3"/>
        <v>0</v>
      </c>
      <c r="S69" s="2">
        <f t="shared" si="9"/>
        <v>-1</v>
      </c>
      <c r="T69" s="4">
        <f t="shared" ref="T69:T132" si="10">IF(NOT(ISERROR(MATCH(L69,Team_Stat_Sel,0))),J69+K69+1/(ROW()+777777777),0)</f>
        <v>0</v>
      </c>
      <c r="U69" s="2" t="str">
        <f t="shared" si="5"/>
        <v xml:space="preserve"> - </v>
      </c>
      <c r="V69" s="1"/>
      <c r="W69" s="1"/>
      <c r="X69" s="1"/>
      <c r="Y69" s="1"/>
      <c r="Z69" s="1"/>
      <c r="AA69" s="2"/>
      <c r="AB69" s="2"/>
      <c r="AC69" s="2"/>
    </row>
    <row r="70" spans="1:29" ht="12.75" customHeight="1">
      <c r="A70" s="1"/>
      <c r="B70" s="5"/>
      <c r="C70" s="22"/>
      <c r="D70" s="24"/>
      <c r="E70" s="26"/>
      <c r="F70" s="28"/>
      <c r="G70" s="29"/>
      <c r="H70" s="28"/>
      <c r="I70" s="29"/>
      <c r="J70" s="28"/>
      <c r="K70" s="28"/>
      <c r="L70" s="28"/>
      <c r="M70" s="5"/>
      <c r="N70" s="1"/>
      <c r="O70" s="4">
        <f t="shared" si="7"/>
        <v>0</v>
      </c>
      <c r="P70" s="4">
        <f t="shared" si="8"/>
        <v>0</v>
      </c>
      <c r="Q70" s="4">
        <f t="shared" si="2"/>
        <v>0</v>
      </c>
      <c r="R70" s="4">
        <f t="shared" si="3"/>
        <v>0</v>
      </c>
      <c r="S70" s="2">
        <f t="shared" si="9"/>
        <v>-1</v>
      </c>
      <c r="T70" s="4">
        <f t="shared" si="10"/>
        <v>0</v>
      </c>
      <c r="U70" s="2" t="str">
        <f t="shared" si="5"/>
        <v xml:space="preserve"> - </v>
      </c>
      <c r="V70" s="1"/>
      <c r="W70" s="1"/>
      <c r="X70" s="1"/>
      <c r="Y70" s="1"/>
      <c r="Z70" s="1"/>
      <c r="AA70" s="2"/>
      <c r="AB70" s="2"/>
      <c r="AC70" s="2"/>
    </row>
    <row r="71" spans="1:29" ht="12.75" customHeight="1">
      <c r="A71" s="1"/>
      <c r="B71" s="5"/>
      <c r="C71" s="22"/>
      <c r="D71" s="24"/>
      <c r="E71" s="26"/>
      <c r="F71" s="28"/>
      <c r="G71" s="29"/>
      <c r="H71" s="28"/>
      <c r="I71" s="29"/>
      <c r="J71" s="28"/>
      <c r="K71" s="28"/>
      <c r="L71" s="28"/>
      <c r="M71" s="5"/>
      <c r="N71" s="1"/>
      <c r="O71" s="4">
        <f t="shared" si="7"/>
        <v>0</v>
      </c>
      <c r="P71" s="4">
        <f t="shared" si="8"/>
        <v>0</v>
      </c>
      <c r="Q71" s="4">
        <f t="shared" si="2"/>
        <v>0</v>
      </c>
      <c r="R71" s="4">
        <f t="shared" si="3"/>
        <v>0</v>
      </c>
      <c r="S71" s="2">
        <f t="shared" si="9"/>
        <v>-1</v>
      </c>
      <c r="T71" s="4">
        <f t="shared" si="10"/>
        <v>0</v>
      </c>
      <c r="U71" s="2" t="str">
        <f t="shared" si="5"/>
        <v xml:space="preserve"> - </v>
      </c>
      <c r="V71" s="1"/>
      <c r="W71" s="1"/>
      <c r="X71" s="1"/>
      <c r="Y71" s="1"/>
      <c r="Z71" s="1"/>
      <c r="AA71" s="2"/>
      <c r="AB71" s="2"/>
      <c r="AC71" s="2"/>
    </row>
    <row r="72" spans="1:29" ht="12.75" customHeight="1">
      <c r="A72" s="1"/>
      <c r="B72" s="5"/>
      <c r="C72" s="22"/>
      <c r="D72" s="24"/>
      <c r="E72" s="26"/>
      <c r="F72" s="28"/>
      <c r="G72" s="29"/>
      <c r="H72" s="28"/>
      <c r="I72" s="29"/>
      <c r="J72" s="28"/>
      <c r="K72" s="28"/>
      <c r="L72" s="28"/>
      <c r="M72" s="5"/>
      <c r="N72" s="1"/>
      <c r="O72" s="4">
        <f t="shared" si="7"/>
        <v>0</v>
      </c>
      <c r="P72" s="4">
        <f t="shared" si="8"/>
        <v>0</v>
      </c>
      <c r="Q72" s="4">
        <f t="shared" si="2"/>
        <v>0</v>
      </c>
      <c r="R72" s="4">
        <f t="shared" si="3"/>
        <v>0</v>
      </c>
      <c r="S72" s="2">
        <f t="shared" si="9"/>
        <v>-1</v>
      </c>
      <c r="T72" s="4">
        <f t="shared" si="10"/>
        <v>0</v>
      </c>
      <c r="U72" s="2" t="str">
        <f t="shared" si="5"/>
        <v xml:space="preserve"> - </v>
      </c>
      <c r="V72" s="1"/>
      <c r="W72" s="1"/>
      <c r="X72" s="1"/>
      <c r="Y72" s="1"/>
      <c r="Z72" s="1"/>
      <c r="AA72" s="2"/>
      <c r="AB72" s="2"/>
      <c r="AC72" s="2"/>
    </row>
    <row r="73" spans="1:29" ht="12.75" customHeight="1">
      <c r="A73" s="1"/>
      <c r="B73" s="5"/>
      <c r="C73" s="22"/>
      <c r="D73" s="24"/>
      <c r="E73" s="26"/>
      <c r="F73" s="28"/>
      <c r="G73" s="29"/>
      <c r="H73" s="28"/>
      <c r="I73" s="29"/>
      <c r="J73" s="28"/>
      <c r="K73" s="28"/>
      <c r="L73" s="28"/>
      <c r="M73" s="5"/>
      <c r="N73" s="1"/>
      <c r="O73" s="4">
        <f t="shared" si="7"/>
        <v>0</v>
      </c>
      <c r="P73" s="4">
        <f t="shared" si="8"/>
        <v>0</v>
      </c>
      <c r="Q73" s="4">
        <f t="shared" si="2"/>
        <v>0</v>
      </c>
      <c r="R73" s="4">
        <f t="shared" si="3"/>
        <v>0</v>
      </c>
      <c r="S73" s="2">
        <f t="shared" si="9"/>
        <v>-1</v>
      </c>
      <c r="T73" s="4">
        <f t="shared" si="10"/>
        <v>0</v>
      </c>
      <c r="U73" s="2" t="str">
        <f t="shared" si="5"/>
        <v xml:space="preserve"> - </v>
      </c>
      <c r="V73" s="1"/>
      <c r="W73" s="1"/>
      <c r="X73" s="1"/>
      <c r="Y73" s="1"/>
      <c r="Z73" s="1"/>
      <c r="AA73" s="2"/>
      <c r="AB73" s="2"/>
      <c r="AC73" s="2"/>
    </row>
    <row r="74" spans="1:29" ht="12.75" customHeight="1">
      <c r="A74" s="1"/>
      <c r="B74" s="5"/>
      <c r="C74" s="22"/>
      <c r="D74" s="24"/>
      <c r="E74" s="26"/>
      <c r="F74" s="28"/>
      <c r="G74" s="29"/>
      <c r="H74" s="28"/>
      <c r="I74" s="29"/>
      <c r="J74" s="28"/>
      <c r="K74" s="28"/>
      <c r="L74" s="28"/>
      <c r="M74" s="5"/>
      <c r="N74" s="1"/>
      <c r="O74" s="4">
        <f t="shared" si="7"/>
        <v>0</v>
      </c>
      <c r="P74" s="4">
        <f t="shared" si="8"/>
        <v>0</v>
      </c>
      <c r="Q74" s="4">
        <f t="shared" si="2"/>
        <v>0</v>
      </c>
      <c r="R74" s="4">
        <f t="shared" si="3"/>
        <v>0</v>
      </c>
      <c r="S74" s="2">
        <f t="shared" si="9"/>
        <v>-1</v>
      </c>
      <c r="T74" s="4">
        <f t="shared" si="10"/>
        <v>0</v>
      </c>
      <c r="U74" s="2" t="str">
        <f t="shared" si="5"/>
        <v xml:space="preserve"> - </v>
      </c>
      <c r="V74" s="1"/>
      <c r="W74" s="1"/>
      <c r="X74" s="1"/>
      <c r="Y74" s="1"/>
      <c r="Z74" s="1"/>
      <c r="AA74" s="2"/>
      <c r="AB74" s="2"/>
      <c r="AC74" s="2"/>
    </row>
    <row r="75" spans="1:29" ht="12.75" customHeight="1">
      <c r="A75" s="1"/>
      <c r="B75" s="5"/>
      <c r="C75" s="22"/>
      <c r="D75" s="24"/>
      <c r="E75" s="26"/>
      <c r="F75" s="28"/>
      <c r="G75" s="29"/>
      <c r="H75" s="28"/>
      <c r="I75" s="29"/>
      <c r="J75" s="28"/>
      <c r="K75" s="28"/>
      <c r="L75" s="28"/>
      <c r="M75" s="5"/>
      <c r="N75" s="1"/>
      <c r="O75" s="4">
        <f t="shared" si="7"/>
        <v>0</v>
      </c>
      <c r="P75" s="4">
        <f t="shared" si="8"/>
        <v>0</v>
      </c>
      <c r="Q75" s="4">
        <f t="shared" si="2"/>
        <v>0</v>
      </c>
      <c r="R75" s="4">
        <f t="shared" si="3"/>
        <v>0</v>
      </c>
      <c r="S75" s="2">
        <f t="shared" si="9"/>
        <v>-1</v>
      </c>
      <c r="T75" s="4">
        <f t="shared" si="10"/>
        <v>0</v>
      </c>
      <c r="U75" s="2" t="str">
        <f t="shared" si="5"/>
        <v xml:space="preserve"> - </v>
      </c>
      <c r="V75" s="1"/>
      <c r="W75" s="1"/>
      <c r="X75" s="1"/>
      <c r="Y75" s="1"/>
      <c r="Z75" s="1"/>
      <c r="AA75" s="2"/>
      <c r="AB75" s="2"/>
      <c r="AC75" s="2"/>
    </row>
    <row r="76" spans="1:29" ht="12.75" customHeight="1">
      <c r="A76" s="1"/>
      <c r="B76" s="5"/>
      <c r="C76" s="22"/>
      <c r="D76" s="24"/>
      <c r="E76" s="26"/>
      <c r="F76" s="28"/>
      <c r="G76" s="29"/>
      <c r="H76" s="28"/>
      <c r="I76" s="29"/>
      <c r="J76" s="28"/>
      <c r="K76" s="28"/>
      <c r="L76" s="28"/>
      <c r="M76" s="5"/>
      <c r="N76" s="1"/>
      <c r="O76" s="4">
        <f t="shared" si="7"/>
        <v>0</v>
      </c>
      <c r="P76" s="4">
        <f t="shared" si="8"/>
        <v>0</v>
      </c>
      <c r="Q76" s="4">
        <f t="shared" si="2"/>
        <v>0</v>
      </c>
      <c r="R76" s="4">
        <f t="shared" si="3"/>
        <v>0</v>
      </c>
      <c r="S76" s="2">
        <f t="shared" si="9"/>
        <v>-1</v>
      </c>
      <c r="T76" s="4">
        <f t="shared" si="10"/>
        <v>0</v>
      </c>
      <c r="U76" s="2" t="str">
        <f t="shared" si="5"/>
        <v xml:space="preserve"> - </v>
      </c>
      <c r="V76" s="1"/>
      <c r="W76" s="1"/>
      <c r="X76" s="1"/>
      <c r="Y76" s="1"/>
      <c r="Z76" s="1"/>
      <c r="AA76" s="2"/>
      <c r="AB76" s="2"/>
      <c r="AC76" s="2"/>
    </row>
    <row r="77" spans="1:29" ht="12.75" customHeight="1">
      <c r="A77" s="1"/>
      <c r="B77" s="5"/>
      <c r="C77" s="22"/>
      <c r="D77" s="24"/>
      <c r="E77" s="26"/>
      <c r="F77" s="28"/>
      <c r="G77" s="29"/>
      <c r="H77" s="28"/>
      <c r="I77" s="29"/>
      <c r="J77" s="28"/>
      <c r="K77" s="28"/>
      <c r="L77" s="28"/>
      <c r="M77" s="5"/>
      <c r="N77" s="1"/>
      <c r="O77" s="4">
        <f t="shared" si="7"/>
        <v>0</v>
      </c>
      <c r="P77" s="4">
        <f t="shared" si="8"/>
        <v>0</v>
      </c>
      <c r="Q77" s="4">
        <f t="shared" si="2"/>
        <v>0</v>
      </c>
      <c r="R77" s="4">
        <f t="shared" si="3"/>
        <v>0</v>
      </c>
      <c r="S77" s="2">
        <f t="shared" si="9"/>
        <v>-1</v>
      </c>
      <c r="T77" s="4">
        <f t="shared" si="10"/>
        <v>0</v>
      </c>
      <c r="U77" s="2" t="str">
        <f t="shared" si="5"/>
        <v xml:space="preserve"> - </v>
      </c>
      <c r="V77" s="1"/>
      <c r="W77" s="1"/>
      <c r="X77" s="1"/>
      <c r="Y77" s="1"/>
      <c r="Z77" s="1"/>
      <c r="AA77" s="2"/>
      <c r="AB77" s="2"/>
      <c r="AC77" s="2"/>
    </row>
    <row r="78" spans="1:29" ht="12.75" customHeight="1">
      <c r="A78" s="1"/>
      <c r="B78" s="5"/>
      <c r="C78" s="22"/>
      <c r="D78" s="24"/>
      <c r="E78" s="26"/>
      <c r="F78" s="28"/>
      <c r="G78" s="29"/>
      <c r="H78" s="28"/>
      <c r="I78" s="29"/>
      <c r="J78" s="28"/>
      <c r="K78" s="28"/>
      <c r="L78" s="28"/>
      <c r="M78" s="5"/>
      <c r="N78" s="1"/>
      <c r="O78" s="4">
        <f t="shared" si="7"/>
        <v>0</v>
      </c>
      <c r="P78" s="4">
        <f t="shared" si="8"/>
        <v>0</v>
      </c>
      <c r="Q78" s="4">
        <f t="shared" si="2"/>
        <v>0</v>
      </c>
      <c r="R78" s="4">
        <f t="shared" si="3"/>
        <v>0</v>
      </c>
      <c r="S78" s="2">
        <f t="shared" si="9"/>
        <v>-1</v>
      </c>
      <c r="T78" s="4">
        <f t="shared" si="10"/>
        <v>0</v>
      </c>
      <c r="U78" s="2" t="str">
        <f t="shared" si="5"/>
        <v xml:space="preserve"> - </v>
      </c>
      <c r="V78" s="1"/>
      <c r="W78" s="1"/>
      <c r="X78" s="1"/>
      <c r="Y78" s="1"/>
      <c r="Z78" s="1"/>
      <c r="AA78" s="2"/>
      <c r="AB78" s="2"/>
      <c r="AC78" s="2"/>
    </row>
    <row r="79" spans="1:29" ht="12.75" customHeight="1">
      <c r="A79" s="1"/>
      <c r="B79" s="5"/>
      <c r="C79" s="22"/>
      <c r="D79" s="24"/>
      <c r="E79" s="26"/>
      <c r="F79" s="28"/>
      <c r="G79" s="29"/>
      <c r="H79" s="28"/>
      <c r="I79" s="29"/>
      <c r="J79" s="28"/>
      <c r="K79" s="28"/>
      <c r="L79" s="28"/>
      <c r="M79" s="5"/>
      <c r="N79" s="1"/>
      <c r="O79" s="4">
        <f t="shared" si="7"/>
        <v>0</v>
      </c>
      <c r="P79" s="4">
        <f t="shared" si="8"/>
        <v>0</v>
      </c>
      <c r="Q79" s="4">
        <f t="shared" si="2"/>
        <v>0</v>
      </c>
      <c r="R79" s="4">
        <f t="shared" si="3"/>
        <v>0</v>
      </c>
      <c r="S79" s="2">
        <f t="shared" si="9"/>
        <v>-1</v>
      </c>
      <c r="T79" s="4">
        <f t="shared" si="10"/>
        <v>0</v>
      </c>
      <c r="U79" s="2" t="str">
        <f t="shared" si="5"/>
        <v xml:space="preserve"> - </v>
      </c>
      <c r="V79" s="1"/>
      <c r="W79" s="1"/>
      <c r="X79" s="1"/>
      <c r="Y79" s="1"/>
      <c r="Z79" s="1"/>
      <c r="AA79" s="2"/>
      <c r="AB79" s="2"/>
      <c r="AC79" s="2"/>
    </row>
    <row r="80" spans="1:29" ht="12.75" customHeight="1">
      <c r="A80" s="1"/>
      <c r="B80" s="5"/>
      <c r="C80" s="22"/>
      <c r="D80" s="24"/>
      <c r="E80" s="26"/>
      <c r="F80" s="28"/>
      <c r="G80" s="29"/>
      <c r="H80" s="28"/>
      <c r="I80" s="29"/>
      <c r="J80" s="28"/>
      <c r="K80" s="28"/>
      <c r="L80" s="28"/>
      <c r="M80" s="5"/>
      <c r="N80" s="1"/>
      <c r="O80" s="4">
        <f t="shared" si="7"/>
        <v>0</v>
      </c>
      <c r="P80" s="4">
        <f t="shared" si="8"/>
        <v>0</v>
      </c>
      <c r="Q80" s="4">
        <f t="shared" si="2"/>
        <v>0</v>
      </c>
      <c r="R80" s="4">
        <f t="shared" si="3"/>
        <v>0</v>
      </c>
      <c r="S80" s="2">
        <f t="shared" si="9"/>
        <v>-1</v>
      </c>
      <c r="T80" s="4">
        <f t="shared" si="10"/>
        <v>0</v>
      </c>
      <c r="U80" s="2" t="str">
        <f t="shared" si="5"/>
        <v xml:space="preserve"> - </v>
      </c>
      <c r="V80" s="1"/>
      <c r="W80" s="1"/>
      <c r="X80" s="1"/>
      <c r="Y80" s="1"/>
      <c r="Z80" s="1"/>
      <c r="AA80" s="2"/>
      <c r="AB80" s="2"/>
      <c r="AC80" s="2"/>
    </row>
    <row r="81" spans="1:29" ht="12.75" customHeight="1">
      <c r="A81" s="1"/>
      <c r="B81" s="5"/>
      <c r="C81" s="22"/>
      <c r="D81" s="24"/>
      <c r="E81" s="26"/>
      <c r="F81" s="28"/>
      <c r="G81" s="29"/>
      <c r="H81" s="28"/>
      <c r="I81" s="29"/>
      <c r="J81" s="28"/>
      <c r="K81" s="28"/>
      <c r="L81" s="28"/>
      <c r="M81" s="5"/>
      <c r="N81" s="1"/>
      <c r="O81" s="4">
        <f t="shared" si="7"/>
        <v>0</v>
      </c>
      <c r="P81" s="4">
        <f t="shared" si="8"/>
        <v>0</v>
      </c>
      <c r="Q81" s="4">
        <f t="shared" si="2"/>
        <v>0</v>
      </c>
      <c r="R81" s="4">
        <f t="shared" si="3"/>
        <v>0</v>
      </c>
      <c r="S81" s="2">
        <f t="shared" si="9"/>
        <v>-1</v>
      </c>
      <c r="T81" s="4">
        <f t="shared" si="10"/>
        <v>0</v>
      </c>
      <c r="U81" s="2" t="str">
        <f t="shared" si="5"/>
        <v xml:space="preserve"> - </v>
      </c>
      <c r="V81" s="1"/>
      <c r="W81" s="1"/>
      <c r="X81" s="1"/>
      <c r="Y81" s="1"/>
      <c r="Z81" s="1"/>
      <c r="AA81" s="2"/>
      <c r="AB81" s="2"/>
      <c r="AC81" s="2"/>
    </row>
    <row r="82" spans="1:29" ht="12.75" customHeight="1">
      <c r="A82" s="1"/>
      <c r="B82" s="5"/>
      <c r="C82" s="22"/>
      <c r="D82" s="24"/>
      <c r="E82" s="26"/>
      <c r="F82" s="28"/>
      <c r="G82" s="29"/>
      <c r="H82" s="28"/>
      <c r="I82" s="29"/>
      <c r="J82" s="28"/>
      <c r="K82" s="28"/>
      <c r="L82" s="28"/>
      <c r="M82" s="5"/>
      <c r="N82" s="1"/>
      <c r="O82" s="4">
        <f t="shared" si="7"/>
        <v>0</v>
      </c>
      <c r="P82" s="4">
        <f t="shared" si="8"/>
        <v>0</v>
      </c>
      <c r="Q82" s="4">
        <f t="shared" si="2"/>
        <v>0</v>
      </c>
      <c r="R82" s="4">
        <f t="shared" si="3"/>
        <v>0</v>
      </c>
      <c r="S82" s="2">
        <f t="shared" si="9"/>
        <v>-1</v>
      </c>
      <c r="T82" s="4">
        <f t="shared" si="10"/>
        <v>0</v>
      </c>
      <c r="U82" s="2" t="str">
        <f t="shared" si="5"/>
        <v xml:space="preserve"> - </v>
      </c>
      <c r="V82" s="1"/>
      <c r="W82" s="1"/>
      <c r="X82" s="1"/>
      <c r="Y82" s="1"/>
      <c r="Z82" s="1"/>
      <c r="AA82" s="2"/>
      <c r="AB82" s="2"/>
      <c r="AC82" s="2"/>
    </row>
    <row r="83" spans="1:29" ht="12.75" customHeight="1">
      <c r="A83" s="1"/>
      <c r="B83" s="5"/>
      <c r="C83" s="22"/>
      <c r="D83" s="24"/>
      <c r="E83" s="26"/>
      <c r="F83" s="28"/>
      <c r="G83" s="29"/>
      <c r="H83" s="28"/>
      <c r="I83" s="29"/>
      <c r="J83" s="28"/>
      <c r="K83" s="28"/>
      <c r="L83" s="28"/>
      <c r="M83" s="5"/>
      <c r="N83" s="1"/>
      <c r="O83" s="4">
        <f t="shared" si="7"/>
        <v>0</v>
      </c>
      <c r="P83" s="4">
        <f t="shared" si="8"/>
        <v>0</v>
      </c>
      <c r="Q83" s="4">
        <f t="shared" si="2"/>
        <v>0</v>
      </c>
      <c r="R83" s="4">
        <f t="shared" si="3"/>
        <v>0</v>
      </c>
      <c r="S83" s="2">
        <f t="shared" si="9"/>
        <v>-1</v>
      </c>
      <c r="T83" s="4">
        <f t="shared" si="10"/>
        <v>0</v>
      </c>
      <c r="U83" s="2" t="str">
        <f t="shared" si="5"/>
        <v xml:space="preserve"> - </v>
      </c>
      <c r="V83" s="1"/>
      <c r="W83" s="1"/>
      <c r="X83" s="1"/>
      <c r="Y83" s="1"/>
      <c r="Z83" s="1"/>
      <c r="AA83" s="2"/>
      <c r="AB83" s="2"/>
      <c r="AC83" s="2"/>
    </row>
    <row r="84" spans="1:29" ht="12.75" customHeight="1">
      <c r="A84" s="1"/>
      <c r="B84" s="5"/>
      <c r="C84" s="22"/>
      <c r="D84" s="24"/>
      <c r="E84" s="26"/>
      <c r="F84" s="28"/>
      <c r="G84" s="29"/>
      <c r="H84" s="28"/>
      <c r="I84" s="29"/>
      <c r="J84" s="28"/>
      <c r="K84" s="28"/>
      <c r="L84" s="28"/>
      <c r="M84" s="5"/>
      <c r="N84" s="1"/>
      <c r="O84" s="4">
        <f t="shared" si="7"/>
        <v>0</v>
      </c>
      <c r="P84" s="4">
        <f t="shared" si="8"/>
        <v>0</v>
      </c>
      <c r="Q84" s="4">
        <f t="shared" si="2"/>
        <v>0</v>
      </c>
      <c r="R84" s="4">
        <f t="shared" si="3"/>
        <v>0</v>
      </c>
      <c r="S84" s="2">
        <f t="shared" si="9"/>
        <v>-1</v>
      </c>
      <c r="T84" s="4">
        <f t="shared" si="10"/>
        <v>0</v>
      </c>
      <c r="U84" s="2" t="str">
        <f t="shared" si="5"/>
        <v xml:space="preserve"> - </v>
      </c>
      <c r="V84" s="1"/>
      <c r="W84" s="1"/>
      <c r="X84" s="1"/>
      <c r="Y84" s="1"/>
      <c r="Z84" s="1"/>
      <c r="AA84" s="2"/>
      <c r="AB84" s="2"/>
      <c r="AC84" s="2"/>
    </row>
    <row r="85" spans="1:29" ht="12.75" customHeight="1">
      <c r="A85" s="1"/>
      <c r="B85" s="5"/>
      <c r="C85" s="22"/>
      <c r="D85" s="24"/>
      <c r="E85" s="26"/>
      <c r="F85" s="28"/>
      <c r="G85" s="29"/>
      <c r="H85" s="28"/>
      <c r="I85" s="29"/>
      <c r="J85" s="28"/>
      <c r="K85" s="28"/>
      <c r="L85" s="28"/>
      <c r="M85" s="5"/>
      <c r="N85" s="1"/>
      <c r="O85" s="4">
        <f t="shared" si="7"/>
        <v>0</v>
      </c>
      <c r="P85" s="4">
        <f t="shared" si="8"/>
        <v>0</v>
      </c>
      <c r="Q85" s="4">
        <f t="shared" si="2"/>
        <v>0</v>
      </c>
      <c r="R85" s="4">
        <f t="shared" si="3"/>
        <v>0</v>
      </c>
      <c r="S85" s="2">
        <f t="shared" si="9"/>
        <v>-1</v>
      </c>
      <c r="T85" s="4">
        <f t="shared" si="10"/>
        <v>0</v>
      </c>
      <c r="U85" s="2" t="str">
        <f t="shared" si="5"/>
        <v xml:space="preserve"> - </v>
      </c>
      <c r="V85" s="1"/>
      <c r="W85" s="1"/>
      <c r="X85" s="1"/>
      <c r="Y85" s="1"/>
      <c r="Z85" s="1"/>
      <c r="AA85" s="2"/>
      <c r="AB85" s="2"/>
      <c r="AC85" s="2"/>
    </row>
    <row r="86" spans="1:29" ht="12.75" customHeight="1">
      <c r="A86" s="1"/>
      <c r="B86" s="5"/>
      <c r="C86" s="22"/>
      <c r="D86" s="24"/>
      <c r="E86" s="26"/>
      <c r="F86" s="28"/>
      <c r="G86" s="29"/>
      <c r="H86" s="28"/>
      <c r="I86" s="29"/>
      <c r="J86" s="28"/>
      <c r="K86" s="28"/>
      <c r="L86" s="28"/>
      <c r="M86" s="5"/>
      <c r="N86" s="1"/>
      <c r="O86" s="4">
        <f t="shared" si="7"/>
        <v>0</v>
      </c>
      <c r="P86" s="4">
        <f t="shared" si="8"/>
        <v>0</v>
      </c>
      <c r="Q86" s="4">
        <f t="shared" si="2"/>
        <v>0</v>
      </c>
      <c r="R86" s="4">
        <f t="shared" si="3"/>
        <v>0</v>
      </c>
      <c r="S86" s="2">
        <f t="shared" si="9"/>
        <v>-1</v>
      </c>
      <c r="T86" s="4">
        <f t="shared" si="10"/>
        <v>0</v>
      </c>
      <c r="U86" s="2" t="str">
        <f t="shared" si="5"/>
        <v xml:space="preserve"> - </v>
      </c>
      <c r="V86" s="1"/>
      <c r="W86" s="1"/>
      <c r="X86" s="1"/>
      <c r="Y86" s="1"/>
      <c r="Z86" s="1"/>
      <c r="AA86" s="2"/>
      <c r="AB86" s="2"/>
      <c r="AC86" s="2"/>
    </row>
    <row r="87" spans="1:29" ht="12.75" customHeight="1">
      <c r="A87" s="1"/>
      <c r="B87" s="5"/>
      <c r="C87" s="22"/>
      <c r="D87" s="24"/>
      <c r="E87" s="26"/>
      <c r="F87" s="28"/>
      <c r="G87" s="29"/>
      <c r="H87" s="28"/>
      <c r="I87" s="29"/>
      <c r="J87" s="28"/>
      <c r="K87" s="28"/>
      <c r="L87" s="28"/>
      <c r="M87" s="5"/>
      <c r="N87" s="1"/>
      <c r="O87" s="4">
        <f t="shared" si="7"/>
        <v>0</v>
      </c>
      <c r="P87" s="4">
        <f t="shared" si="8"/>
        <v>0</v>
      </c>
      <c r="Q87" s="4">
        <f t="shared" si="2"/>
        <v>0</v>
      </c>
      <c r="R87" s="4">
        <f t="shared" si="3"/>
        <v>0</v>
      </c>
      <c r="S87" s="2">
        <f t="shared" si="9"/>
        <v>-1</v>
      </c>
      <c r="T87" s="4">
        <f t="shared" si="10"/>
        <v>0</v>
      </c>
      <c r="U87" s="2" t="str">
        <f t="shared" si="5"/>
        <v xml:space="preserve"> - </v>
      </c>
      <c r="V87" s="1"/>
      <c r="W87" s="1"/>
      <c r="X87" s="1"/>
      <c r="Y87" s="1"/>
      <c r="Z87" s="1"/>
      <c r="AA87" s="2"/>
      <c r="AB87" s="2"/>
      <c r="AC87" s="2"/>
    </row>
    <row r="88" spans="1:29" ht="12.75" customHeight="1">
      <c r="A88" s="1"/>
      <c r="B88" s="5"/>
      <c r="C88" s="22"/>
      <c r="D88" s="24"/>
      <c r="E88" s="26"/>
      <c r="F88" s="28"/>
      <c r="G88" s="29"/>
      <c r="H88" s="28"/>
      <c r="I88" s="29"/>
      <c r="J88" s="28"/>
      <c r="K88" s="28"/>
      <c r="L88" s="28"/>
      <c r="M88" s="5"/>
      <c r="N88" s="1"/>
      <c r="O88" s="4">
        <f t="shared" si="7"/>
        <v>0</v>
      </c>
      <c r="P88" s="4">
        <f t="shared" si="8"/>
        <v>0</v>
      </c>
      <c r="Q88" s="4">
        <f t="shared" si="2"/>
        <v>0</v>
      </c>
      <c r="R88" s="4">
        <f t="shared" si="3"/>
        <v>0</v>
      </c>
      <c r="S88" s="2">
        <f t="shared" si="9"/>
        <v>-1</v>
      </c>
      <c r="T88" s="4">
        <f t="shared" si="10"/>
        <v>0</v>
      </c>
      <c r="U88" s="2" t="str">
        <f t="shared" si="5"/>
        <v xml:space="preserve"> - </v>
      </c>
      <c r="V88" s="1"/>
      <c r="W88" s="1"/>
      <c r="X88" s="1"/>
      <c r="Y88" s="1"/>
      <c r="Z88" s="1"/>
      <c r="AA88" s="2"/>
      <c r="AB88" s="2"/>
      <c r="AC88" s="2"/>
    </row>
    <row r="89" spans="1:29" ht="12.75" customHeight="1">
      <c r="A89" s="1"/>
      <c r="B89" s="5"/>
      <c r="C89" s="22"/>
      <c r="D89" s="24"/>
      <c r="E89" s="26"/>
      <c r="F89" s="28"/>
      <c r="G89" s="29"/>
      <c r="H89" s="28"/>
      <c r="I89" s="29"/>
      <c r="J89" s="28"/>
      <c r="K89" s="28"/>
      <c r="L89" s="28"/>
      <c r="M89" s="5"/>
      <c r="N89" s="1"/>
      <c r="O89" s="4">
        <f t="shared" si="7"/>
        <v>0</v>
      </c>
      <c r="P89" s="4">
        <f t="shared" si="8"/>
        <v>0</v>
      </c>
      <c r="Q89" s="4">
        <f t="shared" si="2"/>
        <v>0</v>
      </c>
      <c r="R89" s="4">
        <f t="shared" si="3"/>
        <v>0</v>
      </c>
      <c r="S89" s="2">
        <f t="shared" si="9"/>
        <v>-1</v>
      </c>
      <c r="T89" s="4">
        <f t="shared" si="10"/>
        <v>0</v>
      </c>
      <c r="U89" s="2" t="str">
        <f t="shared" si="5"/>
        <v xml:space="preserve"> - </v>
      </c>
      <c r="V89" s="1"/>
      <c r="W89" s="1"/>
      <c r="X89" s="1"/>
      <c r="Y89" s="1"/>
      <c r="Z89" s="1"/>
      <c r="AA89" s="2"/>
      <c r="AB89" s="2"/>
      <c r="AC89" s="2"/>
    </row>
    <row r="90" spans="1:29" ht="12.75" customHeight="1">
      <c r="A90" s="1"/>
      <c r="B90" s="5"/>
      <c r="C90" s="22"/>
      <c r="D90" s="24"/>
      <c r="E90" s="26"/>
      <c r="F90" s="28"/>
      <c r="G90" s="29"/>
      <c r="H90" s="28"/>
      <c r="I90" s="29"/>
      <c r="J90" s="28"/>
      <c r="K90" s="28"/>
      <c r="L90" s="28"/>
      <c r="M90" s="5"/>
      <c r="N90" s="1"/>
      <c r="O90" s="4">
        <f t="shared" si="7"/>
        <v>0</v>
      </c>
      <c r="P90" s="4">
        <f t="shared" si="8"/>
        <v>0</v>
      </c>
      <c r="Q90" s="4">
        <f t="shared" si="2"/>
        <v>0</v>
      </c>
      <c r="R90" s="4">
        <f t="shared" si="3"/>
        <v>0</v>
      </c>
      <c r="S90" s="2">
        <f t="shared" si="9"/>
        <v>-1</v>
      </c>
      <c r="T90" s="4">
        <f t="shared" si="10"/>
        <v>0</v>
      </c>
      <c r="U90" s="2" t="str">
        <f t="shared" si="5"/>
        <v xml:space="preserve"> - </v>
      </c>
      <c r="V90" s="1"/>
      <c r="W90" s="1"/>
      <c r="X90" s="1"/>
      <c r="Y90" s="1"/>
      <c r="Z90" s="1"/>
      <c r="AA90" s="2"/>
      <c r="AB90" s="2"/>
      <c r="AC90" s="2"/>
    </row>
    <row r="91" spans="1:29" ht="12.75" customHeight="1">
      <c r="A91" s="1"/>
      <c r="B91" s="5"/>
      <c r="C91" s="22"/>
      <c r="D91" s="24"/>
      <c r="E91" s="26"/>
      <c r="F91" s="28"/>
      <c r="G91" s="29"/>
      <c r="H91" s="28"/>
      <c r="I91" s="29"/>
      <c r="J91" s="28"/>
      <c r="K91" s="28"/>
      <c r="L91" s="28"/>
      <c r="M91" s="5"/>
      <c r="N91" s="1"/>
      <c r="O91" s="4">
        <f t="shared" si="7"/>
        <v>0</v>
      </c>
      <c r="P91" s="4">
        <f t="shared" si="8"/>
        <v>0</v>
      </c>
      <c r="Q91" s="4">
        <f t="shared" si="2"/>
        <v>0</v>
      </c>
      <c r="R91" s="4">
        <f t="shared" si="3"/>
        <v>0</v>
      </c>
      <c r="S91" s="2">
        <f t="shared" si="9"/>
        <v>-1</v>
      </c>
      <c r="T91" s="4">
        <f t="shared" si="10"/>
        <v>0</v>
      </c>
      <c r="U91" s="2" t="str">
        <f t="shared" si="5"/>
        <v xml:space="preserve"> - </v>
      </c>
      <c r="V91" s="1"/>
      <c r="W91" s="1"/>
      <c r="X91" s="1"/>
      <c r="Y91" s="1"/>
      <c r="Z91" s="1"/>
      <c r="AA91" s="2"/>
      <c r="AB91" s="2"/>
      <c r="AC91" s="2"/>
    </row>
    <row r="92" spans="1:29" ht="12.75" customHeight="1">
      <c r="A92" s="1"/>
      <c r="B92" s="5"/>
      <c r="C92" s="22"/>
      <c r="D92" s="24"/>
      <c r="E92" s="26"/>
      <c r="F92" s="28"/>
      <c r="G92" s="29"/>
      <c r="H92" s="28"/>
      <c r="I92" s="29"/>
      <c r="J92" s="28"/>
      <c r="K92" s="28"/>
      <c r="L92" s="28"/>
      <c r="M92" s="5"/>
      <c r="N92" s="1"/>
      <c r="O92" s="4">
        <f t="shared" si="7"/>
        <v>0</v>
      </c>
      <c r="P92" s="4">
        <f t="shared" si="8"/>
        <v>0</v>
      </c>
      <c r="Q92" s="4">
        <f t="shared" si="2"/>
        <v>0</v>
      </c>
      <c r="R92" s="4">
        <f t="shared" si="3"/>
        <v>0</v>
      </c>
      <c r="S92" s="2">
        <f t="shared" si="9"/>
        <v>-1</v>
      </c>
      <c r="T92" s="4">
        <f t="shared" si="10"/>
        <v>0</v>
      </c>
      <c r="U92" s="2" t="str">
        <f t="shared" si="5"/>
        <v xml:space="preserve"> - </v>
      </c>
      <c r="V92" s="1"/>
      <c r="W92" s="1"/>
      <c r="X92" s="1"/>
      <c r="Y92" s="1"/>
      <c r="Z92" s="1"/>
      <c r="AA92" s="2"/>
      <c r="AB92" s="2"/>
      <c r="AC92" s="2"/>
    </row>
    <row r="93" spans="1:29" ht="12.75" customHeight="1">
      <c r="A93" s="1"/>
      <c r="B93" s="5"/>
      <c r="C93" s="22"/>
      <c r="D93" s="24"/>
      <c r="E93" s="26"/>
      <c r="F93" s="28"/>
      <c r="G93" s="29"/>
      <c r="H93" s="28"/>
      <c r="I93" s="29"/>
      <c r="J93" s="28"/>
      <c r="K93" s="28"/>
      <c r="L93" s="28"/>
      <c r="M93" s="5"/>
      <c r="N93" s="1"/>
      <c r="O93" s="4">
        <f t="shared" si="7"/>
        <v>0</v>
      </c>
      <c r="P93" s="4">
        <f t="shared" si="8"/>
        <v>0</v>
      </c>
      <c r="Q93" s="4">
        <f t="shared" si="2"/>
        <v>0</v>
      </c>
      <c r="R93" s="4">
        <f t="shared" si="3"/>
        <v>0</v>
      </c>
      <c r="S93" s="2">
        <f t="shared" si="9"/>
        <v>-1</v>
      </c>
      <c r="T93" s="4">
        <f t="shared" si="10"/>
        <v>0</v>
      </c>
      <c r="U93" s="2" t="str">
        <f t="shared" si="5"/>
        <v xml:space="preserve"> - </v>
      </c>
      <c r="V93" s="1"/>
      <c r="W93" s="1"/>
      <c r="X93" s="1"/>
      <c r="Y93" s="1"/>
      <c r="Z93" s="1"/>
      <c r="AA93" s="2"/>
      <c r="AB93" s="2"/>
      <c r="AC93" s="2"/>
    </row>
    <row r="94" spans="1:29" ht="12.75" customHeight="1">
      <c r="A94" s="1"/>
      <c r="B94" s="5"/>
      <c r="C94" s="22"/>
      <c r="D94" s="24"/>
      <c r="E94" s="26"/>
      <c r="F94" s="28"/>
      <c r="G94" s="29"/>
      <c r="H94" s="28"/>
      <c r="I94" s="29"/>
      <c r="J94" s="28"/>
      <c r="K94" s="28"/>
      <c r="L94" s="28"/>
      <c r="M94" s="5"/>
      <c r="N94" s="1"/>
      <c r="O94" s="4">
        <f t="shared" si="7"/>
        <v>0</v>
      </c>
      <c r="P94" s="4">
        <f t="shared" si="8"/>
        <v>0</v>
      </c>
      <c r="Q94" s="4">
        <f t="shared" si="2"/>
        <v>0</v>
      </c>
      <c r="R94" s="4">
        <f t="shared" si="3"/>
        <v>0</v>
      </c>
      <c r="S94" s="2">
        <f t="shared" si="9"/>
        <v>-1</v>
      </c>
      <c r="T94" s="4">
        <f t="shared" si="10"/>
        <v>0</v>
      </c>
      <c r="U94" s="2" t="str">
        <f t="shared" si="5"/>
        <v xml:space="preserve"> - </v>
      </c>
      <c r="V94" s="1"/>
      <c r="W94" s="1"/>
      <c r="X94" s="1"/>
      <c r="Y94" s="1"/>
      <c r="Z94" s="1"/>
      <c r="AA94" s="2"/>
      <c r="AB94" s="2"/>
      <c r="AC94" s="2"/>
    </row>
    <row r="95" spans="1:29" ht="12.75" customHeight="1">
      <c r="A95" s="1"/>
      <c r="B95" s="5"/>
      <c r="C95" s="22"/>
      <c r="D95" s="24"/>
      <c r="E95" s="26"/>
      <c r="F95" s="28"/>
      <c r="G95" s="29"/>
      <c r="H95" s="28"/>
      <c r="I95" s="29"/>
      <c r="J95" s="28"/>
      <c r="K95" s="28"/>
      <c r="L95" s="28"/>
      <c r="M95" s="5"/>
      <c r="N95" s="1"/>
      <c r="O95" s="4">
        <f t="shared" si="7"/>
        <v>0</v>
      </c>
      <c r="P95" s="4">
        <f t="shared" si="8"/>
        <v>0</v>
      </c>
      <c r="Q95" s="4">
        <f t="shared" si="2"/>
        <v>0</v>
      </c>
      <c r="R95" s="4">
        <f t="shared" si="3"/>
        <v>0</v>
      </c>
      <c r="S95" s="2">
        <f t="shared" si="9"/>
        <v>-1</v>
      </c>
      <c r="T95" s="4">
        <f t="shared" si="10"/>
        <v>0</v>
      </c>
      <c r="U95" s="2" t="str">
        <f t="shared" si="5"/>
        <v xml:space="preserve"> - </v>
      </c>
      <c r="V95" s="1"/>
      <c r="W95" s="1"/>
      <c r="X95" s="1"/>
      <c r="Y95" s="1"/>
      <c r="Z95" s="1"/>
      <c r="AA95" s="2"/>
      <c r="AB95" s="2"/>
      <c r="AC95" s="2"/>
    </row>
    <row r="96" spans="1:29" ht="12.75" customHeight="1">
      <c r="A96" s="1"/>
      <c r="B96" s="5"/>
      <c r="C96" s="22"/>
      <c r="D96" s="24"/>
      <c r="E96" s="26"/>
      <c r="F96" s="28"/>
      <c r="G96" s="29"/>
      <c r="H96" s="28"/>
      <c r="I96" s="29"/>
      <c r="J96" s="28"/>
      <c r="K96" s="28"/>
      <c r="L96" s="28"/>
      <c r="M96" s="5"/>
      <c r="N96" s="1"/>
      <c r="O96" s="4">
        <f t="shared" si="7"/>
        <v>0</v>
      </c>
      <c r="P96" s="4">
        <f t="shared" si="8"/>
        <v>0</v>
      </c>
      <c r="Q96" s="4">
        <f t="shared" si="2"/>
        <v>0</v>
      </c>
      <c r="R96" s="4">
        <f t="shared" si="3"/>
        <v>0</v>
      </c>
      <c r="S96" s="2">
        <f t="shared" si="9"/>
        <v>-1</v>
      </c>
      <c r="T96" s="4">
        <f t="shared" si="10"/>
        <v>0</v>
      </c>
      <c r="U96" s="2" t="str">
        <f t="shared" si="5"/>
        <v xml:space="preserve"> - </v>
      </c>
      <c r="V96" s="1"/>
      <c r="W96" s="1"/>
      <c r="X96" s="1"/>
      <c r="Y96" s="1"/>
      <c r="Z96" s="1"/>
      <c r="AA96" s="2"/>
      <c r="AB96" s="2"/>
      <c r="AC96" s="2"/>
    </row>
    <row r="97" spans="1:29" ht="12.75" customHeight="1">
      <c r="A97" s="1"/>
      <c r="B97" s="5"/>
      <c r="C97" s="22"/>
      <c r="D97" s="24"/>
      <c r="E97" s="26"/>
      <c r="F97" s="28"/>
      <c r="G97" s="29"/>
      <c r="H97" s="28"/>
      <c r="I97" s="29"/>
      <c r="J97" s="28"/>
      <c r="K97" s="28"/>
      <c r="L97" s="28"/>
      <c r="M97" s="5"/>
      <c r="N97" s="1"/>
      <c r="O97" s="4">
        <f t="shared" si="7"/>
        <v>0</v>
      </c>
      <c r="P97" s="4">
        <f t="shared" si="8"/>
        <v>0</v>
      </c>
      <c r="Q97" s="4">
        <f t="shared" si="2"/>
        <v>0</v>
      </c>
      <c r="R97" s="4">
        <f t="shared" si="3"/>
        <v>0</v>
      </c>
      <c r="S97" s="2">
        <f t="shared" si="9"/>
        <v>-1</v>
      </c>
      <c r="T97" s="4">
        <f t="shared" si="10"/>
        <v>0</v>
      </c>
      <c r="U97" s="2" t="str">
        <f t="shared" si="5"/>
        <v xml:space="preserve"> - </v>
      </c>
      <c r="V97" s="1"/>
      <c r="W97" s="1"/>
      <c r="X97" s="1"/>
      <c r="Y97" s="1"/>
      <c r="Z97" s="1"/>
      <c r="AA97" s="2"/>
      <c r="AB97" s="2"/>
      <c r="AC97" s="2"/>
    </row>
    <row r="98" spans="1:29" ht="12.75" customHeight="1">
      <c r="A98" s="1"/>
      <c r="B98" s="5"/>
      <c r="C98" s="22"/>
      <c r="D98" s="24"/>
      <c r="E98" s="26"/>
      <c r="F98" s="28"/>
      <c r="G98" s="29"/>
      <c r="H98" s="28"/>
      <c r="I98" s="29"/>
      <c r="J98" s="28"/>
      <c r="K98" s="28"/>
      <c r="L98" s="28"/>
      <c r="M98" s="5"/>
      <c r="N98" s="1"/>
      <c r="O98" s="4">
        <f t="shared" si="7"/>
        <v>0</v>
      </c>
      <c r="P98" s="4">
        <f t="shared" si="8"/>
        <v>0</v>
      </c>
      <c r="Q98" s="4">
        <f t="shared" si="2"/>
        <v>0</v>
      </c>
      <c r="R98" s="4">
        <f t="shared" si="3"/>
        <v>0</v>
      </c>
      <c r="S98" s="2">
        <f t="shared" si="9"/>
        <v>-1</v>
      </c>
      <c r="T98" s="4">
        <f t="shared" si="10"/>
        <v>0</v>
      </c>
      <c r="U98" s="2" t="str">
        <f t="shared" si="5"/>
        <v xml:space="preserve"> - </v>
      </c>
      <c r="V98" s="1"/>
      <c r="W98" s="1"/>
      <c r="X98" s="1"/>
      <c r="Y98" s="1"/>
      <c r="Z98" s="1"/>
      <c r="AA98" s="2"/>
      <c r="AB98" s="2"/>
      <c r="AC98" s="2"/>
    </row>
    <row r="99" spans="1:29" ht="12.75" customHeight="1">
      <c r="A99" s="1"/>
      <c r="B99" s="5"/>
      <c r="C99" s="22"/>
      <c r="D99" s="24"/>
      <c r="E99" s="26"/>
      <c r="F99" s="28"/>
      <c r="G99" s="29"/>
      <c r="H99" s="28"/>
      <c r="I99" s="29"/>
      <c r="J99" s="28"/>
      <c r="K99" s="28"/>
      <c r="L99" s="28"/>
      <c r="M99" s="5"/>
      <c r="N99" s="1"/>
      <c r="O99" s="4">
        <f t="shared" si="7"/>
        <v>0</v>
      </c>
      <c r="P99" s="4">
        <f t="shared" si="8"/>
        <v>0</v>
      </c>
      <c r="Q99" s="4">
        <f t="shared" si="2"/>
        <v>0</v>
      </c>
      <c r="R99" s="4">
        <f t="shared" si="3"/>
        <v>0</v>
      </c>
      <c r="S99" s="2">
        <f t="shared" si="9"/>
        <v>-1</v>
      </c>
      <c r="T99" s="4">
        <f t="shared" si="10"/>
        <v>0</v>
      </c>
      <c r="U99" s="2" t="str">
        <f t="shared" si="5"/>
        <v xml:space="preserve"> - </v>
      </c>
      <c r="V99" s="1"/>
      <c r="W99" s="1"/>
      <c r="X99" s="1"/>
      <c r="Y99" s="1"/>
      <c r="Z99" s="1"/>
      <c r="AA99" s="2"/>
      <c r="AB99" s="2"/>
      <c r="AC99" s="2"/>
    </row>
    <row r="100" spans="1:29" ht="12.75" customHeight="1">
      <c r="A100" s="1"/>
      <c r="B100" s="5"/>
      <c r="C100" s="22"/>
      <c r="D100" s="24"/>
      <c r="E100" s="26"/>
      <c r="F100" s="28"/>
      <c r="G100" s="29"/>
      <c r="H100" s="28"/>
      <c r="I100" s="29"/>
      <c r="J100" s="28"/>
      <c r="K100" s="28"/>
      <c r="L100" s="28"/>
      <c r="M100" s="5"/>
      <c r="N100" s="1"/>
      <c r="O100" s="4">
        <f t="shared" si="7"/>
        <v>0</v>
      </c>
      <c r="P100" s="4">
        <f t="shared" si="8"/>
        <v>0</v>
      </c>
      <c r="Q100" s="4">
        <f t="shared" si="2"/>
        <v>0</v>
      </c>
      <c r="R100" s="4">
        <f t="shared" si="3"/>
        <v>0</v>
      </c>
      <c r="S100" s="2">
        <f t="shared" si="9"/>
        <v>-1</v>
      </c>
      <c r="T100" s="4">
        <f t="shared" si="10"/>
        <v>0</v>
      </c>
      <c r="U100" s="2" t="str">
        <f t="shared" si="5"/>
        <v xml:space="preserve"> - </v>
      </c>
      <c r="V100" s="1"/>
      <c r="W100" s="1"/>
      <c r="X100" s="1"/>
      <c r="Y100" s="1"/>
      <c r="Z100" s="1"/>
      <c r="AA100" s="2"/>
      <c r="AB100" s="2"/>
      <c r="AC100" s="2"/>
    </row>
    <row r="101" spans="1:29" ht="12.75" customHeight="1">
      <c r="A101" s="1"/>
      <c r="B101" s="5"/>
      <c r="C101" s="22"/>
      <c r="D101" s="24"/>
      <c r="E101" s="26"/>
      <c r="F101" s="28"/>
      <c r="G101" s="29"/>
      <c r="H101" s="28"/>
      <c r="I101" s="29"/>
      <c r="J101" s="28"/>
      <c r="K101" s="28"/>
      <c r="L101" s="28"/>
      <c r="M101" s="5"/>
      <c r="N101" s="1"/>
      <c r="O101" s="4">
        <f t="shared" si="7"/>
        <v>0</v>
      </c>
      <c r="P101" s="4">
        <f t="shared" si="8"/>
        <v>0</v>
      </c>
      <c r="Q101" s="4">
        <f t="shared" si="2"/>
        <v>0</v>
      </c>
      <c r="R101" s="4">
        <f t="shared" si="3"/>
        <v>0</v>
      </c>
      <c r="S101" s="2">
        <f t="shared" si="9"/>
        <v>-1</v>
      </c>
      <c r="T101" s="4">
        <f t="shared" si="10"/>
        <v>0</v>
      </c>
      <c r="U101" s="2" t="str">
        <f t="shared" si="5"/>
        <v xml:space="preserve"> - </v>
      </c>
      <c r="V101" s="1"/>
      <c r="W101" s="1"/>
      <c r="X101" s="1"/>
      <c r="Y101" s="1"/>
      <c r="Z101" s="1"/>
      <c r="AA101" s="2"/>
      <c r="AB101" s="2"/>
      <c r="AC101" s="2"/>
    </row>
    <row r="102" spans="1:29" ht="12.75" customHeight="1">
      <c r="A102" s="1"/>
      <c r="B102" s="5"/>
      <c r="C102" s="22"/>
      <c r="D102" s="24"/>
      <c r="E102" s="26"/>
      <c r="F102" s="28"/>
      <c r="G102" s="29"/>
      <c r="H102" s="28"/>
      <c r="I102" s="29"/>
      <c r="J102" s="28"/>
      <c r="K102" s="28"/>
      <c r="L102" s="28"/>
      <c r="M102" s="5"/>
      <c r="N102" s="1"/>
      <c r="O102" s="4">
        <f t="shared" si="7"/>
        <v>0</v>
      </c>
      <c r="P102" s="4">
        <f t="shared" si="8"/>
        <v>0</v>
      </c>
      <c r="Q102" s="4">
        <f t="shared" si="2"/>
        <v>0</v>
      </c>
      <c r="R102" s="4">
        <f t="shared" si="3"/>
        <v>0</v>
      </c>
      <c r="S102" s="2">
        <f t="shared" si="9"/>
        <v>-1</v>
      </c>
      <c r="T102" s="4">
        <f t="shared" si="10"/>
        <v>0</v>
      </c>
      <c r="U102" s="2" t="str">
        <f t="shared" si="5"/>
        <v xml:space="preserve"> - </v>
      </c>
      <c r="V102" s="1"/>
      <c r="W102" s="1"/>
      <c r="X102" s="1"/>
      <c r="Y102" s="1"/>
      <c r="Z102" s="1"/>
      <c r="AA102" s="2"/>
      <c r="AB102" s="2"/>
      <c r="AC102" s="2"/>
    </row>
    <row r="103" spans="1:29" ht="12.75" customHeight="1">
      <c r="A103" s="1"/>
      <c r="B103" s="5"/>
      <c r="C103" s="22"/>
      <c r="D103" s="24"/>
      <c r="E103" s="26"/>
      <c r="F103" s="28"/>
      <c r="G103" s="29"/>
      <c r="H103" s="28"/>
      <c r="I103" s="29"/>
      <c r="J103" s="28"/>
      <c r="K103" s="28"/>
      <c r="L103" s="28"/>
      <c r="M103" s="5"/>
      <c r="N103" s="1"/>
      <c r="O103" s="4">
        <f t="shared" si="7"/>
        <v>0</v>
      </c>
      <c r="P103" s="4">
        <f t="shared" si="8"/>
        <v>0</v>
      </c>
      <c r="Q103" s="4">
        <f t="shared" si="2"/>
        <v>0</v>
      </c>
      <c r="R103" s="4">
        <f t="shared" si="3"/>
        <v>0</v>
      </c>
      <c r="S103" s="2">
        <f t="shared" si="9"/>
        <v>-1</v>
      </c>
      <c r="T103" s="4">
        <f t="shared" si="10"/>
        <v>0</v>
      </c>
      <c r="U103" s="2" t="str">
        <f t="shared" si="5"/>
        <v xml:space="preserve"> - </v>
      </c>
      <c r="V103" s="1"/>
      <c r="W103" s="1"/>
      <c r="X103" s="1"/>
      <c r="Y103" s="1"/>
      <c r="Z103" s="1"/>
      <c r="AA103" s="2"/>
      <c r="AB103" s="2"/>
      <c r="AC103" s="2"/>
    </row>
    <row r="104" spans="1:29" ht="12.75" customHeight="1">
      <c r="A104" s="1"/>
      <c r="B104" s="5"/>
      <c r="C104" s="22"/>
      <c r="D104" s="24"/>
      <c r="E104" s="26"/>
      <c r="F104" s="28"/>
      <c r="G104" s="29"/>
      <c r="H104" s="28"/>
      <c r="I104" s="29"/>
      <c r="J104" s="28"/>
      <c r="K104" s="28"/>
      <c r="L104" s="28"/>
      <c r="M104" s="5"/>
      <c r="N104" s="1"/>
      <c r="O104" s="4">
        <f t="shared" si="7"/>
        <v>0</v>
      </c>
      <c r="P104" s="4">
        <f t="shared" si="8"/>
        <v>0</v>
      </c>
      <c r="Q104" s="4">
        <f t="shared" si="2"/>
        <v>0</v>
      </c>
      <c r="R104" s="4">
        <f t="shared" si="3"/>
        <v>0</v>
      </c>
      <c r="S104" s="2">
        <f t="shared" si="9"/>
        <v>-1</v>
      </c>
      <c r="T104" s="4">
        <f t="shared" si="10"/>
        <v>0</v>
      </c>
      <c r="U104" s="2" t="str">
        <f t="shared" si="5"/>
        <v xml:space="preserve"> - </v>
      </c>
      <c r="V104" s="1"/>
      <c r="W104" s="1"/>
      <c r="X104" s="1"/>
      <c r="Y104" s="1"/>
      <c r="Z104" s="1"/>
      <c r="AA104" s="2"/>
      <c r="AB104" s="2"/>
      <c r="AC104" s="2"/>
    </row>
    <row r="105" spans="1:29" ht="12.75" customHeight="1">
      <c r="A105" s="1"/>
      <c r="B105" s="5"/>
      <c r="C105" s="22"/>
      <c r="D105" s="24"/>
      <c r="E105" s="26"/>
      <c r="F105" s="28"/>
      <c r="G105" s="29"/>
      <c r="H105" s="28"/>
      <c r="I105" s="29"/>
      <c r="J105" s="28"/>
      <c r="K105" s="28"/>
      <c r="L105" s="28"/>
      <c r="M105" s="5"/>
      <c r="N105" s="1"/>
      <c r="O105" s="4">
        <f t="shared" si="7"/>
        <v>0</v>
      </c>
      <c r="P105" s="4">
        <f t="shared" si="8"/>
        <v>0</v>
      </c>
      <c r="Q105" s="4">
        <f t="shared" si="2"/>
        <v>0</v>
      </c>
      <c r="R105" s="4">
        <f t="shared" si="3"/>
        <v>0</v>
      </c>
      <c r="S105" s="2">
        <f t="shared" si="9"/>
        <v>-1</v>
      </c>
      <c r="T105" s="4">
        <f t="shared" si="10"/>
        <v>0</v>
      </c>
      <c r="U105" s="2" t="str">
        <f t="shared" si="5"/>
        <v xml:space="preserve"> - </v>
      </c>
      <c r="V105" s="1"/>
      <c r="W105" s="1"/>
      <c r="X105" s="1"/>
      <c r="Y105" s="1"/>
      <c r="Z105" s="1"/>
      <c r="AA105" s="2"/>
      <c r="AB105" s="2"/>
      <c r="AC105" s="2"/>
    </row>
    <row r="106" spans="1:29" ht="12.75" customHeight="1">
      <c r="A106" s="1"/>
      <c r="B106" s="5"/>
      <c r="C106" s="22"/>
      <c r="D106" s="24"/>
      <c r="E106" s="26"/>
      <c r="F106" s="28"/>
      <c r="G106" s="29"/>
      <c r="H106" s="28"/>
      <c r="I106" s="29"/>
      <c r="J106" s="28"/>
      <c r="K106" s="28"/>
      <c r="L106" s="28"/>
      <c r="M106" s="5"/>
      <c r="N106" s="1"/>
      <c r="O106" s="4">
        <f t="shared" si="7"/>
        <v>0</v>
      </c>
      <c r="P106" s="4">
        <f t="shared" si="8"/>
        <v>0</v>
      </c>
      <c r="Q106" s="4">
        <f t="shared" si="2"/>
        <v>0</v>
      </c>
      <c r="R106" s="4">
        <f t="shared" si="3"/>
        <v>0</v>
      </c>
      <c r="S106" s="2">
        <f t="shared" si="9"/>
        <v>-1</v>
      </c>
      <c r="T106" s="4">
        <f t="shared" si="10"/>
        <v>0</v>
      </c>
      <c r="U106" s="2" t="str">
        <f t="shared" si="5"/>
        <v xml:space="preserve"> - </v>
      </c>
      <c r="V106" s="1"/>
      <c r="W106" s="1"/>
      <c r="X106" s="1"/>
      <c r="Y106" s="1"/>
      <c r="Z106" s="1"/>
      <c r="AA106" s="2"/>
      <c r="AB106" s="2"/>
      <c r="AC106" s="2"/>
    </row>
    <row r="107" spans="1:29" ht="12.75" customHeight="1">
      <c r="A107" s="1"/>
      <c r="B107" s="5"/>
      <c r="C107" s="22"/>
      <c r="D107" s="24"/>
      <c r="E107" s="26"/>
      <c r="F107" s="28"/>
      <c r="G107" s="29"/>
      <c r="H107" s="28"/>
      <c r="I107" s="29"/>
      <c r="J107" s="28"/>
      <c r="K107" s="28"/>
      <c r="L107" s="28"/>
      <c r="M107" s="5"/>
      <c r="N107" s="1"/>
      <c r="O107" s="4">
        <f t="shared" si="7"/>
        <v>0</v>
      </c>
      <c r="P107" s="4">
        <f t="shared" si="8"/>
        <v>0</v>
      </c>
      <c r="Q107" s="4">
        <f t="shared" si="2"/>
        <v>0</v>
      </c>
      <c r="R107" s="4">
        <f t="shared" si="3"/>
        <v>0</v>
      </c>
      <c r="S107" s="2">
        <f t="shared" si="9"/>
        <v>-1</v>
      </c>
      <c r="T107" s="4">
        <f t="shared" si="10"/>
        <v>0</v>
      </c>
      <c r="U107" s="2" t="str">
        <f t="shared" si="5"/>
        <v xml:space="preserve"> - </v>
      </c>
      <c r="V107" s="1"/>
      <c r="W107" s="1"/>
      <c r="X107" s="1"/>
      <c r="Y107" s="1"/>
      <c r="Z107" s="1"/>
      <c r="AA107" s="2"/>
      <c r="AB107" s="2"/>
      <c r="AC107" s="2"/>
    </row>
    <row r="108" spans="1:29" ht="12.75" customHeight="1">
      <c r="A108" s="1"/>
      <c r="B108" s="5"/>
      <c r="C108" s="22"/>
      <c r="D108" s="24"/>
      <c r="E108" s="26"/>
      <c r="F108" s="28"/>
      <c r="G108" s="29"/>
      <c r="H108" s="28"/>
      <c r="I108" s="29"/>
      <c r="J108" s="28"/>
      <c r="K108" s="28"/>
      <c r="L108" s="28"/>
      <c r="M108" s="5"/>
      <c r="N108" s="1"/>
      <c r="O108" s="4">
        <f t="shared" si="7"/>
        <v>0</v>
      </c>
      <c r="P108" s="4">
        <f t="shared" si="8"/>
        <v>0</v>
      </c>
      <c r="Q108" s="4">
        <f t="shared" si="2"/>
        <v>0</v>
      </c>
      <c r="R108" s="4">
        <f t="shared" si="3"/>
        <v>0</v>
      </c>
      <c r="S108" s="2">
        <f t="shared" si="9"/>
        <v>-1</v>
      </c>
      <c r="T108" s="4">
        <f t="shared" si="10"/>
        <v>0</v>
      </c>
      <c r="U108" s="2" t="str">
        <f t="shared" si="5"/>
        <v xml:space="preserve"> - </v>
      </c>
      <c r="V108" s="1"/>
      <c r="W108" s="1"/>
      <c r="X108" s="1"/>
      <c r="Y108" s="1"/>
      <c r="Z108" s="1"/>
      <c r="AA108" s="2"/>
      <c r="AB108" s="2"/>
      <c r="AC108" s="2"/>
    </row>
    <row r="109" spans="1:29" ht="12.75" customHeight="1">
      <c r="A109" s="1"/>
      <c r="B109" s="5"/>
      <c r="C109" s="22"/>
      <c r="D109" s="24"/>
      <c r="E109" s="26"/>
      <c r="F109" s="28"/>
      <c r="G109" s="29"/>
      <c r="H109" s="28"/>
      <c r="I109" s="29"/>
      <c r="J109" s="28"/>
      <c r="K109" s="28"/>
      <c r="L109" s="28"/>
      <c r="M109" s="5"/>
      <c r="N109" s="1"/>
      <c r="O109" s="4">
        <f t="shared" si="7"/>
        <v>0</v>
      </c>
      <c r="P109" s="4">
        <f t="shared" si="8"/>
        <v>0</v>
      </c>
      <c r="Q109" s="4">
        <f t="shared" si="2"/>
        <v>0</v>
      </c>
      <c r="R109" s="4">
        <f t="shared" si="3"/>
        <v>0</v>
      </c>
      <c r="S109" s="2">
        <f t="shared" si="9"/>
        <v>-1</v>
      </c>
      <c r="T109" s="4">
        <f t="shared" si="10"/>
        <v>0</v>
      </c>
      <c r="U109" s="2" t="str">
        <f t="shared" si="5"/>
        <v xml:space="preserve"> - </v>
      </c>
      <c r="V109" s="1"/>
      <c r="W109" s="1"/>
      <c r="X109" s="1"/>
      <c r="Y109" s="1"/>
      <c r="Z109" s="1"/>
      <c r="AA109" s="2"/>
      <c r="AB109" s="2"/>
      <c r="AC109" s="2"/>
    </row>
    <row r="110" spans="1:29" ht="12.75" customHeight="1">
      <c r="A110" s="1"/>
      <c r="B110" s="5"/>
      <c r="C110" s="22"/>
      <c r="D110" s="24"/>
      <c r="E110" s="26"/>
      <c r="F110" s="28"/>
      <c r="G110" s="29"/>
      <c r="H110" s="28"/>
      <c r="I110" s="29"/>
      <c r="J110" s="28"/>
      <c r="K110" s="28"/>
      <c r="L110" s="28"/>
      <c r="M110" s="5"/>
      <c r="N110" s="1"/>
      <c r="O110" s="4">
        <f t="shared" si="7"/>
        <v>0</v>
      </c>
      <c r="P110" s="4">
        <f t="shared" si="8"/>
        <v>0</v>
      </c>
      <c r="Q110" s="4">
        <f t="shared" si="2"/>
        <v>0</v>
      </c>
      <c r="R110" s="4">
        <f t="shared" si="3"/>
        <v>0</v>
      </c>
      <c r="S110" s="2">
        <f t="shared" si="9"/>
        <v>-1</v>
      </c>
      <c r="T110" s="4">
        <f t="shared" si="10"/>
        <v>0</v>
      </c>
      <c r="U110" s="2" t="str">
        <f t="shared" si="5"/>
        <v xml:space="preserve"> - </v>
      </c>
      <c r="V110" s="1"/>
      <c r="W110" s="1"/>
      <c r="X110" s="1"/>
      <c r="Y110" s="1"/>
      <c r="Z110" s="1"/>
      <c r="AA110" s="2"/>
      <c r="AB110" s="2"/>
      <c r="AC110" s="2"/>
    </row>
    <row r="111" spans="1:29" ht="12.75" customHeight="1">
      <c r="A111" s="1"/>
      <c r="B111" s="5"/>
      <c r="C111" s="22"/>
      <c r="D111" s="24"/>
      <c r="E111" s="26"/>
      <c r="F111" s="28"/>
      <c r="G111" s="29"/>
      <c r="H111" s="28"/>
      <c r="I111" s="29"/>
      <c r="J111" s="28"/>
      <c r="K111" s="28"/>
      <c r="L111" s="28"/>
      <c r="M111" s="5"/>
      <c r="N111" s="1"/>
      <c r="O111" s="4">
        <f t="shared" si="7"/>
        <v>0</v>
      </c>
      <c r="P111" s="4">
        <f t="shared" si="8"/>
        <v>0</v>
      </c>
      <c r="Q111" s="4">
        <f t="shared" si="2"/>
        <v>0</v>
      </c>
      <c r="R111" s="4">
        <f t="shared" si="3"/>
        <v>0</v>
      </c>
      <c r="S111" s="2">
        <f t="shared" si="9"/>
        <v>-1</v>
      </c>
      <c r="T111" s="4">
        <f t="shared" si="10"/>
        <v>0</v>
      </c>
      <c r="U111" s="2" t="str">
        <f t="shared" si="5"/>
        <v xml:space="preserve"> - </v>
      </c>
      <c r="V111" s="1"/>
      <c r="W111" s="1"/>
      <c r="X111" s="1"/>
      <c r="Y111" s="1"/>
      <c r="Z111" s="1"/>
      <c r="AA111" s="2"/>
      <c r="AB111" s="2"/>
      <c r="AC111" s="2"/>
    </row>
    <row r="112" spans="1:29" ht="12.75" customHeight="1">
      <c r="A112" s="1"/>
      <c r="B112" s="5"/>
      <c r="C112" s="22"/>
      <c r="D112" s="24"/>
      <c r="E112" s="26"/>
      <c r="F112" s="28"/>
      <c r="G112" s="29"/>
      <c r="H112" s="28"/>
      <c r="I112" s="29"/>
      <c r="J112" s="28"/>
      <c r="K112" s="28"/>
      <c r="L112" s="28"/>
      <c r="M112" s="5"/>
      <c r="N112" s="1"/>
      <c r="O112" s="4">
        <f t="shared" si="7"/>
        <v>0</v>
      </c>
      <c r="P112" s="4">
        <f t="shared" si="8"/>
        <v>0</v>
      </c>
      <c r="Q112" s="4">
        <f t="shared" si="2"/>
        <v>0</v>
      </c>
      <c r="R112" s="4">
        <f t="shared" si="3"/>
        <v>0</v>
      </c>
      <c r="S112" s="2">
        <f t="shared" si="9"/>
        <v>-1</v>
      </c>
      <c r="T112" s="4">
        <f t="shared" si="10"/>
        <v>0</v>
      </c>
      <c r="U112" s="2" t="str">
        <f t="shared" si="5"/>
        <v xml:space="preserve"> - </v>
      </c>
      <c r="V112" s="1"/>
      <c r="W112" s="1"/>
      <c r="X112" s="1"/>
      <c r="Y112" s="1"/>
      <c r="Z112" s="1"/>
      <c r="AA112" s="2"/>
      <c r="AB112" s="2"/>
      <c r="AC112" s="2"/>
    </row>
    <row r="113" spans="1:29" ht="12.75" customHeight="1">
      <c r="A113" s="1"/>
      <c r="B113" s="5"/>
      <c r="C113" s="22"/>
      <c r="D113" s="24"/>
      <c r="E113" s="26"/>
      <c r="F113" s="28"/>
      <c r="G113" s="29"/>
      <c r="H113" s="28"/>
      <c r="I113" s="29"/>
      <c r="J113" s="28"/>
      <c r="K113" s="28"/>
      <c r="L113" s="28"/>
      <c r="M113" s="5"/>
      <c r="N113" s="1"/>
      <c r="O113" s="4">
        <f t="shared" si="7"/>
        <v>0</v>
      </c>
      <c r="P113" s="4">
        <f t="shared" si="8"/>
        <v>0</v>
      </c>
      <c r="Q113" s="4">
        <f t="shared" si="2"/>
        <v>0</v>
      </c>
      <c r="R113" s="4">
        <f t="shared" si="3"/>
        <v>0</v>
      </c>
      <c r="S113" s="2">
        <f t="shared" si="9"/>
        <v>-1</v>
      </c>
      <c r="T113" s="4">
        <f t="shared" si="10"/>
        <v>0</v>
      </c>
      <c r="U113" s="2" t="str">
        <f t="shared" si="5"/>
        <v xml:space="preserve"> - </v>
      </c>
      <c r="V113" s="1"/>
      <c r="W113" s="1"/>
      <c r="X113" s="1"/>
      <c r="Y113" s="1"/>
      <c r="Z113" s="1"/>
      <c r="AA113" s="2"/>
      <c r="AB113" s="2"/>
      <c r="AC113" s="2"/>
    </row>
    <row r="114" spans="1:29" ht="12.75" customHeight="1">
      <c r="A114" s="1"/>
      <c r="B114" s="5"/>
      <c r="C114" s="22"/>
      <c r="D114" s="24"/>
      <c r="E114" s="26"/>
      <c r="F114" s="28"/>
      <c r="G114" s="29"/>
      <c r="H114" s="28"/>
      <c r="I114" s="29"/>
      <c r="J114" s="28"/>
      <c r="K114" s="28"/>
      <c r="L114" s="28"/>
      <c r="M114" s="5"/>
      <c r="N114" s="1"/>
      <c r="O114" s="4">
        <f t="shared" si="7"/>
        <v>0</v>
      </c>
      <c r="P114" s="4">
        <f t="shared" si="8"/>
        <v>0</v>
      </c>
      <c r="Q114" s="4">
        <f t="shared" si="2"/>
        <v>0</v>
      </c>
      <c r="R114" s="4">
        <f t="shared" si="3"/>
        <v>0</v>
      </c>
      <c r="S114" s="2">
        <f t="shared" si="9"/>
        <v>-1</v>
      </c>
      <c r="T114" s="4">
        <f t="shared" si="10"/>
        <v>0</v>
      </c>
      <c r="U114" s="2" t="str">
        <f t="shared" si="5"/>
        <v xml:space="preserve"> - </v>
      </c>
      <c r="V114" s="1"/>
      <c r="W114" s="1"/>
      <c r="X114" s="1"/>
      <c r="Y114" s="1"/>
      <c r="Z114" s="1"/>
      <c r="AA114" s="2"/>
      <c r="AB114" s="2"/>
      <c r="AC114" s="2"/>
    </row>
    <row r="115" spans="1:29" ht="12.75" customHeight="1">
      <c r="A115" s="1"/>
      <c r="B115" s="5"/>
      <c r="C115" s="22"/>
      <c r="D115" s="24"/>
      <c r="E115" s="26"/>
      <c r="F115" s="28"/>
      <c r="G115" s="29"/>
      <c r="H115" s="28"/>
      <c r="I115" s="29"/>
      <c r="J115" s="28"/>
      <c r="K115" s="28"/>
      <c r="L115" s="28"/>
      <c r="M115" s="5"/>
      <c r="N115" s="1"/>
      <c r="O115" s="4">
        <f t="shared" si="7"/>
        <v>0</v>
      </c>
      <c r="P115" s="4">
        <f t="shared" si="8"/>
        <v>0</v>
      </c>
      <c r="Q115" s="4">
        <f t="shared" si="2"/>
        <v>0</v>
      </c>
      <c r="R115" s="4">
        <f t="shared" si="3"/>
        <v>0</v>
      </c>
      <c r="S115" s="2">
        <f t="shared" si="9"/>
        <v>-1</v>
      </c>
      <c r="T115" s="4">
        <f t="shared" si="10"/>
        <v>0</v>
      </c>
      <c r="U115" s="2" t="str">
        <f t="shared" si="5"/>
        <v xml:space="preserve"> - </v>
      </c>
      <c r="V115" s="1"/>
      <c r="W115" s="1"/>
      <c r="X115" s="1"/>
      <c r="Y115" s="1"/>
      <c r="Z115" s="1"/>
      <c r="AA115" s="2"/>
      <c r="AB115" s="2"/>
      <c r="AC115" s="2"/>
    </row>
    <row r="116" spans="1:29" ht="12.75" customHeight="1">
      <c r="A116" s="1"/>
      <c r="B116" s="5"/>
      <c r="C116" s="22"/>
      <c r="D116" s="24"/>
      <c r="E116" s="26"/>
      <c r="F116" s="28"/>
      <c r="G116" s="29"/>
      <c r="H116" s="28"/>
      <c r="I116" s="29"/>
      <c r="J116" s="28"/>
      <c r="K116" s="28"/>
      <c r="L116" s="28"/>
      <c r="M116" s="5"/>
      <c r="N116" s="1"/>
      <c r="O116" s="4">
        <f t="shared" si="7"/>
        <v>0</v>
      </c>
      <c r="P116" s="4">
        <f t="shared" si="8"/>
        <v>0</v>
      </c>
      <c r="Q116" s="4">
        <f t="shared" si="2"/>
        <v>0</v>
      </c>
      <c r="R116" s="4">
        <f t="shared" si="3"/>
        <v>0</v>
      </c>
      <c r="S116" s="2">
        <f t="shared" si="9"/>
        <v>-1</v>
      </c>
      <c r="T116" s="4">
        <f t="shared" si="10"/>
        <v>0</v>
      </c>
      <c r="U116" s="2" t="str">
        <f t="shared" si="5"/>
        <v xml:space="preserve"> - </v>
      </c>
      <c r="V116" s="1"/>
      <c r="W116" s="1"/>
      <c r="X116" s="1"/>
      <c r="Y116" s="1"/>
      <c r="Z116" s="1"/>
      <c r="AA116" s="2"/>
      <c r="AB116" s="2"/>
      <c r="AC116" s="2"/>
    </row>
    <row r="117" spans="1:29" ht="12.75" customHeight="1">
      <c r="A117" s="1"/>
      <c r="B117" s="5"/>
      <c r="C117" s="22"/>
      <c r="D117" s="24"/>
      <c r="E117" s="26"/>
      <c r="F117" s="28"/>
      <c r="G117" s="29"/>
      <c r="H117" s="28"/>
      <c r="I117" s="29"/>
      <c r="J117" s="28"/>
      <c r="K117" s="28"/>
      <c r="L117" s="28"/>
      <c r="M117" s="5"/>
      <c r="N117" s="1"/>
      <c r="O117" s="4">
        <f t="shared" si="7"/>
        <v>0</v>
      </c>
      <c r="P117" s="4">
        <f t="shared" si="8"/>
        <v>0</v>
      </c>
      <c r="Q117" s="4">
        <f t="shared" si="2"/>
        <v>0</v>
      </c>
      <c r="R117" s="4">
        <f t="shared" si="3"/>
        <v>0</v>
      </c>
      <c r="S117" s="2">
        <f t="shared" si="9"/>
        <v>-1</v>
      </c>
      <c r="T117" s="4">
        <f t="shared" si="10"/>
        <v>0</v>
      </c>
      <c r="U117" s="2" t="str">
        <f t="shared" si="5"/>
        <v xml:space="preserve"> - </v>
      </c>
      <c r="V117" s="1"/>
      <c r="W117" s="1"/>
      <c r="X117" s="1"/>
      <c r="Y117" s="1"/>
      <c r="Z117" s="1"/>
      <c r="AA117" s="2"/>
      <c r="AB117" s="2"/>
      <c r="AC117" s="2"/>
    </row>
    <row r="118" spans="1:29" ht="12.75" customHeight="1">
      <c r="A118" s="1"/>
      <c r="B118" s="5"/>
      <c r="C118" s="22"/>
      <c r="D118" s="24"/>
      <c r="E118" s="26"/>
      <c r="F118" s="28"/>
      <c r="G118" s="29"/>
      <c r="H118" s="28"/>
      <c r="I118" s="29"/>
      <c r="J118" s="28"/>
      <c r="K118" s="28"/>
      <c r="L118" s="28"/>
      <c r="M118" s="5"/>
      <c r="N118" s="1"/>
      <c r="O118" s="4">
        <f t="shared" si="7"/>
        <v>0</v>
      </c>
      <c r="P118" s="4">
        <f t="shared" si="8"/>
        <v>0</v>
      </c>
      <c r="Q118" s="4">
        <f t="shared" si="2"/>
        <v>0</v>
      </c>
      <c r="R118" s="4">
        <f t="shared" si="3"/>
        <v>0</v>
      </c>
      <c r="S118" s="2">
        <f t="shared" si="9"/>
        <v>-1</v>
      </c>
      <c r="T118" s="4">
        <f t="shared" si="10"/>
        <v>0</v>
      </c>
      <c r="U118" s="2" t="str">
        <f t="shared" si="5"/>
        <v xml:space="preserve"> - </v>
      </c>
      <c r="V118" s="1"/>
      <c r="W118" s="1"/>
      <c r="X118" s="1"/>
      <c r="Y118" s="1"/>
      <c r="Z118" s="1"/>
      <c r="AA118" s="2"/>
      <c r="AB118" s="2"/>
      <c r="AC118" s="2"/>
    </row>
    <row r="119" spans="1:29" ht="12.75" customHeight="1">
      <c r="A119" s="1"/>
      <c r="B119" s="5"/>
      <c r="C119" s="22"/>
      <c r="D119" s="24"/>
      <c r="E119" s="26"/>
      <c r="F119" s="28"/>
      <c r="G119" s="29"/>
      <c r="H119" s="28"/>
      <c r="I119" s="29"/>
      <c r="J119" s="28"/>
      <c r="K119" s="28"/>
      <c r="L119" s="28"/>
      <c r="M119" s="5"/>
      <c r="N119" s="1"/>
      <c r="O119" s="4">
        <f t="shared" si="7"/>
        <v>0</v>
      </c>
      <c r="P119" s="4">
        <f t="shared" si="8"/>
        <v>0</v>
      </c>
      <c r="Q119" s="4">
        <f t="shared" si="2"/>
        <v>0</v>
      </c>
      <c r="R119" s="4">
        <f t="shared" si="3"/>
        <v>0</v>
      </c>
      <c r="S119" s="2">
        <f t="shared" si="9"/>
        <v>-1</v>
      </c>
      <c r="T119" s="4">
        <f t="shared" si="10"/>
        <v>0</v>
      </c>
      <c r="U119" s="2" t="str">
        <f t="shared" si="5"/>
        <v xml:space="preserve"> - </v>
      </c>
      <c r="V119" s="1"/>
      <c r="W119" s="1"/>
      <c r="X119" s="1"/>
      <c r="Y119" s="1"/>
      <c r="Z119" s="1"/>
      <c r="AA119" s="2"/>
      <c r="AB119" s="2"/>
      <c r="AC119" s="2"/>
    </row>
    <row r="120" spans="1:29" ht="12.75" customHeight="1">
      <c r="A120" s="1"/>
      <c r="B120" s="5"/>
      <c r="C120" s="22"/>
      <c r="D120" s="24"/>
      <c r="E120" s="26"/>
      <c r="F120" s="28"/>
      <c r="G120" s="29"/>
      <c r="H120" s="28"/>
      <c r="I120" s="29"/>
      <c r="J120" s="28"/>
      <c r="K120" s="28"/>
      <c r="L120" s="28"/>
      <c r="M120" s="5"/>
      <c r="N120" s="1"/>
      <c r="O120" s="4">
        <f t="shared" si="7"/>
        <v>0</v>
      </c>
      <c r="P120" s="4">
        <f t="shared" si="8"/>
        <v>0</v>
      </c>
      <c r="Q120" s="4">
        <f t="shared" si="2"/>
        <v>0</v>
      </c>
      <c r="R120" s="4">
        <f t="shared" si="3"/>
        <v>0</v>
      </c>
      <c r="S120" s="2">
        <f t="shared" si="9"/>
        <v>-1</v>
      </c>
      <c r="T120" s="4">
        <f t="shared" si="10"/>
        <v>0</v>
      </c>
      <c r="U120" s="2" t="str">
        <f t="shared" si="5"/>
        <v xml:space="preserve"> - </v>
      </c>
      <c r="V120" s="1"/>
      <c r="W120" s="1"/>
      <c r="X120" s="1"/>
      <c r="Y120" s="1"/>
      <c r="Z120" s="1"/>
      <c r="AA120" s="2"/>
      <c r="AB120" s="2"/>
      <c r="AC120" s="2"/>
    </row>
    <row r="121" spans="1:29" ht="12.75" customHeight="1">
      <c r="A121" s="1"/>
      <c r="B121" s="5"/>
      <c r="C121" s="22"/>
      <c r="D121" s="24"/>
      <c r="E121" s="26"/>
      <c r="F121" s="28"/>
      <c r="G121" s="29"/>
      <c r="H121" s="28"/>
      <c r="I121" s="29"/>
      <c r="J121" s="28"/>
      <c r="K121" s="28"/>
      <c r="L121" s="28"/>
      <c r="M121" s="5"/>
      <c r="N121" s="1"/>
      <c r="O121" s="4">
        <f t="shared" si="7"/>
        <v>0</v>
      </c>
      <c r="P121" s="4">
        <f t="shared" si="8"/>
        <v>0</v>
      </c>
      <c r="Q121" s="4">
        <f t="shared" si="2"/>
        <v>0</v>
      </c>
      <c r="R121" s="4">
        <f t="shared" si="3"/>
        <v>0</v>
      </c>
      <c r="S121" s="2">
        <f t="shared" si="9"/>
        <v>-1</v>
      </c>
      <c r="T121" s="4">
        <f t="shared" si="10"/>
        <v>0</v>
      </c>
      <c r="U121" s="2" t="str">
        <f t="shared" si="5"/>
        <v xml:space="preserve"> - </v>
      </c>
      <c r="V121" s="1"/>
      <c r="W121" s="1"/>
      <c r="X121" s="1"/>
      <c r="Y121" s="1"/>
      <c r="Z121" s="1"/>
      <c r="AA121" s="2"/>
      <c r="AB121" s="2"/>
      <c r="AC121" s="2"/>
    </row>
    <row r="122" spans="1:29" ht="12.75" customHeight="1">
      <c r="A122" s="1"/>
      <c r="B122" s="5"/>
      <c r="C122" s="22"/>
      <c r="D122" s="24"/>
      <c r="E122" s="26"/>
      <c r="F122" s="28"/>
      <c r="G122" s="29"/>
      <c r="H122" s="28"/>
      <c r="I122" s="29"/>
      <c r="J122" s="28"/>
      <c r="K122" s="28"/>
      <c r="L122" s="28"/>
      <c r="M122" s="5"/>
      <c r="N122" s="1"/>
      <c r="O122" s="4">
        <f t="shared" si="7"/>
        <v>0</v>
      </c>
      <c r="P122" s="4">
        <f t="shared" si="8"/>
        <v>0</v>
      </c>
      <c r="Q122" s="4">
        <f t="shared" si="2"/>
        <v>0</v>
      </c>
      <c r="R122" s="4">
        <f t="shared" si="3"/>
        <v>0</v>
      </c>
      <c r="S122" s="2">
        <f t="shared" si="9"/>
        <v>-1</v>
      </c>
      <c r="T122" s="4">
        <f t="shared" si="10"/>
        <v>0</v>
      </c>
      <c r="U122" s="2" t="str">
        <f t="shared" si="5"/>
        <v xml:space="preserve"> - </v>
      </c>
      <c r="V122" s="1"/>
      <c r="W122" s="1"/>
      <c r="X122" s="1"/>
      <c r="Y122" s="1"/>
      <c r="Z122" s="1"/>
      <c r="AA122" s="2"/>
      <c r="AB122" s="2"/>
      <c r="AC122" s="2"/>
    </row>
    <row r="123" spans="1:29" ht="12.75" customHeight="1">
      <c r="A123" s="1"/>
      <c r="B123" s="5"/>
      <c r="C123" s="22"/>
      <c r="D123" s="24"/>
      <c r="E123" s="26"/>
      <c r="F123" s="28"/>
      <c r="G123" s="29"/>
      <c r="H123" s="28"/>
      <c r="I123" s="29"/>
      <c r="J123" s="28"/>
      <c r="K123" s="28"/>
      <c r="L123" s="28"/>
      <c r="M123" s="5"/>
      <c r="N123" s="1"/>
      <c r="O123" s="4">
        <f t="shared" si="7"/>
        <v>0</v>
      </c>
      <c r="P123" s="4">
        <f t="shared" si="8"/>
        <v>0</v>
      </c>
      <c r="Q123" s="4">
        <f t="shared" si="2"/>
        <v>0</v>
      </c>
      <c r="R123" s="4">
        <f t="shared" si="3"/>
        <v>0</v>
      </c>
      <c r="S123" s="2">
        <f t="shared" si="9"/>
        <v>-1</v>
      </c>
      <c r="T123" s="4">
        <f t="shared" si="10"/>
        <v>0</v>
      </c>
      <c r="U123" s="2" t="str">
        <f t="shared" si="5"/>
        <v xml:space="preserve"> - </v>
      </c>
      <c r="V123" s="1"/>
      <c r="W123" s="1"/>
      <c r="X123" s="1"/>
      <c r="Y123" s="1"/>
      <c r="Z123" s="1"/>
      <c r="AA123" s="2"/>
      <c r="AB123" s="2"/>
      <c r="AC123" s="2"/>
    </row>
    <row r="124" spans="1:29" ht="12.75" customHeight="1">
      <c r="A124" s="1"/>
      <c r="B124" s="5"/>
      <c r="C124" s="22"/>
      <c r="D124" s="24"/>
      <c r="E124" s="26"/>
      <c r="F124" s="28"/>
      <c r="G124" s="29"/>
      <c r="H124" s="28"/>
      <c r="I124" s="29"/>
      <c r="J124" s="28"/>
      <c r="K124" s="28"/>
      <c r="L124" s="28"/>
      <c r="M124" s="5"/>
      <c r="N124" s="1"/>
      <c r="O124" s="4">
        <f t="shared" si="7"/>
        <v>0</v>
      </c>
      <c r="P124" s="4">
        <f t="shared" si="8"/>
        <v>0</v>
      </c>
      <c r="Q124" s="4">
        <f t="shared" si="2"/>
        <v>0</v>
      </c>
      <c r="R124" s="4">
        <f t="shared" si="3"/>
        <v>0</v>
      </c>
      <c r="S124" s="2">
        <f t="shared" si="9"/>
        <v>-1</v>
      </c>
      <c r="T124" s="4">
        <f t="shared" si="10"/>
        <v>0</v>
      </c>
      <c r="U124" s="2" t="str">
        <f t="shared" si="5"/>
        <v xml:space="preserve"> - </v>
      </c>
      <c r="V124" s="1"/>
      <c r="W124" s="1"/>
      <c r="X124" s="1"/>
      <c r="Y124" s="1"/>
      <c r="Z124" s="1"/>
      <c r="AA124" s="2"/>
      <c r="AB124" s="2"/>
      <c r="AC124" s="2"/>
    </row>
    <row r="125" spans="1:29" ht="12.75" customHeight="1">
      <c r="A125" s="1"/>
      <c r="B125" s="5"/>
      <c r="C125" s="22"/>
      <c r="D125" s="24"/>
      <c r="E125" s="26"/>
      <c r="F125" s="28"/>
      <c r="G125" s="29"/>
      <c r="H125" s="28"/>
      <c r="I125" s="29"/>
      <c r="J125" s="28"/>
      <c r="K125" s="28"/>
      <c r="L125" s="28"/>
      <c r="M125" s="5"/>
      <c r="N125" s="1"/>
      <c r="O125" s="4">
        <f t="shared" si="7"/>
        <v>0</v>
      </c>
      <c r="P125" s="4">
        <f t="shared" si="8"/>
        <v>0</v>
      </c>
      <c r="Q125" s="4">
        <f t="shared" si="2"/>
        <v>0</v>
      </c>
      <c r="R125" s="4">
        <f t="shared" si="3"/>
        <v>0</v>
      </c>
      <c r="S125" s="2">
        <f t="shared" si="9"/>
        <v>-1</v>
      </c>
      <c r="T125" s="4">
        <f t="shared" si="10"/>
        <v>0</v>
      </c>
      <c r="U125" s="2" t="str">
        <f t="shared" si="5"/>
        <v xml:space="preserve"> - </v>
      </c>
      <c r="V125" s="1"/>
      <c r="W125" s="1"/>
      <c r="X125" s="1"/>
      <c r="Y125" s="1"/>
      <c r="Z125" s="1"/>
      <c r="AA125" s="2"/>
      <c r="AB125" s="2"/>
      <c r="AC125" s="2"/>
    </row>
    <row r="126" spans="1:29" ht="12.75" customHeight="1">
      <c r="A126" s="1"/>
      <c r="B126" s="5"/>
      <c r="C126" s="22"/>
      <c r="D126" s="24"/>
      <c r="E126" s="26"/>
      <c r="F126" s="28"/>
      <c r="G126" s="29"/>
      <c r="H126" s="28"/>
      <c r="I126" s="29"/>
      <c r="J126" s="28"/>
      <c r="K126" s="28"/>
      <c r="L126" s="28"/>
      <c r="M126" s="5"/>
      <c r="N126" s="1"/>
      <c r="O126" s="4">
        <f t="shared" si="7"/>
        <v>0</v>
      </c>
      <c r="P126" s="4">
        <f t="shared" si="8"/>
        <v>0</v>
      </c>
      <c r="Q126" s="4">
        <f t="shared" si="2"/>
        <v>0</v>
      </c>
      <c r="R126" s="4">
        <f t="shared" si="3"/>
        <v>0</v>
      </c>
      <c r="S126" s="2">
        <f t="shared" si="9"/>
        <v>-1</v>
      </c>
      <c r="T126" s="4">
        <f t="shared" si="10"/>
        <v>0</v>
      </c>
      <c r="U126" s="2" t="str">
        <f t="shared" si="5"/>
        <v xml:space="preserve"> - </v>
      </c>
      <c r="V126" s="1"/>
      <c r="W126" s="1"/>
      <c r="X126" s="1"/>
      <c r="Y126" s="1"/>
      <c r="Z126" s="1"/>
      <c r="AA126" s="2"/>
      <c r="AB126" s="2"/>
      <c r="AC126" s="2"/>
    </row>
    <row r="127" spans="1:29" ht="12.75" customHeight="1">
      <c r="A127" s="1"/>
      <c r="B127" s="5"/>
      <c r="C127" s="22"/>
      <c r="D127" s="24"/>
      <c r="E127" s="26"/>
      <c r="F127" s="28"/>
      <c r="G127" s="29"/>
      <c r="H127" s="28"/>
      <c r="I127" s="29"/>
      <c r="J127" s="28"/>
      <c r="K127" s="28"/>
      <c r="L127" s="28"/>
      <c r="M127" s="5"/>
      <c r="N127" s="1"/>
      <c r="O127" s="4">
        <f t="shared" si="7"/>
        <v>0</v>
      </c>
      <c r="P127" s="4">
        <f t="shared" si="8"/>
        <v>0</v>
      </c>
      <c r="Q127" s="4">
        <f t="shared" si="2"/>
        <v>0</v>
      </c>
      <c r="R127" s="4">
        <f t="shared" si="3"/>
        <v>0</v>
      </c>
      <c r="S127" s="2">
        <f t="shared" si="9"/>
        <v>-1</v>
      </c>
      <c r="T127" s="4">
        <f t="shared" si="10"/>
        <v>0</v>
      </c>
      <c r="U127" s="2" t="str">
        <f t="shared" si="5"/>
        <v xml:space="preserve"> - </v>
      </c>
      <c r="V127" s="1"/>
      <c r="W127" s="1"/>
      <c r="X127" s="1"/>
      <c r="Y127" s="1"/>
      <c r="Z127" s="1"/>
      <c r="AA127" s="2"/>
      <c r="AB127" s="2"/>
      <c r="AC127" s="2"/>
    </row>
    <row r="128" spans="1:29" ht="12.75" customHeight="1">
      <c r="A128" s="1"/>
      <c r="B128" s="5"/>
      <c r="C128" s="22"/>
      <c r="D128" s="24"/>
      <c r="E128" s="26"/>
      <c r="F128" s="28"/>
      <c r="G128" s="29"/>
      <c r="H128" s="28"/>
      <c r="I128" s="29"/>
      <c r="J128" s="28"/>
      <c r="K128" s="28"/>
      <c r="L128" s="28"/>
      <c r="M128" s="5"/>
      <c r="N128" s="1"/>
      <c r="O128" s="4">
        <f t="shared" si="7"/>
        <v>0</v>
      </c>
      <c r="P128" s="4">
        <f t="shared" si="8"/>
        <v>0</v>
      </c>
      <c r="Q128" s="4">
        <f t="shared" si="2"/>
        <v>0</v>
      </c>
      <c r="R128" s="4">
        <f t="shared" si="3"/>
        <v>0</v>
      </c>
      <c r="S128" s="2">
        <f t="shared" si="9"/>
        <v>-1</v>
      </c>
      <c r="T128" s="4">
        <f t="shared" si="10"/>
        <v>0</v>
      </c>
      <c r="U128" s="2" t="str">
        <f t="shared" si="5"/>
        <v xml:space="preserve"> - </v>
      </c>
      <c r="V128" s="1"/>
      <c r="W128" s="1"/>
      <c r="X128" s="1"/>
      <c r="Y128" s="1"/>
      <c r="Z128" s="1"/>
      <c r="AA128" s="2"/>
      <c r="AB128" s="2"/>
      <c r="AC128" s="2"/>
    </row>
    <row r="129" spans="1:29" ht="12.75" customHeight="1">
      <c r="A129" s="1"/>
      <c r="B129" s="5"/>
      <c r="C129" s="22"/>
      <c r="D129" s="24"/>
      <c r="E129" s="26"/>
      <c r="F129" s="28"/>
      <c r="G129" s="29"/>
      <c r="H129" s="28"/>
      <c r="I129" s="29"/>
      <c r="J129" s="28"/>
      <c r="K129" s="28"/>
      <c r="L129" s="28"/>
      <c r="M129" s="5"/>
      <c r="N129" s="1"/>
      <c r="O129" s="4">
        <f t="shared" si="7"/>
        <v>0</v>
      </c>
      <c r="P129" s="4">
        <f t="shared" si="8"/>
        <v>0</v>
      </c>
      <c r="Q129" s="4">
        <f t="shared" si="2"/>
        <v>0</v>
      </c>
      <c r="R129" s="4">
        <f t="shared" si="3"/>
        <v>0</v>
      </c>
      <c r="S129" s="2">
        <f t="shared" si="9"/>
        <v>-1</v>
      </c>
      <c r="T129" s="4">
        <f t="shared" si="10"/>
        <v>0</v>
      </c>
      <c r="U129" s="2" t="str">
        <f t="shared" si="5"/>
        <v xml:space="preserve"> - </v>
      </c>
      <c r="V129" s="1"/>
      <c r="W129" s="1"/>
      <c r="X129" s="1"/>
      <c r="Y129" s="1"/>
      <c r="Z129" s="1"/>
      <c r="AA129" s="2"/>
      <c r="AB129" s="2"/>
      <c r="AC129" s="2"/>
    </row>
    <row r="130" spans="1:29" ht="12.75" customHeight="1">
      <c r="A130" s="1"/>
      <c r="B130" s="5"/>
      <c r="C130" s="22"/>
      <c r="D130" s="24"/>
      <c r="E130" s="26"/>
      <c r="F130" s="28"/>
      <c r="G130" s="29"/>
      <c r="H130" s="28"/>
      <c r="I130" s="29"/>
      <c r="J130" s="28"/>
      <c r="K130" s="28"/>
      <c r="L130" s="28"/>
      <c r="M130" s="5"/>
      <c r="N130" s="1"/>
      <c r="O130" s="4">
        <f t="shared" si="7"/>
        <v>0</v>
      </c>
      <c r="P130" s="4">
        <f t="shared" si="8"/>
        <v>0</v>
      </c>
      <c r="Q130" s="4">
        <f t="shared" si="2"/>
        <v>0</v>
      </c>
      <c r="R130" s="4">
        <f t="shared" si="3"/>
        <v>0</v>
      </c>
      <c r="S130" s="2">
        <f t="shared" si="9"/>
        <v>-1</v>
      </c>
      <c r="T130" s="4">
        <f t="shared" si="10"/>
        <v>0</v>
      </c>
      <c r="U130" s="2" t="str">
        <f t="shared" si="5"/>
        <v xml:space="preserve"> - </v>
      </c>
      <c r="V130" s="1"/>
      <c r="W130" s="1"/>
      <c r="X130" s="1"/>
      <c r="Y130" s="1"/>
      <c r="Z130" s="1"/>
      <c r="AA130" s="2"/>
      <c r="AB130" s="2"/>
      <c r="AC130" s="2"/>
    </row>
    <row r="131" spans="1:29" ht="12.75" customHeight="1">
      <c r="A131" s="1"/>
      <c r="B131" s="5"/>
      <c r="C131" s="22"/>
      <c r="D131" s="24"/>
      <c r="E131" s="26"/>
      <c r="F131" s="28"/>
      <c r="G131" s="29"/>
      <c r="H131" s="28"/>
      <c r="I131" s="29"/>
      <c r="J131" s="28"/>
      <c r="K131" s="28"/>
      <c r="L131" s="28"/>
      <c r="M131" s="5"/>
      <c r="N131" s="1"/>
      <c r="O131" s="4">
        <f t="shared" si="7"/>
        <v>0</v>
      </c>
      <c r="P131" s="4">
        <f t="shared" si="8"/>
        <v>0</v>
      </c>
      <c r="Q131" s="4">
        <f t="shared" si="2"/>
        <v>0</v>
      </c>
      <c r="R131" s="4">
        <f t="shared" si="3"/>
        <v>0</v>
      </c>
      <c r="S131" s="2">
        <f t="shared" si="9"/>
        <v>-1</v>
      </c>
      <c r="T131" s="4">
        <f t="shared" si="10"/>
        <v>0</v>
      </c>
      <c r="U131" s="2" t="str">
        <f t="shared" si="5"/>
        <v xml:space="preserve"> - </v>
      </c>
      <c r="V131" s="1"/>
      <c r="W131" s="1"/>
      <c r="X131" s="1"/>
      <c r="Y131" s="1"/>
      <c r="Z131" s="1"/>
      <c r="AA131" s="2"/>
      <c r="AB131" s="2"/>
      <c r="AC131" s="2"/>
    </row>
    <row r="132" spans="1:29" ht="12.75" customHeight="1">
      <c r="A132" s="1"/>
      <c r="B132" s="5"/>
      <c r="C132" s="22"/>
      <c r="D132" s="24"/>
      <c r="E132" s="26"/>
      <c r="F132" s="28"/>
      <c r="G132" s="29"/>
      <c r="H132" s="28"/>
      <c r="I132" s="29"/>
      <c r="J132" s="28"/>
      <c r="K132" s="28"/>
      <c r="L132" s="28"/>
      <c r="M132" s="5"/>
      <c r="N132" s="1"/>
      <c r="O132" s="4">
        <f t="shared" ref="O132:O195" si="11">IF($L132&lt;&gt;"",$Q132*PTS_WIN+$R132*PTS_LOSS+(1-$Q132-$R132)*PTS_TIE+MAX(MIN(MAX(PTS_TD_MIN,MIN(PTS_TD_MAX,MAX(0,$F132-PTS_TD_THRESHOLD)*PTS_PER_TD_FOR*IF($H132-PTS_CS_THRESHOLD&gt;0,1,1-PTS_TD_CS_COMB_THRES)+MAX(0,$G132-PTS_TD_THRESHOLD)*PTS_PER_TD_AG*IF($I132-PTS_CS_THRESHOLD&gt;0,1,1-PTS_TD_CS_COMB_THRES)))+MAX(PTS_CS_MIN,MIN(PTS_CS_MAX,MAX(0,$H132-PTS_CS_THRESHOLD)*PTS_PER_CS_FOR*IF($F132-PTS_TD_THRESHOLD&gt;0,1,1-PTS_TD_CS_COMB_THRES)+MAX(0,$I132-PTS_CS_THRESHOLD)*PTS_PER_CS_AG*IF($G132-PTS_TD_THRESHOLD&gt;0,1,1-PTS_TD_CS_COMB_THRES))),PTS_TD_CS_MAX),PTS_TD_CS_MIN),0)</f>
        <v>0</v>
      </c>
      <c r="P132" s="4">
        <f t="shared" ref="P132:P195" si="12">IF($L132&lt;&gt;"",$R132*PTS_WIN+$Q132*PTS_LOSS+(1-$Q132-$R132)*PTS_TIE+MAX(MIN(MAX(PTS_TD_MIN,MIN(PTS_TD_MAX,MAX(0,$G132-PTS_TD_THRESHOLD)*PTS_PER_TD_FOR*IF($I132-PTS_CS_THRESHOLD&gt;0,1,1-PTS_TD_CS_COMB_THRES)+MAX(0,$F132-PTS_TD_THRESHOLD)*PTS_PER_TD_AG*IF($H132-PTS_CS_THRESHOLD&gt;0,1,1-PTS_TD_CS_COMB_THRES)))+MAX(PTS_CS_MIN,MIN(PTS_CS_MAX,MAX(0,$I132-PTS_CS_THRESHOLD)*PTS_PER_CS_FOR*IF($G132-PTS_TD_THRESHOLD&gt;0,1,1-PTS_TD_CS_COMB_THRES)+MAX(0,$H132-PTS_CS_THRESHOLD)*PTS_PER_CS_AG*IF($F132-PTS_TD_THRESHOLD&gt;0,1,1-PTS_TD_CS_COMB_THRES))),PTS_TD_CS_MAX),PTS_TD_CS_MIN),0)</f>
        <v>0</v>
      </c>
      <c r="Q132" s="4">
        <f t="shared" si="2"/>
        <v>0</v>
      </c>
      <c r="R132" s="4">
        <f t="shared" si="3"/>
        <v>0</v>
      </c>
      <c r="S132" s="2">
        <f t="shared" ref="S132:S195" si="13">IF(T132&gt;0,RANK(T132,RES_GATE),-1)</f>
        <v>-1</v>
      </c>
      <c r="T132" s="4">
        <f t="shared" si="10"/>
        <v>0</v>
      </c>
      <c r="U132" s="2" t="str">
        <f t="shared" si="5"/>
        <v xml:space="preserve"> - </v>
      </c>
      <c r="V132" s="1"/>
      <c r="W132" s="1"/>
      <c r="X132" s="1"/>
      <c r="Y132" s="1"/>
      <c r="Z132" s="1"/>
      <c r="AA132" s="2"/>
      <c r="AB132" s="2"/>
      <c r="AC132" s="2"/>
    </row>
    <row r="133" spans="1:29" ht="12.75" customHeight="1">
      <c r="A133" s="1"/>
      <c r="B133" s="5"/>
      <c r="C133" s="22"/>
      <c r="D133" s="24"/>
      <c r="E133" s="26"/>
      <c r="F133" s="28"/>
      <c r="G133" s="29"/>
      <c r="H133" s="28"/>
      <c r="I133" s="29"/>
      <c r="J133" s="28"/>
      <c r="K133" s="28"/>
      <c r="L133" s="28"/>
      <c r="M133" s="5"/>
      <c r="N133" s="1"/>
      <c r="O133" s="4">
        <f t="shared" si="11"/>
        <v>0</v>
      </c>
      <c r="P133" s="4">
        <f t="shared" si="12"/>
        <v>0</v>
      </c>
      <c r="Q133" s="4">
        <f t="shared" si="2"/>
        <v>0</v>
      </c>
      <c r="R133" s="4">
        <f t="shared" si="3"/>
        <v>0</v>
      </c>
      <c r="S133" s="2">
        <f t="shared" si="13"/>
        <v>-1</v>
      </c>
      <c r="T133" s="4">
        <f t="shared" ref="T133:T196" si="14">IF(NOT(ISERROR(MATCH(L133,Team_Stat_Sel,0))),J133+K133+1/(ROW()+777777777),0)</f>
        <v>0</v>
      </c>
      <c r="U133" s="2" t="str">
        <f t="shared" si="5"/>
        <v xml:space="preserve"> - </v>
      </c>
      <c r="V133" s="1"/>
      <c r="W133" s="1"/>
      <c r="X133" s="1"/>
      <c r="Y133" s="1"/>
      <c r="Z133" s="1"/>
      <c r="AA133" s="2"/>
      <c r="AB133" s="2"/>
      <c r="AC133" s="2"/>
    </row>
    <row r="134" spans="1:29" ht="12.75" customHeight="1">
      <c r="A134" s="1"/>
      <c r="B134" s="5"/>
      <c r="C134" s="22"/>
      <c r="D134" s="24"/>
      <c r="E134" s="26"/>
      <c r="F134" s="28"/>
      <c r="G134" s="29"/>
      <c r="H134" s="28"/>
      <c r="I134" s="29"/>
      <c r="J134" s="28"/>
      <c r="K134" s="28"/>
      <c r="L134" s="28"/>
      <c r="M134" s="5"/>
      <c r="N134" s="1"/>
      <c r="O134" s="4">
        <f t="shared" si="11"/>
        <v>0</v>
      </c>
      <c r="P134" s="4">
        <f t="shared" si="12"/>
        <v>0</v>
      </c>
      <c r="Q134" s="4">
        <f t="shared" si="2"/>
        <v>0</v>
      </c>
      <c r="R134" s="4">
        <f t="shared" si="3"/>
        <v>0</v>
      </c>
      <c r="S134" s="2">
        <f t="shared" si="13"/>
        <v>-1</v>
      </c>
      <c r="T134" s="4">
        <f t="shared" si="14"/>
        <v>0</v>
      </c>
      <c r="U134" s="2" t="str">
        <f t="shared" si="5"/>
        <v xml:space="preserve"> - </v>
      </c>
      <c r="V134" s="1"/>
      <c r="W134" s="1"/>
      <c r="X134" s="1"/>
      <c r="Y134" s="1"/>
      <c r="Z134" s="1"/>
      <c r="AA134" s="2"/>
      <c r="AB134" s="2"/>
      <c r="AC134" s="2"/>
    </row>
    <row r="135" spans="1:29" ht="12.75" customHeight="1">
      <c r="A135" s="1"/>
      <c r="B135" s="5"/>
      <c r="C135" s="22"/>
      <c r="D135" s="24"/>
      <c r="E135" s="26"/>
      <c r="F135" s="28"/>
      <c r="G135" s="29"/>
      <c r="H135" s="28"/>
      <c r="I135" s="29"/>
      <c r="J135" s="28"/>
      <c r="K135" s="28"/>
      <c r="L135" s="28"/>
      <c r="M135" s="5"/>
      <c r="N135" s="1"/>
      <c r="O135" s="4">
        <f t="shared" si="11"/>
        <v>0</v>
      </c>
      <c r="P135" s="4">
        <f t="shared" si="12"/>
        <v>0</v>
      </c>
      <c r="Q135" s="4">
        <f t="shared" si="2"/>
        <v>0</v>
      </c>
      <c r="R135" s="4">
        <f t="shared" si="3"/>
        <v>0</v>
      </c>
      <c r="S135" s="2">
        <f t="shared" si="13"/>
        <v>-1</v>
      </c>
      <c r="T135" s="4">
        <f t="shared" si="14"/>
        <v>0</v>
      </c>
      <c r="U135" s="2" t="str">
        <f t="shared" si="5"/>
        <v xml:space="preserve"> - </v>
      </c>
      <c r="V135" s="1"/>
      <c r="W135" s="1"/>
      <c r="X135" s="1"/>
      <c r="Y135" s="1"/>
      <c r="Z135" s="1"/>
      <c r="AA135" s="2"/>
      <c r="AB135" s="2"/>
      <c r="AC135" s="2"/>
    </row>
    <row r="136" spans="1:29" ht="12.75" customHeight="1">
      <c r="A136" s="1"/>
      <c r="B136" s="5"/>
      <c r="C136" s="22"/>
      <c r="D136" s="24"/>
      <c r="E136" s="26"/>
      <c r="F136" s="28"/>
      <c r="G136" s="29"/>
      <c r="H136" s="28"/>
      <c r="I136" s="29"/>
      <c r="J136" s="28"/>
      <c r="K136" s="28"/>
      <c r="L136" s="28"/>
      <c r="M136" s="5"/>
      <c r="N136" s="1"/>
      <c r="O136" s="4">
        <f t="shared" si="11"/>
        <v>0</v>
      </c>
      <c r="P136" s="4">
        <f t="shared" si="12"/>
        <v>0</v>
      </c>
      <c r="Q136" s="4">
        <f t="shared" si="2"/>
        <v>0</v>
      </c>
      <c r="R136" s="4">
        <f t="shared" si="3"/>
        <v>0</v>
      </c>
      <c r="S136" s="2">
        <f t="shared" si="13"/>
        <v>-1</v>
      </c>
      <c r="T136" s="4">
        <f t="shared" si="14"/>
        <v>0</v>
      </c>
      <c r="U136" s="2" t="str">
        <f t="shared" si="5"/>
        <v xml:space="preserve"> - </v>
      </c>
      <c r="V136" s="1"/>
      <c r="W136" s="1"/>
      <c r="X136" s="1"/>
      <c r="Y136" s="1"/>
      <c r="Z136" s="1"/>
      <c r="AA136" s="2"/>
      <c r="AB136" s="2"/>
      <c r="AC136" s="2"/>
    </row>
    <row r="137" spans="1:29" ht="12.75" customHeight="1">
      <c r="A137" s="1"/>
      <c r="B137" s="5"/>
      <c r="C137" s="22"/>
      <c r="D137" s="24"/>
      <c r="E137" s="26"/>
      <c r="F137" s="28"/>
      <c r="G137" s="29"/>
      <c r="H137" s="28"/>
      <c r="I137" s="29"/>
      <c r="J137" s="28"/>
      <c r="K137" s="28"/>
      <c r="L137" s="28"/>
      <c r="M137" s="5"/>
      <c r="N137" s="1"/>
      <c r="O137" s="4">
        <f t="shared" si="11"/>
        <v>0</v>
      </c>
      <c r="P137" s="4">
        <f t="shared" si="12"/>
        <v>0</v>
      </c>
      <c r="Q137" s="4">
        <f t="shared" si="2"/>
        <v>0</v>
      </c>
      <c r="R137" s="4">
        <f t="shared" si="3"/>
        <v>0</v>
      </c>
      <c r="S137" s="2">
        <f t="shared" si="13"/>
        <v>-1</v>
      </c>
      <c r="T137" s="4">
        <f t="shared" si="14"/>
        <v>0</v>
      </c>
      <c r="U137" s="2" t="str">
        <f t="shared" si="5"/>
        <v xml:space="preserve"> - </v>
      </c>
      <c r="V137" s="1"/>
      <c r="W137" s="1"/>
      <c r="X137" s="1"/>
      <c r="Y137" s="1"/>
      <c r="Z137" s="1"/>
      <c r="AA137" s="2"/>
      <c r="AB137" s="2"/>
      <c r="AC137" s="2"/>
    </row>
    <row r="138" spans="1:29" ht="12.75" customHeight="1">
      <c r="A138" s="1"/>
      <c r="B138" s="5"/>
      <c r="C138" s="22"/>
      <c r="D138" s="24"/>
      <c r="E138" s="26"/>
      <c r="F138" s="28"/>
      <c r="G138" s="29"/>
      <c r="H138" s="28"/>
      <c r="I138" s="29"/>
      <c r="J138" s="28"/>
      <c r="K138" s="28"/>
      <c r="L138" s="28"/>
      <c r="M138" s="5"/>
      <c r="N138" s="1"/>
      <c r="O138" s="4">
        <f t="shared" si="11"/>
        <v>0</v>
      </c>
      <c r="P138" s="4">
        <f t="shared" si="12"/>
        <v>0</v>
      </c>
      <c r="Q138" s="4">
        <f t="shared" si="2"/>
        <v>0</v>
      </c>
      <c r="R138" s="4">
        <f t="shared" si="3"/>
        <v>0</v>
      </c>
      <c r="S138" s="2">
        <f t="shared" si="13"/>
        <v>-1</v>
      </c>
      <c r="T138" s="4">
        <f t="shared" si="14"/>
        <v>0</v>
      </c>
      <c r="U138" s="2" t="str">
        <f t="shared" si="5"/>
        <v xml:space="preserve"> - </v>
      </c>
      <c r="V138" s="1"/>
      <c r="W138" s="1"/>
      <c r="X138" s="1"/>
      <c r="Y138" s="1"/>
      <c r="Z138" s="1"/>
      <c r="AA138" s="2"/>
      <c r="AB138" s="2"/>
      <c r="AC138" s="2"/>
    </row>
    <row r="139" spans="1:29" ht="12.75" customHeight="1">
      <c r="A139" s="1"/>
      <c r="B139" s="5"/>
      <c r="C139" s="22"/>
      <c r="D139" s="24"/>
      <c r="E139" s="26"/>
      <c r="F139" s="28"/>
      <c r="G139" s="29"/>
      <c r="H139" s="28"/>
      <c r="I139" s="29"/>
      <c r="J139" s="28"/>
      <c r="K139" s="28"/>
      <c r="L139" s="28"/>
      <c r="M139" s="5"/>
      <c r="N139" s="1"/>
      <c r="O139" s="4">
        <f t="shared" si="11"/>
        <v>0</v>
      </c>
      <c r="P139" s="4">
        <f t="shared" si="12"/>
        <v>0</v>
      </c>
      <c r="Q139" s="4">
        <f t="shared" si="2"/>
        <v>0</v>
      </c>
      <c r="R139" s="4">
        <f t="shared" si="3"/>
        <v>0</v>
      </c>
      <c r="S139" s="2">
        <f t="shared" si="13"/>
        <v>-1</v>
      </c>
      <c r="T139" s="4">
        <f t="shared" si="14"/>
        <v>0</v>
      </c>
      <c r="U139" s="2" t="str">
        <f t="shared" si="5"/>
        <v xml:space="preserve"> - </v>
      </c>
      <c r="V139" s="1"/>
      <c r="W139" s="1"/>
      <c r="X139" s="1"/>
      <c r="Y139" s="1"/>
      <c r="Z139" s="1"/>
      <c r="AA139" s="2"/>
      <c r="AB139" s="2"/>
      <c r="AC139" s="2"/>
    </row>
    <row r="140" spans="1:29" ht="12.75" customHeight="1">
      <c r="A140" s="1"/>
      <c r="B140" s="5"/>
      <c r="C140" s="22"/>
      <c r="D140" s="24"/>
      <c r="E140" s="26"/>
      <c r="F140" s="28"/>
      <c r="G140" s="29"/>
      <c r="H140" s="28"/>
      <c r="I140" s="29"/>
      <c r="J140" s="28"/>
      <c r="K140" s="28"/>
      <c r="L140" s="28"/>
      <c r="M140" s="5"/>
      <c r="N140" s="1"/>
      <c r="O140" s="4">
        <f t="shared" si="11"/>
        <v>0</v>
      </c>
      <c r="P140" s="4">
        <f t="shared" si="12"/>
        <v>0</v>
      </c>
      <c r="Q140" s="4">
        <f t="shared" si="2"/>
        <v>0</v>
      </c>
      <c r="R140" s="4">
        <f t="shared" si="3"/>
        <v>0</v>
      </c>
      <c r="S140" s="2">
        <f t="shared" si="13"/>
        <v>-1</v>
      </c>
      <c r="T140" s="4">
        <f t="shared" si="14"/>
        <v>0</v>
      </c>
      <c r="U140" s="2" t="str">
        <f t="shared" si="5"/>
        <v xml:space="preserve"> - </v>
      </c>
      <c r="V140" s="1"/>
      <c r="W140" s="1"/>
      <c r="X140" s="1"/>
      <c r="Y140" s="1"/>
      <c r="Z140" s="1"/>
      <c r="AA140" s="2"/>
      <c r="AB140" s="2"/>
      <c r="AC140" s="2"/>
    </row>
    <row r="141" spans="1:29" ht="12.75" customHeight="1">
      <c r="A141" s="1"/>
      <c r="B141" s="5"/>
      <c r="C141" s="22"/>
      <c r="D141" s="24"/>
      <c r="E141" s="26"/>
      <c r="F141" s="28"/>
      <c r="G141" s="29"/>
      <c r="H141" s="28"/>
      <c r="I141" s="29"/>
      <c r="J141" s="28"/>
      <c r="K141" s="28"/>
      <c r="L141" s="28"/>
      <c r="M141" s="5"/>
      <c r="N141" s="1"/>
      <c r="O141" s="4">
        <f t="shared" si="11"/>
        <v>0</v>
      </c>
      <c r="P141" s="4">
        <f t="shared" si="12"/>
        <v>0</v>
      </c>
      <c r="Q141" s="4">
        <f t="shared" si="2"/>
        <v>0</v>
      </c>
      <c r="R141" s="4">
        <f t="shared" si="3"/>
        <v>0</v>
      </c>
      <c r="S141" s="2">
        <f t="shared" si="13"/>
        <v>-1</v>
      </c>
      <c r="T141" s="4">
        <f t="shared" si="14"/>
        <v>0</v>
      </c>
      <c r="U141" s="2" t="str">
        <f t="shared" si="5"/>
        <v xml:space="preserve"> - </v>
      </c>
      <c r="V141" s="1"/>
      <c r="W141" s="1"/>
      <c r="X141" s="1"/>
      <c r="Y141" s="1"/>
      <c r="Z141" s="1"/>
      <c r="AA141" s="2"/>
      <c r="AB141" s="2"/>
      <c r="AC141" s="2"/>
    </row>
    <row r="142" spans="1:29" ht="12.75" customHeight="1">
      <c r="A142" s="1"/>
      <c r="B142" s="5"/>
      <c r="C142" s="22"/>
      <c r="D142" s="24"/>
      <c r="E142" s="26"/>
      <c r="F142" s="28"/>
      <c r="G142" s="29"/>
      <c r="H142" s="28"/>
      <c r="I142" s="29"/>
      <c r="J142" s="28"/>
      <c r="K142" s="28"/>
      <c r="L142" s="28"/>
      <c r="M142" s="5"/>
      <c r="N142" s="1"/>
      <c r="O142" s="4">
        <f t="shared" si="11"/>
        <v>0</v>
      </c>
      <c r="P142" s="4">
        <f t="shared" si="12"/>
        <v>0</v>
      </c>
      <c r="Q142" s="4">
        <f t="shared" si="2"/>
        <v>0</v>
      </c>
      <c r="R142" s="4">
        <f t="shared" si="3"/>
        <v>0</v>
      </c>
      <c r="S142" s="2">
        <f t="shared" si="13"/>
        <v>-1</v>
      </c>
      <c r="T142" s="4">
        <f t="shared" si="14"/>
        <v>0</v>
      </c>
      <c r="U142" s="2" t="str">
        <f t="shared" si="5"/>
        <v xml:space="preserve"> - </v>
      </c>
      <c r="V142" s="1"/>
      <c r="W142" s="1"/>
      <c r="X142" s="1"/>
      <c r="Y142" s="1"/>
      <c r="Z142" s="1"/>
      <c r="AA142" s="2"/>
      <c r="AB142" s="2"/>
      <c r="AC142" s="2"/>
    </row>
    <row r="143" spans="1:29" ht="12.75" customHeight="1">
      <c r="A143" s="1"/>
      <c r="B143" s="5"/>
      <c r="C143" s="22"/>
      <c r="D143" s="24"/>
      <c r="E143" s="26"/>
      <c r="F143" s="28"/>
      <c r="G143" s="29"/>
      <c r="H143" s="28"/>
      <c r="I143" s="29"/>
      <c r="J143" s="28"/>
      <c r="K143" s="28"/>
      <c r="L143" s="28"/>
      <c r="M143" s="5"/>
      <c r="N143" s="1"/>
      <c r="O143" s="4">
        <f t="shared" si="11"/>
        <v>0</v>
      </c>
      <c r="P143" s="4">
        <f t="shared" si="12"/>
        <v>0</v>
      </c>
      <c r="Q143" s="4">
        <f t="shared" si="2"/>
        <v>0</v>
      </c>
      <c r="R143" s="4">
        <f t="shared" si="3"/>
        <v>0</v>
      </c>
      <c r="S143" s="2">
        <f t="shared" si="13"/>
        <v>-1</v>
      </c>
      <c r="T143" s="4">
        <f t="shared" si="14"/>
        <v>0</v>
      </c>
      <c r="U143" s="2" t="str">
        <f t="shared" si="5"/>
        <v xml:space="preserve"> - </v>
      </c>
      <c r="V143" s="1"/>
      <c r="W143" s="1"/>
      <c r="X143" s="1"/>
      <c r="Y143" s="1"/>
      <c r="Z143" s="1"/>
      <c r="AA143" s="2"/>
      <c r="AB143" s="2"/>
      <c r="AC143" s="2"/>
    </row>
    <row r="144" spans="1:29" ht="12.75" customHeight="1">
      <c r="A144" s="1"/>
      <c r="B144" s="5"/>
      <c r="C144" s="22"/>
      <c r="D144" s="24"/>
      <c r="E144" s="26"/>
      <c r="F144" s="28"/>
      <c r="G144" s="29"/>
      <c r="H144" s="28"/>
      <c r="I144" s="29"/>
      <c r="J144" s="28"/>
      <c r="K144" s="28"/>
      <c r="L144" s="28"/>
      <c r="M144" s="5"/>
      <c r="N144" s="1"/>
      <c r="O144" s="4">
        <f t="shared" si="11"/>
        <v>0</v>
      </c>
      <c r="P144" s="4">
        <f t="shared" si="12"/>
        <v>0</v>
      </c>
      <c r="Q144" s="4">
        <f t="shared" si="2"/>
        <v>0</v>
      </c>
      <c r="R144" s="4">
        <f t="shared" si="3"/>
        <v>0</v>
      </c>
      <c r="S144" s="2">
        <f t="shared" si="13"/>
        <v>-1</v>
      </c>
      <c r="T144" s="4">
        <f t="shared" si="14"/>
        <v>0</v>
      </c>
      <c r="U144" s="2" t="str">
        <f t="shared" si="5"/>
        <v xml:space="preserve"> - </v>
      </c>
      <c r="V144" s="1"/>
      <c r="W144" s="1"/>
      <c r="X144" s="1"/>
      <c r="Y144" s="1"/>
      <c r="Z144" s="1"/>
      <c r="AA144" s="2"/>
      <c r="AB144" s="2"/>
      <c r="AC144" s="2"/>
    </row>
    <row r="145" spans="1:29" ht="12.75" customHeight="1">
      <c r="A145" s="1"/>
      <c r="B145" s="5"/>
      <c r="C145" s="22"/>
      <c r="D145" s="24"/>
      <c r="E145" s="26"/>
      <c r="F145" s="28"/>
      <c r="G145" s="29"/>
      <c r="H145" s="28"/>
      <c r="I145" s="29"/>
      <c r="J145" s="28"/>
      <c r="K145" s="28"/>
      <c r="L145" s="28"/>
      <c r="M145" s="5"/>
      <c r="N145" s="1"/>
      <c r="O145" s="4">
        <f t="shared" si="11"/>
        <v>0</v>
      </c>
      <c r="P145" s="4">
        <f t="shared" si="12"/>
        <v>0</v>
      </c>
      <c r="Q145" s="4">
        <f t="shared" si="2"/>
        <v>0</v>
      </c>
      <c r="R145" s="4">
        <f t="shared" si="3"/>
        <v>0</v>
      </c>
      <c r="S145" s="2">
        <f t="shared" si="13"/>
        <v>-1</v>
      </c>
      <c r="T145" s="4">
        <f t="shared" si="14"/>
        <v>0</v>
      </c>
      <c r="U145" s="2" t="str">
        <f t="shared" si="5"/>
        <v xml:space="preserve"> - </v>
      </c>
      <c r="V145" s="1"/>
      <c r="W145" s="1"/>
      <c r="X145" s="1"/>
      <c r="Y145" s="1"/>
      <c r="Z145" s="1"/>
      <c r="AA145" s="2"/>
      <c r="AB145" s="2"/>
      <c r="AC145" s="2"/>
    </row>
    <row r="146" spans="1:29" ht="12.75" customHeight="1">
      <c r="A146" s="1"/>
      <c r="B146" s="5"/>
      <c r="C146" s="22"/>
      <c r="D146" s="24"/>
      <c r="E146" s="26"/>
      <c r="F146" s="28"/>
      <c r="G146" s="29"/>
      <c r="H146" s="28"/>
      <c r="I146" s="29"/>
      <c r="J146" s="28"/>
      <c r="K146" s="28"/>
      <c r="L146" s="28"/>
      <c r="M146" s="5"/>
      <c r="N146" s="1"/>
      <c r="O146" s="4">
        <f t="shared" si="11"/>
        <v>0</v>
      </c>
      <c r="P146" s="4">
        <f t="shared" si="12"/>
        <v>0</v>
      </c>
      <c r="Q146" s="4">
        <f t="shared" si="2"/>
        <v>0</v>
      </c>
      <c r="R146" s="4">
        <f t="shared" si="3"/>
        <v>0</v>
      </c>
      <c r="S146" s="2">
        <f t="shared" si="13"/>
        <v>-1</v>
      </c>
      <c r="T146" s="4">
        <f t="shared" si="14"/>
        <v>0</v>
      </c>
      <c r="U146" s="2" t="str">
        <f t="shared" si="5"/>
        <v xml:space="preserve"> - </v>
      </c>
      <c r="V146" s="1"/>
      <c r="W146" s="1"/>
      <c r="X146" s="1"/>
      <c r="Y146" s="1"/>
      <c r="Z146" s="1"/>
      <c r="AA146" s="2"/>
      <c r="AB146" s="2"/>
      <c r="AC146" s="2"/>
    </row>
    <row r="147" spans="1:29" ht="12.75" customHeight="1">
      <c r="A147" s="1"/>
      <c r="B147" s="5"/>
      <c r="C147" s="22"/>
      <c r="D147" s="24"/>
      <c r="E147" s="26"/>
      <c r="F147" s="28"/>
      <c r="G147" s="29"/>
      <c r="H147" s="28"/>
      <c r="I147" s="29"/>
      <c r="J147" s="28"/>
      <c r="K147" s="28"/>
      <c r="L147" s="28"/>
      <c r="M147" s="5"/>
      <c r="N147" s="1"/>
      <c r="O147" s="4">
        <f t="shared" si="11"/>
        <v>0</v>
      </c>
      <c r="P147" s="4">
        <f t="shared" si="12"/>
        <v>0</v>
      </c>
      <c r="Q147" s="4">
        <f t="shared" si="2"/>
        <v>0</v>
      </c>
      <c r="R147" s="4">
        <f t="shared" si="3"/>
        <v>0</v>
      </c>
      <c r="S147" s="2">
        <f t="shared" si="13"/>
        <v>-1</v>
      </c>
      <c r="T147" s="4">
        <f t="shared" si="14"/>
        <v>0</v>
      </c>
      <c r="U147" s="2" t="str">
        <f t="shared" si="5"/>
        <v xml:space="preserve"> - </v>
      </c>
      <c r="V147" s="1"/>
      <c r="W147" s="1"/>
      <c r="X147" s="1"/>
      <c r="Y147" s="1"/>
      <c r="Z147" s="1"/>
      <c r="AA147" s="2"/>
      <c r="AB147" s="2"/>
      <c r="AC147" s="2"/>
    </row>
    <row r="148" spans="1:29" ht="12.75" customHeight="1">
      <c r="A148" s="1"/>
      <c r="B148" s="5"/>
      <c r="C148" s="22"/>
      <c r="D148" s="24"/>
      <c r="E148" s="26"/>
      <c r="F148" s="28"/>
      <c r="G148" s="29"/>
      <c r="H148" s="28"/>
      <c r="I148" s="29"/>
      <c r="J148" s="28"/>
      <c r="K148" s="28"/>
      <c r="L148" s="28"/>
      <c r="M148" s="5"/>
      <c r="N148" s="1"/>
      <c r="O148" s="4">
        <f t="shared" si="11"/>
        <v>0</v>
      </c>
      <c r="P148" s="4">
        <f t="shared" si="12"/>
        <v>0</v>
      </c>
      <c r="Q148" s="4">
        <f t="shared" si="2"/>
        <v>0</v>
      </c>
      <c r="R148" s="4">
        <f t="shared" si="3"/>
        <v>0</v>
      </c>
      <c r="S148" s="2">
        <f t="shared" si="13"/>
        <v>-1</v>
      </c>
      <c r="T148" s="4">
        <f t="shared" si="14"/>
        <v>0</v>
      </c>
      <c r="U148" s="2" t="str">
        <f t="shared" si="5"/>
        <v xml:space="preserve"> - </v>
      </c>
      <c r="V148" s="1"/>
      <c r="W148" s="1"/>
      <c r="X148" s="1"/>
      <c r="Y148" s="1"/>
      <c r="Z148" s="1"/>
      <c r="AA148" s="2"/>
      <c r="AB148" s="2"/>
      <c r="AC148" s="2"/>
    </row>
    <row r="149" spans="1:29" ht="12.75" customHeight="1">
      <c r="A149" s="1"/>
      <c r="B149" s="5"/>
      <c r="C149" s="22"/>
      <c r="D149" s="24"/>
      <c r="E149" s="26"/>
      <c r="F149" s="28"/>
      <c r="G149" s="29"/>
      <c r="H149" s="28"/>
      <c r="I149" s="29"/>
      <c r="J149" s="28"/>
      <c r="K149" s="28"/>
      <c r="L149" s="28"/>
      <c r="M149" s="5"/>
      <c r="N149" s="1"/>
      <c r="O149" s="4">
        <f t="shared" si="11"/>
        <v>0</v>
      </c>
      <c r="P149" s="4">
        <f t="shared" si="12"/>
        <v>0</v>
      </c>
      <c r="Q149" s="4">
        <f t="shared" si="2"/>
        <v>0</v>
      </c>
      <c r="R149" s="4">
        <f t="shared" si="3"/>
        <v>0</v>
      </c>
      <c r="S149" s="2">
        <f t="shared" si="13"/>
        <v>-1</v>
      </c>
      <c r="T149" s="4">
        <f t="shared" si="14"/>
        <v>0</v>
      </c>
      <c r="U149" s="2" t="str">
        <f t="shared" si="5"/>
        <v xml:space="preserve"> - </v>
      </c>
      <c r="V149" s="1"/>
      <c r="W149" s="1"/>
      <c r="X149" s="1"/>
      <c r="Y149" s="1"/>
      <c r="Z149" s="1"/>
      <c r="AA149" s="2"/>
      <c r="AB149" s="2"/>
      <c r="AC149" s="2"/>
    </row>
    <row r="150" spans="1:29" ht="12.75" customHeight="1">
      <c r="A150" s="1"/>
      <c r="B150" s="5"/>
      <c r="C150" s="22"/>
      <c r="D150" s="24"/>
      <c r="E150" s="26"/>
      <c r="F150" s="28"/>
      <c r="G150" s="29"/>
      <c r="H150" s="28"/>
      <c r="I150" s="29"/>
      <c r="J150" s="28"/>
      <c r="K150" s="28"/>
      <c r="L150" s="28"/>
      <c r="M150" s="5"/>
      <c r="N150" s="1"/>
      <c r="O150" s="4">
        <f t="shared" si="11"/>
        <v>0</v>
      </c>
      <c r="P150" s="4">
        <f t="shared" si="12"/>
        <v>0</v>
      </c>
      <c r="Q150" s="4">
        <f t="shared" si="2"/>
        <v>0</v>
      </c>
      <c r="R150" s="4">
        <f t="shared" si="3"/>
        <v>0</v>
      </c>
      <c r="S150" s="2">
        <f t="shared" si="13"/>
        <v>-1</v>
      </c>
      <c r="T150" s="4">
        <f t="shared" si="14"/>
        <v>0</v>
      </c>
      <c r="U150" s="2" t="str">
        <f t="shared" si="5"/>
        <v xml:space="preserve"> - </v>
      </c>
      <c r="V150" s="1"/>
      <c r="W150" s="1"/>
      <c r="X150" s="1"/>
      <c r="Y150" s="1"/>
      <c r="Z150" s="1"/>
      <c r="AA150" s="2"/>
      <c r="AB150" s="2"/>
      <c r="AC150" s="2"/>
    </row>
    <row r="151" spans="1:29" ht="12.75" customHeight="1">
      <c r="A151" s="1"/>
      <c r="B151" s="5"/>
      <c r="C151" s="22"/>
      <c r="D151" s="24"/>
      <c r="E151" s="26"/>
      <c r="F151" s="28"/>
      <c r="G151" s="29"/>
      <c r="H151" s="28"/>
      <c r="I151" s="29"/>
      <c r="J151" s="28"/>
      <c r="K151" s="28"/>
      <c r="L151" s="28"/>
      <c r="M151" s="5"/>
      <c r="N151" s="1"/>
      <c r="O151" s="4">
        <f t="shared" si="11"/>
        <v>0</v>
      </c>
      <c r="P151" s="4">
        <f t="shared" si="12"/>
        <v>0</v>
      </c>
      <c r="Q151" s="4">
        <f t="shared" si="2"/>
        <v>0</v>
      </c>
      <c r="R151" s="4">
        <f t="shared" si="3"/>
        <v>0</v>
      </c>
      <c r="S151" s="2">
        <f t="shared" si="13"/>
        <v>-1</v>
      </c>
      <c r="T151" s="4">
        <f t="shared" si="14"/>
        <v>0</v>
      </c>
      <c r="U151" s="2" t="str">
        <f t="shared" si="5"/>
        <v xml:space="preserve"> - </v>
      </c>
      <c r="V151" s="1"/>
      <c r="W151" s="1"/>
      <c r="X151" s="1"/>
      <c r="Y151" s="1"/>
      <c r="Z151" s="1"/>
      <c r="AA151" s="2"/>
      <c r="AB151" s="2"/>
      <c r="AC151" s="2"/>
    </row>
    <row r="152" spans="1:29" ht="12.75" customHeight="1">
      <c r="A152" s="1"/>
      <c r="B152" s="5"/>
      <c r="C152" s="22"/>
      <c r="D152" s="24"/>
      <c r="E152" s="26"/>
      <c r="F152" s="28"/>
      <c r="G152" s="29"/>
      <c r="H152" s="28"/>
      <c r="I152" s="29"/>
      <c r="J152" s="28"/>
      <c r="K152" s="28"/>
      <c r="L152" s="28"/>
      <c r="M152" s="5"/>
      <c r="N152" s="1"/>
      <c r="O152" s="4">
        <f t="shared" si="11"/>
        <v>0</v>
      </c>
      <c r="P152" s="4">
        <f t="shared" si="12"/>
        <v>0</v>
      </c>
      <c r="Q152" s="4">
        <f t="shared" si="2"/>
        <v>0</v>
      </c>
      <c r="R152" s="4">
        <f t="shared" si="3"/>
        <v>0</v>
      </c>
      <c r="S152" s="2">
        <f t="shared" si="13"/>
        <v>-1</v>
      </c>
      <c r="T152" s="4">
        <f t="shared" si="14"/>
        <v>0</v>
      </c>
      <c r="U152" s="2" t="str">
        <f t="shared" si="5"/>
        <v xml:space="preserve"> - </v>
      </c>
      <c r="V152" s="1"/>
      <c r="W152" s="1"/>
      <c r="X152" s="1"/>
      <c r="Y152" s="1"/>
      <c r="Z152" s="1"/>
      <c r="AA152" s="2"/>
      <c r="AB152" s="2"/>
      <c r="AC152" s="2"/>
    </row>
    <row r="153" spans="1:29" ht="12.75" customHeight="1">
      <c r="A153" s="1"/>
      <c r="B153" s="5"/>
      <c r="C153" s="22"/>
      <c r="D153" s="24"/>
      <c r="E153" s="26"/>
      <c r="F153" s="28"/>
      <c r="G153" s="29"/>
      <c r="H153" s="28"/>
      <c r="I153" s="29"/>
      <c r="J153" s="28"/>
      <c r="K153" s="28"/>
      <c r="L153" s="28"/>
      <c r="M153" s="5"/>
      <c r="N153" s="1"/>
      <c r="O153" s="4">
        <f t="shared" si="11"/>
        <v>0</v>
      </c>
      <c r="P153" s="4">
        <f t="shared" si="12"/>
        <v>0</v>
      </c>
      <c r="Q153" s="4">
        <f t="shared" si="2"/>
        <v>0</v>
      </c>
      <c r="R153" s="4">
        <f t="shared" si="3"/>
        <v>0</v>
      </c>
      <c r="S153" s="2">
        <f t="shared" si="13"/>
        <v>-1</v>
      </c>
      <c r="T153" s="4">
        <f t="shared" si="14"/>
        <v>0</v>
      </c>
      <c r="U153" s="2" t="str">
        <f t="shared" si="5"/>
        <v xml:space="preserve"> - </v>
      </c>
      <c r="V153" s="1"/>
      <c r="W153" s="1"/>
      <c r="X153" s="1"/>
      <c r="Y153" s="1"/>
      <c r="Z153" s="1"/>
      <c r="AA153" s="2"/>
      <c r="AB153" s="2"/>
      <c r="AC153" s="2"/>
    </row>
    <row r="154" spans="1:29" ht="12.75" customHeight="1">
      <c r="A154" s="1"/>
      <c r="B154" s="5"/>
      <c r="C154" s="22"/>
      <c r="D154" s="24"/>
      <c r="E154" s="26"/>
      <c r="F154" s="28"/>
      <c r="G154" s="29"/>
      <c r="H154" s="28"/>
      <c r="I154" s="29"/>
      <c r="J154" s="28"/>
      <c r="K154" s="28"/>
      <c r="L154" s="28"/>
      <c r="M154" s="5"/>
      <c r="N154" s="1"/>
      <c r="O154" s="4">
        <f t="shared" si="11"/>
        <v>0</v>
      </c>
      <c r="P154" s="4">
        <f t="shared" si="12"/>
        <v>0</v>
      </c>
      <c r="Q154" s="4">
        <f t="shared" si="2"/>
        <v>0</v>
      </c>
      <c r="R154" s="4">
        <f t="shared" si="3"/>
        <v>0</v>
      </c>
      <c r="S154" s="2">
        <f t="shared" si="13"/>
        <v>-1</v>
      </c>
      <c r="T154" s="4">
        <f t="shared" si="14"/>
        <v>0</v>
      </c>
      <c r="U154" s="2" t="str">
        <f t="shared" si="5"/>
        <v xml:space="preserve"> - </v>
      </c>
      <c r="V154" s="1"/>
      <c r="W154" s="1"/>
      <c r="X154" s="1"/>
      <c r="Y154" s="1"/>
      <c r="Z154" s="1"/>
      <c r="AA154" s="2"/>
      <c r="AB154" s="2"/>
      <c r="AC154" s="2"/>
    </row>
    <row r="155" spans="1:29" ht="12.75" customHeight="1">
      <c r="A155" s="1"/>
      <c r="B155" s="5"/>
      <c r="C155" s="22"/>
      <c r="D155" s="24"/>
      <c r="E155" s="26"/>
      <c r="F155" s="28"/>
      <c r="G155" s="29"/>
      <c r="H155" s="28"/>
      <c r="I155" s="29"/>
      <c r="J155" s="28"/>
      <c r="K155" s="28"/>
      <c r="L155" s="28"/>
      <c r="M155" s="5"/>
      <c r="N155" s="1"/>
      <c r="O155" s="4">
        <f t="shared" si="11"/>
        <v>0</v>
      </c>
      <c r="P155" s="4">
        <f t="shared" si="12"/>
        <v>0</v>
      </c>
      <c r="Q155" s="4">
        <f t="shared" si="2"/>
        <v>0</v>
      </c>
      <c r="R155" s="4">
        <f t="shared" si="3"/>
        <v>0</v>
      </c>
      <c r="S155" s="2">
        <f t="shared" si="13"/>
        <v>-1</v>
      </c>
      <c r="T155" s="4">
        <f t="shared" si="14"/>
        <v>0</v>
      </c>
      <c r="U155" s="2" t="str">
        <f t="shared" si="5"/>
        <v xml:space="preserve"> - </v>
      </c>
      <c r="V155" s="1"/>
      <c r="W155" s="1"/>
      <c r="X155" s="1"/>
      <c r="Y155" s="1"/>
      <c r="Z155" s="1"/>
      <c r="AA155" s="2"/>
      <c r="AB155" s="2"/>
      <c r="AC155" s="2"/>
    </row>
    <row r="156" spans="1:29" ht="12.75" customHeight="1">
      <c r="A156" s="1"/>
      <c r="B156" s="5"/>
      <c r="C156" s="22"/>
      <c r="D156" s="24"/>
      <c r="E156" s="26"/>
      <c r="F156" s="28"/>
      <c r="G156" s="29"/>
      <c r="H156" s="28"/>
      <c r="I156" s="29"/>
      <c r="J156" s="28"/>
      <c r="K156" s="28"/>
      <c r="L156" s="28"/>
      <c r="M156" s="5"/>
      <c r="N156" s="1"/>
      <c r="O156" s="4">
        <f t="shared" si="11"/>
        <v>0</v>
      </c>
      <c r="P156" s="4">
        <f t="shared" si="12"/>
        <v>0</v>
      </c>
      <c r="Q156" s="4">
        <f t="shared" si="2"/>
        <v>0</v>
      </c>
      <c r="R156" s="4">
        <f t="shared" si="3"/>
        <v>0</v>
      </c>
      <c r="S156" s="2">
        <f t="shared" si="13"/>
        <v>-1</v>
      </c>
      <c r="T156" s="4">
        <f t="shared" si="14"/>
        <v>0</v>
      </c>
      <c r="U156" s="2" t="str">
        <f t="shared" si="5"/>
        <v xml:space="preserve"> - </v>
      </c>
      <c r="V156" s="1"/>
      <c r="W156" s="1"/>
      <c r="X156" s="1"/>
      <c r="Y156" s="1"/>
      <c r="Z156" s="1"/>
      <c r="AA156" s="2"/>
      <c r="AB156" s="2"/>
      <c r="AC156" s="2"/>
    </row>
    <row r="157" spans="1:29" ht="12.75" customHeight="1">
      <c r="A157" s="1"/>
      <c r="B157" s="5"/>
      <c r="C157" s="22"/>
      <c r="D157" s="24"/>
      <c r="E157" s="26"/>
      <c r="F157" s="28"/>
      <c r="G157" s="29"/>
      <c r="H157" s="28"/>
      <c r="I157" s="29"/>
      <c r="J157" s="28"/>
      <c r="K157" s="28"/>
      <c r="L157" s="28"/>
      <c r="M157" s="5"/>
      <c r="N157" s="1"/>
      <c r="O157" s="4">
        <f t="shared" si="11"/>
        <v>0</v>
      </c>
      <c r="P157" s="4">
        <f t="shared" si="12"/>
        <v>0</v>
      </c>
      <c r="Q157" s="4">
        <f t="shared" si="2"/>
        <v>0</v>
      </c>
      <c r="R157" s="4">
        <f t="shared" si="3"/>
        <v>0</v>
      </c>
      <c r="S157" s="2">
        <f t="shared" si="13"/>
        <v>-1</v>
      </c>
      <c r="T157" s="4">
        <f t="shared" si="14"/>
        <v>0</v>
      </c>
      <c r="U157" s="2" t="str">
        <f t="shared" si="5"/>
        <v xml:space="preserve"> - </v>
      </c>
      <c r="V157" s="1"/>
      <c r="W157" s="1"/>
      <c r="X157" s="1"/>
      <c r="Y157" s="1"/>
      <c r="Z157" s="1"/>
      <c r="AA157" s="2"/>
      <c r="AB157" s="2"/>
      <c r="AC157" s="2"/>
    </row>
    <row r="158" spans="1:29" ht="12.75" customHeight="1">
      <c r="A158" s="1"/>
      <c r="B158" s="5"/>
      <c r="C158" s="22"/>
      <c r="D158" s="24"/>
      <c r="E158" s="26"/>
      <c r="F158" s="28"/>
      <c r="G158" s="29"/>
      <c r="H158" s="28"/>
      <c r="I158" s="29"/>
      <c r="J158" s="28"/>
      <c r="K158" s="28"/>
      <c r="L158" s="28"/>
      <c r="M158" s="5"/>
      <c r="N158" s="1"/>
      <c r="O158" s="4">
        <f t="shared" si="11"/>
        <v>0</v>
      </c>
      <c r="P158" s="4">
        <f t="shared" si="12"/>
        <v>0</v>
      </c>
      <c r="Q158" s="4">
        <f t="shared" si="2"/>
        <v>0</v>
      </c>
      <c r="R158" s="4">
        <f t="shared" si="3"/>
        <v>0</v>
      </c>
      <c r="S158" s="2">
        <f t="shared" si="13"/>
        <v>-1</v>
      </c>
      <c r="T158" s="4">
        <f t="shared" si="14"/>
        <v>0</v>
      </c>
      <c r="U158" s="2" t="str">
        <f t="shared" si="5"/>
        <v xml:space="preserve"> - </v>
      </c>
      <c r="V158" s="1"/>
      <c r="W158" s="1"/>
      <c r="X158" s="1"/>
      <c r="Y158" s="1"/>
      <c r="Z158" s="1"/>
      <c r="AA158" s="2"/>
      <c r="AB158" s="2"/>
      <c r="AC158" s="2"/>
    </row>
    <row r="159" spans="1:29" ht="12.75" customHeight="1">
      <c r="A159" s="1"/>
      <c r="B159" s="5"/>
      <c r="C159" s="22"/>
      <c r="D159" s="24"/>
      <c r="E159" s="26"/>
      <c r="F159" s="28"/>
      <c r="G159" s="29"/>
      <c r="H159" s="28"/>
      <c r="I159" s="29"/>
      <c r="J159" s="28"/>
      <c r="K159" s="28"/>
      <c r="L159" s="28"/>
      <c r="M159" s="5"/>
      <c r="N159" s="1"/>
      <c r="O159" s="4">
        <f t="shared" si="11"/>
        <v>0</v>
      </c>
      <c r="P159" s="4">
        <f t="shared" si="12"/>
        <v>0</v>
      </c>
      <c r="Q159" s="4">
        <f t="shared" si="2"/>
        <v>0</v>
      </c>
      <c r="R159" s="4">
        <f t="shared" si="3"/>
        <v>0</v>
      </c>
      <c r="S159" s="2">
        <f t="shared" si="13"/>
        <v>-1</v>
      </c>
      <c r="T159" s="4">
        <f t="shared" si="14"/>
        <v>0</v>
      </c>
      <c r="U159" s="2" t="str">
        <f t="shared" si="5"/>
        <v xml:space="preserve"> - </v>
      </c>
      <c r="V159" s="1"/>
      <c r="W159" s="1"/>
      <c r="X159" s="1"/>
      <c r="Y159" s="1"/>
      <c r="Z159" s="1"/>
      <c r="AA159" s="2"/>
      <c r="AB159" s="2"/>
      <c r="AC159" s="2"/>
    </row>
    <row r="160" spans="1:29" ht="12.75" customHeight="1">
      <c r="A160" s="1"/>
      <c r="B160" s="5"/>
      <c r="C160" s="22"/>
      <c r="D160" s="24"/>
      <c r="E160" s="26"/>
      <c r="F160" s="28"/>
      <c r="G160" s="29"/>
      <c r="H160" s="28"/>
      <c r="I160" s="29"/>
      <c r="J160" s="28"/>
      <c r="K160" s="28"/>
      <c r="L160" s="28"/>
      <c r="M160" s="5"/>
      <c r="N160" s="1"/>
      <c r="O160" s="4">
        <f t="shared" si="11"/>
        <v>0</v>
      </c>
      <c r="P160" s="4">
        <f t="shared" si="12"/>
        <v>0</v>
      </c>
      <c r="Q160" s="4">
        <f t="shared" si="2"/>
        <v>0</v>
      </c>
      <c r="R160" s="4">
        <f t="shared" si="3"/>
        <v>0</v>
      </c>
      <c r="S160" s="2">
        <f t="shared" si="13"/>
        <v>-1</v>
      </c>
      <c r="T160" s="4">
        <f t="shared" si="14"/>
        <v>0</v>
      </c>
      <c r="U160" s="2" t="str">
        <f t="shared" si="5"/>
        <v xml:space="preserve"> - </v>
      </c>
      <c r="V160" s="1"/>
      <c r="W160" s="1"/>
      <c r="X160" s="1"/>
      <c r="Y160" s="1"/>
      <c r="Z160" s="1"/>
      <c r="AA160" s="2"/>
      <c r="AB160" s="2"/>
      <c r="AC160" s="2"/>
    </row>
    <row r="161" spans="1:29" ht="12.75" customHeight="1">
      <c r="A161" s="1"/>
      <c r="B161" s="5"/>
      <c r="C161" s="22"/>
      <c r="D161" s="24"/>
      <c r="E161" s="26"/>
      <c r="F161" s="28"/>
      <c r="G161" s="29"/>
      <c r="H161" s="28"/>
      <c r="I161" s="29"/>
      <c r="J161" s="28"/>
      <c r="K161" s="28"/>
      <c r="L161" s="28"/>
      <c r="M161" s="5"/>
      <c r="N161" s="1"/>
      <c r="O161" s="4">
        <f t="shared" si="11"/>
        <v>0</v>
      </c>
      <c r="P161" s="4">
        <f t="shared" si="12"/>
        <v>0</v>
      </c>
      <c r="Q161" s="4">
        <f t="shared" si="2"/>
        <v>0</v>
      </c>
      <c r="R161" s="4">
        <f t="shared" si="3"/>
        <v>0</v>
      </c>
      <c r="S161" s="2">
        <f t="shared" si="13"/>
        <v>-1</v>
      </c>
      <c r="T161" s="4">
        <f t="shared" si="14"/>
        <v>0</v>
      </c>
      <c r="U161" s="2" t="str">
        <f t="shared" si="5"/>
        <v xml:space="preserve"> - </v>
      </c>
      <c r="V161" s="1"/>
      <c r="W161" s="1"/>
      <c r="X161" s="1"/>
      <c r="Y161" s="1"/>
      <c r="Z161" s="1"/>
      <c r="AA161" s="2"/>
      <c r="AB161" s="2"/>
      <c r="AC161" s="2"/>
    </row>
    <row r="162" spans="1:29" ht="12.75" customHeight="1">
      <c r="A162" s="1"/>
      <c r="B162" s="5"/>
      <c r="C162" s="22"/>
      <c r="D162" s="24"/>
      <c r="E162" s="26"/>
      <c r="F162" s="28"/>
      <c r="G162" s="29"/>
      <c r="H162" s="28"/>
      <c r="I162" s="29"/>
      <c r="J162" s="28"/>
      <c r="K162" s="28"/>
      <c r="L162" s="28"/>
      <c r="M162" s="5"/>
      <c r="N162" s="1"/>
      <c r="O162" s="4">
        <f t="shared" si="11"/>
        <v>0</v>
      </c>
      <c r="P162" s="4">
        <f t="shared" si="12"/>
        <v>0</v>
      </c>
      <c r="Q162" s="4">
        <f t="shared" si="2"/>
        <v>0</v>
      </c>
      <c r="R162" s="4">
        <f t="shared" si="3"/>
        <v>0</v>
      </c>
      <c r="S162" s="2">
        <f t="shared" si="13"/>
        <v>-1</v>
      </c>
      <c r="T162" s="4">
        <f t="shared" si="14"/>
        <v>0</v>
      </c>
      <c r="U162" s="2" t="str">
        <f t="shared" si="5"/>
        <v xml:space="preserve"> - </v>
      </c>
      <c r="V162" s="1"/>
      <c r="W162" s="1"/>
      <c r="X162" s="1"/>
      <c r="Y162" s="1"/>
      <c r="Z162" s="1"/>
      <c r="AA162" s="2"/>
      <c r="AB162" s="2"/>
      <c r="AC162" s="2"/>
    </row>
    <row r="163" spans="1:29" ht="12.75" customHeight="1">
      <c r="A163" s="1"/>
      <c r="B163" s="5"/>
      <c r="C163" s="22"/>
      <c r="D163" s="24"/>
      <c r="E163" s="26"/>
      <c r="F163" s="28"/>
      <c r="G163" s="29"/>
      <c r="H163" s="28"/>
      <c r="I163" s="29"/>
      <c r="J163" s="28"/>
      <c r="K163" s="28"/>
      <c r="L163" s="28"/>
      <c r="M163" s="5"/>
      <c r="N163" s="1"/>
      <c r="O163" s="4">
        <f t="shared" si="11"/>
        <v>0</v>
      </c>
      <c r="P163" s="4">
        <f t="shared" si="12"/>
        <v>0</v>
      </c>
      <c r="Q163" s="4">
        <f t="shared" si="2"/>
        <v>0</v>
      </c>
      <c r="R163" s="4">
        <f t="shared" si="3"/>
        <v>0</v>
      </c>
      <c r="S163" s="2">
        <f t="shared" si="13"/>
        <v>-1</v>
      </c>
      <c r="T163" s="4">
        <f t="shared" si="14"/>
        <v>0</v>
      </c>
      <c r="U163" s="2" t="str">
        <f t="shared" si="5"/>
        <v xml:space="preserve"> - </v>
      </c>
      <c r="V163" s="1"/>
      <c r="W163" s="1"/>
      <c r="X163" s="1"/>
      <c r="Y163" s="1"/>
      <c r="Z163" s="1"/>
      <c r="AA163" s="2"/>
      <c r="AB163" s="2"/>
      <c r="AC163" s="2"/>
    </row>
    <row r="164" spans="1:29" ht="12.75" customHeight="1">
      <c r="A164" s="1"/>
      <c r="B164" s="5"/>
      <c r="C164" s="22"/>
      <c r="D164" s="24"/>
      <c r="E164" s="26"/>
      <c r="F164" s="28"/>
      <c r="G164" s="29"/>
      <c r="H164" s="28"/>
      <c r="I164" s="29"/>
      <c r="J164" s="28"/>
      <c r="K164" s="28"/>
      <c r="L164" s="28"/>
      <c r="M164" s="5"/>
      <c r="N164" s="1"/>
      <c r="O164" s="4">
        <f t="shared" si="11"/>
        <v>0</v>
      </c>
      <c r="P164" s="4">
        <f t="shared" si="12"/>
        <v>0</v>
      </c>
      <c r="Q164" s="4">
        <f t="shared" si="2"/>
        <v>0</v>
      </c>
      <c r="R164" s="4">
        <f t="shared" si="3"/>
        <v>0</v>
      </c>
      <c r="S164" s="2">
        <f t="shared" si="13"/>
        <v>-1</v>
      </c>
      <c r="T164" s="4">
        <f t="shared" si="14"/>
        <v>0</v>
      </c>
      <c r="U164" s="2" t="str">
        <f t="shared" si="5"/>
        <v xml:space="preserve"> - </v>
      </c>
      <c r="V164" s="1"/>
      <c r="W164" s="1"/>
      <c r="X164" s="1"/>
      <c r="Y164" s="1"/>
      <c r="Z164" s="1"/>
      <c r="AA164" s="2"/>
      <c r="AB164" s="2"/>
      <c r="AC164" s="2"/>
    </row>
    <row r="165" spans="1:29" ht="12.75" customHeight="1">
      <c r="A165" s="1"/>
      <c r="B165" s="5"/>
      <c r="C165" s="22"/>
      <c r="D165" s="24"/>
      <c r="E165" s="26"/>
      <c r="F165" s="28"/>
      <c r="G165" s="29"/>
      <c r="H165" s="28"/>
      <c r="I165" s="29"/>
      <c r="J165" s="28"/>
      <c r="K165" s="28"/>
      <c r="L165" s="28"/>
      <c r="M165" s="5"/>
      <c r="N165" s="1"/>
      <c r="O165" s="4">
        <f t="shared" si="11"/>
        <v>0</v>
      </c>
      <c r="P165" s="4">
        <f t="shared" si="12"/>
        <v>0</v>
      </c>
      <c r="Q165" s="4">
        <f t="shared" si="2"/>
        <v>0</v>
      </c>
      <c r="R165" s="4">
        <f t="shared" si="3"/>
        <v>0</v>
      </c>
      <c r="S165" s="2">
        <f t="shared" si="13"/>
        <v>-1</v>
      </c>
      <c r="T165" s="4">
        <f t="shared" si="14"/>
        <v>0</v>
      </c>
      <c r="U165" s="2" t="str">
        <f t="shared" si="5"/>
        <v xml:space="preserve"> - </v>
      </c>
      <c r="V165" s="1"/>
      <c r="W165" s="1"/>
      <c r="X165" s="1"/>
      <c r="Y165" s="1"/>
      <c r="Z165" s="1"/>
      <c r="AA165" s="2"/>
      <c r="AB165" s="2"/>
      <c r="AC165" s="2"/>
    </row>
    <row r="166" spans="1:29" ht="12.75" customHeight="1">
      <c r="A166" s="1"/>
      <c r="B166" s="5"/>
      <c r="C166" s="22"/>
      <c r="D166" s="24"/>
      <c r="E166" s="26"/>
      <c r="F166" s="28"/>
      <c r="G166" s="29"/>
      <c r="H166" s="28"/>
      <c r="I166" s="29"/>
      <c r="J166" s="28"/>
      <c r="K166" s="28"/>
      <c r="L166" s="28"/>
      <c r="M166" s="5"/>
      <c r="N166" s="1"/>
      <c r="O166" s="4">
        <f t="shared" si="11"/>
        <v>0</v>
      </c>
      <c r="P166" s="4">
        <f t="shared" si="12"/>
        <v>0</v>
      </c>
      <c r="Q166" s="4">
        <f t="shared" si="2"/>
        <v>0</v>
      </c>
      <c r="R166" s="4">
        <f t="shared" si="3"/>
        <v>0</v>
      </c>
      <c r="S166" s="2">
        <f t="shared" si="13"/>
        <v>-1</v>
      </c>
      <c r="T166" s="4">
        <f t="shared" si="14"/>
        <v>0</v>
      </c>
      <c r="U166" s="2" t="str">
        <f t="shared" si="5"/>
        <v xml:space="preserve"> - </v>
      </c>
      <c r="V166" s="1"/>
      <c r="W166" s="1"/>
      <c r="X166" s="1"/>
      <c r="Y166" s="1"/>
      <c r="Z166" s="1"/>
      <c r="AA166" s="2"/>
      <c r="AB166" s="2"/>
      <c r="AC166" s="2"/>
    </row>
    <row r="167" spans="1:29" ht="12.75" customHeight="1">
      <c r="A167" s="1"/>
      <c r="B167" s="5"/>
      <c r="C167" s="22"/>
      <c r="D167" s="24"/>
      <c r="E167" s="26"/>
      <c r="F167" s="28"/>
      <c r="G167" s="29"/>
      <c r="H167" s="28"/>
      <c r="I167" s="29"/>
      <c r="J167" s="28"/>
      <c r="K167" s="28"/>
      <c r="L167" s="28"/>
      <c r="M167" s="5"/>
      <c r="N167" s="1"/>
      <c r="O167" s="4">
        <f t="shared" si="11"/>
        <v>0</v>
      </c>
      <c r="P167" s="4">
        <f t="shared" si="12"/>
        <v>0</v>
      </c>
      <c r="Q167" s="4">
        <f t="shared" si="2"/>
        <v>0</v>
      </c>
      <c r="R167" s="4">
        <f t="shared" si="3"/>
        <v>0</v>
      </c>
      <c r="S167" s="2">
        <f t="shared" si="13"/>
        <v>-1</v>
      </c>
      <c r="T167" s="4">
        <f t="shared" si="14"/>
        <v>0</v>
      </c>
      <c r="U167" s="2" t="str">
        <f t="shared" si="5"/>
        <v xml:space="preserve"> - </v>
      </c>
      <c r="V167" s="1"/>
      <c r="W167" s="1"/>
      <c r="X167" s="1"/>
      <c r="Y167" s="1"/>
      <c r="Z167" s="1"/>
      <c r="AA167" s="2"/>
      <c r="AB167" s="2"/>
      <c r="AC167" s="2"/>
    </row>
    <row r="168" spans="1:29" ht="12.75" customHeight="1">
      <c r="A168" s="1"/>
      <c r="B168" s="5"/>
      <c r="C168" s="22"/>
      <c r="D168" s="24"/>
      <c r="E168" s="26"/>
      <c r="F168" s="28"/>
      <c r="G168" s="29"/>
      <c r="H168" s="28"/>
      <c r="I168" s="29"/>
      <c r="J168" s="28"/>
      <c r="K168" s="28"/>
      <c r="L168" s="28"/>
      <c r="M168" s="5"/>
      <c r="N168" s="1"/>
      <c r="O168" s="4">
        <f t="shared" si="11"/>
        <v>0</v>
      </c>
      <c r="P168" s="4">
        <f t="shared" si="12"/>
        <v>0</v>
      </c>
      <c r="Q168" s="4">
        <f t="shared" si="2"/>
        <v>0</v>
      </c>
      <c r="R168" s="4">
        <f t="shared" si="3"/>
        <v>0</v>
      </c>
      <c r="S168" s="2">
        <f t="shared" si="13"/>
        <v>-1</v>
      </c>
      <c r="T168" s="4">
        <f t="shared" si="14"/>
        <v>0</v>
      </c>
      <c r="U168" s="2" t="str">
        <f t="shared" si="5"/>
        <v xml:space="preserve"> - </v>
      </c>
      <c r="V168" s="1"/>
      <c r="W168" s="1"/>
      <c r="X168" s="1"/>
      <c r="Y168" s="1"/>
      <c r="Z168" s="1"/>
      <c r="AA168" s="2"/>
      <c r="AB168" s="2"/>
      <c r="AC168" s="2"/>
    </row>
    <row r="169" spans="1:29" ht="12.75" customHeight="1">
      <c r="A169" s="1"/>
      <c r="B169" s="5"/>
      <c r="C169" s="22"/>
      <c r="D169" s="24"/>
      <c r="E169" s="26"/>
      <c r="F169" s="28"/>
      <c r="G169" s="29"/>
      <c r="H169" s="28"/>
      <c r="I169" s="29"/>
      <c r="J169" s="28"/>
      <c r="K169" s="28"/>
      <c r="L169" s="28"/>
      <c r="M169" s="5"/>
      <c r="N169" s="1"/>
      <c r="O169" s="4">
        <f t="shared" si="11"/>
        <v>0</v>
      </c>
      <c r="P169" s="4">
        <f t="shared" si="12"/>
        <v>0</v>
      </c>
      <c r="Q169" s="4">
        <f t="shared" si="2"/>
        <v>0</v>
      </c>
      <c r="R169" s="4">
        <f t="shared" si="3"/>
        <v>0</v>
      </c>
      <c r="S169" s="2">
        <f t="shared" si="13"/>
        <v>-1</v>
      </c>
      <c r="T169" s="4">
        <f t="shared" si="14"/>
        <v>0</v>
      </c>
      <c r="U169" s="2" t="str">
        <f t="shared" si="5"/>
        <v xml:space="preserve"> - </v>
      </c>
      <c r="V169" s="1"/>
      <c r="W169" s="1"/>
      <c r="X169" s="1"/>
      <c r="Y169" s="1"/>
      <c r="Z169" s="1"/>
      <c r="AA169" s="2"/>
      <c r="AB169" s="2"/>
      <c r="AC169" s="2"/>
    </row>
    <row r="170" spans="1:29" ht="12.75" customHeight="1">
      <c r="A170" s="1"/>
      <c r="B170" s="5"/>
      <c r="C170" s="22"/>
      <c r="D170" s="24"/>
      <c r="E170" s="26"/>
      <c r="F170" s="28"/>
      <c r="G170" s="29"/>
      <c r="H170" s="28"/>
      <c r="I170" s="29"/>
      <c r="J170" s="28"/>
      <c r="K170" s="28"/>
      <c r="L170" s="28"/>
      <c r="M170" s="5"/>
      <c r="N170" s="1"/>
      <c r="O170" s="4">
        <f t="shared" si="11"/>
        <v>0</v>
      </c>
      <c r="P170" s="4">
        <f t="shared" si="12"/>
        <v>0</v>
      </c>
      <c r="Q170" s="4">
        <f t="shared" si="2"/>
        <v>0</v>
      </c>
      <c r="R170" s="4">
        <f t="shared" si="3"/>
        <v>0</v>
      </c>
      <c r="S170" s="2">
        <f t="shared" si="13"/>
        <v>-1</v>
      </c>
      <c r="T170" s="4">
        <f t="shared" si="14"/>
        <v>0</v>
      </c>
      <c r="U170" s="2" t="str">
        <f t="shared" si="5"/>
        <v xml:space="preserve"> - </v>
      </c>
      <c r="V170" s="1"/>
      <c r="W170" s="1"/>
      <c r="X170" s="1"/>
      <c r="Y170" s="1"/>
      <c r="Z170" s="1"/>
      <c r="AA170" s="2"/>
      <c r="AB170" s="2"/>
      <c r="AC170" s="2"/>
    </row>
    <row r="171" spans="1:29" ht="12.75" customHeight="1">
      <c r="A171" s="1"/>
      <c r="B171" s="5"/>
      <c r="C171" s="22"/>
      <c r="D171" s="24"/>
      <c r="E171" s="26"/>
      <c r="F171" s="28"/>
      <c r="G171" s="29"/>
      <c r="H171" s="28"/>
      <c r="I171" s="29"/>
      <c r="J171" s="28"/>
      <c r="K171" s="28"/>
      <c r="L171" s="28"/>
      <c r="M171" s="5"/>
      <c r="N171" s="1"/>
      <c r="O171" s="4">
        <f t="shared" si="11"/>
        <v>0</v>
      </c>
      <c r="P171" s="4">
        <f t="shared" si="12"/>
        <v>0</v>
      </c>
      <c r="Q171" s="4">
        <f t="shared" si="2"/>
        <v>0</v>
      </c>
      <c r="R171" s="4">
        <f t="shared" si="3"/>
        <v>0</v>
      </c>
      <c r="S171" s="2">
        <f t="shared" si="13"/>
        <v>-1</v>
      </c>
      <c r="T171" s="4">
        <f t="shared" si="14"/>
        <v>0</v>
      </c>
      <c r="U171" s="2" t="str">
        <f t="shared" si="5"/>
        <v xml:space="preserve"> - </v>
      </c>
      <c r="V171" s="1"/>
      <c r="W171" s="1"/>
      <c r="X171" s="1"/>
      <c r="Y171" s="1"/>
      <c r="Z171" s="1"/>
      <c r="AA171" s="2"/>
      <c r="AB171" s="2"/>
      <c r="AC171" s="2"/>
    </row>
    <row r="172" spans="1:29" ht="12.75" customHeight="1">
      <c r="A172" s="1"/>
      <c r="B172" s="5"/>
      <c r="C172" s="22"/>
      <c r="D172" s="24"/>
      <c r="E172" s="26"/>
      <c r="F172" s="28"/>
      <c r="G172" s="29"/>
      <c r="H172" s="28"/>
      <c r="I172" s="29"/>
      <c r="J172" s="28"/>
      <c r="K172" s="28"/>
      <c r="L172" s="28"/>
      <c r="M172" s="5"/>
      <c r="N172" s="1"/>
      <c r="O172" s="4">
        <f t="shared" si="11"/>
        <v>0</v>
      </c>
      <c r="P172" s="4">
        <f t="shared" si="12"/>
        <v>0</v>
      </c>
      <c r="Q172" s="4">
        <f t="shared" si="2"/>
        <v>0</v>
      </c>
      <c r="R172" s="4">
        <f t="shared" si="3"/>
        <v>0</v>
      </c>
      <c r="S172" s="2">
        <f t="shared" si="13"/>
        <v>-1</v>
      </c>
      <c r="T172" s="4">
        <f t="shared" si="14"/>
        <v>0</v>
      </c>
      <c r="U172" s="2" t="str">
        <f t="shared" si="5"/>
        <v xml:space="preserve"> - </v>
      </c>
      <c r="V172" s="1"/>
      <c r="W172" s="1"/>
      <c r="X172" s="1"/>
      <c r="Y172" s="1"/>
      <c r="Z172" s="1"/>
      <c r="AA172" s="2"/>
      <c r="AB172" s="2"/>
      <c r="AC172" s="2"/>
    </row>
    <row r="173" spans="1:29" ht="12.75" customHeight="1">
      <c r="A173" s="1"/>
      <c r="B173" s="5"/>
      <c r="C173" s="22"/>
      <c r="D173" s="24"/>
      <c r="E173" s="26"/>
      <c r="F173" s="28"/>
      <c r="G173" s="29"/>
      <c r="H173" s="28"/>
      <c r="I173" s="29"/>
      <c r="J173" s="28"/>
      <c r="K173" s="28"/>
      <c r="L173" s="28"/>
      <c r="M173" s="5"/>
      <c r="N173" s="1"/>
      <c r="O173" s="4">
        <f t="shared" si="11"/>
        <v>0</v>
      </c>
      <c r="P173" s="4">
        <f t="shared" si="12"/>
        <v>0</v>
      </c>
      <c r="Q173" s="4">
        <f t="shared" si="2"/>
        <v>0</v>
      </c>
      <c r="R173" s="4">
        <f t="shared" si="3"/>
        <v>0</v>
      </c>
      <c r="S173" s="2">
        <f t="shared" si="13"/>
        <v>-1</v>
      </c>
      <c r="T173" s="4">
        <f t="shared" si="14"/>
        <v>0</v>
      </c>
      <c r="U173" s="2" t="str">
        <f t="shared" si="5"/>
        <v xml:space="preserve"> - </v>
      </c>
      <c r="V173" s="1"/>
      <c r="W173" s="1"/>
      <c r="X173" s="1"/>
      <c r="Y173" s="1"/>
      <c r="Z173" s="1"/>
      <c r="AA173" s="2"/>
      <c r="AB173" s="2"/>
      <c r="AC173" s="2"/>
    </row>
    <row r="174" spans="1:29" ht="12.75" customHeight="1">
      <c r="A174" s="1"/>
      <c r="B174" s="5"/>
      <c r="C174" s="22"/>
      <c r="D174" s="24"/>
      <c r="E174" s="26"/>
      <c r="F174" s="28"/>
      <c r="G174" s="29"/>
      <c r="H174" s="28"/>
      <c r="I174" s="29"/>
      <c r="J174" s="28"/>
      <c r="K174" s="28"/>
      <c r="L174" s="28"/>
      <c r="M174" s="5"/>
      <c r="N174" s="1"/>
      <c r="O174" s="4">
        <f t="shared" si="11"/>
        <v>0</v>
      </c>
      <c r="P174" s="4">
        <f t="shared" si="12"/>
        <v>0</v>
      </c>
      <c r="Q174" s="4">
        <f t="shared" si="2"/>
        <v>0</v>
      </c>
      <c r="R174" s="4">
        <f t="shared" si="3"/>
        <v>0</v>
      </c>
      <c r="S174" s="2">
        <f t="shared" si="13"/>
        <v>-1</v>
      </c>
      <c r="T174" s="4">
        <f t="shared" si="14"/>
        <v>0</v>
      </c>
      <c r="U174" s="2" t="str">
        <f t="shared" si="5"/>
        <v xml:space="preserve"> - </v>
      </c>
      <c r="V174" s="1"/>
      <c r="W174" s="1"/>
      <c r="X174" s="1"/>
      <c r="Y174" s="1"/>
      <c r="Z174" s="1"/>
      <c r="AA174" s="2"/>
      <c r="AB174" s="2"/>
      <c r="AC174" s="2"/>
    </row>
    <row r="175" spans="1:29" ht="12.75" customHeight="1">
      <c r="A175" s="1"/>
      <c r="B175" s="5"/>
      <c r="C175" s="22"/>
      <c r="D175" s="24"/>
      <c r="E175" s="26"/>
      <c r="F175" s="28"/>
      <c r="G175" s="29"/>
      <c r="H175" s="28"/>
      <c r="I175" s="29"/>
      <c r="J175" s="28"/>
      <c r="K175" s="28"/>
      <c r="L175" s="28"/>
      <c r="M175" s="5"/>
      <c r="N175" s="1"/>
      <c r="O175" s="4">
        <f t="shared" si="11"/>
        <v>0</v>
      </c>
      <c r="P175" s="4">
        <f t="shared" si="12"/>
        <v>0</v>
      </c>
      <c r="Q175" s="4">
        <f t="shared" si="2"/>
        <v>0</v>
      </c>
      <c r="R175" s="4">
        <f t="shared" si="3"/>
        <v>0</v>
      </c>
      <c r="S175" s="2">
        <f t="shared" si="13"/>
        <v>-1</v>
      </c>
      <c r="T175" s="4">
        <f t="shared" si="14"/>
        <v>0</v>
      </c>
      <c r="U175" s="2" t="str">
        <f t="shared" si="5"/>
        <v xml:space="preserve"> - </v>
      </c>
      <c r="V175" s="1"/>
      <c r="W175" s="1"/>
      <c r="X175" s="1"/>
      <c r="Y175" s="1"/>
      <c r="Z175" s="1"/>
      <c r="AA175" s="2"/>
      <c r="AB175" s="2"/>
      <c r="AC175" s="2"/>
    </row>
    <row r="176" spans="1:29" ht="12.75" customHeight="1">
      <c r="A176" s="1"/>
      <c r="B176" s="5"/>
      <c r="C176" s="22"/>
      <c r="D176" s="24"/>
      <c r="E176" s="26"/>
      <c r="F176" s="28"/>
      <c r="G176" s="29"/>
      <c r="H176" s="28"/>
      <c r="I176" s="29"/>
      <c r="J176" s="28"/>
      <c r="K176" s="28"/>
      <c r="L176" s="28"/>
      <c r="M176" s="5"/>
      <c r="N176" s="1"/>
      <c r="O176" s="4">
        <f t="shared" si="11"/>
        <v>0</v>
      </c>
      <c r="P176" s="4">
        <f t="shared" si="12"/>
        <v>0</v>
      </c>
      <c r="Q176" s="4">
        <f t="shared" si="2"/>
        <v>0</v>
      </c>
      <c r="R176" s="4">
        <f t="shared" si="3"/>
        <v>0</v>
      </c>
      <c r="S176" s="2">
        <f t="shared" si="13"/>
        <v>-1</v>
      </c>
      <c r="T176" s="4">
        <f t="shared" si="14"/>
        <v>0</v>
      </c>
      <c r="U176" s="2" t="str">
        <f t="shared" si="5"/>
        <v xml:space="preserve"> - </v>
      </c>
      <c r="V176" s="1"/>
      <c r="W176" s="1"/>
      <c r="X176" s="1"/>
      <c r="Y176" s="1"/>
      <c r="Z176" s="1"/>
      <c r="AA176" s="2"/>
      <c r="AB176" s="2"/>
      <c r="AC176" s="2"/>
    </row>
    <row r="177" spans="1:29" ht="12.75" customHeight="1">
      <c r="A177" s="1"/>
      <c r="B177" s="5"/>
      <c r="C177" s="22"/>
      <c r="D177" s="24"/>
      <c r="E177" s="26"/>
      <c r="F177" s="28"/>
      <c r="G177" s="29"/>
      <c r="H177" s="28"/>
      <c r="I177" s="29"/>
      <c r="J177" s="28"/>
      <c r="K177" s="28"/>
      <c r="L177" s="28"/>
      <c r="M177" s="5"/>
      <c r="N177" s="1"/>
      <c r="O177" s="4">
        <f t="shared" si="11"/>
        <v>0</v>
      </c>
      <c r="P177" s="4">
        <f t="shared" si="12"/>
        <v>0</v>
      </c>
      <c r="Q177" s="4">
        <f t="shared" si="2"/>
        <v>0</v>
      </c>
      <c r="R177" s="4">
        <f t="shared" si="3"/>
        <v>0</v>
      </c>
      <c r="S177" s="2">
        <f t="shared" si="13"/>
        <v>-1</v>
      </c>
      <c r="T177" s="4">
        <f t="shared" si="14"/>
        <v>0</v>
      </c>
      <c r="U177" s="2" t="str">
        <f t="shared" si="5"/>
        <v xml:space="preserve"> - </v>
      </c>
      <c r="V177" s="1"/>
      <c r="W177" s="1"/>
      <c r="X177" s="1"/>
      <c r="Y177" s="1"/>
      <c r="Z177" s="1"/>
      <c r="AA177" s="2"/>
      <c r="AB177" s="2"/>
      <c r="AC177" s="2"/>
    </row>
    <row r="178" spans="1:29" ht="12.75" customHeight="1">
      <c r="A178" s="1"/>
      <c r="B178" s="5"/>
      <c r="C178" s="22"/>
      <c r="D178" s="24"/>
      <c r="E178" s="26"/>
      <c r="F178" s="28"/>
      <c r="G178" s="29"/>
      <c r="H178" s="28"/>
      <c r="I178" s="29"/>
      <c r="J178" s="28"/>
      <c r="K178" s="28"/>
      <c r="L178" s="28"/>
      <c r="M178" s="5"/>
      <c r="N178" s="1"/>
      <c r="O178" s="4">
        <f t="shared" si="11"/>
        <v>0</v>
      </c>
      <c r="P178" s="4">
        <f t="shared" si="12"/>
        <v>0</v>
      </c>
      <c r="Q178" s="4">
        <f t="shared" si="2"/>
        <v>0</v>
      </c>
      <c r="R178" s="4">
        <f t="shared" si="3"/>
        <v>0</v>
      </c>
      <c r="S178" s="2">
        <f t="shared" si="13"/>
        <v>-1</v>
      </c>
      <c r="T178" s="4">
        <f t="shared" si="14"/>
        <v>0</v>
      </c>
      <c r="U178" s="2" t="str">
        <f t="shared" si="5"/>
        <v xml:space="preserve"> - </v>
      </c>
      <c r="V178" s="1"/>
      <c r="W178" s="1"/>
      <c r="X178" s="1"/>
      <c r="Y178" s="1"/>
      <c r="Z178" s="1"/>
      <c r="AA178" s="2"/>
      <c r="AB178" s="2"/>
      <c r="AC178" s="2"/>
    </row>
    <row r="179" spans="1:29" ht="12.75" customHeight="1">
      <c r="A179" s="1"/>
      <c r="B179" s="5"/>
      <c r="C179" s="22"/>
      <c r="D179" s="24"/>
      <c r="E179" s="26"/>
      <c r="F179" s="28"/>
      <c r="G179" s="29"/>
      <c r="H179" s="28"/>
      <c r="I179" s="29"/>
      <c r="J179" s="28"/>
      <c r="K179" s="28"/>
      <c r="L179" s="28"/>
      <c r="M179" s="5"/>
      <c r="N179" s="1"/>
      <c r="O179" s="4">
        <f t="shared" si="11"/>
        <v>0</v>
      </c>
      <c r="P179" s="4">
        <f t="shared" si="12"/>
        <v>0</v>
      </c>
      <c r="Q179" s="4">
        <f t="shared" si="2"/>
        <v>0</v>
      </c>
      <c r="R179" s="4">
        <f t="shared" si="3"/>
        <v>0</v>
      </c>
      <c r="S179" s="2">
        <f t="shared" si="13"/>
        <v>-1</v>
      </c>
      <c r="T179" s="4">
        <f t="shared" si="14"/>
        <v>0</v>
      </c>
      <c r="U179" s="2" t="str">
        <f t="shared" si="5"/>
        <v xml:space="preserve"> - </v>
      </c>
      <c r="V179" s="1"/>
      <c r="W179" s="1"/>
      <c r="X179" s="1"/>
      <c r="Y179" s="1"/>
      <c r="Z179" s="1"/>
      <c r="AA179" s="2"/>
      <c r="AB179" s="2"/>
      <c r="AC179" s="2"/>
    </row>
    <row r="180" spans="1:29" ht="12.75" customHeight="1">
      <c r="A180" s="1"/>
      <c r="B180" s="5"/>
      <c r="C180" s="22"/>
      <c r="D180" s="24"/>
      <c r="E180" s="26"/>
      <c r="F180" s="28"/>
      <c r="G180" s="29"/>
      <c r="H180" s="28"/>
      <c r="I180" s="29"/>
      <c r="J180" s="28"/>
      <c r="K180" s="28"/>
      <c r="L180" s="28"/>
      <c r="M180" s="5"/>
      <c r="N180" s="1"/>
      <c r="O180" s="4">
        <f t="shared" si="11"/>
        <v>0</v>
      </c>
      <c r="P180" s="4">
        <f t="shared" si="12"/>
        <v>0</v>
      </c>
      <c r="Q180" s="4">
        <f t="shared" si="2"/>
        <v>0</v>
      </c>
      <c r="R180" s="4">
        <f t="shared" si="3"/>
        <v>0</v>
      </c>
      <c r="S180" s="2">
        <f t="shared" si="13"/>
        <v>-1</v>
      </c>
      <c r="T180" s="4">
        <f t="shared" si="14"/>
        <v>0</v>
      </c>
      <c r="U180" s="2" t="str">
        <f t="shared" si="5"/>
        <v xml:space="preserve"> - </v>
      </c>
      <c r="V180" s="1"/>
      <c r="W180" s="1"/>
      <c r="X180" s="1"/>
      <c r="Y180" s="1"/>
      <c r="Z180" s="1"/>
      <c r="AA180" s="2"/>
      <c r="AB180" s="2"/>
      <c r="AC180" s="2"/>
    </row>
    <row r="181" spans="1:29" ht="12.75" customHeight="1">
      <c r="A181" s="1"/>
      <c r="B181" s="5"/>
      <c r="C181" s="22"/>
      <c r="D181" s="24"/>
      <c r="E181" s="26"/>
      <c r="F181" s="28"/>
      <c r="G181" s="29"/>
      <c r="H181" s="28"/>
      <c r="I181" s="29"/>
      <c r="J181" s="28"/>
      <c r="K181" s="28"/>
      <c r="L181" s="28"/>
      <c r="M181" s="5"/>
      <c r="N181" s="1"/>
      <c r="O181" s="4">
        <f t="shared" si="11"/>
        <v>0</v>
      </c>
      <c r="P181" s="4">
        <f t="shared" si="12"/>
        <v>0</v>
      </c>
      <c r="Q181" s="4">
        <f t="shared" si="2"/>
        <v>0</v>
      </c>
      <c r="R181" s="4">
        <f t="shared" si="3"/>
        <v>0</v>
      </c>
      <c r="S181" s="2">
        <f t="shared" si="13"/>
        <v>-1</v>
      </c>
      <c r="T181" s="4">
        <f t="shared" si="14"/>
        <v>0</v>
      </c>
      <c r="U181" s="2" t="str">
        <f t="shared" si="5"/>
        <v xml:space="preserve"> - </v>
      </c>
      <c r="V181" s="1"/>
      <c r="W181" s="1"/>
      <c r="X181" s="1"/>
      <c r="Y181" s="1"/>
      <c r="Z181" s="1"/>
      <c r="AA181" s="2"/>
      <c r="AB181" s="2"/>
      <c r="AC181" s="2"/>
    </row>
    <row r="182" spans="1:29" ht="12.75" customHeight="1">
      <c r="A182" s="1"/>
      <c r="B182" s="5"/>
      <c r="C182" s="22"/>
      <c r="D182" s="24"/>
      <c r="E182" s="26"/>
      <c r="F182" s="28"/>
      <c r="G182" s="29"/>
      <c r="H182" s="28"/>
      <c r="I182" s="29"/>
      <c r="J182" s="28"/>
      <c r="K182" s="28"/>
      <c r="L182" s="28"/>
      <c r="M182" s="5"/>
      <c r="N182" s="1"/>
      <c r="O182" s="4">
        <f t="shared" si="11"/>
        <v>0</v>
      </c>
      <c r="P182" s="4">
        <f t="shared" si="12"/>
        <v>0</v>
      </c>
      <c r="Q182" s="4">
        <f t="shared" si="2"/>
        <v>0</v>
      </c>
      <c r="R182" s="4">
        <f t="shared" si="3"/>
        <v>0</v>
      </c>
      <c r="S182" s="2">
        <f t="shared" si="13"/>
        <v>-1</v>
      </c>
      <c r="T182" s="4">
        <f t="shared" si="14"/>
        <v>0</v>
      </c>
      <c r="U182" s="2" t="str">
        <f t="shared" si="5"/>
        <v xml:space="preserve"> - </v>
      </c>
      <c r="V182" s="1"/>
      <c r="W182" s="1"/>
      <c r="X182" s="1"/>
      <c r="Y182" s="1"/>
      <c r="Z182" s="1"/>
      <c r="AA182" s="2"/>
      <c r="AB182" s="2"/>
      <c r="AC182" s="2"/>
    </row>
    <row r="183" spans="1:29" ht="12.75" customHeight="1">
      <c r="A183" s="1"/>
      <c r="B183" s="5"/>
      <c r="C183" s="22"/>
      <c r="D183" s="24"/>
      <c r="E183" s="26"/>
      <c r="F183" s="28"/>
      <c r="G183" s="29"/>
      <c r="H183" s="28"/>
      <c r="I183" s="29"/>
      <c r="J183" s="28"/>
      <c r="K183" s="28"/>
      <c r="L183" s="28"/>
      <c r="M183" s="5"/>
      <c r="N183" s="1"/>
      <c r="O183" s="4">
        <f t="shared" si="11"/>
        <v>0</v>
      </c>
      <c r="P183" s="4">
        <f t="shared" si="12"/>
        <v>0</v>
      </c>
      <c r="Q183" s="4">
        <f t="shared" si="2"/>
        <v>0</v>
      </c>
      <c r="R183" s="4">
        <f t="shared" si="3"/>
        <v>0</v>
      </c>
      <c r="S183" s="2">
        <f t="shared" si="13"/>
        <v>-1</v>
      </c>
      <c r="T183" s="4">
        <f t="shared" si="14"/>
        <v>0</v>
      </c>
      <c r="U183" s="2" t="str">
        <f t="shared" si="5"/>
        <v xml:space="preserve"> - </v>
      </c>
      <c r="V183" s="1"/>
      <c r="W183" s="1"/>
      <c r="X183" s="1"/>
      <c r="Y183" s="1"/>
      <c r="Z183" s="1"/>
      <c r="AA183" s="2"/>
      <c r="AB183" s="2"/>
      <c r="AC183" s="2"/>
    </row>
    <row r="184" spans="1:29" ht="12.75" customHeight="1">
      <c r="A184" s="1"/>
      <c r="B184" s="5"/>
      <c r="C184" s="22"/>
      <c r="D184" s="24"/>
      <c r="E184" s="26"/>
      <c r="F184" s="28"/>
      <c r="G184" s="29"/>
      <c r="H184" s="28"/>
      <c r="I184" s="29"/>
      <c r="J184" s="28"/>
      <c r="K184" s="28"/>
      <c r="L184" s="28"/>
      <c r="M184" s="5"/>
      <c r="N184" s="1"/>
      <c r="O184" s="4">
        <f t="shared" si="11"/>
        <v>0</v>
      </c>
      <c r="P184" s="4">
        <f t="shared" si="12"/>
        <v>0</v>
      </c>
      <c r="Q184" s="4">
        <f t="shared" si="2"/>
        <v>0</v>
      </c>
      <c r="R184" s="4">
        <f t="shared" si="3"/>
        <v>0</v>
      </c>
      <c r="S184" s="2">
        <f t="shared" si="13"/>
        <v>-1</v>
      </c>
      <c r="T184" s="4">
        <f t="shared" si="14"/>
        <v>0</v>
      </c>
      <c r="U184" s="2" t="str">
        <f t="shared" si="5"/>
        <v xml:space="preserve"> - </v>
      </c>
      <c r="V184" s="1"/>
      <c r="W184" s="1"/>
      <c r="X184" s="1"/>
      <c r="Y184" s="1"/>
      <c r="Z184" s="1"/>
      <c r="AA184" s="2"/>
      <c r="AB184" s="2"/>
      <c r="AC184" s="2"/>
    </row>
    <row r="185" spans="1:29" ht="12.75" customHeight="1">
      <c r="A185" s="1"/>
      <c r="B185" s="5"/>
      <c r="C185" s="22"/>
      <c r="D185" s="24"/>
      <c r="E185" s="26"/>
      <c r="F185" s="28"/>
      <c r="G185" s="29"/>
      <c r="H185" s="28"/>
      <c r="I185" s="29"/>
      <c r="J185" s="28"/>
      <c r="K185" s="28"/>
      <c r="L185" s="28"/>
      <c r="M185" s="5"/>
      <c r="N185" s="1"/>
      <c r="O185" s="4">
        <f t="shared" si="11"/>
        <v>0</v>
      </c>
      <c r="P185" s="4">
        <f t="shared" si="12"/>
        <v>0</v>
      </c>
      <c r="Q185" s="4">
        <f t="shared" si="2"/>
        <v>0</v>
      </c>
      <c r="R185" s="4">
        <f t="shared" si="3"/>
        <v>0</v>
      </c>
      <c r="S185" s="2">
        <f t="shared" si="13"/>
        <v>-1</v>
      </c>
      <c r="T185" s="4">
        <f t="shared" si="14"/>
        <v>0</v>
      </c>
      <c r="U185" s="2" t="str">
        <f t="shared" si="5"/>
        <v xml:space="preserve"> - </v>
      </c>
      <c r="V185" s="1"/>
      <c r="W185" s="1"/>
      <c r="X185" s="1"/>
      <c r="Y185" s="1"/>
      <c r="Z185" s="1"/>
      <c r="AA185" s="2"/>
      <c r="AB185" s="2"/>
      <c r="AC185" s="2"/>
    </row>
    <row r="186" spans="1:29" ht="12.75" customHeight="1">
      <c r="A186" s="1"/>
      <c r="B186" s="5"/>
      <c r="C186" s="22"/>
      <c r="D186" s="24"/>
      <c r="E186" s="26"/>
      <c r="F186" s="28"/>
      <c r="G186" s="29"/>
      <c r="H186" s="28"/>
      <c r="I186" s="29"/>
      <c r="J186" s="28"/>
      <c r="K186" s="28"/>
      <c r="L186" s="28"/>
      <c r="M186" s="5"/>
      <c r="N186" s="1"/>
      <c r="O186" s="4">
        <f t="shared" si="11"/>
        <v>0</v>
      </c>
      <c r="P186" s="4">
        <f t="shared" si="12"/>
        <v>0</v>
      </c>
      <c r="Q186" s="4">
        <f t="shared" si="2"/>
        <v>0</v>
      </c>
      <c r="R186" s="4">
        <f t="shared" si="3"/>
        <v>0</v>
      </c>
      <c r="S186" s="2">
        <f t="shared" si="13"/>
        <v>-1</v>
      </c>
      <c r="T186" s="4">
        <f t="shared" si="14"/>
        <v>0</v>
      </c>
      <c r="U186" s="2" t="str">
        <f t="shared" si="5"/>
        <v xml:space="preserve"> - </v>
      </c>
      <c r="V186" s="1"/>
      <c r="W186" s="1"/>
      <c r="X186" s="1"/>
      <c r="Y186" s="1"/>
      <c r="Z186" s="1"/>
      <c r="AA186" s="2"/>
      <c r="AB186" s="2"/>
      <c r="AC186" s="2"/>
    </row>
    <row r="187" spans="1:29" ht="12.75" customHeight="1">
      <c r="A187" s="1"/>
      <c r="B187" s="5"/>
      <c r="C187" s="22"/>
      <c r="D187" s="24"/>
      <c r="E187" s="26"/>
      <c r="F187" s="28"/>
      <c r="G187" s="29"/>
      <c r="H187" s="28"/>
      <c r="I187" s="29"/>
      <c r="J187" s="28"/>
      <c r="K187" s="28"/>
      <c r="L187" s="28"/>
      <c r="M187" s="5"/>
      <c r="N187" s="1"/>
      <c r="O187" s="4">
        <f t="shared" si="11"/>
        <v>0</v>
      </c>
      <c r="P187" s="4">
        <f t="shared" si="12"/>
        <v>0</v>
      </c>
      <c r="Q187" s="4">
        <f t="shared" si="2"/>
        <v>0</v>
      </c>
      <c r="R187" s="4">
        <f t="shared" si="3"/>
        <v>0</v>
      </c>
      <c r="S187" s="2">
        <f t="shared" si="13"/>
        <v>-1</v>
      </c>
      <c r="T187" s="4">
        <f t="shared" si="14"/>
        <v>0</v>
      </c>
      <c r="U187" s="2" t="str">
        <f t="shared" si="5"/>
        <v xml:space="preserve"> - </v>
      </c>
      <c r="V187" s="1"/>
      <c r="W187" s="1"/>
      <c r="X187" s="1"/>
      <c r="Y187" s="1"/>
      <c r="Z187" s="1"/>
      <c r="AA187" s="2"/>
      <c r="AB187" s="2"/>
      <c r="AC187" s="2"/>
    </row>
    <row r="188" spans="1:29" ht="12.75" customHeight="1">
      <c r="A188" s="1"/>
      <c r="B188" s="5"/>
      <c r="C188" s="22"/>
      <c r="D188" s="24"/>
      <c r="E188" s="26"/>
      <c r="F188" s="28"/>
      <c r="G188" s="29"/>
      <c r="H188" s="28"/>
      <c r="I188" s="29"/>
      <c r="J188" s="28"/>
      <c r="K188" s="28"/>
      <c r="L188" s="28"/>
      <c r="M188" s="5"/>
      <c r="N188" s="1"/>
      <c r="O188" s="4">
        <f t="shared" si="11"/>
        <v>0</v>
      </c>
      <c r="P188" s="4">
        <f t="shared" si="12"/>
        <v>0</v>
      </c>
      <c r="Q188" s="4">
        <f t="shared" si="2"/>
        <v>0</v>
      </c>
      <c r="R188" s="4">
        <f t="shared" si="3"/>
        <v>0</v>
      </c>
      <c r="S188" s="2">
        <f t="shared" si="13"/>
        <v>-1</v>
      </c>
      <c r="T188" s="4">
        <f t="shared" si="14"/>
        <v>0</v>
      </c>
      <c r="U188" s="2" t="str">
        <f t="shared" si="5"/>
        <v xml:space="preserve"> - </v>
      </c>
      <c r="V188" s="1"/>
      <c r="W188" s="1"/>
      <c r="X188" s="1"/>
      <c r="Y188" s="1"/>
      <c r="Z188" s="1"/>
      <c r="AA188" s="2"/>
      <c r="AB188" s="2"/>
      <c r="AC188" s="2"/>
    </row>
    <row r="189" spans="1:29" ht="12.75" customHeight="1">
      <c r="A189" s="1"/>
      <c r="B189" s="5"/>
      <c r="C189" s="22"/>
      <c r="D189" s="24"/>
      <c r="E189" s="26"/>
      <c r="F189" s="28"/>
      <c r="G189" s="29"/>
      <c r="H189" s="28"/>
      <c r="I189" s="29"/>
      <c r="J189" s="28"/>
      <c r="K189" s="28"/>
      <c r="L189" s="28"/>
      <c r="M189" s="5"/>
      <c r="N189" s="1"/>
      <c r="O189" s="4">
        <f t="shared" si="11"/>
        <v>0</v>
      </c>
      <c r="P189" s="4">
        <f t="shared" si="12"/>
        <v>0</v>
      </c>
      <c r="Q189" s="4">
        <f t="shared" si="2"/>
        <v>0</v>
      </c>
      <c r="R189" s="4">
        <f t="shared" si="3"/>
        <v>0</v>
      </c>
      <c r="S189" s="2">
        <f t="shared" si="13"/>
        <v>-1</v>
      </c>
      <c r="T189" s="4">
        <f t="shared" si="14"/>
        <v>0</v>
      </c>
      <c r="U189" s="2" t="str">
        <f t="shared" si="5"/>
        <v xml:space="preserve"> - </v>
      </c>
      <c r="V189" s="1"/>
      <c r="W189" s="1"/>
      <c r="X189" s="1"/>
      <c r="Y189" s="1"/>
      <c r="Z189" s="1"/>
      <c r="AA189" s="2"/>
      <c r="AB189" s="2"/>
      <c r="AC189" s="2"/>
    </row>
    <row r="190" spans="1:29" ht="12.75" customHeight="1">
      <c r="A190" s="1"/>
      <c r="B190" s="5"/>
      <c r="C190" s="22"/>
      <c r="D190" s="24"/>
      <c r="E190" s="26"/>
      <c r="F190" s="28"/>
      <c r="G190" s="29"/>
      <c r="H190" s="28"/>
      <c r="I190" s="29"/>
      <c r="J190" s="28"/>
      <c r="K190" s="28"/>
      <c r="L190" s="28"/>
      <c r="M190" s="5"/>
      <c r="N190" s="1"/>
      <c r="O190" s="4">
        <f t="shared" si="11"/>
        <v>0</v>
      </c>
      <c r="P190" s="4">
        <f t="shared" si="12"/>
        <v>0</v>
      </c>
      <c r="Q190" s="4">
        <f t="shared" si="2"/>
        <v>0</v>
      </c>
      <c r="R190" s="4">
        <f t="shared" si="3"/>
        <v>0</v>
      </c>
      <c r="S190" s="2">
        <f t="shared" si="13"/>
        <v>-1</v>
      </c>
      <c r="T190" s="4">
        <f t="shared" si="14"/>
        <v>0</v>
      </c>
      <c r="U190" s="2" t="str">
        <f t="shared" si="5"/>
        <v xml:space="preserve"> - </v>
      </c>
      <c r="V190" s="1"/>
      <c r="W190" s="1"/>
      <c r="X190" s="1"/>
      <c r="Y190" s="1"/>
      <c r="Z190" s="1"/>
      <c r="AA190" s="2"/>
      <c r="AB190" s="2"/>
      <c r="AC190" s="2"/>
    </row>
    <row r="191" spans="1:29" ht="12.75" customHeight="1">
      <c r="A191" s="1"/>
      <c r="B191" s="5"/>
      <c r="C191" s="22"/>
      <c r="D191" s="24"/>
      <c r="E191" s="26"/>
      <c r="F191" s="28"/>
      <c r="G191" s="29"/>
      <c r="H191" s="28"/>
      <c r="I191" s="29"/>
      <c r="J191" s="28"/>
      <c r="K191" s="28"/>
      <c r="L191" s="28"/>
      <c r="M191" s="5"/>
      <c r="N191" s="1"/>
      <c r="O191" s="4">
        <f t="shared" si="11"/>
        <v>0</v>
      </c>
      <c r="P191" s="4">
        <f t="shared" si="12"/>
        <v>0</v>
      </c>
      <c r="Q191" s="4">
        <f t="shared" si="2"/>
        <v>0</v>
      </c>
      <c r="R191" s="4">
        <f t="shared" si="3"/>
        <v>0</v>
      </c>
      <c r="S191" s="2">
        <f t="shared" si="13"/>
        <v>-1</v>
      </c>
      <c r="T191" s="4">
        <f t="shared" si="14"/>
        <v>0</v>
      </c>
      <c r="U191" s="2" t="str">
        <f t="shared" si="5"/>
        <v xml:space="preserve"> - </v>
      </c>
      <c r="V191" s="1"/>
      <c r="W191" s="1"/>
      <c r="X191" s="1"/>
      <c r="Y191" s="1"/>
      <c r="Z191" s="1"/>
      <c r="AA191" s="2"/>
      <c r="AB191" s="2"/>
      <c r="AC191" s="2"/>
    </row>
    <row r="192" spans="1:29" ht="12.75" customHeight="1">
      <c r="A192" s="1"/>
      <c r="B192" s="5"/>
      <c r="C192" s="22"/>
      <c r="D192" s="24"/>
      <c r="E192" s="26"/>
      <c r="F192" s="28"/>
      <c r="G192" s="29"/>
      <c r="H192" s="28"/>
      <c r="I192" s="29"/>
      <c r="J192" s="28"/>
      <c r="K192" s="28"/>
      <c r="L192" s="28"/>
      <c r="M192" s="5"/>
      <c r="N192" s="1"/>
      <c r="O192" s="4">
        <f t="shared" si="11"/>
        <v>0</v>
      </c>
      <c r="P192" s="4">
        <f t="shared" si="12"/>
        <v>0</v>
      </c>
      <c r="Q192" s="4">
        <f t="shared" si="2"/>
        <v>0</v>
      </c>
      <c r="R192" s="4">
        <f t="shared" si="3"/>
        <v>0</v>
      </c>
      <c r="S192" s="2">
        <f t="shared" si="13"/>
        <v>-1</v>
      </c>
      <c r="T192" s="4">
        <f t="shared" si="14"/>
        <v>0</v>
      </c>
      <c r="U192" s="2" t="str">
        <f t="shared" si="5"/>
        <v xml:space="preserve"> - </v>
      </c>
      <c r="V192" s="1"/>
      <c r="W192" s="1"/>
      <c r="X192" s="1"/>
      <c r="Y192" s="1"/>
      <c r="Z192" s="1"/>
      <c r="AA192" s="2"/>
      <c r="AB192" s="2"/>
      <c r="AC192" s="2"/>
    </row>
    <row r="193" spans="1:29" ht="12.75" customHeight="1">
      <c r="A193" s="1"/>
      <c r="B193" s="5"/>
      <c r="C193" s="22"/>
      <c r="D193" s="24"/>
      <c r="E193" s="26"/>
      <c r="F193" s="28"/>
      <c r="G193" s="29"/>
      <c r="H193" s="28"/>
      <c r="I193" s="29"/>
      <c r="J193" s="28"/>
      <c r="K193" s="28"/>
      <c r="L193" s="28"/>
      <c r="M193" s="5"/>
      <c r="N193" s="1"/>
      <c r="O193" s="4">
        <f t="shared" si="11"/>
        <v>0</v>
      </c>
      <c r="P193" s="4">
        <f t="shared" si="12"/>
        <v>0</v>
      </c>
      <c r="Q193" s="4">
        <f t="shared" si="2"/>
        <v>0</v>
      </c>
      <c r="R193" s="4">
        <f t="shared" si="3"/>
        <v>0</v>
      </c>
      <c r="S193" s="2">
        <f t="shared" si="13"/>
        <v>-1</v>
      </c>
      <c r="T193" s="4">
        <f t="shared" si="14"/>
        <v>0</v>
      </c>
      <c r="U193" s="2" t="str">
        <f t="shared" si="5"/>
        <v xml:space="preserve"> - </v>
      </c>
      <c r="V193" s="1"/>
      <c r="W193" s="1"/>
      <c r="X193" s="1"/>
      <c r="Y193" s="1"/>
      <c r="Z193" s="1"/>
      <c r="AA193" s="2"/>
      <c r="AB193" s="2"/>
      <c r="AC193" s="2"/>
    </row>
    <row r="194" spans="1:29" ht="12.75" customHeight="1">
      <c r="A194" s="1"/>
      <c r="B194" s="5"/>
      <c r="C194" s="22"/>
      <c r="D194" s="24"/>
      <c r="E194" s="26"/>
      <c r="F194" s="28"/>
      <c r="G194" s="29"/>
      <c r="H194" s="28"/>
      <c r="I194" s="29"/>
      <c r="J194" s="28"/>
      <c r="K194" s="28"/>
      <c r="L194" s="28"/>
      <c r="M194" s="5"/>
      <c r="N194" s="1"/>
      <c r="O194" s="4">
        <f t="shared" si="11"/>
        <v>0</v>
      </c>
      <c r="P194" s="4">
        <f t="shared" si="12"/>
        <v>0</v>
      </c>
      <c r="Q194" s="4">
        <f t="shared" si="2"/>
        <v>0</v>
      </c>
      <c r="R194" s="4">
        <f t="shared" si="3"/>
        <v>0</v>
      </c>
      <c r="S194" s="2">
        <f t="shared" si="13"/>
        <v>-1</v>
      </c>
      <c r="T194" s="4">
        <f t="shared" si="14"/>
        <v>0</v>
      </c>
      <c r="U194" s="2" t="str">
        <f t="shared" si="5"/>
        <v xml:space="preserve"> - </v>
      </c>
      <c r="V194" s="1"/>
      <c r="W194" s="1"/>
      <c r="X194" s="1"/>
      <c r="Y194" s="1"/>
      <c r="Z194" s="1"/>
      <c r="AA194" s="2"/>
      <c r="AB194" s="2"/>
      <c r="AC194" s="2"/>
    </row>
    <row r="195" spans="1:29" ht="12.75" customHeight="1">
      <c r="A195" s="1"/>
      <c r="B195" s="5"/>
      <c r="C195" s="22"/>
      <c r="D195" s="24"/>
      <c r="E195" s="26"/>
      <c r="F195" s="28"/>
      <c r="G195" s="29"/>
      <c r="H195" s="28"/>
      <c r="I195" s="29"/>
      <c r="J195" s="28"/>
      <c r="K195" s="28"/>
      <c r="L195" s="28"/>
      <c r="M195" s="5"/>
      <c r="N195" s="1"/>
      <c r="O195" s="4">
        <f t="shared" si="11"/>
        <v>0</v>
      </c>
      <c r="P195" s="4">
        <f t="shared" si="12"/>
        <v>0</v>
      </c>
      <c r="Q195" s="4">
        <f t="shared" si="2"/>
        <v>0</v>
      </c>
      <c r="R195" s="4">
        <f t="shared" si="3"/>
        <v>0</v>
      </c>
      <c r="S195" s="2">
        <f t="shared" si="13"/>
        <v>-1</v>
      </c>
      <c r="T195" s="4">
        <f t="shared" si="14"/>
        <v>0</v>
      </c>
      <c r="U195" s="2" t="str">
        <f t="shared" si="5"/>
        <v xml:space="preserve"> - </v>
      </c>
      <c r="V195" s="1"/>
      <c r="W195" s="1"/>
      <c r="X195" s="1"/>
      <c r="Y195" s="1"/>
      <c r="Z195" s="1"/>
      <c r="AA195" s="2"/>
      <c r="AB195" s="2"/>
      <c r="AC195" s="2"/>
    </row>
    <row r="196" spans="1:29" ht="12.75" customHeight="1">
      <c r="A196" s="1"/>
      <c r="B196" s="5"/>
      <c r="C196" s="22"/>
      <c r="D196" s="24"/>
      <c r="E196" s="26"/>
      <c r="F196" s="28"/>
      <c r="G196" s="29"/>
      <c r="H196" s="28"/>
      <c r="I196" s="29"/>
      <c r="J196" s="28"/>
      <c r="K196" s="28"/>
      <c r="L196" s="28"/>
      <c r="M196" s="5"/>
      <c r="N196" s="1"/>
      <c r="O196" s="4">
        <f t="shared" ref="O196:O259" si="15">IF($L196&lt;&gt;"",$Q196*PTS_WIN+$R196*PTS_LOSS+(1-$Q196-$R196)*PTS_TIE+MAX(MIN(MAX(PTS_TD_MIN,MIN(PTS_TD_MAX,MAX(0,$F196-PTS_TD_THRESHOLD)*PTS_PER_TD_FOR*IF($H196-PTS_CS_THRESHOLD&gt;0,1,1-PTS_TD_CS_COMB_THRES)+MAX(0,$G196-PTS_TD_THRESHOLD)*PTS_PER_TD_AG*IF($I196-PTS_CS_THRESHOLD&gt;0,1,1-PTS_TD_CS_COMB_THRES)))+MAX(PTS_CS_MIN,MIN(PTS_CS_MAX,MAX(0,$H196-PTS_CS_THRESHOLD)*PTS_PER_CS_FOR*IF($F196-PTS_TD_THRESHOLD&gt;0,1,1-PTS_TD_CS_COMB_THRES)+MAX(0,$I196-PTS_CS_THRESHOLD)*PTS_PER_CS_AG*IF($G196-PTS_TD_THRESHOLD&gt;0,1,1-PTS_TD_CS_COMB_THRES))),PTS_TD_CS_MAX),PTS_TD_CS_MIN),0)</f>
        <v>0</v>
      </c>
      <c r="P196" s="4">
        <f t="shared" ref="P196:P259" si="16">IF($L196&lt;&gt;"",$R196*PTS_WIN+$Q196*PTS_LOSS+(1-$Q196-$R196)*PTS_TIE+MAX(MIN(MAX(PTS_TD_MIN,MIN(PTS_TD_MAX,MAX(0,$G196-PTS_TD_THRESHOLD)*PTS_PER_TD_FOR*IF($I196-PTS_CS_THRESHOLD&gt;0,1,1-PTS_TD_CS_COMB_THRES)+MAX(0,$F196-PTS_TD_THRESHOLD)*PTS_PER_TD_AG*IF($H196-PTS_CS_THRESHOLD&gt;0,1,1-PTS_TD_CS_COMB_THRES)))+MAX(PTS_CS_MIN,MIN(PTS_CS_MAX,MAX(0,$I196-PTS_CS_THRESHOLD)*PTS_PER_CS_FOR*IF($G196-PTS_TD_THRESHOLD&gt;0,1,1-PTS_TD_CS_COMB_THRES)+MAX(0,$H196-PTS_CS_THRESHOLD)*PTS_PER_CS_AG*IF($F196-PTS_TD_THRESHOLD&gt;0,1,1-PTS_TD_CS_COMB_THRES))),PTS_TD_CS_MAX),PTS_TD_CS_MIN),0)</f>
        <v>0</v>
      </c>
      <c r="Q196" s="4">
        <f t="shared" si="2"/>
        <v>0</v>
      </c>
      <c r="R196" s="4">
        <f t="shared" si="3"/>
        <v>0</v>
      </c>
      <c r="S196" s="2">
        <f t="shared" ref="S196:S259" si="17">IF(T196&gt;0,RANK(T196,RES_GATE),-1)</f>
        <v>-1</v>
      </c>
      <c r="T196" s="4">
        <f t="shared" si="14"/>
        <v>0</v>
      </c>
      <c r="U196" s="2" t="str">
        <f t="shared" si="5"/>
        <v xml:space="preserve"> - </v>
      </c>
      <c r="V196" s="1"/>
      <c r="W196" s="1"/>
      <c r="X196" s="1"/>
      <c r="Y196" s="1"/>
      <c r="Z196" s="1"/>
      <c r="AA196" s="2"/>
      <c r="AB196" s="2"/>
      <c r="AC196" s="2"/>
    </row>
    <row r="197" spans="1:29" ht="12.75" customHeight="1">
      <c r="A197" s="1"/>
      <c r="B197" s="5"/>
      <c r="C197" s="22"/>
      <c r="D197" s="24"/>
      <c r="E197" s="26"/>
      <c r="F197" s="28"/>
      <c r="G197" s="29"/>
      <c r="H197" s="28"/>
      <c r="I197" s="29"/>
      <c r="J197" s="28"/>
      <c r="K197" s="28"/>
      <c r="L197" s="28"/>
      <c r="M197" s="5"/>
      <c r="N197" s="1"/>
      <c r="O197" s="4">
        <f t="shared" si="15"/>
        <v>0</v>
      </c>
      <c r="P197" s="4">
        <f t="shared" si="16"/>
        <v>0</v>
      </c>
      <c r="Q197" s="4">
        <f t="shared" si="2"/>
        <v>0</v>
      </c>
      <c r="R197" s="4">
        <f t="shared" si="3"/>
        <v>0</v>
      </c>
      <c r="S197" s="2">
        <f t="shared" si="17"/>
        <v>-1</v>
      </c>
      <c r="T197" s="4">
        <f t="shared" ref="T197:T260" si="18">IF(NOT(ISERROR(MATCH(L197,Team_Stat_Sel,0))),J197+K197+1/(ROW()+777777777),0)</f>
        <v>0</v>
      </c>
      <c r="U197" s="2" t="str">
        <f t="shared" si="5"/>
        <v xml:space="preserve"> - </v>
      </c>
      <c r="V197" s="1"/>
      <c r="W197" s="1"/>
      <c r="X197" s="1"/>
      <c r="Y197" s="1"/>
      <c r="Z197" s="1"/>
      <c r="AA197" s="2"/>
      <c r="AB197" s="2"/>
      <c r="AC197" s="2"/>
    </row>
    <row r="198" spans="1:29" ht="12.75" customHeight="1">
      <c r="A198" s="1"/>
      <c r="B198" s="5"/>
      <c r="C198" s="22"/>
      <c r="D198" s="24"/>
      <c r="E198" s="26"/>
      <c r="F198" s="28"/>
      <c r="G198" s="29"/>
      <c r="H198" s="28"/>
      <c r="I198" s="29"/>
      <c r="J198" s="28"/>
      <c r="K198" s="28"/>
      <c r="L198" s="28"/>
      <c r="M198" s="5"/>
      <c r="N198" s="1"/>
      <c r="O198" s="4">
        <f t="shared" si="15"/>
        <v>0</v>
      </c>
      <c r="P198" s="4">
        <f t="shared" si="16"/>
        <v>0</v>
      </c>
      <c r="Q198" s="4">
        <f t="shared" si="2"/>
        <v>0</v>
      </c>
      <c r="R198" s="4">
        <f t="shared" si="3"/>
        <v>0</v>
      </c>
      <c r="S198" s="2">
        <f t="shared" si="17"/>
        <v>-1</v>
      </c>
      <c r="T198" s="4">
        <f t="shared" si="18"/>
        <v>0</v>
      </c>
      <c r="U198" s="2" t="str">
        <f t="shared" si="5"/>
        <v xml:space="preserve"> - </v>
      </c>
      <c r="V198" s="1"/>
      <c r="W198" s="1"/>
      <c r="X198" s="1"/>
      <c r="Y198" s="1"/>
      <c r="Z198" s="1"/>
      <c r="AA198" s="2"/>
      <c r="AB198" s="2"/>
      <c r="AC198" s="2"/>
    </row>
    <row r="199" spans="1:29" ht="12.75" customHeight="1">
      <c r="A199" s="1"/>
      <c r="B199" s="5"/>
      <c r="C199" s="22"/>
      <c r="D199" s="24"/>
      <c r="E199" s="26"/>
      <c r="F199" s="28"/>
      <c r="G199" s="29"/>
      <c r="H199" s="28"/>
      <c r="I199" s="29"/>
      <c r="J199" s="28"/>
      <c r="K199" s="28"/>
      <c r="L199" s="28"/>
      <c r="M199" s="5"/>
      <c r="N199" s="1"/>
      <c r="O199" s="4">
        <f t="shared" si="15"/>
        <v>0</v>
      </c>
      <c r="P199" s="4">
        <f t="shared" si="16"/>
        <v>0</v>
      </c>
      <c r="Q199" s="4">
        <f t="shared" si="2"/>
        <v>0</v>
      </c>
      <c r="R199" s="4">
        <f t="shared" si="3"/>
        <v>0</v>
      </c>
      <c r="S199" s="2">
        <f t="shared" si="17"/>
        <v>-1</v>
      </c>
      <c r="T199" s="4">
        <f t="shared" si="18"/>
        <v>0</v>
      </c>
      <c r="U199" s="2" t="str">
        <f t="shared" si="5"/>
        <v xml:space="preserve"> - </v>
      </c>
      <c r="V199" s="1"/>
      <c r="W199" s="1"/>
      <c r="X199" s="1"/>
      <c r="Y199" s="1"/>
      <c r="Z199" s="1"/>
      <c r="AA199" s="2"/>
      <c r="AB199" s="2"/>
      <c r="AC199" s="2"/>
    </row>
    <row r="200" spans="1:29" ht="12.75" customHeight="1">
      <c r="A200" s="1"/>
      <c r="B200" s="5"/>
      <c r="C200" s="22"/>
      <c r="D200" s="24"/>
      <c r="E200" s="26"/>
      <c r="F200" s="28"/>
      <c r="G200" s="29"/>
      <c r="H200" s="28"/>
      <c r="I200" s="29"/>
      <c r="J200" s="28"/>
      <c r="K200" s="28"/>
      <c r="L200" s="28"/>
      <c r="M200" s="5"/>
      <c r="N200" s="1"/>
      <c r="O200" s="4">
        <f t="shared" si="15"/>
        <v>0</v>
      </c>
      <c r="P200" s="4">
        <f t="shared" si="16"/>
        <v>0</v>
      </c>
      <c r="Q200" s="4">
        <f t="shared" si="2"/>
        <v>0</v>
      </c>
      <c r="R200" s="4">
        <f t="shared" si="3"/>
        <v>0</v>
      </c>
      <c r="S200" s="2">
        <f t="shared" si="17"/>
        <v>-1</v>
      </c>
      <c r="T200" s="4">
        <f t="shared" si="18"/>
        <v>0</v>
      </c>
      <c r="U200" s="2" t="str">
        <f t="shared" si="5"/>
        <v xml:space="preserve"> - </v>
      </c>
      <c r="V200" s="1"/>
      <c r="W200" s="1"/>
      <c r="X200" s="1"/>
      <c r="Y200" s="1"/>
      <c r="Z200" s="1"/>
      <c r="AA200" s="2"/>
      <c r="AB200" s="2"/>
      <c r="AC200" s="2"/>
    </row>
    <row r="201" spans="1:29" ht="12.75" customHeight="1">
      <c r="A201" s="1"/>
      <c r="B201" s="5"/>
      <c r="C201" s="22"/>
      <c r="D201" s="24"/>
      <c r="E201" s="26"/>
      <c r="F201" s="28"/>
      <c r="G201" s="29"/>
      <c r="H201" s="28"/>
      <c r="I201" s="29"/>
      <c r="J201" s="28"/>
      <c r="K201" s="28"/>
      <c r="L201" s="28"/>
      <c r="M201" s="5"/>
      <c r="N201" s="1"/>
      <c r="O201" s="4">
        <f t="shared" si="15"/>
        <v>0</v>
      </c>
      <c r="P201" s="4">
        <f t="shared" si="16"/>
        <v>0</v>
      </c>
      <c r="Q201" s="4">
        <f t="shared" si="2"/>
        <v>0</v>
      </c>
      <c r="R201" s="4">
        <f t="shared" si="3"/>
        <v>0</v>
      </c>
      <c r="S201" s="2">
        <f t="shared" si="17"/>
        <v>-1</v>
      </c>
      <c r="T201" s="4">
        <f t="shared" si="18"/>
        <v>0</v>
      </c>
      <c r="U201" s="2" t="str">
        <f t="shared" si="5"/>
        <v xml:space="preserve"> - </v>
      </c>
      <c r="V201" s="1"/>
      <c r="W201" s="1"/>
      <c r="X201" s="1"/>
      <c r="Y201" s="1"/>
      <c r="Z201" s="1"/>
      <c r="AA201" s="2"/>
      <c r="AB201" s="2"/>
      <c r="AC201" s="2"/>
    </row>
    <row r="202" spans="1:29" ht="12.75" customHeight="1">
      <c r="A202" s="1"/>
      <c r="B202" s="5"/>
      <c r="C202" s="22"/>
      <c r="D202" s="24"/>
      <c r="E202" s="26"/>
      <c r="F202" s="28"/>
      <c r="G202" s="29"/>
      <c r="H202" s="28"/>
      <c r="I202" s="29"/>
      <c r="J202" s="28"/>
      <c r="K202" s="28"/>
      <c r="L202" s="28"/>
      <c r="M202" s="5"/>
      <c r="N202" s="1"/>
      <c r="O202" s="4">
        <f t="shared" si="15"/>
        <v>0</v>
      </c>
      <c r="P202" s="4">
        <f t="shared" si="16"/>
        <v>0</v>
      </c>
      <c r="Q202" s="4">
        <f t="shared" si="2"/>
        <v>0</v>
      </c>
      <c r="R202" s="4">
        <f t="shared" si="3"/>
        <v>0</v>
      </c>
      <c r="S202" s="2">
        <f t="shared" si="17"/>
        <v>-1</v>
      </c>
      <c r="T202" s="4">
        <f t="shared" si="18"/>
        <v>0</v>
      </c>
      <c r="U202" s="2" t="str">
        <f t="shared" si="5"/>
        <v xml:space="preserve"> - </v>
      </c>
      <c r="V202" s="1"/>
      <c r="W202" s="1"/>
      <c r="X202" s="1"/>
      <c r="Y202" s="1"/>
      <c r="Z202" s="1"/>
      <c r="AA202" s="2"/>
      <c r="AB202" s="2"/>
      <c r="AC202" s="2"/>
    </row>
    <row r="203" spans="1:29" ht="12.75" customHeight="1">
      <c r="A203" s="1"/>
      <c r="B203" s="5"/>
      <c r="C203" s="22"/>
      <c r="D203" s="24"/>
      <c r="E203" s="26"/>
      <c r="F203" s="28"/>
      <c r="G203" s="29"/>
      <c r="H203" s="28"/>
      <c r="I203" s="29"/>
      <c r="J203" s="28"/>
      <c r="K203" s="28"/>
      <c r="L203" s="28"/>
      <c r="M203" s="5"/>
      <c r="N203" s="1"/>
      <c r="O203" s="4">
        <f t="shared" si="15"/>
        <v>0</v>
      </c>
      <c r="P203" s="4">
        <f t="shared" si="16"/>
        <v>0</v>
      </c>
      <c r="Q203" s="4">
        <f t="shared" si="2"/>
        <v>0</v>
      </c>
      <c r="R203" s="4">
        <f t="shared" si="3"/>
        <v>0</v>
      </c>
      <c r="S203" s="2">
        <f t="shared" si="17"/>
        <v>-1</v>
      </c>
      <c r="T203" s="4">
        <f t="shared" si="18"/>
        <v>0</v>
      </c>
      <c r="U203" s="2" t="str">
        <f t="shared" si="5"/>
        <v xml:space="preserve"> - </v>
      </c>
      <c r="V203" s="1"/>
      <c r="W203" s="1"/>
      <c r="X203" s="1"/>
      <c r="Y203" s="1"/>
      <c r="Z203" s="1"/>
      <c r="AA203" s="2"/>
      <c r="AB203" s="2"/>
      <c r="AC203" s="2"/>
    </row>
    <row r="204" spans="1:29" ht="12.75" customHeight="1">
      <c r="A204" s="1"/>
      <c r="B204" s="5"/>
      <c r="C204" s="22"/>
      <c r="D204" s="24"/>
      <c r="E204" s="26"/>
      <c r="F204" s="28"/>
      <c r="G204" s="29"/>
      <c r="H204" s="28"/>
      <c r="I204" s="29"/>
      <c r="J204" s="28"/>
      <c r="K204" s="28"/>
      <c r="L204" s="28"/>
      <c r="M204" s="5"/>
      <c r="N204" s="1"/>
      <c r="O204" s="4">
        <f t="shared" si="15"/>
        <v>0</v>
      </c>
      <c r="P204" s="4">
        <f t="shared" si="16"/>
        <v>0</v>
      </c>
      <c r="Q204" s="4">
        <f t="shared" si="2"/>
        <v>0</v>
      </c>
      <c r="R204" s="4">
        <f t="shared" si="3"/>
        <v>0</v>
      </c>
      <c r="S204" s="2">
        <f t="shared" si="17"/>
        <v>-1</v>
      </c>
      <c r="T204" s="4">
        <f t="shared" si="18"/>
        <v>0</v>
      </c>
      <c r="U204" s="2" t="str">
        <f t="shared" si="5"/>
        <v xml:space="preserve"> - </v>
      </c>
      <c r="V204" s="1"/>
      <c r="W204" s="1"/>
      <c r="X204" s="1"/>
      <c r="Y204" s="1"/>
      <c r="Z204" s="1"/>
      <c r="AA204" s="2"/>
      <c r="AB204" s="2"/>
      <c r="AC204" s="2"/>
    </row>
    <row r="205" spans="1:29" ht="12.75" customHeight="1">
      <c r="A205" s="1"/>
      <c r="B205" s="5"/>
      <c r="C205" s="22"/>
      <c r="D205" s="24"/>
      <c r="E205" s="26"/>
      <c r="F205" s="28"/>
      <c r="G205" s="29"/>
      <c r="H205" s="28"/>
      <c r="I205" s="29"/>
      <c r="J205" s="28"/>
      <c r="K205" s="28"/>
      <c r="L205" s="28"/>
      <c r="M205" s="5"/>
      <c r="N205" s="1"/>
      <c r="O205" s="4">
        <f t="shared" si="15"/>
        <v>0</v>
      </c>
      <c r="P205" s="4">
        <f t="shared" si="16"/>
        <v>0</v>
      </c>
      <c r="Q205" s="4">
        <f t="shared" si="2"/>
        <v>0</v>
      </c>
      <c r="R205" s="4">
        <f t="shared" si="3"/>
        <v>0</v>
      </c>
      <c r="S205" s="2">
        <f t="shared" si="17"/>
        <v>-1</v>
      </c>
      <c r="T205" s="4">
        <f t="shared" si="18"/>
        <v>0</v>
      </c>
      <c r="U205" s="2" t="str">
        <f t="shared" si="5"/>
        <v xml:space="preserve"> - </v>
      </c>
      <c r="V205" s="1"/>
      <c r="W205" s="1"/>
      <c r="X205" s="1"/>
      <c r="Y205" s="1"/>
      <c r="Z205" s="1"/>
      <c r="AA205" s="2"/>
      <c r="AB205" s="2"/>
      <c r="AC205" s="2"/>
    </row>
    <row r="206" spans="1:29" ht="12.75" customHeight="1">
      <c r="A206" s="1"/>
      <c r="B206" s="5"/>
      <c r="C206" s="22"/>
      <c r="D206" s="24"/>
      <c r="E206" s="26"/>
      <c r="F206" s="28"/>
      <c r="G206" s="29"/>
      <c r="H206" s="28"/>
      <c r="I206" s="29"/>
      <c r="J206" s="28"/>
      <c r="K206" s="28"/>
      <c r="L206" s="28"/>
      <c r="M206" s="5"/>
      <c r="N206" s="1"/>
      <c r="O206" s="4">
        <f t="shared" si="15"/>
        <v>0</v>
      </c>
      <c r="P206" s="4">
        <f t="shared" si="16"/>
        <v>0</v>
      </c>
      <c r="Q206" s="4">
        <f t="shared" si="2"/>
        <v>0</v>
      </c>
      <c r="R206" s="4">
        <f t="shared" si="3"/>
        <v>0</v>
      </c>
      <c r="S206" s="2">
        <f t="shared" si="17"/>
        <v>-1</v>
      </c>
      <c r="T206" s="4">
        <f t="shared" si="18"/>
        <v>0</v>
      </c>
      <c r="U206" s="2" t="str">
        <f t="shared" si="5"/>
        <v xml:space="preserve"> - </v>
      </c>
      <c r="V206" s="1"/>
      <c r="W206" s="1"/>
      <c r="X206" s="1"/>
      <c r="Y206" s="1"/>
      <c r="Z206" s="1"/>
      <c r="AA206" s="2"/>
      <c r="AB206" s="2"/>
      <c r="AC206" s="2"/>
    </row>
    <row r="207" spans="1:29" ht="12.75" customHeight="1">
      <c r="A207" s="1"/>
      <c r="B207" s="5"/>
      <c r="C207" s="22"/>
      <c r="D207" s="24"/>
      <c r="E207" s="26"/>
      <c r="F207" s="28"/>
      <c r="G207" s="29"/>
      <c r="H207" s="28"/>
      <c r="I207" s="29"/>
      <c r="J207" s="28"/>
      <c r="K207" s="28"/>
      <c r="L207" s="28"/>
      <c r="M207" s="5"/>
      <c r="N207" s="1"/>
      <c r="O207" s="4">
        <f t="shared" si="15"/>
        <v>0</v>
      </c>
      <c r="P207" s="4">
        <f t="shared" si="16"/>
        <v>0</v>
      </c>
      <c r="Q207" s="4">
        <f t="shared" si="2"/>
        <v>0</v>
      </c>
      <c r="R207" s="4">
        <f t="shared" si="3"/>
        <v>0</v>
      </c>
      <c r="S207" s="2">
        <f t="shared" si="17"/>
        <v>-1</v>
      </c>
      <c r="T207" s="4">
        <f t="shared" si="18"/>
        <v>0</v>
      </c>
      <c r="U207" s="2" t="str">
        <f t="shared" si="5"/>
        <v xml:space="preserve"> - </v>
      </c>
      <c r="V207" s="1"/>
      <c r="W207" s="1"/>
      <c r="X207" s="1"/>
      <c r="Y207" s="1"/>
      <c r="Z207" s="1"/>
      <c r="AA207" s="2"/>
      <c r="AB207" s="2"/>
      <c r="AC207" s="2"/>
    </row>
    <row r="208" spans="1:29" ht="12.75" customHeight="1">
      <c r="A208" s="1"/>
      <c r="B208" s="5"/>
      <c r="C208" s="22"/>
      <c r="D208" s="24"/>
      <c r="E208" s="26"/>
      <c r="F208" s="28"/>
      <c r="G208" s="29"/>
      <c r="H208" s="28"/>
      <c r="I208" s="29"/>
      <c r="J208" s="28"/>
      <c r="K208" s="28"/>
      <c r="L208" s="28"/>
      <c r="M208" s="5"/>
      <c r="N208" s="1"/>
      <c r="O208" s="4">
        <f t="shared" si="15"/>
        <v>0</v>
      </c>
      <c r="P208" s="4">
        <f t="shared" si="16"/>
        <v>0</v>
      </c>
      <c r="Q208" s="4">
        <f t="shared" si="2"/>
        <v>0</v>
      </c>
      <c r="R208" s="4">
        <f t="shared" si="3"/>
        <v>0</v>
      </c>
      <c r="S208" s="2">
        <f t="shared" si="17"/>
        <v>-1</v>
      </c>
      <c r="T208" s="4">
        <f t="shared" si="18"/>
        <v>0</v>
      </c>
      <c r="U208" s="2" t="str">
        <f t="shared" si="5"/>
        <v xml:space="preserve"> - </v>
      </c>
      <c r="V208" s="1"/>
      <c r="W208" s="1"/>
      <c r="X208" s="1"/>
      <c r="Y208" s="1"/>
      <c r="Z208" s="1"/>
      <c r="AA208" s="2"/>
      <c r="AB208" s="2"/>
      <c r="AC208" s="2"/>
    </row>
    <row r="209" spans="1:29" ht="12.75" customHeight="1">
      <c r="A209" s="1"/>
      <c r="B209" s="5"/>
      <c r="C209" s="22"/>
      <c r="D209" s="24"/>
      <c r="E209" s="26"/>
      <c r="F209" s="28"/>
      <c r="G209" s="29"/>
      <c r="H209" s="28"/>
      <c r="I209" s="29"/>
      <c r="J209" s="28"/>
      <c r="K209" s="28"/>
      <c r="L209" s="28"/>
      <c r="M209" s="5"/>
      <c r="N209" s="1"/>
      <c r="O209" s="4">
        <f t="shared" si="15"/>
        <v>0</v>
      </c>
      <c r="P209" s="4">
        <f t="shared" si="16"/>
        <v>0</v>
      </c>
      <c r="Q209" s="4">
        <f t="shared" si="2"/>
        <v>0</v>
      </c>
      <c r="R209" s="4">
        <f t="shared" si="3"/>
        <v>0</v>
      </c>
      <c r="S209" s="2">
        <f t="shared" si="17"/>
        <v>-1</v>
      </c>
      <c r="T209" s="4">
        <f t="shared" si="18"/>
        <v>0</v>
      </c>
      <c r="U209" s="2" t="str">
        <f t="shared" si="5"/>
        <v xml:space="preserve"> - </v>
      </c>
      <c r="V209" s="1"/>
      <c r="W209" s="1"/>
      <c r="X209" s="1"/>
      <c r="Y209" s="1"/>
      <c r="Z209" s="1"/>
      <c r="AA209" s="2"/>
      <c r="AB209" s="2"/>
      <c r="AC209" s="2"/>
    </row>
    <row r="210" spans="1:29" ht="12.75" customHeight="1">
      <c r="A210" s="1"/>
      <c r="B210" s="5"/>
      <c r="C210" s="22"/>
      <c r="D210" s="24"/>
      <c r="E210" s="26"/>
      <c r="F210" s="28"/>
      <c r="G210" s="29"/>
      <c r="H210" s="28"/>
      <c r="I210" s="29"/>
      <c r="J210" s="28"/>
      <c r="K210" s="28"/>
      <c r="L210" s="28"/>
      <c r="M210" s="5"/>
      <c r="N210" s="1"/>
      <c r="O210" s="4">
        <f t="shared" si="15"/>
        <v>0</v>
      </c>
      <c r="P210" s="4">
        <f t="shared" si="16"/>
        <v>0</v>
      </c>
      <c r="Q210" s="4">
        <f t="shared" si="2"/>
        <v>0</v>
      </c>
      <c r="R210" s="4">
        <f t="shared" si="3"/>
        <v>0</v>
      </c>
      <c r="S210" s="2">
        <f t="shared" si="17"/>
        <v>-1</v>
      </c>
      <c r="T210" s="4">
        <f t="shared" si="18"/>
        <v>0</v>
      </c>
      <c r="U210" s="2" t="str">
        <f t="shared" si="5"/>
        <v xml:space="preserve"> - </v>
      </c>
      <c r="V210" s="1"/>
      <c r="W210" s="1"/>
      <c r="X210" s="1"/>
      <c r="Y210" s="1"/>
      <c r="Z210" s="1"/>
      <c r="AA210" s="2"/>
      <c r="AB210" s="2"/>
      <c r="AC210" s="2"/>
    </row>
    <row r="211" spans="1:29" ht="12.75" customHeight="1">
      <c r="A211" s="1"/>
      <c r="B211" s="5"/>
      <c r="C211" s="22"/>
      <c r="D211" s="24"/>
      <c r="E211" s="26"/>
      <c r="F211" s="28"/>
      <c r="G211" s="29"/>
      <c r="H211" s="28"/>
      <c r="I211" s="29"/>
      <c r="J211" s="28"/>
      <c r="K211" s="28"/>
      <c r="L211" s="28"/>
      <c r="M211" s="5"/>
      <c r="N211" s="1"/>
      <c r="O211" s="4">
        <f t="shared" si="15"/>
        <v>0</v>
      </c>
      <c r="P211" s="4">
        <f t="shared" si="16"/>
        <v>0</v>
      </c>
      <c r="Q211" s="4">
        <f t="shared" si="2"/>
        <v>0</v>
      </c>
      <c r="R211" s="4">
        <f t="shared" si="3"/>
        <v>0</v>
      </c>
      <c r="S211" s="2">
        <f t="shared" si="17"/>
        <v>-1</v>
      </c>
      <c r="T211" s="4">
        <f t="shared" si="18"/>
        <v>0</v>
      </c>
      <c r="U211" s="2" t="str">
        <f t="shared" si="5"/>
        <v xml:space="preserve"> - </v>
      </c>
      <c r="V211" s="1"/>
      <c r="W211" s="1"/>
      <c r="X211" s="1"/>
      <c r="Y211" s="1"/>
      <c r="Z211" s="1"/>
      <c r="AA211" s="2"/>
      <c r="AB211" s="2"/>
      <c r="AC211" s="2"/>
    </row>
    <row r="212" spans="1:29" ht="12.75" customHeight="1">
      <c r="A212" s="1"/>
      <c r="B212" s="5"/>
      <c r="C212" s="22"/>
      <c r="D212" s="24"/>
      <c r="E212" s="26"/>
      <c r="F212" s="28"/>
      <c r="G212" s="29"/>
      <c r="H212" s="28"/>
      <c r="I212" s="29"/>
      <c r="J212" s="28"/>
      <c r="K212" s="28"/>
      <c r="L212" s="28"/>
      <c r="M212" s="5"/>
      <c r="N212" s="1"/>
      <c r="O212" s="4">
        <f t="shared" si="15"/>
        <v>0</v>
      </c>
      <c r="P212" s="4">
        <f t="shared" si="16"/>
        <v>0</v>
      </c>
      <c r="Q212" s="4">
        <f t="shared" si="2"/>
        <v>0</v>
      </c>
      <c r="R212" s="4">
        <f t="shared" si="3"/>
        <v>0</v>
      </c>
      <c r="S212" s="2">
        <f t="shared" si="17"/>
        <v>-1</v>
      </c>
      <c r="T212" s="4">
        <f t="shared" si="18"/>
        <v>0</v>
      </c>
      <c r="U212" s="2" t="str">
        <f t="shared" si="5"/>
        <v xml:space="preserve"> - </v>
      </c>
      <c r="V212" s="1"/>
      <c r="W212" s="1"/>
      <c r="X212" s="1"/>
      <c r="Y212" s="1"/>
      <c r="Z212" s="1"/>
      <c r="AA212" s="2"/>
      <c r="AB212" s="2"/>
      <c r="AC212" s="2"/>
    </row>
    <row r="213" spans="1:29" ht="12.75" customHeight="1">
      <c r="A213" s="1"/>
      <c r="B213" s="5"/>
      <c r="C213" s="22"/>
      <c r="D213" s="24"/>
      <c r="E213" s="26"/>
      <c r="F213" s="28"/>
      <c r="G213" s="29"/>
      <c r="H213" s="28"/>
      <c r="I213" s="29"/>
      <c r="J213" s="28"/>
      <c r="K213" s="28"/>
      <c r="L213" s="28"/>
      <c r="M213" s="5"/>
      <c r="N213" s="1"/>
      <c r="O213" s="4">
        <f t="shared" si="15"/>
        <v>0</v>
      </c>
      <c r="P213" s="4">
        <f t="shared" si="16"/>
        <v>0</v>
      </c>
      <c r="Q213" s="4">
        <f t="shared" si="2"/>
        <v>0</v>
      </c>
      <c r="R213" s="4">
        <f t="shared" si="3"/>
        <v>0</v>
      </c>
      <c r="S213" s="2">
        <f t="shared" si="17"/>
        <v>-1</v>
      </c>
      <c r="T213" s="4">
        <f t="shared" si="18"/>
        <v>0</v>
      </c>
      <c r="U213" s="2" t="str">
        <f t="shared" si="5"/>
        <v xml:space="preserve"> - </v>
      </c>
      <c r="V213" s="1"/>
      <c r="W213" s="1"/>
      <c r="X213" s="1"/>
      <c r="Y213" s="1"/>
      <c r="Z213" s="1"/>
      <c r="AA213" s="2"/>
      <c r="AB213" s="2"/>
      <c r="AC213" s="2"/>
    </row>
    <row r="214" spans="1:29" ht="12.75" customHeight="1">
      <c r="A214" s="1"/>
      <c r="B214" s="5"/>
      <c r="C214" s="22"/>
      <c r="D214" s="24"/>
      <c r="E214" s="26"/>
      <c r="F214" s="28"/>
      <c r="G214" s="29"/>
      <c r="H214" s="28"/>
      <c r="I214" s="29"/>
      <c r="J214" s="28"/>
      <c r="K214" s="28"/>
      <c r="L214" s="28"/>
      <c r="M214" s="5"/>
      <c r="N214" s="1"/>
      <c r="O214" s="4">
        <f t="shared" si="15"/>
        <v>0</v>
      </c>
      <c r="P214" s="4">
        <f t="shared" si="16"/>
        <v>0</v>
      </c>
      <c r="Q214" s="4">
        <f t="shared" si="2"/>
        <v>0</v>
      </c>
      <c r="R214" s="4">
        <f t="shared" si="3"/>
        <v>0</v>
      </c>
      <c r="S214" s="2">
        <f t="shared" si="17"/>
        <v>-1</v>
      </c>
      <c r="T214" s="4">
        <f t="shared" si="18"/>
        <v>0</v>
      </c>
      <c r="U214" s="2" t="str">
        <f t="shared" si="5"/>
        <v xml:space="preserve"> - </v>
      </c>
      <c r="V214" s="1"/>
      <c r="W214" s="1"/>
      <c r="X214" s="1"/>
      <c r="Y214" s="1"/>
      <c r="Z214" s="1"/>
      <c r="AA214" s="2"/>
      <c r="AB214" s="2"/>
      <c r="AC214" s="2"/>
    </row>
    <row r="215" spans="1:29" ht="12.75" customHeight="1">
      <c r="A215" s="1"/>
      <c r="B215" s="5"/>
      <c r="C215" s="22"/>
      <c r="D215" s="24"/>
      <c r="E215" s="26"/>
      <c r="F215" s="28"/>
      <c r="G215" s="29"/>
      <c r="H215" s="28"/>
      <c r="I215" s="29"/>
      <c r="J215" s="28"/>
      <c r="K215" s="28"/>
      <c r="L215" s="28"/>
      <c r="M215" s="5"/>
      <c r="N215" s="1"/>
      <c r="O215" s="4">
        <f t="shared" si="15"/>
        <v>0</v>
      </c>
      <c r="P215" s="4">
        <f t="shared" si="16"/>
        <v>0</v>
      </c>
      <c r="Q215" s="4">
        <f t="shared" si="2"/>
        <v>0</v>
      </c>
      <c r="R215" s="4">
        <f t="shared" si="3"/>
        <v>0</v>
      </c>
      <c r="S215" s="2">
        <f t="shared" si="17"/>
        <v>-1</v>
      </c>
      <c r="T215" s="4">
        <f t="shared" si="18"/>
        <v>0</v>
      </c>
      <c r="U215" s="2" t="str">
        <f t="shared" si="5"/>
        <v xml:space="preserve"> - </v>
      </c>
      <c r="V215" s="1"/>
      <c r="W215" s="1"/>
      <c r="X215" s="1"/>
      <c r="Y215" s="1"/>
      <c r="Z215" s="1"/>
      <c r="AA215" s="2"/>
      <c r="AB215" s="2"/>
      <c r="AC215" s="2"/>
    </row>
    <row r="216" spans="1:29" ht="12.75" customHeight="1">
      <c r="A216" s="1"/>
      <c r="B216" s="5"/>
      <c r="C216" s="22"/>
      <c r="D216" s="24"/>
      <c r="E216" s="26"/>
      <c r="F216" s="28"/>
      <c r="G216" s="29"/>
      <c r="H216" s="28"/>
      <c r="I216" s="29"/>
      <c r="J216" s="28"/>
      <c r="K216" s="28"/>
      <c r="L216" s="28"/>
      <c r="M216" s="5"/>
      <c r="N216" s="1"/>
      <c r="O216" s="4">
        <f t="shared" si="15"/>
        <v>0</v>
      </c>
      <c r="P216" s="4">
        <f t="shared" si="16"/>
        <v>0</v>
      </c>
      <c r="Q216" s="4">
        <f t="shared" si="2"/>
        <v>0</v>
      </c>
      <c r="R216" s="4">
        <f t="shared" si="3"/>
        <v>0</v>
      </c>
      <c r="S216" s="2">
        <f t="shared" si="17"/>
        <v>-1</v>
      </c>
      <c r="T216" s="4">
        <f t="shared" si="18"/>
        <v>0</v>
      </c>
      <c r="U216" s="2" t="str">
        <f t="shared" si="5"/>
        <v xml:space="preserve"> - </v>
      </c>
      <c r="V216" s="1"/>
      <c r="W216" s="1"/>
      <c r="X216" s="1"/>
      <c r="Y216" s="1"/>
      <c r="Z216" s="1"/>
      <c r="AA216" s="2"/>
      <c r="AB216" s="2"/>
      <c r="AC216" s="2"/>
    </row>
    <row r="217" spans="1:29" ht="12.75" customHeight="1">
      <c r="A217" s="1"/>
      <c r="B217" s="5"/>
      <c r="C217" s="22"/>
      <c r="D217" s="24"/>
      <c r="E217" s="26"/>
      <c r="F217" s="28"/>
      <c r="G217" s="29"/>
      <c r="H217" s="28"/>
      <c r="I217" s="29"/>
      <c r="J217" s="28"/>
      <c r="K217" s="28"/>
      <c r="L217" s="28"/>
      <c r="M217" s="5"/>
      <c r="N217" s="1"/>
      <c r="O217" s="4">
        <f t="shared" si="15"/>
        <v>0</v>
      </c>
      <c r="P217" s="4">
        <f t="shared" si="16"/>
        <v>0</v>
      </c>
      <c r="Q217" s="4">
        <f t="shared" si="2"/>
        <v>0</v>
      </c>
      <c r="R217" s="4">
        <f t="shared" si="3"/>
        <v>0</v>
      </c>
      <c r="S217" s="2">
        <f t="shared" si="17"/>
        <v>-1</v>
      </c>
      <c r="T217" s="4">
        <f t="shared" si="18"/>
        <v>0</v>
      </c>
      <c r="U217" s="2" t="str">
        <f t="shared" si="5"/>
        <v xml:space="preserve"> - </v>
      </c>
      <c r="V217" s="1"/>
      <c r="W217" s="1"/>
      <c r="X217" s="1"/>
      <c r="Y217" s="1"/>
      <c r="Z217" s="1"/>
      <c r="AA217" s="2"/>
      <c r="AB217" s="2"/>
      <c r="AC217" s="2"/>
    </row>
    <row r="218" spans="1:29" ht="12.75" customHeight="1">
      <c r="A218" s="1"/>
      <c r="B218" s="5"/>
      <c r="C218" s="22"/>
      <c r="D218" s="24"/>
      <c r="E218" s="26"/>
      <c r="F218" s="28"/>
      <c r="G218" s="29"/>
      <c r="H218" s="28"/>
      <c r="I218" s="29"/>
      <c r="J218" s="28"/>
      <c r="K218" s="28"/>
      <c r="L218" s="28"/>
      <c r="M218" s="5"/>
      <c r="N218" s="1"/>
      <c r="O218" s="4">
        <f t="shared" si="15"/>
        <v>0</v>
      </c>
      <c r="P218" s="4">
        <f t="shared" si="16"/>
        <v>0</v>
      </c>
      <c r="Q218" s="4">
        <f t="shared" si="2"/>
        <v>0</v>
      </c>
      <c r="R218" s="4">
        <f t="shared" si="3"/>
        <v>0</v>
      </c>
      <c r="S218" s="2">
        <f t="shared" si="17"/>
        <v>-1</v>
      </c>
      <c r="T218" s="4">
        <f t="shared" si="18"/>
        <v>0</v>
      </c>
      <c r="U218" s="2" t="str">
        <f t="shared" si="5"/>
        <v xml:space="preserve"> - </v>
      </c>
      <c r="V218" s="1"/>
      <c r="W218" s="1"/>
      <c r="X218" s="1"/>
      <c r="Y218" s="1"/>
      <c r="Z218" s="1"/>
      <c r="AA218" s="2"/>
      <c r="AB218" s="2"/>
      <c r="AC218" s="2"/>
    </row>
    <row r="219" spans="1:29" ht="12.75" customHeight="1">
      <c r="A219" s="1"/>
      <c r="B219" s="5"/>
      <c r="C219" s="22"/>
      <c r="D219" s="24"/>
      <c r="E219" s="26"/>
      <c r="F219" s="28"/>
      <c r="G219" s="29"/>
      <c r="H219" s="28"/>
      <c r="I219" s="29"/>
      <c r="J219" s="28"/>
      <c r="K219" s="28"/>
      <c r="L219" s="28"/>
      <c r="M219" s="5"/>
      <c r="N219" s="1"/>
      <c r="O219" s="4">
        <f t="shared" si="15"/>
        <v>0</v>
      </c>
      <c r="P219" s="4">
        <f t="shared" si="16"/>
        <v>0</v>
      </c>
      <c r="Q219" s="4">
        <f t="shared" si="2"/>
        <v>0</v>
      </c>
      <c r="R219" s="4">
        <f t="shared" si="3"/>
        <v>0</v>
      </c>
      <c r="S219" s="2">
        <f t="shared" si="17"/>
        <v>-1</v>
      </c>
      <c r="T219" s="4">
        <f t="shared" si="18"/>
        <v>0</v>
      </c>
      <c r="U219" s="2" t="str">
        <f t="shared" si="5"/>
        <v xml:space="preserve"> - </v>
      </c>
      <c r="V219" s="1"/>
      <c r="W219" s="1"/>
      <c r="X219" s="1"/>
      <c r="Y219" s="1"/>
      <c r="Z219" s="1"/>
      <c r="AA219" s="2"/>
      <c r="AB219" s="2"/>
      <c r="AC219" s="2"/>
    </row>
    <row r="220" spans="1:29" ht="12.75" customHeight="1">
      <c r="A220" s="1"/>
      <c r="B220" s="5"/>
      <c r="C220" s="22"/>
      <c r="D220" s="24"/>
      <c r="E220" s="26"/>
      <c r="F220" s="28"/>
      <c r="G220" s="29"/>
      <c r="H220" s="28"/>
      <c r="I220" s="29"/>
      <c r="J220" s="28"/>
      <c r="K220" s="28"/>
      <c r="L220" s="28"/>
      <c r="M220" s="5"/>
      <c r="N220" s="1"/>
      <c r="O220" s="4">
        <f t="shared" si="15"/>
        <v>0</v>
      </c>
      <c r="P220" s="4">
        <f t="shared" si="16"/>
        <v>0</v>
      </c>
      <c r="Q220" s="4">
        <f t="shared" si="2"/>
        <v>0</v>
      </c>
      <c r="R220" s="4">
        <f t="shared" si="3"/>
        <v>0</v>
      </c>
      <c r="S220" s="2">
        <f t="shared" si="17"/>
        <v>-1</v>
      </c>
      <c r="T220" s="4">
        <f t="shared" si="18"/>
        <v>0</v>
      </c>
      <c r="U220" s="2" t="str">
        <f t="shared" si="5"/>
        <v xml:space="preserve"> - </v>
      </c>
      <c r="V220" s="1"/>
      <c r="W220" s="1"/>
      <c r="X220" s="1"/>
      <c r="Y220" s="1"/>
      <c r="Z220" s="1"/>
      <c r="AA220" s="2"/>
      <c r="AB220" s="2"/>
      <c r="AC220" s="2"/>
    </row>
    <row r="221" spans="1:29" ht="12.75" customHeight="1">
      <c r="A221" s="1"/>
      <c r="B221" s="5"/>
      <c r="C221" s="22"/>
      <c r="D221" s="24"/>
      <c r="E221" s="26"/>
      <c r="F221" s="28"/>
      <c r="G221" s="29"/>
      <c r="H221" s="28"/>
      <c r="I221" s="29"/>
      <c r="J221" s="28"/>
      <c r="K221" s="28"/>
      <c r="L221" s="28"/>
      <c r="M221" s="5"/>
      <c r="N221" s="1"/>
      <c r="O221" s="4">
        <f t="shared" si="15"/>
        <v>0</v>
      </c>
      <c r="P221" s="4">
        <f t="shared" si="16"/>
        <v>0</v>
      </c>
      <c r="Q221" s="4">
        <f t="shared" si="2"/>
        <v>0</v>
      </c>
      <c r="R221" s="4">
        <f t="shared" si="3"/>
        <v>0</v>
      </c>
      <c r="S221" s="2">
        <f t="shared" si="17"/>
        <v>-1</v>
      </c>
      <c r="T221" s="4">
        <f t="shared" si="18"/>
        <v>0</v>
      </c>
      <c r="U221" s="2" t="str">
        <f t="shared" si="5"/>
        <v xml:space="preserve"> - </v>
      </c>
      <c r="V221" s="1"/>
      <c r="W221" s="1"/>
      <c r="X221" s="1"/>
      <c r="Y221" s="1"/>
      <c r="Z221" s="1"/>
      <c r="AA221" s="2"/>
      <c r="AB221" s="2"/>
      <c r="AC221" s="2"/>
    </row>
    <row r="222" spans="1:29" ht="12.75" customHeight="1">
      <c r="A222" s="1"/>
      <c r="B222" s="5"/>
      <c r="C222" s="22"/>
      <c r="D222" s="24"/>
      <c r="E222" s="26"/>
      <c r="F222" s="28"/>
      <c r="G222" s="29"/>
      <c r="H222" s="28"/>
      <c r="I222" s="29"/>
      <c r="J222" s="28"/>
      <c r="K222" s="28"/>
      <c r="L222" s="28"/>
      <c r="M222" s="5"/>
      <c r="N222" s="1"/>
      <c r="O222" s="4">
        <f t="shared" si="15"/>
        <v>0</v>
      </c>
      <c r="P222" s="4">
        <f t="shared" si="16"/>
        <v>0</v>
      </c>
      <c r="Q222" s="4">
        <f t="shared" si="2"/>
        <v>0</v>
      </c>
      <c r="R222" s="4">
        <f t="shared" si="3"/>
        <v>0</v>
      </c>
      <c r="S222" s="2">
        <f t="shared" si="17"/>
        <v>-1</v>
      </c>
      <c r="T222" s="4">
        <f t="shared" si="18"/>
        <v>0</v>
      </c>
      <c r="U222" s="2" t="str">
        <f t="shared" si="5"/>
        <v xml:space="preserve"> - </v>
      </c>
      <c r="V222" s="1"/>
      <c r="W222" s="1"/>
      <c r="X222" s="1"/>
      <c r="Y222" s="1"/>
      <c r="Z222" s="1"/>
      <c r="AA222" s="2"/>
      <c r="AB222" s="2"/>
      <c r="AC222" s="2"/>
    </row>
    <row r="223" spans="1:29" ht="12.75" customHeight="1">
      <c r="A223" s="1"/>
      <c r="B223" s="5"/>
      <c r="C223" s="22"/>
      <c r="D223" s="24"/>
      <c r="E223" s="26"/>
      <c r="F223" s="28"/>
      <c r="G223" s="29"/>
      <c r="H223" s="28"/>
      <c r="I223" s="29"/>
      <c r="J223" s="28"/>
      <c r="K223" s="28"/>
      <c r="L223" s="28"/>
      <c r="M223" s="5"/>
      <c r="N223" s="1"/>
      <c r="O223" s="4">
        <f t="shared" si="15"/>
        <v>0</v>
      </c>
      <c r="P223" s="4">
        <f t="shared" si="16"/>
        <v>0</v>
      </c>
      <c r="Q223" s="4">
        <f t="shared" si="2"/>
        <v>0</v>
      </c>
      <c r="R223" s="4">
        <f t="shared" si="3"/>
        <v>0</v>
      </c>
      <c r="S223" s="2">
        <f t="shared" si="17"/>
        <v>-1</v>
      </c>
      <c r="T223" s="4">
        <f t="shared" si="18"/>
        <v>0</v>
      </c>
      <c r="U223" s="2" t="str">
        <f t="shared" si="5"/>
        <v xml:space="preserve"> - </v>
      </c>
      <c r="V223" s="1"/>
      <c r="W223" s="1"/>
      <c r="X223" s="1"/>
      <c r="Y223" s="1"/>
      <c r="Z223" s="1"/>
      <c r="AA223" s="2"/>
      <c r="AB223" s="2"/>
      <c r="AC223" s="2"/>
    </row>
    <row r="224" spans="1:29" ht="12.75" customHeight="1">
      <c r="A224" s="1"/>
      <c r="B224" s="5"/>
      <c r="C224" s="22"/>
      <c r="D224" s="24"/>
      <c r="E224" s="26"/>
      <c r="F224" s="28"/>
      <c r="G224" s="29"/>
      <c r="H224" s="28"/>
      <c r="I224" s="29"/>
      <c r="J224" s="28"/>
      <c r="K224" s="28"/>
      <c r="L224" s="28"/>
      <c r="M224" s="5"/>
      <c r="N224" s="1"/>
      <c r="O224" s="4">
        <f t="shared" si="15"/>
        <v>0</v>
      </c>
      <c r="P224" s="4">
        <f t="shared" si="16"/>
        <v>0</v>
      </c>
      <c r="Q224" s="4">
        <f t="shared" si="2"/>
        <v>0</v>
      </c>
      <c r="R224" s="4">
        <f t="shared" si="3"/>
        <v>0</v>
      </c>
      <c r="S224" s="2">
        <f t="shared" si="17"/>
        <v>-1</v>
      </c>
      <c r="T224" s="4">
        <f t="shared" si="18"/>
        <v>0</v>
      </c>
      <c r="U224" s="2" t="str">
        <f t="shared" si="5"/>
        <v xml:space="preserve"> - </v>
      </c>
      <c r="V224" s="1"/>
      <c r="W224" s="1"/>
      <c r="X224" s="1"/>
      <c r="Y224" s="1"/>
      <c r="Z224" s="1"/>
      <c r="AA224" s="2"/>
      <c r="AB224" s="2"/>
      <c r="AC224" s="2"/>
    </row>
    <row r="225" spans="1:29" ht="12.75" customHeight="1">
      <c r="A225" s="1"/>
      <c r="B225" s="5"/>
      <c r="C225" s="22"/>
      <c r="D225" s="24"/>
      <c r="E225" s="26"/>
      <c r="F225" s="28"/>
      <c r="G225" s="29"/>
      <c r="H225" s="28"/>
      <c r="I225" s="29"/>
      <c r="J225" s="28"/>
      <c r="K225" s="28"/>
      <c r="L225" s="28"/>
      <c r="M225" s="5"/>
      <c r="N225" s="1"/>
      <c r="O225" s="4">
        <f t="shared" si="15"/>
        <v>0</v>
      </c>
      <c r="P225" s="4">
        <f t="shared" si="16"/>
        <v>0</v>
      </c>
      <c r="Q225" s="4">
        <f t="shared" si="2"/>
        <v>0</v>
      </c>
      <c r="R225" s="4">
        <f t="shared" si="3"/>
        <v>0</v>
      </c>
      <c r="S225" s="2">
        <f t="shared" si="17"/>
        <v>-1</v>
      </c>
      <c r="T225" s="4">
        <f t="shared" si="18"/>
        <v>0</v>
      </c>
      <c r="U225" s="2" t="str">
        <f t="shared" si="5"/>
        <v xml:space="preserve"> - </v>
      </c>
      <c r="V225" s="1"/>
      <c r="W225" s="1"/>
      <c r="X225" s="1"/>
      <c r="Y225" s="1"/>
      <c r="Z225" s="1"/>
      <c r="AA225" s="2"/>
      <c r="AB225" s="2"/>
      <c r="AC225" s="2"/>
    </row>
    <row r="226" spans="1:29" ht="12.75" customHeight="1">
      <c r="A226" s="1"/>
      <c r="B226" s="5"/>
      <c r="C226" s="22"/>
      <c r="D226" s="24"/>
      <c r="E226" s="26"/>
      <c r="F226" s="28"/>
      <c r="G226" s="29"/>
      <c r="H226" s="28"/>
      <c r="I226" s="29"/>
      <c r="J226" s="28"/>
      <c r="K226" s="28"/>
      <c r="L226" s="28"/>
      <c r="M226" s="5"/>
      <c r="N226" s="1"/>
      <c r="O226" s="4">
        <f t="shared" si="15"/>
        <v>0</v>
      </c>
      <c r="P226" s="4">
        <f t="shared" si="16"/>
        <v>0</v>
      </c>
      <c r="Q226" s="4">
        <f t="shared" si="2"/>
        <v>0</v>
      </c>
      <c r="R226" s="4">
        <f t="shared" si="3"/>
        <v>0</v>
      </c>
      <c r="S226" s="2">
        <f t="shared" si="17"/>
        <v>-1</v>
      </c>
      <c r="T226" s="4">
        <f t="shared" si="18"/>
        <v>0</v>
      </c>
      <c r="U226" s="2" t="str">
        <f t="shared" si="5"/>
        <v xml:space="preserve"> - </v>
      </c>
      <c r="V226" s="1"/>
      <c r="W226" s="1"/>
      <c r="X226" s="1"/>
      <c r="Y226" s="1"/>
      <c r="Z226" s="1"/>
      <c r="AA226" s="2"/>
      <c r="AB226" s="2"/>
      <c r="AC226" s="2"/>
    </row>
    <row r="227" spans="1:29" ht="12.75" customHeight="1">
      <c r="A227" s="1"/>
      <c r="B227" s="5"/>
      <c r="C227" s="22"/>
      <c r="D227" s="24"/>
      <c r="E227" s="26"/>
      <c r="F227" s="28"/>
      <c r="G227" s="29"/>
      <c r="H227" s="28"/>
      <c r="I227" s="29"/>
      <c r="J227" s="28"/>
      <c r="K227" s="28"/>
      <c r="L227" s="28"/>
      <c r="M227" s="5"/>
      <c r="N227" s="1"/>
      <c r="O227" s="4">
        <f t="shared" si="15"/>
        <v>0</v>
      </c>
      <c r="P227" s="4">
        <f t="shared" si="16"/>
        <v>0</v>
      </c>
      <c r="Q227" s="4">
        <f t="shared" si="2"/>
        <v>0</v>
      </c>
      <c r="R227" s="4">
        <f t="shared" si="3"/>
        <v>0</v>
      </c>
      <c r="S227" s="2">
        <f t="shared" si="17"/>
        <v>-1</v>
      </c>
      <c r="T227" s="4">
        <f t="shared" si="18"/>
        <v>0</v>
      </c>
      <c r="U227" s="2" t="str">
        <f t="shared" si="5"/>
        <v xml:space="preserve"> - </v>
      </c>
      <c r="V227" s="1"/>
      <c r="W227" s="1"/>
      <c r="X227" s="1"/>
      <c r="Y227" s="1"/>
      <c r="Z227" s="1"/>
      <c r="AA227" s="2"/>
      <c r="AB227" s="2"/>
      <c r="AC227" s="2"/>
    </row>
    <row r="228" spans="1:29" ht="12.75" customHeight="1">
      <c r="A228" s="1"/>
      <c r="B228" s="5"/>
      <c r="C228" s="22"/>
      <c r="D228" s="24"/>
      <c r="E228" s="26"/>
      <c r="F228" s="28"/>
      <c r="G228" s="29"/>
      <c r="H228" s="28"/>
      <c r="I228" s="29"/>
      <c r="J228" s="28"/>
      <c r="K228" s="28"/>
      <c r="L228" s="28"/>
      <c r="M228" s="5"/>
      <c r="N228" s="1"/>
      <c r="O228" s="4">
        <f t="shared" si="15"/>
        <v>0</v>
      </c>
      <c r="P228" s="4">
        <f t="shared" si="16"/>
        <v>0</v>
      </c>
      <c r="Q228" s="4">
        <f t="shared" si="2"/>
        <v>0</v>
      </c>
      <c r="R228" s="4">
        <f t="shared" si="3"/>
        <v>0</v>
      </c>
      <c r="S228" s="2">
        <f t="shared" si="17"/>
        <v>-1</v>
      </c>
      <c r="T228" s="4">
        <f t="shared" si="18"/>
        <v>0</v>
      </c>
      <c r="U228" s="2" t="str">
        <f t="shared" si="5"/>
        <v xml:space="preserve"> - </v>
      </c>
      <c r="V228" s="1"/>
      <c r="W228" s="1"/>
      <c r="X228" s="1"/>
      <c r="Y228" s="1"/>
      <c r="Z228" s="1"/>
      <c r="AA228" s="2"/>
      <c r="AB228" s="2"/>
      <c r="AC228" s="2"/>
    </row>
    <row r="229" spans="1:29" ht="12.75" customHeight="1">
      <c r="A229" s="1"/>
      <c r="B229" s="5"/>
      <c r="C229" s="22"/>
      <c r="D229" s="24"/>
      <c r="E229" s="26"/>
      <c r="F229" s="28"/>
      <c r="G229" s="29"/>
      <c r="H229" s="28"/>
      <c r="I229" s="29"/>
      <c r="J229" s="28"/>
      <c r="K229" s="28"/>
      <c r="L229" s="28"/>
      <c r="M229" s="5"/>
      <c r="N229" s="1"/>
      <c r="O229" s="4">
        <f t="shared" si="15"/>
        <v>0</v>
      </c>
      <c r="P229" s="4">
        <f t="shared" si="16"/>
        <v>0</v>
      </c>
      <c r="Q229" s="4">
        <f t="shared" si="2"/>
        <v>0</v>
      </c>
      <c r="R229" s="4">
        <f t="shared" si="3"/>
        <v>0</v>
      </c>
      <c r="S229" s="2">
        <f t="shared" si="17"/>
        <v>-1</v>
      </c>
      <c r="T229" s="4">
        <f t="shared" si="18"/>
        <v>0</v>
      </c>
      <c r="U229" s="2" t="str">
        <f t="shared" si="5"/>
        <v xml:space="preserve"> - </v>
      </c>
      <c r="V229" s="1"/>
      <c r="W229" s="1"/>
      <c r="X229" s="1"/>
      <c r="Y229" s="1"/>
      <c r="Z229" s="1"/>
      <c r="AA229" s="2"/>
      <c r="AB229" s="2"/>
      <c r="AC229" s="2"/>
    </row>
    <row r="230" spans="1:29" ht="12.75" customHeight="1">
      <c r="A230" s="1"/>
      <c r="B230" s="5"/>
      <c r="C230" s="22"/>
      <c r="D230" s="24"/>
      <c r="E230" s="26"/>
      <c r="F230" s="28"/>
      <c r="G230" s="29"/>
      <c r="H230" s="28"/>
      <c r="I230" s="29"/>
      <c r="J230" s="28"/>
      <c r="K230" s="28"/>
      <c r="L230" s="28"/>
      <c r="M230" s="5"/>
      <c r="N230" s="1"/>
      <c r="O230" s="4">
        <f t="shared" si="15"/>
        <v>0</v>
      </c>
      <c r="P230" s="4">
        <f t="shared" si="16"/>
        <v>0</v>
      </c>
      <c r="Q230" s="4">
        <f t="shared" si="2"/>
        <v>0</v>
      </c>
      <c r="R230" s="4">
        <f t="shared" si="3"/>
        <v>0</v>
      </c>
      <c r="S230" s="2">
        <f t="shared" si="17"/>
        <v>-1</v>
      </c>
      <c r="T230" s="4">
        <f t="shared" si="18"/>
        <v>0</v>
      </c>
      <c r="U230" s="2" t="str">
        <f t="shared" si="5"/>
        <v xml:space="preserve"> - </v>
      </c>
      <c r="V230" s="1"/>
      <c r="W230" s="1"/>
      <c r="X230" s="1"/>
      <c r="Y230" s="1"/>
      <c r="Z230" s="1"/>
      <c r="AA230" s="2"/>
      <c r="AB230" s="2"/>
      <c r="AC230" s="2"/>
    </row>
    <row r="231" spans="1:29" ht="12.75" customHeight="1">
      <c r="A231" s="1"/>
      <c r="B231" s="5"/>
      <c r="C231" s="22"/>
      <c r="D231" s="24"/>
      <c r="E231" s="26"/>
      <c r="F231" s="28"/>
      <c r="G231" s="29"/>
      <c r="H231" s="28"/>
      <c r="I231" s="29"/>
      <c r="J231" s="28"/>
      <c r="K231" s="28"/>
      <c r="L231" s="28"/>
      <c r="M231" s="5"/>
      <c r="N231" s="1"/>
      <c r="O231" s="4">
        <f t="shared" si="15"/>
        <v>0</v>
      </c>
      <c r="P231" s="4">
        <f t="shared" si="16"/>
        <v>0</v>
      </c>
      <c r="Q231" s="4">
        <f t="shared" si="2"/>
        <v>0</v>
      </c>
      <c r="R231" s="4">
        <f t="shared" si="3"/>
        <v>0</v>
      </c>
      <c r="S231" s="2">
        <f t="shared" si="17"/>
        <v>-1</v>
      </c>
      <c r="T231" s="4">
        <f t="shared" si="18"/>
        <v>0</v>
      </c>
      <c r="U231" s="2" t="str">
        <f t="shared" si="5"/>
        <v xml:space="preserve"> - </v>
      </c>
      <c r="V231" s="1"/>
      <c r="W231" s="1"/>
      <c r="X231" s="1"/>
      <c r="Y231" s="1"/>
      <c r="Z231" s="1"/>
      <c r="AA231" s="2"/>
      <c r="AB231" s="2"/>
      <c r="AC231" s="2"/>
    </row>
    <row r="232" spans="1:29" ht="12.75" customHeight="1">
      <c r="A232" s="1"/>
      <c r="B232" s="5"/>
      <c r="C232" s="22"/>
      <c r="D232" s="24"/>
      <c r="E232" s="26"/>
      <c r="F232" s="28"/>
      <c r="G232" s="29"/>
      <c r="H232" s="28"/>
      <c r="I232" s="29"/>
      <c r="J232" s="28"/>
      <c r="K232" s="28"/>
      <c r="L232" s="28"/>
      <c r="M232" s="5"/>
      <c r="N232" s="1"/>
      <c r="O232" s="4">
        <f t="shared" si="15"/>
        <v>0</v>
      </c>
      <c r="P232" s="4">
        <f t="shared" si="16"/>
        <v>0</v>
      </c>
      <c r="Q232" s="4">
        <f t="shared" si="2"/>
        <v>0</v>
      </c>
      <c r="R232" s="4">
        <f t="shared" si="3"/>
        <v>0</v>
      </c>
      <c r="S232" s="2">
        <f t="shared" si="17"/>
        <v>-1</v>
      </c>
      <c r="T232" s="4">
        <f t="shared" si="18"/>
        <v>0</v>
      </c>
      <c r="U232" s="2" t="str">
        <f t="shared" si="5"/>
        <v xml:space="preserve"> - </v>
      </c>
      <c r="V232" s="1"/>
      <c r="W232" s="1"/>
      <c r="X232" s="1"/>
      <c r="Y232" s="1"/>
      <c r="Z232" s="1"/>
      <c r="AA232" s="2"/>
      <c r="AB232" s="2"/>
      <c r="AC232" s="2"/>
    </row>
    <row r="233" spans="1:29" ht="12.75" customHeight="1">
      <c r="A233" s="1"/>
      <c r="B233" s="5"/>
      <c r="C233" s="22"/>
      <c r="D233" s="24"/>
      <c r="E233" s="26"/>
      <c r="F233" s="28"/>
      <c r="G233" s="29"/>
      <c r="H233" s="28"/>
      <c r="I233" s="29"/>
      <c r="J233" s="28"/>
      <c r="K233" s="28"/>
      <c r="L233" s="28"/>
      <c r="M233" s="5"/>
      <c r="N233" s="1"/>
      <c r="O233" s="4">
        <f t="shared" si="15"/>
        <v>0</v>
      </c>
      <c r="P233" s="4">
        <f t="shared" si="16"/>
        <v>0</v>
      </c>
      <c r="Q233" s="4">
        <f t="shared" si="2"/>
        <v>0</v>
      </c>
      <c r="R233" s="4">
        <f t="shared" si="3"/>
        <v>0</v>
      </c>
      <c r="S233" s="2">
        <f t="shared" si="17"/>
        <v>-1</v>
      </c>
      <c r="T233" s="4">
        <f t="shared" si="18"/>
        <v>0</v>
      </c>
      <c r="U233" s="2" t="str">
        <f t="shared" si="5"/>
        <v xml:space="preserve"> - </v>
      </c>
      <c r="V233" s="1"/>
      <c r="W233" s="1"/>
      <c r="X233" s="1"/>
      <c r="Y233" s="1"/>
      <c r="Z233" s="1"/>
      <c r="AA233" s="2"/>
      <c r="AB233" s="2"/>
      <c r="AC233" s="2"/>
    </row>
    <row r="234" spans="1:29" ht="12.75" customHeight="1">
      <c r="A234" s="1"/>
      <c r="B234" s="5"/>
      <c r="C234" s="22"/>
      <c r="D234" s="24"/>
      <c r="E234" s="26"/>
      <c r="F234" s="28"/>
      <c r="G234" s="29"/>
      <c r="H234" s="28"/>
      <c r="I234" s="29"/>
      <c r="J234" s="28"/>
      <c r="K234" s="28"/>
      <c r="L234" s="28"/>
      <c r="M234" s="5"/>
      <c r="N234" s="1"/>
      <c r="O234" s="4">
        <f t="shared" si="15"/>
        <v>0</v>
      </c>
      <c r="P234" s="4">
        <f t="shared" si="16"/>
        <v>0</v>
      </c>
      <c r="Q234" s="4">
        <f t="shared" si="2"/>
        <v>0</v>
      </c>
      <c r="R234" s="4">
        <f t="shared" si="3"/>
        <v>0</v>
      </c>
      <c r="S234" s="2">
        <f t="shared" si="17"/>
        <v>-1</v>
      </c>
      <c r="T234" s="4">
        <f t="shared" si="18"/>
        <v>0</v>
      </c>
      <c r="U234" s="2" t="str">
        <f t="shared" si="5"/>
        <v xml:space="preserve"> - </v>
      </c>
      <c r="V234" s="1"/>
      <c r="W234" s="1"/>
      <c r="X234" s="1"/>
      <c r="Y234" s="1"/>
      <c r="Z234" s="1"/>
      <c r="AA234" s="2"/>
      <c r="AB234" s="2"/>
      <c r="AC234" s="2"/>
    </row>
    <row r="235" spans="1:29" ht="12.75" customHeight="1">
      <c r="A235" s="1"/>
      <c r="B235" s="5"/>
      <c r="C235" s="22"/>
      <c r="D235" s="24"/>
      <c r="E235" s="26"/>
      <c r="F235" s="28"/>
      <c r="G235" s="29"/>
      <c r="H235" s="28"/>
      <c r="I235" s="29"/>
      <c r="J235" s="28"/>
      <c r="K235" s="28"/>
      <c r="L235" s="28"/>
      <c r="M235" s="5"/>
      <c r="N235" s="1"/>
      <c r="O235" s="4">
        <f t="shared" si="15"/>
        <v>0</v>
      </c>
      <c r="P235" s="4">
        <f t="shared" si="16"/>
        <v>0</v>
      </c>
      <c r="Q235" s="4">
        <f t="shared" si="2"/>
        <v>0</v>
      </c>
      <c r="R235" s="4">
        <f t="shared" si="3"/>
        <v>0</v>
      </c>
      <c r="S235" s="2">
        <f t="shared" si="17"/>
        <v>-1</v>
      </c>
      <c r="T235" s="4">
        <f t="shared" si="18"/>
        <v>0</v>
      </c>
      <c r="U235" s="2" t="str">
        <f t="shared" si="5"/>
        <v xml:space="preserve"> - </v>
      </c>
      <c r="V235" s="1"/>
      <c r="W235" s="1"/>
      <c r="X235" s="1"/>
      <c r="Y235" s="1"/>
      <c r="Z235" s="1"/>
      <c r="AA235" s="2"/>
      <c r="AB235" s="2"/>
      <c r="AC235" s="2"/>
    </row>
    <row r="236" spans="1:29" ht="12.75" customHeight="1">
      <c r="A236" s="1"/>
      <c r="B236" s="5"/>
      <c r="C236" s="22"/>
      <c r="D236" s="24"/>
      <c r="E236" s="26"/>
      <c r="F236" s="28"/>
      <c r="G236" s="29"/>
      <c r="H236" s="28"/>
      <c r="I236" s="29"/>
      <c r="J236" s="28"/>
      <c r="K236" s="28"/>
      <c r="L236" s="28"/>
      <c r="M236" s="5"/>
      <c r="N236" s="1"/>
      <c r="O236" s="4">
        <f t="shared" si="15"/>
        <v>0</v>
      </c>
      <c r="P236" s="4">
        <f t="shared" si="16"/>
        <v>0</v>
      </c>
      <c r="Q236" s="4">
        <f t="shared" si="2"/>
        <v>0</v>
      </c>
      <c r="R236" s="4">
        <f t="shared" si="3"/>
        <v>0</v>
      </c>
      <c r="S236" s="2">
        <f t="shared" si="17"/>
        <v>-1</v>
      </c>
      <c r="T236" s="4">
        <f t="shared" si="18"/>
        <v>0</v>
      </c>
      <c r="U236" s="2" t="str">
        <f t="shared" si="5"/>
        <v xml:space="preserve"> - </v>
      </c>
      <c r="V236" s="1"/>
      <c r="W236" s="1"/>
      <c r="X236" s="1"/>
      <c r="Y236" s="1"/>
      <c r="Z236" s="1"/>
      <c r="AA236" s="2"/>
      <c r="AB236" s="2"/>
      <c r="AC236" s="2"/>
    </row>
    <row r="237" spans="1:29" ht="12.75" customHeight="1">
      <c r="A237" s="1"/>
      <c r="B237" s="5"/>
      <c r="C237" s="22"/>
      <c r="D237" s="24"/>
      <c r="E237" s="26"/>
      <c r="F237" s="28"/>
      <c r="G237" s="29"/>
      <c r="H237" s="28"/>
      <c r="I237" s="29"/>
      <c r="J237" s="28"/>
      <c r="K237" s="28"/>
      <c r="L237" s="28"/>
      <c r="M237" s="5"/>
      <c r="N237" s="1"/>
      <c r="O237" s="4">
        <f t="shared" si="15"/>
        <v>0</v>
      </c>
      <c r="P237" s="4">
        <f t="shared" si="16"/>
        <v>0</v>
      </c>
      <c r="Q237" s="4">
        <f t="shared" si="2"/>
        <v>0</v>
      </c>
      <c r="R237" s="4">
        <f t="shared" si="3"/>
        <v>0</v>
      </c>
      <c r="S237" s="2">
        <f t="shared" si="17"/>
        <v>-1</v>
      </c>
      <c r="T237" s="4">
        <f t="shared" si="18"/>
        <v>0</v>
      </c>
      <c r="U237" s="2" t="str">
        <f t="shared" si="5"/>
        <v xml:space="preserve"> - </v>
      </c>
      <c r="V237" s="1"/>
      <c r="W237" s="1"/>
      <c r="X237" s="1"/>
      <c r="Y237" s="1"/>
      <c r="Z237" s="1"/>
      <c r="AA237" s="2"/>
      <c r="AB237" s="2"/>
      <c r="AC237" s="2"/>
    </row>
    <row r="238" spans="1:29" ht="12.75" customHeight="1">
      <c r="A238" s="1"/>
      <c r="B238" s="5"/>
      <c r="C238" s="22"/>
      <c r="D238" s="24"/>
      <c r="E238" s="26"/>
      <c r="F238" s="28"/>
      <c r="G238" s="29"/>
      <c r="H238" s="28"/>
      <c r="I238" s="29"/>
      <c r="J238" s="28"/>
      <c r="K238" s="28"/>
      <c r="L238" s="28"/>
      <c r="M238" s="5"/>
      <c r="N238" s="1"/>
      <c r="O238" s="4">
        <f t="shared" si="15"/>
        <v>0</v>
      </c>
      <c r="P238" s="4">
        <f t="shared" si="16"/>
        <v>0</v>
      </c>
      <c r="Q238" s="4">
        <f t="shared" si="2"/>
        <v>0</v>
      </c>
      <c r="R238" s="4">
        <f t="shared" si="3"/>
        <v>0</v>
      </c>
      <c r="S238" s="2">
        <f t="shared" si="17"/>
        <v>-1</v>
      </c>
      <c r="T238" s="4">
        <f t="shared" si="18"/>
        <v>0</v>
      </c>
      <c r="U238" s="2" t="str">
        <f t="shared" si="5"/>
        <v xml:space="preserve"> - </v>
      </c>
      <c r="V238" s="1"/>
      <c r="W238" s="1"/>
      <c r="X238" s="1"/>
      <c r="Y238" s="1"/>
      <c r="Z238" s="1"/>
      <c r="AA238" s="2"/>
      <c r="AB238" s="2"/>
      <c r="AC238" s="2"/>
    </row>
    <row r="239" spans="1:29" ht="12.75" customHeight="1">
      <c r="A239" s="1"/>
      <c r="B239" s="5"/>
      <c r="C239" s="22"/>
      <c r="D239" s="24"/>
      <c r="E239" s="26"/>
      <c r="F239" s="28"/>
      <c r="G239" s="29"/>
      <c r="H239" s="28"/>
      <c r="I239" s="29"/>
      <c r="J239" s="28"/>
      <c r="K239" s="28"/>
      <c r="L239" s="28"/>
      <c r="M239" s="5"/>
      <c r="N239" s="1"/>
      <c r="O239" s="4">
        <f t="shared" si="15"/>
        <v>0</v>
      </c>
      <c r="P239" s="4">
        <f t="shared" si="16"/>
        <v>0</v>
      </c>
      <c r="Q239" s="4">
        <f t="shared" si="2"/>
        <v>0</v>
      </c>
      <c r="R239" s="4">
        <f t="shared" si="3"/>
        <v>0</v>
      </c>
      <c r="S239" s="2">
        <f t="shared" si="17"/>
        <v>-1</v>
      </c>
      <c r="T239" s="4">
        <f t="shared" si="18"/>
        <v>0</v>
      </c>
      <c r="U239" s="2" t="str">
        <f t="shared" si="5"/>
        <v xml:space="preserve"> - </v>
      </c>
      <c r="V239" s="1"/>
      <c r="W239" s="1"/>
      <c r="X239" s="1"/>
      <c r="Y239" s="1"/>
      <c r="Z239" s="1"/>
      <c r="AA239" s="2"/>
      <c r="AB239" s="2"/>
      <c r="AC239" s="2"/>
    </row>
    <row r="240" spans="1:29" ht="12.75" customHeight="1">
      <c r="A240" s="1"/>
      <c r="B240" s="5"/>
      <c r="C240" s="22"/>
      <c r="D240" s="24"/>
      <c r="E240" s="26"/>
      <c r="F240" s="28"/>
      <c r="G240" s="29"/>
      <c r="H240" s="28"/>
      <c r="I240" s="29"/>
      <c r="J240" s="28"/>
      <c r="K240" s="28"/>
      <c r="L240" s="28"/>
      <c r="M240" s="5"/>
      <c r="N240" s="1"/>
      <c r="O240" s="4">
        <f t="shared" si="15"/>
        <v>0</v>
      </c>
      <c r="P240" s="4">
        <f t="shared" si="16"/>
        <v>0</v>
      </c>
      <c r="Q240" s="4">
        <f t="shared" si="2"/>
        <v>0</v>
      </c>
      <c r="R240" s="4">
        <f t="shared" si="3"/>
        <v>0</v>
      </c>
      <c r="S240" s="2">
        <f t="shared" si="17"/>
        <v>-1</v>
      </c>
      <c r="T240" s="4">
        <f t="shared" si="18"/>
        <v>0</v>
      </c>
      <c r="U240" s="2" t="str">
        <f t="shared" si="5"/>
        <v xml:space="preserve"> - </v>
      </c>
      <c r="V240" s="1"/>
      <c r="W240" s="1"/>
      <c r="X240" s="1"/>
      <c r="Y240" s="1"/>
      <c r="Z240" s="1"/>
      <c r="AA240" s="2"/>
      <c r="AB240" s="2"/>
      <c r="AC240" s="2"/>
    </row>
    <row r="241" spans="1:29" ht="12.75" customHeight="1">
      <c r="A241" s="1"/>
      <c r="B241" s="5"/>
      <c r="C241" s="22"/>
      <c r="D241" s="24"/>
      <c r="E241" s="26"/>
      <c r="F241" s="28"/>
      <c r="G241" s="29"/>
      <c r="H241" s="28"/>
      <c r="I241" s="29"/>
      <c r="J241" s="28"/>
      <c r="K241" s="28"/>
      <c r="L241" s="28"/>
      <c r="M241" s="5"/>
      <c r="N241" s="1"/>
      <c r="O241" s="4">
        <f t="shared" si="15"/>
        <v>0</v>
      </c>
      <c r="P241" s="4">
        <f t="shared" si="16"/>
        <v>0</v>
      </c>
      <c r="Q241" s="4">
        <f t="shared" si="2"/>
        <v>0</v>
      </c>
      <c r="R241" s="4">
        <f t="shared" si="3"/>
        <v>0</v>
      </c>
      <c r="S241" s="2">
        <f t="shared" si="17"/>
        <v>-1</v>
      </c>
      <c r="T241" s="4">
        <f t="shared" si="18"/>
        <v>0</v>
      </c>
      <c r="U241" s="2" t="str">
        <f t="shared" si="5"/>
        <v xml:space="preserve"> - </v>
      </c>
      <c r="V241" s="1"/>
      <c r="W241" s="1"/>
      <c r="X241" s="1"/>
      <c r="Y241" s="1"/>
      <c r="Z241" s="1"/>
      <c r="AA241" s="2"/>
      <c r="AB241" s="2"/>
      <c r="AC241" s="2"/>
    </row>
    <row r="242" spans="1:29" ht="12.75" customHeight="1">
      <c r="A242" s="1"/>
      <c r="B242" s="5"/>
      <c r="C242" s="22"/>
      <c r="D242" s="24"/>
      <c r="E242" s="26"/>
      <c r="F242" s="28"/>
      <c r="G242" s="29"/>
      <c r="H242" s="28"/>
      <c r="I242" s="29"/>
      <c r="J242" s="28"/>
      <c r="K242" s="28"/>
      <c r="L242" s="28"/>
      <c r="M242" s="5"/>
      <c r="N242" s="1"/>
      <c r="O242" s="4">
        <f t="shared" si="15"/>
        <v>0</v>
      </c>
      <c r="P242" s="4">
        <f t="shared" si="16"/>
        <v>0</v>
      </c>
      <c r="Q242" s="4">
        <f t="shared" si="2"/>
        <v>0</v>
      </c>
      <c r="R242" s="4">
        <f t="shared" si="3"/>
        <v>0</v>
      </c>
      <c r="S242" s="2">
        <f t="shared" si="17"/>
        <v>-1</v>
      </c>
      <c r="T242" s="4">
        <f t="shared" si="18"/>
        <v>0</v>
      </c>
      <c r="U242" s="2" t="str">
        <f t="shared" si="5"/>
        <v xml:space="preserve"> - </v>
      </c>
      <c r="V242" s="1"/>
      <c r="W242" s="1"/>
      <c r="X242" s="1"/>
      <c r="Y242" s="1"/>
      <c r="Z242" s="1"/>
      <c r="AA242" s="2"/>
      <c r="AB242" s="2"/>
      <c r="AC242" s="2"/>
    </row>
    <row r="243" spans="1:29" ht="12.75" customHeight="1">
      <c r="A243" s="1"/>
      <c r="B243" s="5"/>
      <c r="C243" s="22"/>
      <c r="D243" s="24"/>
      <c r="E243" s="26"/>
      <c r="F243" s="28"/>
      <c r="G243" s="29"/>
      <c r="H243" s="28"/>
      <c r="I243" s="29"/>
      <c r="J243" s="28"/>
      <c r="K243" s="28"/>
      <c r="L243" s="28"/>
      <c r="M243" s="5"/>
      <c r="N243" s="1"/>
      <c r="O243" s="4">
        <f t="shared" si="15"/>
        <v>0</v>
      </c>
      <c r="P243" s="4">
        <f t="shared" si="16"/>
        <v>0</v>
      </c>
      <c r="Q243" s="4">
        <f t="shared" si="2"/>
        <v>0</v>
      </c>
      <c r="R243" s="4">
        <f t="shared" si="3"/>
        <v>0</v>
      </c>
      <c r="S243" s="2">
        <f t="shared" si="17"/>
        <v>-1</v>
      </c>
      <c r="T243" s="4">
        <f t="shared" si="18"/>
        <v>0</v>
      </c>
      <c r="U243" s="2" t="str">
        <f t="shared" si="5"/>
        <v xml:space="preserve"> - </v>
      </c>
      <c r="V243" s="1"/>
      <c r="W243" s="1"/>
      <c r="X243" s="1"/>
      <c r="Y243" s="1"/>
      <c r="Z243" s="1"/>
      <c r="AA243" s="2"/>
      <c r="AB243" s="2"/>
      <c r="AC243" s="2"/>
    </row>
    <row r="244" spans="1:29" ht="12.75" customHeight="1">
      <c r="A244" s="1"/>
      <c r="B244" s="5"/>
      <c r="C244" s="22"/>
      <c r="D244" s="24"/>
      <c r="E244" s="26"/>
      <c r="F244" s="28"/>
      <c r="G244" s="29"/>
      <c r="H244" s="28"/>
      <c r="I244" s="29"/>
      <c r="J244" s="28"/>
      <c r="K244" s="28"/>
      <c r="L244" s="28"/>
      <c r="M244" s="5"/>
      <c r="N244" s="1"/>
      <c r="O244" s="4">
        <f t="shared" si="15"/>
        <v>0</v>
      </c>
      <c r="P244" s="4">
        <f t="shared" si="16"/>
        <v>0</v>
      </c>
      <c r="Q244" s="4">
        <f t="shared" si="2"/>
        <v>0</v>
      </c>
      <c r="R244" s="4">
        <f t="shared" si="3"/>
        <v>0</v>
      </c>
      <c r="S244" s="2">
        <f t="shared" si="17"/>
        <v>-1</v>
      </c>
      <c r="T244" s="4">
        <f t="shared" si="18"/>
        <v>0</v>
      </c>
      <c r="U244" s="2" t="str">
        <f t="shared" si="5"/>
        <v xml:space="preserve"> - </v>
      </c>
      <c r="V244" s="1"/>
      <c r="W244" s="1"/>
      <c r="X244" s="1"/>
      <c r="Y244" s="1"/>
      <c r="Z244" s="1"/>
      <c r="AA244" s="2"/>
      <c r="AB244" s="2"/>
      <c r="AC244" s="2"/>
    </row>
    <row r="245" spans="1:29" ht="12.75" customHeight="1">
      <c r="A245" s="1"/>
      <c r="B245" s="5"/>
      <c r="C245" s="22"/>
      <c r="D245" s="24"/>
      <c r="E245" s="26"/>
      <c r="F245" s="28"/>
      <c r="G245" s="29"/>
      <c r="H245" s="28"/>
      <c r="I245" s="29"/>
      <c r="J245" s="28"/>
      <c r="K245" s="28"/>
      <c r="L245" s="28"/>
      <c r="M245" s="5"/>
      <c r="N245" s="1"/>
      <c r="O245" s="4">
        <f t="shared" si="15"/>
        <v>0</v>
      </c>
      <c r="P245" s="4">
        <f t="shared" si="16"/>
        <v>0</v>
      </c>
      <c r="Q245" s="4">
        <f t="shared" si="2"/>
        <v>0</v>
      </c>
      <c r="R245" s="4">
        <f t="shared" si="3"/>
        <v>0</v>
      </c>
      <c r="S245" s="2">
        <f t="shared" si="17"/>
        <v>-1</v>
      </c>
      <c r="T245" s="4">
        <f t="shared" si="18"/>
        <v>0</v>
      </c>
      <c r="U245" s="2" t="str">
        <f t="shared" si="5"/>
        <v xml:space="preserve"> - </v>
      </c>
      <c r="V245" s="1"/>
      <c r="W245" s="1"/>
      <c r="X245" s="1"/>
      <c r="Y245" s="1"/>
      <c r="Z245" s="1"/>
      <c r="AA245" s="2"/>
      <c r="AB245" s="2"/>
      <c r="AC245" s="2"/>
    </row>
    <row r="246" spans="1:29" ht="12.75" customHeight="1">
      <c r="A246" s="1"/>
      <c r="B246" s="5"/>
      <c r="C246" s="22"/>
      <c r="D246" s="24"/>
      <c r="E246" s="26"/>
      <c r="F246" s="28"/>
      <c r="G246" s="29"/>
      <c r="H246" s="28"/>
      <c r="I246" s="29"/>
      <c r="J246" s="28"/>
      <c r="K246" s="28"/>
      <c r="L246" s="28"/>
      <c r="M246" s="5"/>
      <c r="N246" s="1"/>
      <c r="O246" s="4">
        <f t="shared" si="15"/>
        <v>0</v>
      </c>
      <c r="P246" s="4">
        <f t="shared" si="16"/>
        <v>0</v>
      </c>
      <c r="Q246" s="4">
        <f t="shared" si="2"/>
        <v>0</v>
      </c>
      <c r="R246" s="4">
        <f t="shared" si="3"/>
        <v>0</v>
      </c>
      <c r="S246" s="2">
        <f t="shared" si="17"/>
        <v>-1</v>
      </c>
      <c r="T246" s="4">
        <f t="shared" si="18"/>
        <v>0</v>
      </c>
      <c r="U246" s="2" t="str">
        <f t="shared" si="5"/>
        <v xml:space="preserve"> - </v>
      </c>
      <c r="V246" s="1"/>
      <c r="W246" s="1"/>
      <c r="X246" s="1"/>
      <c r="Y246" s="1"/>
      <c r="Z246" s="1"/>
      <c r="AA246" s="2"/>
      <c r="AB246" s="2"/>
      <c r="AC246" s="2"/>
    </row>
    <row r="247" spans="1:29" ht="12.75" customHeight="1">
      <c r="A247" s="1"/>
      <c r="B247" s="5"/>
      <c r="C247" s="22"/>
      <c r="D247" s="24"/>
      <c r="E247" s="26"/>
      <c r="F247" s="28"/>
      <c r="G247" s="29"/>
      <c r="H247" s="28"/>
      <c r="I247" s="29"/>
      <c r="J247" s="28"/>
      <c r="K247" s="28"/>
      <c r="L247" s="28"/>
      <c r="M247" s="5"/>
      <c r="N247" s="1"/>
      <c r="O247" s="4">
        <f t="shared" si="15"/>
        <v>0</v>
      </c>
      <c r="P247" s="4">
        <f t="shared" si="16"/>
        <v>0</v>
      </c>
      <c r="Q247" s="4">
        <f t="shared" si="2"/>
        <v>0</v>
      </c>
      <c r="R247" s="4">
        <f t="shared" si="3"/>
        <v>0</v>
      </c>
      <c r="S247" s="2">
        <f t="shared" si="17"/>
        <v>-1</v>
      </c>
      <c r="T247" s="4">
        <f t="shared" si="18"/>
        <v>0</v>
      </c>
      <c r="U247" s="2" t="str">
        <f t="shared" si="5"/>
        <v xml:space="preserve"> - </v>
      </c>
      <c r="V247" s="1"/>
      <c r="W247" s="1"/>
      <c r="X247" s="1"/>
      <c r="Y247" s="1"/>
      <c r="Z247" s="1"/>
      <c r="AA247" s="2"/>
      <c r="AB247" s="2"/>
      <c r="AC247" s="2"/>
    </row>
    <row r="248" spans="1:29" ht="12.75" customHeight="1">
      <c r="A248" s="1"/>
      <c r="B248" s="5"/>
      <c r="C248" s="22"/>
      <c r="D248" s="24"/>
      <c r="E248" s="26"/>
      <c r="F248" s="28"/>
      <c r="G248" s="29"/>
      <c r="H248" s="28"/>
      <c r="I248" s="29"/>
      <c r="J248" s="28"/>
      <c r="K248" s="28"/>
      <c r="L248" s="28"/>
      <c r="M248" s="5"/>
      <c r="N248" s="1"/>
      <c r="O248" s="4">
        <f t="shared" si="15"/>
        <v>0</v>
      </c>
      <c r="P248" s="4">
        <f t="shared" si="16"/>
        <v>0</v>
      </c>
      <c r="Q248" s="4">
        <f t="shared" si="2"/>
        <v>0</v>
      </c>
      <c r="R248" s="4">
        <f t="shared" si="3"/>
        <v>0</v>
      </c>
      <c r="S248" s="2">
        <f t="shared" si="17"/>
        <v>-1</v>
      </c>
      <c r="T248" s="4">
        <f t="shared" si="18"/>
        <v>0</v>
      </c>
      <c r="U248" s="2" t="str">
        <f t="shared" si="5"/>
        <v xml:space="preserve"> - </v>
      </c>
      <c r="V248" s="1"/>
      <c r="W248" s="1"/>
      <c r="X248" s="1"/>
      <c r="Y248" s="1"/>
      <c r="Z248" s="1"/>
      <c r="AA248" s="2"/>
      <c r="AB248" s="2"/>
      <c r="AC248" s="2"/>
    </row>
    <row r="249" spans="1:29" ht="12.75" customHeight="1">
      <c r="A249" s="1"/>
      <c r="B249" s="5"/>
      <c r="C249" s="22"/>
      <c r="D249" s="24"/>
      <c r="E249" s="26"/>
      <c r="F249" s="28"/>
      <c r="G249" s="29"/>
      <c r="H249" s="28"/>
      <c r="I249" s="29"/>
      <c r="J249" s="28"/>
      <c r="K249" s="28"/>
      <c r="L249" s="28"/>
      <c r="M249" s="5"/>
      <c r="N249" s="1"/>
      <c r="O249" s="4">
        <f t="shared" si="15"/>
        <v>0</v>
      </c>
      <c r="P249" s="4">
        <f t="shared" si="16"/>
        <v>0</v>
      </c>
      <c r="Q249" s="4">
        <f t="shared" si="2"/>
        <v>0</v>
      </c>
      <c r="R249" s="4">
        <f t="shared" si="3"/>
        <v>0</v>
      </c>
      <c r="S249" s="2">
        <f t="shared" si="17"/>
        <v>-1</v>
      </c>
      <c r="T249" s="4">
        <f t="shared" si="18"/>
        <v>0</v>
      </c>
      <c r="U249" s="2" t="str">
        <f t="shared" si="5"/>
        <v xml:space="preserve"> - </v>
      </c>
      <c r="V249" s="1"/>
      <c r="W249" s="1"/>
      <c r="X249" s="1"/>
      <c r="Y249" s="1"/>
      <c r="Z249" s="1"/>
      <c r="AA249" s="2"/>
      <c r="AB249" s="2"/>
      <c r="AC249" s="2"/>
    </row>
    <row r="250" spans="1:29" ht="12.75" customHeight="1">
      <c r="A250" s="1"/>
      <c r="B250" s="5"/>
      <c r="C250" s="22"/>
      <c r="D250" s="24"/>
      <c r="E250" s="26"/>
      <c r="F250" s="28"/>
      <c r="G250" s="29"/>
      <c r="H250" s="28"/>
      <c r="I250" s="29"/>
      <c r="J250" s="28"/>
      <c r="K250" s="28"/>
      <c r="L250" s="28"/>
      <c r="M250" s="5"/>
      <c r="N250" s="1"/>
      <c r="O250" s="4">
        <f t="shared" si="15"/>
        <v>0</v>
      </c>
      <c r="P250" s="4">
        <f t="shared" si="16"/>
        <v>0</v>
      </c>
      <c r="Q250" s="4">
        <f t="shared" si="2"/>
        <v>0</v>
      </c>
      <c r="R250" s="4">
        <f t="shared" si="3"/>
        <v>0</v>
      </c>
      <c r="S250" s="2">
        <f t="shared" si="17"/>
        <v>-1</v>
      </c>
      <c r="T250" s="4">
        <f t="shared" si="18"/>
        <v>0</v>
      </c>
      <c r="U250" s="2" t="str">
        <f t="shared" si="5"/>
        <v xml:space="preserve"> - </v>
      </c>
      <c r="V250" s="1"/>
      <c r="W250" s="1"/>
      <c r="X250" s="1"/>
      <c r="Y250" s="1"/>
      <c r="Z250" s="1"/>
      <c r="AA250" s="2"/>
      <c r="AB250" s="2"/>
      <c r="AC250" s="2"/>
    </row>
    <row r="251" spans="1:29" ht="12.75" customHeight="1">
      <c r="A251" s="1"/>
      <c r="B251" s="5"/>
      <c r="C251" s="22"/>
      <c r="D251" s="24"/>
      <c r="E251" s="26"/>
      <c r="F251" s="28"/>
      <c r="G251" s="29"/>
      <c r="H251" s="28"/>
      <c r="I251" s="29"/>
      <c r="J251" s="28"/>
      <c r="K251" s="28"/>
      <c r="L251" s="28"/>
      <c r="M251" s="5"/>
      <c r="N251" s="1"/>
      <c r="O251" s="4">
        <f t="shared" si="15"/>
        <v>0</v>
      </c>
      <c r="P251" s="4">
        <f t="shared" si="16"/>
        <v>0</v>
      </c>
      <c r="Q251" s="4">
        <f t="shared" si="2"/>
        <v>0</v>
      </c>
      <c r="R251" s="4">
        <f t="shared" si="3"/>
        <v>0</v>
      </c>
      <c r="S251" s="2">
        <f t="shared" si="17"/>
        <v>-1</v>
      </c>
      <c r="T251" s="4">
        <f t="shared" si="18"/>
        <v>0</v>
      </c>
      <c r="U251" s="2" t="str">
        <f t="shared" si="5"/>
        <v xml:space="preserve"> - </v>
      </c>
      <c r="V251" s="1"/>
      <c r="W251" s="1"/>
      <c r="X251" s="1"/>
      <c r="Y251" s="1"/>
      <c r="Z251" s="1"/>
      <c r="AA251" s="2"/>
      <c r="AB251" s="2"/>
      <c r="AC251" s="2"/>
    </row>
    <row r="252" spans="1:29" ht="12.75" customHeight="1">
      <c r="A252" s="1"/>
      <c r="B252" s="5"/>
      <c r="C252" s="22"/>
      <c r="D252" s="24"/>
      <c r="E252" s="26"/>
      <c r="F252" s="28"/>
      <c r="G252" s="29"/>
      <c r="H252" s="28"/>
      <c r="I252" s="29"/>
      <c r="J252" s="28"/>
      <c r="K252" s="28"/>
      <c r="L252" s="28"/>
      <c r="M252" s="5"/>
      <c r="N252" s="1"/>
      <c r="O252" s="4">
        <f t="shared" si="15"/>
        <v>0</v>
      </c>
      <c r="P252" s="4">
        <f t="shared" si="16"/>
        <v>0</v>
      </c>
      <c r="Q252" s="4">
        <f t="shared" si="2"/>
        <v>0</v>
      </c>
      <c r="R252" s="4">
        <f t="shared" si="3"/>
        <v>0</v>
      </c>
      <c r="S252" s="2">
        <f t="shared" si="17"/>
        <v>-1</v>
      </c>
      <c r="T252" s="4">
        <f t="shared" si="18"/>
        <v>0</v>
      </c>
      <c r="U252" s="2" t="str">
        <f t="shared" si="5"/>
        <v xml:space="preserve"> - </v>
      </c>
      <c r="V252" s="1"/>
      <c r="W252" s="1"/>
      <c r="X252" s="1"/>
      <c r="Y252" s="1"/>
      <c r="Z252" s="1"/>
      <c r="AA252" s="2"/>
      <c r="AB252" s="2"/>
      <c r="AC252" s="2"/>
    </row>
    <row r="253" spans="1:29" ht="12.75" customHeight="1">
      <c r="A253" s="1"/>
      <c r="B253" s="5"/>
      <c r="C253" s="22"/>
      <c r="D253" s="24"/>
      <c r="E253" s="26"/>
      <c r="F253" s="28"/>
      <c r="G253" s="29"/>
      <c r="H253" s="28"/>
      <c r="I253" s="29"/>
      <c r="J253" s="28"/>
      <c r="K253" s="28"/>
      <c r="L253" s="28"/>
      <c r="M253" s="5"/>
      <c r="N253" s="1"/>
      <c r="O253" s="4">
        <f t="shared" si="15"/>
        <v>0</v>
      </c>
      <c r="P253" s="4">
        <f t="shared" si="16"/>
        <v>0</v>
      </c>
      <c r="Q253" s="4">
        <f t="shared" si="2"/>
        <v>0</v>
      </c>
      <c r="R253" s="4">
        <f t="shared" si="3"/>
        <v>0</v>
      </c>
      <c r="S253" s="2">
        <f t="shared" si="17"/>
        <v>-1</v>
      </c>
      <c r="T253" s="4">
        <f t="shared" si="18"/>
        <v>0</v>
      </c>
      <c r="U253" s="2" t="str">
        <f t="shared" si="5"/>
        <v xml:space="preserve"> - </v>
      </c>
      <c r="V253" s="1"/>
      <c r="W253" s="1"/>
      <c r="X253" s="1"/>
      <c r="Y253" s="1"/>
      <c r="Z253" s="1"/>
      <c r="AA253" s="2"/>
      <c r="AB253" s="2"/>
      <c r="AC253" s="2"/>
    </row>
    <row r="254" spans="1:29" ht="12.75" customHeight="1">
      <c r="A254" s="1"/>
      <c r="B254" s="5"/>
      <c r="C254" s="22"/>
      <c r="D254" s="24"/>
      <c r="E254" s="26"/>
      <c r="F254" s="28"/>
      <c r="G254" s="29"/>
      <c r="H254" s="28"/>
      <c r="I254" s="29"/>
      <c r="J254" s="28"/>
      <c r="K254" s="28"/>
      <c r="L254" s="28"/>
      <c r="M254" s="5"/>
      <c r="N254" s="1"/>
      <c r="O254" s="4">
        <f t="shared" si="15"/>
        <v>0</v>
      </c>
      <c r="P254" s="4">
        <f t="shared" si="16"/>
        <v>0</v>
      </c>
      <c r="Q254" s="4">
        <f t="shared" si="2"/>
        <v>0</v>
      </c>
      <c r="R254" s="4">
        <f t="shared" si="3"/>
        <v>0</v>
      </c>
      <c r="S254" s="2">
        <f t="shared" si="17"/>
        <v>-1</v>
      </c>
      <c r="T254" s="4">
        <f t="shared" si="18"/>
        <v>0</v>
      </c>
      <c r="U254" s="2" t="str">
        <f t="shared" si="5"/>
        <v xml:space="preserve"> - </v>
      </c>
      <c r="V254" s="1"/>
      <c r="W254" s="1"/>
      <c r="X254" s="1"/>
      <c r="Y254" s="1"/>
      <c r="Z254" s="1"/>
      <c r="AA254" s="2"/>
      <c r="AB254" s="2"/>
      <c r="AC254" s="2"/>
    </row>
    <row r="255" spans="1:29" ht="12.75" customHeight="1">
      <c r="A255" s="1"/>
      <c r="B255" s="5"/>
      <c r="C255" s="22"/>
      <c r="D255" s="24"/>
      <c r="E255" s="26"/>
      <c r="F255" s="28"/>
      <c r="G255" s="29"/>
      <c r="H255" s="28"/>
      <c r="I255" s="29"/>
      <c r="J255" s="28"/>
      <c r="K255" s="28"/>
      <c r="L255" s="28"/>
      <c r="M255" s="5"/>
      <c r="N255" s="1"/>
      <c r="O255" s="4">
        <f t="shared" si="15"/>
        <v>0</v>
      </c>
      <c r="P255" s="4">
        <f t="shared" si="16"/>
        <v>0</v>
      </c>
      <c r="Q255" s="4">
        <f t="shared" si="2"/>
        <v>0</v>
      </c>
      <c r="R255" s="4">
        <f t="shared" si="3"/>
        <v>0</v>
      </c>
      <c r="S255" s="2">
        <f t="shared" si="17"/>
        <v>-1</v>
      </c>
      <c r="T255" s="4">
        <f t="shared" si="18"/>
        <v>0</v>
      </c>
      <c r="U255" s="2" t="str">
        <f t="shared" si="5"/>
        <v xml:space="preserve"> - </v>
      </c>
      <c r="V255" s="1"/>
      <c r="W255" s="1"/>
      <c r="X255" s="1"/>
      <c r="Y255" s="1"/>
      <c r="Z255" s="1"/>
      <c r="AA255" s="2"/>
      <c r="AB255" s="2"/>
      <c r="AC255" s="2"/>
    </row>
    <row r="256" spans="1:29" ht="12.75" customHeight="1">
      <c r="A256" s="1"/>
      <c r="B256" s="5"/>
      <c r="C256" s="22"/>
      <c r="D256" s="24"/>
      <c r="E256" s="26"/>
      <c r="F256" s="28"/>
      <c r="G256" s="29"/>
      <c r="H256" s="28"/>
      <c r="I256" s="29"/>
      <c r="J256" s="28"/>
      <c r="K256" s="28"/>
      <c r="L256" s="28"/>
      <c r="M256" s="5"/>
      <c r="N256" s="1"/>
      <c r="O256" s="4">
        <f t="shared" si="15"/>
        <v>0</v>
      </c>
      <c r="P256" s="4">
        <f t="shared" si="16"/>
        <v>0</v>
      </c>
      <c r="Q256" s="4">
        <f t="shared" si="2"/>
        <v>0</v>
      </c>
      <c r="R256" s="4">
        <f t="shared" si="3"/>
        <v>0</v>
      </c>
      <c r="S256" s="2">
        <f t="shared" si="17"/>
        <v>-1</v>
      </c>
      <c r="T256" s="4">
        <f t="shared" si="18"/>
        <v>0</v>
      </c>
      <c r="U256" s="2" t="str">
        <f t="shared" si="5"/>
        <v xml:space="preserve"> - </v>
      </c>
      <c r="V256" s="1"/>
      <c r="W256" s="1"/>
      <c r="X256" s="1"/>
      <c r="Y256" s="1"/>
      <c r="Z256" s="1"/>
      <c r="AA256" s="2"/>
      <c r="AB256" s="2"/>
      <c r="AC256" s="2"/>
    </row>
    <row r="257" spans="1:29" ht="12.75" customHeight="1">
      <c r="A257" s="1"/>
      <c r="B257" s="5"/>
      <c r="C257" s="22"/>
      <c r="D257" s="24"/>
      <c r="E257" s="26"/>
      <c r="F257" s="28"/>
      <c r="G257" s="29"/>
      <c r="H257" s="28"/>
      <c r="I257" s="29"/>
      <c r="J257" s="28"/>
      <c r="K257" s="28"/>
      <c r="L257" s="28"/>
      <c r="M257" s="5"/>
      <c r="N257" s="1"/>
      <c r="O257" s="4">
        <f t="shared" si="15"/>
        <v>0</v>
      </c>
      <c r="P257" s="4">
        <f t="shared" si="16"/>
        <v>0</v>
      </c>
      <c r="Q257" s="4">
        <f t="shared" si="2"/>
        <v>0</v>
      </c>
      <c r="R257" s="4">
        <f t="shared" si="3"/>
        <v>0</v>
      </c>
      <c r="S257" s="2">
        <f t="shared" si="17"/>
        <v>-1</v>
      </c>
      <c r="T257" s="4">
        <f t="shared" si="18"/>
        <v>0</v>
      </c>
      <c r="U257" s="2" t="str">
        <f t="shared" si="5"/>
        <v xml:space="preserve"> - </v>
      </c>
      <c r="V257" s="1"/>
      <c r="W257" s="1"/>
      <c r="X257" s="1"/>
      <c r="Y257" s="1"/>
      <c r="Z257" s="1"/>
      <c r="AA257" s="2"/>
      <c r="AB257" s="2"/>
      <c r="AC257" s="2"/>
    </row>
    <row r="258" spans="1:29" ht="12.75" customHeight="1">
      <c r="A258" s="1"/>
      <c r="B258" s="5"/>
      <c r="C258" s="22"/>
      <c r="D258" s="24"/>
      <c r="E258" s="26"/>
      <c r="F258" s="28"/>
      <c r="G258" s="29"/>
      <c r="H258" s="28"/>
      <c r="I258" s="29"/>
      <c r="J258" s="28"/>
      <c r="K258" s="28"/>
      <c r="L258" s="28"/>
      <c r="M258" s="5"/>
      <c r="N258" s="1"/>
      <c r="O258" s="4">
        <f t="shared" si="15"/>
        <v>0</v>
      </c>
      <c r="P258" s="4">
        <f t="shared" si="16"/>
        <v>0</v>
      </c>
      <c r="Q258" s="4">
        <f t="shared" si="2"/>
        <v>0</v>
      </c>
      <c r="R258" s="4">
        <f t="shared" si="3"/>
        <v>0</v>
      </c>
      <c r="S258" s="2">
        <f t="shared" si="17"/>
        <v>-1</v>
      </c>
      <c r="T258" s="4">
        <f t="shared" si="18"/>
        <v>0</v>
      </c>
      <c r="U258" s="2" t="str">
        <f t="shared" si="5"/>
        <v xml:space="preserve"> - </v>
      </c>
      <c r="V258" s="1"/>
      <c r="W258" s="1"/>
      <c r="X258" s="1"/>
      <c r="Y258" s="1"/>
      <c r="Z258" s="1"/>
      <c r="AA258" s="2"/>
      <c r="AB258" s="2"/>
      <c r="AC258" s="2"/>
    </row>
    <row r="259" spans="1:29" ht="12.75" customHeight="1">
      <c r="A259" s="1"/>
      <c r="B259" s="5"/>
      <c r="C259" s="22"/>
      <c r="D259" s="24"/>
      <c r="E259" s="26"/>
      <c r="F259" s="28"/>
      <c r="G259" s="29"/>
      <c r="H259" s="28"/>
      <c r="I259" s="29"/>
      <c r="J259" s="28"/>
      <c r="K259" s="28"/>
      <c r="L259" s="28"/>
      <c r="M259" s="5"/>
      <c r="N259" s="1"/>
      <c r="O259" s="4">
        <f t="shared" si="15"/>
        <v>0</v>
      </c>
      <c r="P259" s="4">
        <f t="shared" si="16"/>
        <v>0</v>
      </c>
      <c r="Q259" s="4">
        <f t="shared" si="2"/>
        <v>0</v>
      </c>
      <c r="R259" s="4">
        <f t="shared" si="3"/>
        <v>0</v>
      </c>
      <c r="S259" s="2">
        <f t="shared" si="17"/>
        <v>-1</v>
      </c>
      <c r="T259" s="4">
        <f t="shared" si="18"/>
        <v>0</v>
      </c>
      <c r="U259" s="2" t="str">
        <f t="shared" si="5"/>
        <v xml:space="preserve"> - </v>
      </c>
      <c r="V259" s="1"/>
      <c r="W259" s="1"/>
      <c r="X259" s="1"/>
      <c r="Y259" s="1"/>
      <c r="Z259" s="1"/>
      <c r="AA259" s="2"/>
      <c r="AB259" s="2"/>
      <c r="AC259" s="2"/>
    </row>
    <row r="260" spans="1:29" ht="12.75" customHeight="1">
      <c r="A260" s="1"/>
      <c r="B260" s="5"/>
      <c r="C260" s="22"/>
      <c r="D260" s="24"/>
      <c r="E260" s="26"/>
      <c r="F260" s="28"/>
      <c r="G260" s="29"/>
      <c r="H260" s="28"/>
      <c r="I260" s="29"/>
      <c r="J260" s="28"/>
      <c r="K260" s="28"/>
      <c r="L260" s="28"/>
      <c r="M260" s="5"/>
      <c r="N260" s="1"/>
      <c r="O260" s="4">
        <f t="shared" ref="O260:O323" si="19">IF($L260&lt;&gt;"",$Q260*PTS_WIN+$R260*PTS_LOSS+(1-$Q260-$R260)*PTS_TIE+MAX(MIN(MAX(PTS_TD_MIN,MIN(PTS_TD_MAX,MAX(0,$F260-PTS_TD_THRESHOLD)*PTS_PER_TD_FOR*IF($H260-PTS_CS_THRESHOLD&gt;0,1,1-PTS_TD_CS_COMB_THRES)+MAX(0,$G260-PTS_TD_THRESHOLD)*PTS_PER_TD_AG*IF($I260-PTS_CS_THRESHOLD&gt;0,1,1-PTS_TD_CS_COMB_THRES)))+MAX(PTS_CS_MIN,MIN(PTS_CS_MAX,MAX(0,$H260-PTS_CS_THRESHOLD)*PTS_PER_CS_FOR*IF($F260-PTS_TD_THRESHOLD&gt;0,1,1-PTS_TD_CS_COMB_THRES)+MAX(0,$I260-PTS_CS_THRESHOLD)*PTS_PER_CS_AG*IF($G260-PTS_TD_THRESHOLD&gt;0,1,1-PTS_TD_CS_COMB_THRES))),PTS_TD_CS_MAX),PTS_TD_CS_MIN),0)</f>
        <v>0</v>
      </c>
      <c r="P260" s="4">
        <f t="shared" ref="P260:P323" si="20">IF($L260&lt;&gt;"",$R260*PTS_WIN+$Q260*PTS_LOSS+(1-$Q260-$R260)*PTS_TIE+MAX(MIN(MAX(PTS_TD_MIN,MIN(PTS_TD_MAX,MAX(0,$G260-PTS_TD_THRESHOLD)*PTS_PER_TD_FOR*IF($I260-PTS_CS_THRESHOLD&gt;0,1,1-PTS_TD_CS_COMB_THRES)+MAX(0,$F260-PTS_TD_THRESHOLD)*PTS_PER_TD_AG*IF($H260-PTS_CS_THRESHOLD&gt;0,1,1-PTS_TD_CS_COMB_THRES)))+MAX(PTS_CS_MIN,MIN(PTS_CS_MAX,MAX(0,$I260-PTS_CS_THRESHOLD)*PTS_PER_CS_FOR*IF($G260-PTS_TD_THRESHOLD&gt;0,1,1-PTS_TD_CS_COMB_THRES)+MAX(0,$H260-PTS_CS_THRESHOLD)*PTS_PER_CS_AG*IF($F260-PTS_TD_THRESHOLD&gt;0,1,1-PTS_TD_CS_COMB_THRES))),PTS_TD_CS_MAX),PTS_TD_CS_MIN),0)</f>
        <v>0</v>
      </c>
      <c r="Q260" s="4">
        <f t="shared" si="2"/>
        <v>0</v>
      </c>
      <c r="R260" s="4">
        <f t="shared" si="3"/>
        <v>0</v>
      </c>
      <c r="S260" s="2">
        <f t="shared" ref="S260:S323" si="21">IF(T260&gt;0,RANK(T260,RES_GATE),-1)</f>
        <v>-1</v>
      </c>
      <c r="T260" s="4">
        <f t="shared" si="18"/>
        <v>0</v>
      </c>
      <c r="U260" s="2" t="str">
        <f t="shared" si="5"/>
        <v xml:space="preserve"> - </v>
      </c>
      <c r="V260" s="1"/>
      <c r="W260" s="1"/>
      <c r="X260" s="1"/>
      <c r="Y260" s="1"/>
      <c r="Z260" s="1"/>
      <c r="AA260" s="2"/>
      <c r="AB260" s="2"/>
      <c r="AC260" s="2"/>
    </row>
    <row r="261" spans="1:29" ht="12.75" customHeight="1">
      <c r="A261" s="1"/>
      <c r="B261" s="5"/>
      <c r="C261" s="22"/>
      <c r="D261" s="24"/>
      <c r="E261" s="26"/>
      <c r="F261" s="28"/>
      <c r="G261" s="29"/>
      <c r="H261" s="28"/>
      <c r="I261" s="29"/>
      <c r="J261" s="28"/>
      <c r="K261" s="28"/>
      <c r="L261" s="28"/>
      <c r="M261" s="5"/>
      <c r="N261" s="1"/>
      <c r="O261" s="4">
        <f t="shared" si="19"/>
        <v>0</v>
      </c>
      <c r="P261" s="4">
        <f t="shared" si="20"/>
        <v>0</v>
      </c>
      <c r="Q261" s="4">
        <f t="shared" si="2"/>
        <v>0</v>
      </c>
      <c r="R261" s="4">
        <f t="shared" si="3"/>
        <v>0</v>
      </c>
      <c r="S261" s="2">
        <f t="shared" si="21"/>
        <v>-1</v>
      </c>
      <c r="T261" s="4">
        <f t="shared" ref="T261:T324" si="22">IF(NOT(ISERROR(MATCH(L261,Team_Stat_Sel,0))),J261+K261+1/(ROW()+777777777),0)</f>
        <v>0</v>
      </c>
      <c r="U261" s="2" t="str">
        <f t="shared" si="5"/>
        <v xml:space="preserve"> - </v>
      </c>
      <c r="V261" s="1"/>
      <c r="W261" s="1"/>
      <c r="X261" s="1"/>
      <c r="Y261" s="1"/>
      <c r="Z261" s="1"/>
      <c r="AA261" s="2"/>
      <c r="AB261" s="2"/>
      <c r="AC261" s="2"/>
    </row>
    <row r="262" spans="1:29" ht="12.75" customHeight="1">
      <c r="A262" s="1"/>
      <c r="B262" s="5"/>
      <c r="C262" s="22"/>
      <c r="D262" s="24"/>
      <c r="E262" s="26"/>
      <c r="F262" s="28"/>
      <c r="G262" s="29"/>
      <c r="H262" s="28"/>
      <c r="I262" s="29"/>
      <c r="J262" s="28"/>
      <c r="K262" s="28"/>
      <c r="L262" s="28"/>
      <c r="M262" s="5"/>
      <c r="N262" s="1"/>
      <c r="O262" s="4">
        <f t="shared" si="19"/>
        <v>0</v>
      </c>
      <c r="P262" s="4">
        <f t="shared" si="20"/>
        <v>0</v>
      </c>
      <c r="Q262" s="4">
        <f t="shared" si="2"/>
        <v>0</v>
      </c>
      <c r="R262" s="4">
        <f t="shared" si="3"/>
        <v>0</v>
      </c>
      <c r="S262" s="2">
        <f t="shared" si="21"/>
        <v>-1</v>
      </c>
      <c r="T262" s="4">
        <f t="shared" si="22"/>
        <v>0</v>
      </c>
      <c r="U262" s="2" t="str">
        <f t="shared" si="5"/>
        <v xml:space="preserve"> - </v>
      </c>
      <c r="V262" s="1"/>
      <c r="W262" s="1"/>
      <c r="X262" s="1"/>
      <c r="Y262" s="1"/>
      <c r="Z262" s="1"/>
      <c r="AA262" s="2"/>
      <c r="AB262" s="2"/>
      <c r="AC262" s="2"/>
    </row>
    <row r="263" spans="1:29" ht="12.75" customHeight="1">
      <c r="A263" s="1"/>
      <c r="B263" s="5"/>
      <c r="C263" s="22"/>
      <c r="D263" s="24"/>
      <c r="E263" s="26"/>
      <c r="F263" s="28"/>
      <c r="G263" s="29"/>
      <c r="H263" s="28"/>
      <c r="I263" s="29"/>
      <c r="J263" s="28"/>
      <c r="K263" s="28"/>
      <c r="L263" s="28"/>
      <c r="M263" s="5"/>
      <c r="N263" s="1"/>
      <c r="O263" s="4">
        <f t="shared" si="19"/>
        <v>0</v>
      </c>
      <c r="P263" s="4">
        <f t="shared" si="20"/>
        <v>0</v>
      </c>
      <c r="Q263" s="4">
        <f t="shared" si="2"/>
        <v>0</v>
      </c>
      <c r="R263" s="4">
        <f t="shared" si="3"/>
        <v>0</v>
      </c>
      <c r="S263" s="2">
        <f t="shared" si="21"/>
        <v>-1</v>
      </c>
      <c r="T263" s="4">
        <f t="shared" si="22"/>
        <v>0</v>
      </c>
      <c r="U263" s="2" t="str">
        <f t="shared" si="5"/>
        <v xml:space="preserve"> - </v>
      </c>
      <c r="V263" s="1"/>
      <c r="W263" s="1"/>
      <c r="X263" s="1"/>
      <c r="Y263" s="1"/>
      <c r="Z263" s="1"/>
      <c r="AA263" s="2"/>
      <c r="AB263" s="2"/>
      <c r="AC263" s="2"/>
    </row>
    <row r="264" spans="1:29" ht="12.75" customHeight="1">
      <c r="A264" s="1"/>
      <c r="B264" s="5"/>
      <c r="C264" s="22"/>
      <c r="D264" s="24"/>
      <c r="E264" s="26"/>
      <c r="F264" s="28"/>
      <c r="G264" s="29"/>
      <c r="H264" s="28"/>
      <c r="I264" s="29"/>
      <c r="J264" s="28"/>
      <c r="K264" s="28"/>
      <c r="L264" s="28"/>
      <c r="M264" s="5"/>
      <c r="N264" s="1"/>
      <c r="O264" s="4">
        <f t="shared" si="19"/>
        <v>0</v>
      </c>
      <c r="P264" s="4">
        <f t="shared" si="20"/>
        <v>0</v>
      </c>
      <c r="Q264" s="4">
        <f t="shared" si="2"/>
        <v>0</v>
      </c>
      <c r="R264" s="4">
        <f t="shared" si="3"/>
        <v>0</v>
      </c>
      <c r="S264" s="2">
        <f t="shared" si="21"/>
        <v>-1</v>
      </c>
      <c r="T264" s="4">
        <f t="shared" si="22"/>
        <v>0</v>
      </c>
      <c r="U264" s="2" t="str">
        <f t="shared" si="5"/>
        <v xml:space="preserve"> - </v>
      </c>
      <c r="V264" s="1"/>
      <c r="W264" s="1"/>
      <c r="X264" s="1"/>
      <c r="Y264" s="1"/>
      <c r="Z264" s="1"/>
      <c r="AA264" s="2"/>
      <c r="AB264" s="2"/>
      <c r="AC264" s="2"/>
    </row>
    <row r="265" spans="1:29" ht="12.75" customHeight="1">
      <c r="A265" s="1"/>
      <c r="B265" s="5"/>
      <c r="C265" s="22"/>
      <c r="D265" s="24"/>
      <c r="E265" s="26"/>
      <c r="F265" s="28"/>
      <c r="G265" s="29"/>
      <c r="H265" s="28"/>
      <c r="I265" s="29"/>
      <c r="J265" s="28"/>
      <c r="K265" s="28"/>
      <c r="L265" s="28"/>
      <c r="M265" s="5"/>
      <c r="N265" s="1"/>
      <c r="O265" s="4">
        <f t="shared" si="19"/>
        <v>0</v>
      </c>
      <c r="P265" s="4">
        <f t="shared" si="20"/>
        <v>0</v>
      </c>
      <c r="Q265" s="4">
        <f t="shared" si="2"/>
        <v>0</v>
      </c>
      <c r="R265" s="4">
        <f t="shared" si="3"/>
        <v>0</v>
      </c>
      <c r="S265" s="2">
        <f t="shared" si="21"/>
        <v>-1</v>
      </c>
      <c r="T265" s="4">
        <f t="shared" si="22"/>
        <v>0</v>
      </c>
      <c r="U265" s="2" t="str">
        <f t="shared" si="5"/>
        <v xml:space="preserve"> - </v>
      </c>
      <c r="V265" s="1"/>
      <c r="W265" s="1"/>
      <c r="X265" s="1"/>
      <c r="Y265" s="1"/>
      <c r="Z265" s="1"/>
      <c r="AA265" s="2"/>
      <c r="AB265" s="2"/>
      <c r="AC265" s="2"/>
    </row>
    <row r="266" spans="1:29" ht="12.75" customHeight="1">
      <c r="A266" s="1"/>
      <c r="B266" s="5"/>
      <c r="C266" s="22"/>
      <c r="D266" s="24"/>
      <c r="E266" s="26"/>
      <c r="F266" s="28"/>
      <c r="G266" s="29"/>
      <c r="H266" s="28"/>
      <c r="I266" s="29"/>
      <c r="J266" s="28"/>
      <c r="K266" s="28"/>
      <c r="L266" s="28"/>
      <c r="M266" s="5"/>
      <c r="N266" s="1"/>
      <c r="O266" s="4">
        <f t="shared" si="19"/>
        <v>0</v>
      </c>
      <c r="P266" s="4">
        <f t="shared" si="20"/>
        <v>0</v>
      </c>
      <c r="Q266" s="4">
        <f t="shared" si="2"/>
        <v>0</v>
      </c>
      <c r="R266" s="4">
        <f t="shared" si="3"/>
        <v>0</v>
      </c>
      <c r="S266" s="2">
        <f t="shared" si="21"/>
        <v>-1</v>
      </c>
      <c r="T266" s="4">
        <f t="shared" si="22"/>
        <v>0</v>
      </c>
      <c r="U266" s="2" t="str">
        <f t="shared" si="5"/>
        <v xml:space="preserve"> - </v>
      </c>
      <c r="V266" s="1"/>
      <c r="W266" s="1"/>
      <c r="X266" s="1"/>
      <c r="Y266" s="1"/>
      <c r="Z266" s="1"/>
      <c r="AA266" s="2"/>
      <c r="AB266" s="2"/>
      <c r="AC266" s="2"/>
    </row>
    <row r="267" spans="1:29" ht="12.75" customHeight="1">
      <c r="A267" s="1"/>
      <c r="B267" s="5"/>
      <c r="C267" s="22"/>
      <c r="D267" s="24"/>
      <c r="E267" s="26"/>
      <c r="F267" s="28"/>
      <c r="G267" s="29"/>
      <c r="H267" s="28"/>
      <c r="I267" s="29"/>
      <c r="J267" s="28"/>
      <c r="K267" s="28"/>
      <c r="L267" s="28"/>
      <c r="M267" s="5"/>
      <c r="N267" s="1"/>
      <c r="O267" s="4">
        <f t="shared" si="19"/>
        <v>0</v>
      </c>
      <c r="P267" s="4">
        <f t="shared" si="20"/>
        <v>0</v>
      </c>
      <c r="Q267" s="4">
        <f t="shared" si="2"/>
        <v>0</v>
      </c>
      <c r="R267" s="4">
        <f t="shared" si="3"/>
        <v>0</v>
      </c>
      <c r="S267" s="2">
        <f t="shared" si="21"/>
        <v>-1</v>
      </c>
      <c r="T267" s="4">
        <f t="shared" si="22"/>
        <v>0</v>
      </c>
      <c r="U267" s="2" t="str">
        <f t="shared" si="5"/>
        <v xml:space="preserve"> - </v>
      </c>
      <c r="V267" s="1"/>
      <c r="W267" s="1"/>
      <c r="X267" s="1"/>
      <c r="Y267" s="1"/>
      <c r="Z267" s="1"/>
      <c r="AA267" s="2"/>
      <c r="AB267" s="2"/>
      <c r="AC267" s="2"/>
    </row>
    <row r="268" spans="1:29" ht="12.75" customHeight="1">
      <c r="A268" s="1"/>
      <c r="B268" s="5"/>
      <c r="C268" s="22"/>
      <c r="D268" s="24"/>
      <c r="E268" s="26"/>
      <c r="F268" s="28"/>
      <c r="G268" s="29"/>
      <c r="H268" s="28"/>
      <c r="I268" s="29"/>
      <c r="J268" s="28"/>
      <c r="K268" s="28"/>
      <c r="L268" s="28"/>
      <c r="M268" s="5"/>
      <c r="N268" s="1"/>
      <c r="O268" s="4">
        <f t="shared" si="19"/>
        <v>0</v>
      </c>
      <c r="P268" s="4">
        <f t="shared" si="20"/>
        <v>0</v>
      </c>
      <c r="Q268" s="4">
        <f t="shared" si="2"/>
        <v>0</v>
      </c>
      <c r="R268" s="4">
        <f t="shared" si="3"/>
        <v>0</v>
      </c>
      <c r="S268" s="2">
        <f t="shared" si="21"/>
        <v>-1</v>
      </c>
      <c r="T268" s="4">
        <f t="shared" si="22"/>
        <v>0</v>
      </c>
      <c r="U268" s="2" t="str">
        <f t="shared" si="5"/>
        <v xml:space="preserve"> - </v>
      </c>
      <c r="V268" s="1"/>
      <c r="W268" s="1"/>
      <c r="X268" s="1"/>
      <c r="Y268" s="1"/>
      <c r="Z268" s="1"/>
      <c r="AA268" s="2"/>
      <c r="AB268" s="2"/>
      <c r="AC268" s="2"/>
    </row>
    <row r="269" spans="1:29" ht="12.75" customHeight="1">
      <c r="A269" s="1"/>
      <c r="B269" s="5"/>
      <c r="C269" s="22"/>
      <c r="D269" s="24"/>
      <c r="E269" s="26"/>
      <c r="F269" s="28"/>
      <c r="G269" s="29"/>
      <c r="H269" s="28"/>
      <c r="I269" s="29"/>
      <c r="J269" s="28"/>
      <c r="K269" s="28"/>
      <c r="L269" s="28"/>
      <c r="M269" s="5"/>
      <c r="N269" s="1"/>
      <c r="O269" s="4">
        <f t="shared" si="19"/>
        <v>0</v>
      </c>
      <c r="P269" s="4">
        <f t="shared" si="20"/>
        <v>0</v>
      </c>
      <c r="Q269" s="4">
        <f t="shared" si="2"/>
        <v>0</v>
      </c>
      <c r="R269" s="4">
        <f t="shared" si="3"/>
        <v>0</v>
      </c>
      <c r="S269" s="2">
        <f t="shared" si="21"/>
        <v>-1</v>
      </c>
      <c r="T269" s="4">
        <f t="shared" si="22"/>
        <v>0</v>
      </c>
      <c r="U269" s="2" t="str">
        <f t="shared" si="5"/>
        <v xml:space="preserve"> - </v>
      </c>
      <c r="V269" s="1"/>
      <c r="W269" s="1"/>
      <c r="X269" s="1"/>
      <c r="Y269" s="1"/>
      <c r="Z269" s="1"/>
      <c r="AA269" s="2"/>
      <c r="AB269" s="2"/>
      <c r="AC269" s="2"/>
    </row>
    <row r="270" spans="1:29" ht="12.75" customHeight="1">
      <c r="A270" s="1"/>
      <c r="B270" s="5"/>
      <c r="C270" s="22"/>
      <c r="D270" s="24"/>
      <c r="E270" s="26"/>
      <c r="F270" s="28"/>
      <c r="G270" s="29"/>
      <c r="H270" s="28"/>
      <c r="I270" s="29"/>
      <c r="J270" s="28"/>
      <c r="K270" s="28"/>
      <c r="L270" s="28"/>
      <c r="M270" s="5"/>
      <c r="N270" s="1"/>
      <c r="O270" s="4">
        <f t="shared" si="19"/>
        <v>0</v>
      </c>
      <c r="P270" s="4">
        <f t="shared" si="20"/>
        <v>0</v>
      </c>
      <c r="Q270" s="4">
        <f t="shared" si="2"/>
        <v>0</v>
      </c>
      <c r="R270" s="4">
        <f t="shared" si="3"/>
        <v>0</v>
      </c>
      <c r="S270" s="2">
        <f t="shared" si="21"/>
        <v>-1</v>
      </c>
      <c r="T270" s="4">
        <f t="shared" si="22"/>
        <v>0</v>
      </c>
      <c r="U270" s="2" t="str">
        <f t="shared" si="5"/>
        <v xml:space="preserve"> - </v>
      </c>
      <c r="V270" s="1"/>
      <c r="W270" s="1"/>
      <c r="X270" s="1"/>
      <c r="Y270" s="1"/>
      <c r="Z270" s="1"/>
      <c r="AA270" s="2"/>
      <c r="AB270" s="2"/>
      <c r="AC270" s="2"/>
    </row>
    <row r="271" spans="1:29" ht="12.75" customHeight="1">
      <c r="A271" s="1"/>
      <c r="B271" s="5"/>
      <c r="C271" s="22"/>
      <c r="D271" s="24"/>
      <c r="E271" s="26"/>
      <c r="F271" s="28"/>
      <c r="G271" s="29"/>
      <c r="H271" s="28"/>
      <c r="I271" s="29"/>
      <c r="J271" s="28"/>
      <c r="K271" s="28"/>
      <c r="L271" s="28"/>
      <c r="M271" s="5"/>
      <c r="N271" s="1"/>
      <c r="O271" s="4">
        <f t="shared" si="19"/>
        <v>0</v>
      </c>
      <c r="P271" s="4">
        <f t="shared" si="20"/>
        <v>0</v>
      </c>
      <c r="Q271" s="4">
        <f t="shared" si="2"/>
        <v>0</v>
      </c>
      <c r="R271" s="4">
        <f t="shared" si="3"/>
        <v>0</v>
      </c>
      <c r="S271" s="2">
        <f t="shared" si="21"/>
        <v>-1</v>
      </c>
      <c r="T271" s="4">
        <f t="shared" si="22"/>
        <v>0</v>
      </c>
      <c r="U271" s="2" t="str">
        <f t="shared" si="5"/>
        <v xml:space="preserve"> - </v>
      </c>
      <c r="V271" s="1"/>
      <c r="W271" s="1"/>
      <c r="X271" s="1"/>
      <c r="Y271" s="1"/>
      <c r="Z271" s="1"/>
      <c r="AA271" s="2"/>
      <c r="AB271" s="2"/>
      <c r="AC271" s="2"/>
    </row>
    <row r="272" spans="1:29" ht="12.75" customHeight="1">
      <c r="A272" s="1"/>
      <c r="B272" s="5"/>
      <c r="C272" s="22"/>
      <c r="D272" s="24"/>
      <c r="E272" s="26"/>
      <c r="F272" s="28"/>
      <c r="G272" s="29"/>
      <c r="H272" s="28"/>
      <c r="I272" s="29"/>
      <c r="J272" s="28"/>
      <c r="K272" s="28"/>
      <c r="L272" s="28"/>
      <c r="M272" s="5"/>
      <c r="N272" s="1"/>
      <c r="O272" s="4">
        <f t="shared" si="19"/>
        <v>0</v>
      </c>
      <c r="P272" s="4">
        <f t="shared" si="20"/>
        <v>0</v>
      </c>
      <c r="Q272" s="4">
        <f t="shared" si="2"/>
        <v>0</v>
      </c>
      <c r="R272" s="4">
        <f t="shared" si="3"/>
        <v>0</v>
      </c>
      <c r="S272" s="2">
        <f t="shared" si="21"/>
        <v>-1</v>
      </c>
      <c r="T272" s="4">
        <f t="shared" si="22"/>
        <v>0</v>
      </c>
      <c r="U272" s="2" t="str">
        <f t="shared" si="5"/>
        <v xml:space="preserve"> - </v>
      </c>
      <c r="V272" s="1"/>
      <c r="W272" s="1"/>
      <c r="X272" s="1"/>
      <c r="Y272" s="1"/>
      <c r="Z272" s="1"/>
      <c r="AA272" s="2"/>
      <c r="AB272" s="2"/>
      <c r="AC272" s="2"/>
    </row>
    <row r="273" spans="1:29" ht="12.75" customHeight="1">
      <c r="A273" s="1"/>
      <c r="B273" s="5"/>
      <c r="C273" s="22"/>
      <c r="D273" s="24"/>
      <c r="E273" s="26"/>
      <c r="F273" s="28"/>
      <c r="G273" s="29"/>
      <c r="H273" s="28"/>
      <c r="I273" s="29"/>
      <c r="J273" s="28"/>
      <c r="K273" s="28"/>
      <c r="L273" s="28"/>
      <c r="M273" s="5"/>
      <c r="N273" s="1"/>
      <c r="O273" s="4">
        <f t="shared" si="19"/>
        <v>0</v>
      </c>
      <c r="P273" s="4">
        <f t="shared" si="20"/>
        <v>0</v>
      </c>
      <c r="Q273" s="4">
        <f t="shared" si="2"/>
        <v>0</v>
      </c>
      <c r="R273" s="4">
        <f t="shared" si="3"/>
        <v>0</v>
      </c>
      <c r="S273" s="2">
        <f t="shared" si="21"/>
        <v>-1</v>
      </c>
      <c r="T273" s="4">
        <f t="shared" si="22"/>
        <v>0</v>
      </c>
      <c r="U273" s="2" t="str">
        <f t="shared" si="5"/>
        <v xml:space="preserve"> - </v>
      </c>
      <c r="V273" s="1"/>
      <c r="W273" s="1"/>
      <c r="X273" s="1"/>
      <c r="Y273" s="1"/>
      <c r="Z273" s="1"/>
      <c r="AA273" s="2"/>
      <c r="AB273" s="2"/>
      <c r="AC273" s="2"/>
    </row>
    <row r="274" spans="1:29" ht="12.75" customHeight="1">
      <c r="A274" s="1"/>
      <c r="B274" s="5"/>
      <c r="C274" s="22"/>
      <c r="D274" s="24"/>
      <c r="E274" s="26"/>
      <c r="F274" s="28"/>
      <c r="G274" s="29"/>
      <c r="H274" s="28"/>
      <c r="I274" s="29"/>
      <c r="J274" s="28"/>
      <c r="K274" s="28"/>
      <c r="L274" s="28"/>
      <c r="M274" s="5"/>
      <c r="N274" s="1"/>
      <c r="O274" s="4">
        <f t="shared" si="19"/>
        <v>0</v>
      </c>
      <c r="P274" s="4">
        <f t="shared" si="20"/>
        <v>0</v>
      </c>
      <c r="Q274" s="4">
        <f t="shared" si="2"/>
        <v>0</v>
      </c>
      <c r="R274" s="4">
        <f t="shared" si="3"/>
        <v>0</v>
      </c>
      <c r="S274" s="2">
        <f t="shared" si="21"/>
        <v>-1</v>
      </c>
      <c r="T274" s="4">
        <f t="shared" si="22"/>
        <v>0</v>
      </c>
      <c r="U274" s="2" t="str">
        <f t="shared" si="5"/>
        <v xml:space="preserve"> - </v>
      </c>
      <c r="V274" s="1"/>
      <c r="W274" s="1"/>
      <c r="X274" s="1"/>
      <c r="Y274" s="1"/>
      <c r="Z274" s="1"/>
      <c r="AA274" s="2"/>
      <c r="AB274" s="2"/>
      <c r="AC274" s="2"/>
    </row>
    <row r="275" spans="1:29" ht="12.75" customHeight="1">
      <c r="A275" s="1"/>
      <c r="B275" s="5"/>
      <c r="C275" s="22"/>
      <c r="D275" s="24"/>
      <c r="E275" s="26"/>
      <c r="F275" s="28"/>
      <c r="G275" s="29"/>
      <c r="H275" s="28"/>
      <c r="I275" s="29"/>
      <c r="J275" s="28"/>
      <c r="K275" s="28"/>
      <c r="L275" s="28"/>
      <c r="M275" s="5"/>
      <c r="N275" s="1"/>
      <c r="O275" s="4">
        <f t="shared" si="19"/>
        <v>0</v>
      </c>
      <c r="P275" s="4">
        <f t="shared" si="20"/>
        <v>0</v>
      </c>
      <c r="Q275" s="4">
        <f t="shared" si="2"/>
        <v>0</v>
      </c>
      <c r="R275" s="4">
        <f t="shared" si="3"/>
        <v>0</v>
      </c>
      <c r="S275" s="2">
        <f t="shared" si="21"/>
        <v>-1</v>
      </c>
      <c r="T275" s="4">
        <f t="shared" si="22"/>
        <v>0</v>
      </c>
      <c r="U275" s="2" t="str">
        <f t="shared" si="5"/>
        <v xml:space="preserve"> - </v>
      </c>
      <c r="V275" s="1"/>
      <c r="W275" s="1"/>
      <c r="X275" s="1"/>
      <c r="Y275" s="1"/>
      <c r="Z275" s="1"/>
      <c r="AA275" s="2"/>
      <c r="AB275" s="2"/>
      <c r="AC275" s="2"/>
    </row>
    <row r="276" spans="1:29" ht="12.75" customHeight="1">
      <c r="A276" s="1"/>
      <c r="B276" s="5"/>
      <c r="C276" s="22"/>
      <c r="D276" s="24"/>
      <c r="E276" s="26"/>
      <c r="F276" s="28"/>
      <c r="G276" s="29"/>
      <c r="H276" s="28"/>
      <c r="I276" s="29"/>
      <c r="J276" s="28"/>
      <c r="K276" s="28"/>
      <c r="L276" s="28"/>
      <c r="M276" s="5"/>
      <c r="N276" s="1"/>
      <c r="O276" s="4">
        <f t="shared" si="19"/>
        <v>0</v>
      </c>
      <c r="P276" s="4">
        <f t="shared" si="20"/>
        <v>0</v>
      </c>
      <c r="Q276" s="4">
        <f t="shared" si="2"/>
        <v>0</v>
      </c>
      <c r="R276" s="4">
        <f t="shared" si="3"/>
        <v>0</v>
      </c>
      <c r="S276" s="2">
        <f t="shared" si="21"/>
        <v>-1</v>
      </c>
      <c r="T276" s="4">
        <f t="shared" si="22"/>
        <v>0</v>
      </c>
      <c r="U276" s="2" t="str">
        <f t="shared" si="5"/>
        <v xml:space="preserve"> - </v>
      </c>
      <c r="V276" s="1"/>
      <c r="W276" s="1"/>
      <c r="X276" s="1"/>
      <c r="Y276" s="1"/>
      <c r="Z276" s="1"/>
      <c r="AA276" s="2"/>
      <c r="AB276" s="2"/>
      <c r="AC276" s="2"/>
    </row>
    <row r="277" spans="1:29" ht="12.75" customHeight="1">
      <c r="A277" s="1"/>
      <c r="B277" s="5"/>
      <c r="C277" s="22"/>
      <c r="D277" s="24"/>
      <c r="E277" s="26"/>
      <c r="F277" s="28"/>
      <c r="G277" s="29"/>
      <c r="H277" s="28"/>
      <c r="I277" s="29"/>
      <c r="J277" s="28"/>
      <c r="K277" s="28"/>
      <c r="L277" s="28"/>
      <c r="M277" s="5"/>
      <c r="N277" s="1"/>
      <c r="O277" s="4">
        <f t="shared" si="19"/>
        <v>0</v>
      </c>
      <c r="P277" s="4">
        <f t="shared" si="20"/>
        <v>0</v>
      </c>
      <c r="Q277" s="4">
        <f t="shared" si="2"/>
        <v>0</v>
      </c>
      <c r="R277" s="4">
        <f t="shared" si="3"/>
        <v>0</v>
      </c>
      <c r="S277" s="2">
        <f t="shared" si="21"/>
        <v>-1</v>
      </c>
      <c r="T277" s="4">
        <f t="shared" si="22"/>
        <v>0</v>
      </c>
      <c r="U277" s="2" t="str">
        <f t="shared" si="5"/>
        <v xml:space="preserve"> - </v>
      </c>
      <c r="V277" s="1"/>
      <c r="W277" s="1"/>
      <c r="X277" s="1"/>
      <c r="Y277" s="1"/>
      <c r="Z277" s="1"/>
      <c r="AA277" s="2"/>
      <c r="AB277" s="2"/>
      <c r="AC277" s="2"/>
    </row>
    <row r="278" spans="1:29" ht="12.75" customHeight="1">
      <c r="A278" s="1"/>
      <c r="B278" s="5"/>
      <c r="C278" s="22"/>
      <c r="D278" s="24"/>
      <c r="E278" s="26"/>
      <c r="F278" s="28"/>
      <c r="G278" s="29"/>
      <c r="H278" s="28"/>
      <c r="I278" s="29"/>
      <c r="J278" s="28"/>
      <c r="K278" s="28"/>
      <c r="L278" s="28"/>
      <c r="M278" s="5"/>
      <c r="N278" s="1"/>
      <c r="O278" s="4">
        <f t="shared" si="19"/>
        <v>0</v>
      </c>
      <c r="P278" s="4">
        <f t="shared" si="20"/>
        <v>0</v>
      </c>
      <c r="Q278" s="4">
        <f t="shared" si="2"/>
        <v>0</v>
      </c>
      <c r="R278" s="4">
        <f t="shared" si="3"/>
        <v>0</v>
      </c>
      <c r="S278" s="2">
        <f t="shared" si="21"/>
        <v>-1</v>
      </c>
      <c r="T278" s="4">
        <f t="shared" si="22"/>
        <v>0</v>
      </c>
      <c r="U278" s="2" t="str">
        <f t="shared" si="5"/>
        <v xml:space="preserve"> - </v>
      </c>
      <c r="V278" s="1"/>
      <c r="W278" s="1"/>
      <c r="X278" s="1"/>
      <c r="Y278" s="1"/>
      <c r="Z278" s="1"/>
      <c r="AA278" s="2"/>
      <c r="AB278" s="2"/>
      <c r="AC278" s="2"/>
    </row>
    <row r="279" spans="1:29" ht="12.75" customHeight="1">
      <c r="A279" s="1"/>
      <c r="B279" s="5"/>
      <c r="C279" s="22"/>
      <c r="D279" s="24"/>
      <c r="E279" s="26"/>
      <c r="F279" s="28"/>
      <c r="G279" s="29"/>
      <c r="H279" s="28"/>
      <c r="I279" s="29"/>
      <c r="J279" s="28"/>
      <c r="K279" s="28"/>
      <c r="L279" s="28"/>
      <c r="M279" s="5"/>
      <c r="N279" s="1"/>
      <c r="O279" s="4">
        <f t="shared" si="19"/>
        <v>0</v>
      </c>
      <c r="P279" s="4">
        <f t="shared" si="20"/>
        <v>0</v>
      </c>
      <c r="Q279" s="4">
        <f t="shared" si="2"/>
        <v>0</v>
      </c>
      <c r="R279" s="4">
        <f t="shared" si="3"/>
        <v>0</v>
      </c>
      <c r="S279" s="2">
        <f t="shared" si="21"/>
        <v>-1</v>
      </c>
      <c r="T279" s="4">
        <f t="shared" si="22"/>
        <v>0</v>
      </c>
      <c r="U279" s="2" t="str">
        <f t="shared" si="5"/>
        <v xml:space="preserve"> - </v>
      </c>
      <c r="V279" s="1"/>
      <c r="W279" s="1"/>
      <c r="X279" s="1"/>
      <c r="Y279" s="1"/>
      <c r="Z279" s="1"/>
      <c r="AA279" s="2"/>
      <c r="AB279" s="2"/>
      <c r="AC279" s="2"/>
    </row>
    <row r="280" spans="1:29" ht="12.75" customHeight="1">
      <c r="A280" s="1"/>
      <c r="B280" s="5"/>
      <c r="C280" s="22"/>
      <c r="D280" s="24"/>
      <c r="E280" s="26"/>
      <c r="F280" s="28"/>
      <c r="G280" s="29"/>
      <c r="H280" s="28"/>
      <c r="I280" s="29"/>
      <c r="J280" s="28"/>
      <c r="K280" s="28"/>
      <c r="L280" s="28"/>
      <c r="M280" s="5"/>
      <c r="N280" s="1"/>
      <c r="O280" s="4">
        <f t="shared" si="19"/>
        <v>0</v>
      </c>
      <c r="P280" s="4">
        <f t="shared" si="20"/>
        <v>0</v>
      </c>
      <c r="Q280" s="4">
        <f t="shared" si="2"/>
        <v>0</v>
      </c>
      <c r="R280" s="4">
        <f t="shared" si="3"/>
        <v>0</v>
      </c>
      <c r="S280" s="2">
        <f t="shared" si="21"/>
        <v>-1</v>
      </c>
      <c r="T280" s="4">
        <f t="shared" si="22"/>
        <v>0</v>
      </c>
      <c r="U280" s="2" t="str">
        <f t="shared" si="5"/>
        <v xml:space="preserve"> - </v>
      </c>
      <c r="V280" s="1"/>
      <c r="W280" s="1"/>
      <c r="X280" s="1"/>
      <c r="Y280" s="1"/>
      <c r="Z280" s="1"/>
      <c r="AA280" s="2"/>
      <c r="AB280" s="2"/>
      <c r="AC280" s="2"/>
    </row>
    <row r="281" spans="1:29" ht="12.75" customHeight="1">
      <c r="A281" s="1"/>
      <c r="B281" s="5"/>
      <c r="C281" s="22"/>
      <c r="D281" s="24"/>
      <c r="E281" s="26"/>
      <c r="F281" s="28"/>
      <c r="G281" s="29"/>
      <c r="H281" s="28"/>
      <c r="I281" s="29"/>
      <c r="J281" s="28"/>
      <c r="K281" s="28"/>
      <c r="L281" s="28"/>
      <c r="M281" s="5"/>
      <c r="N281" s="1"/>
      <c r="O281" s="4">
        <f t="shared" si="19"/>
        <v>0</v>
      </c>
      <c r="P281" s="4">
        <f t="shared" si="20"/>
        <v>0</v>
      </c>
      <c r="Q281" s="4">
        <f t="shared" si="2"/>
        <v>0</v>
      </c>
      <c r="R281" s="4">
        <f t="shared" si="3"/>
        <v>0</v>
      </c>
      <c r="S281" s="2">
        <f t="shared" si="21"/>
        <v>-1</v>
      </c>
      <c r="T281" s="4">
        <f t="shared" si="22"/>
        <v>0</v>
      </c>
      <c r="U281" s="2" t="str">
        <f t="shared" si="5"/>
        <v xml:space="preserve"> - </v>
      </c>
      <c r="V281" s="1"/>
      <c r="W281" s="1"/>
      <c r="X281" s="1"/>
      <c r="Y281" s="1"/>
      <c r="Z281" s="1"/>
      <c r="AA281" s="2"/>
      <c r="AB281" s="2"/>
      <c r="AC281" s="2"/>
    </row>
    <row r="282" spans="1:29" ht="12.75" customHeight="1">
      <c r="A282" s="1"/>
      <c r="B282" s="5"/>
      <c r="C282" s="22"/>
      <c r="D282" s="24"/>
      <c r="E282" s="26"/>
      <c r="F282" s="28"/>
      <c r="G282" s="29"/>
      <c r="H282" s="28"/>
      <c r="I282" s="29"/>
      <c r="J282" s="28"/>
      <c r="K282" s="28"/>
      <c r="L282" s="28"/>
      <c r="M282" s="5"/>
      <c r="N282" s="1"/>
      <c r="O282" s="4">
        <f t="shared" si="19"/>
        <v>0</v>
      </c>
      <c r="P282" s="4">
        <f t="shared" si="20"/>
        <v>0</v>
      </c>
      <c r="Q282" s="4">
        <f t="shared" si="2"/>
        <v>0</v>
      </c>
      <c r="R282" s="4">
        <f t="shared" si="3"/>
        <v>0</v>
      </c>
      <c r="S282" s="2">
        <f t="shared" si="21"/>
        <v>-1</v>
      </c>
      <c r="T282" s="4">
        <f t="shared" si="22"/>
        <v>0</v>
      </c>
      <c r="U282" s="2" t="str">
        <f t="shared" si="5"/>
        <v xml:space="preserve"> - </v>
      </c>
      <c r="V282" s="1"/>
      <c r="W282" s="1"/>
      <c r="X282" s="1"/>
      <c r="Y282" s="1"/>
      <c r="Z282" s="1"/>
      <c r="AA282" s="2"/>
      <c r="AB282" s="2"/>
      <c r="AC282" s="2"/>
    </row>
    <row r="283" spans="1:29" ht="12.75" customHeight="1">
      <c r="A283" s="1"/>
      <c r="B283" s="5"/>
      <c r="C283" s="22"/>
      <c r="D283" s="24"/>
      <c r="E283" s="26"/>
      <c r="F283" s="28"/>
      <c r="G283" s="29"/>
      <c r="H283" s="28"/>
      <c r="I283" s="29"/>
      <c r="J283" s="28"/>
      <c r="K283" s="28"/>
      <c r="L283" s="28"/>
      <c r="M283" s="5"/>
      <c r="N283" s="1"/>
      <c r="O283" s="4">
        <f t="shared" si="19"/>
        <v>0</v>
      </c>
      <c r="P283" s="4">
        <f t="shared" si="20"/>
        <v>0</v>
      </c>
      <c r="Q283" s="4">
        <f t="shared" si="2"/>
        <v>0</v>
      </c>
      <c r="R283" s="4">
        <f t="shared" si="3"/>
        <v>0</v>
      </c>
      <c r="S283" s="2">
        <f t="shared" si="21"/>
        <v>-1</v>
      </c>
      <c r="T283" s="4">
        <f t="shared" si="22"/>
        <v>0</v>
      </c>
      <c r="U283" s="2" t="str">
        <f t="shared" si="5"/>
        <v xml:space="preserve"> - </v>
      </c>
      <c r="V283" s="1"/>
      <c r="W283" s="1"/>
      <c r="X283" s="1"/>
      <c r="Y283" s="1"/>
      <c r="Z283" s="1"/>
      <c r="AA283" s="2"/>
      <c r="AB283" s="2"/>
      <c r="AC283" s="2"/>
    </row>
    <row r="284" spans="1:29" ht="12.75" customHeight="1">
      <c r="A284" s="1"/>
      <c r="B284" s="5"/>
      <c r="C284" s="22"/>
      <c r="D284" s="24"/>
      <c r="E284" s="26"/>
      <c r="F284" s="28"/>
      <c r="G284" s="29"/>
      <c r="H284" s="28"/>
      <c r="I284" s="29"/>
      <c r="J284" s="28"/>
      <c r="K284" s="28"/>
      <c r="L284" s="28"/>
      <c r="M284" s="5"/>
      <c r="N284" s="1"/>
      <c r="O284" s="4">
        <f t="shared" si="19"/>
        <v>0</v>
      </c>
      <c r="P284" s="4">
        <f t="shared" si="20"/>
        <v>0</v>
      </c>
      <c r="Q284" s="4">
        <f t="shared" si="2"/>
        <v>0</v>
      </c>
      <c r="R284" s="4">
        <f t="shared" si="3"/>
        <v>0</v>
      </c>
      <c r="S284" s="2">
        <f t="shared" si="21"/>
        <v>-1</v>
      </c>
      <c r="T284" s="4">
        <f t="shared" si="22"/>
        <v>0</v>
      </c>
      <c r="U284" s="2" t="str">
        <f t="shared" si="5"/>
        <v xml:space="preserve"> - </v>
      </c>
      <c r="V284" s="1"/>
      <c r="W284" s="1"/>
      <c r="X284" s="1"/>
      <c r="Y284" s="1"/>
      <c r="Z284" s="1"/>
      <c r="AA284" s="2"/>
      <c r="AB284" s="2"/>
      <c r="AC284" s="2"/>
    </row>
    <row r="285" spans="1:29" ht="12.75" customHeight="1">
      <c r="A285" s="1"/>
      <c r="B285" s="5"/>
      <c r="C285" s="22"/>
      <c r="D285" s="24"/>
      <c r="E285" s="26"/>
      <c r="F285" s="28"/>
      <c r="G285" s="29"/>
      <c r="H285" s="28"/>
      <c r="I285" s="29"/>
      <c r="J285" s="28"/>
      <c r="K285" s="28"/>
      <c r="L285" s="28"/>
      <c r="M285" s="5"/>
      <c r="N285" s="1"/>
      <c r="O285" s="4">
        <f t="shared" si="19"/>
        <v>0</v>
      </c>
      <c r="P285" s="4">
        <f t="shared" si="20"/>
        <v>0</v>
      </c>
      <c r="Q285" s="4">
        <f t="shared" si="2"/>
        <v>0</v>
      </c>
      <c r="R285" s="4">
        <f t="shared" si="3"/>
        <v>0</v>
      </c>
      <c r="S285" s="2">
        <f t="shared" si="21"/>
        <v>-1</v>
      </c>
      <c r="T285" s="4">
        <f t="shared" si="22"/>
        <v>0</v>
      </c>
      <c r="U285" s="2" t="str">
        <f t="shared" si="5"/>
        <v xml:space="preserve"> - </v>
      </c>
      <c r="V285" s="1"/>
      <c r="W285" s="1"/>
      <c r="X285" s="1"/>
      <c r="Y285" s="1"/>
      <c r="Z285" s="1"/>
      <c r="AA285" s="2"/>
      <c r="AB285" s="2"/>
      <c r="AC285" s="2"/>
    </row>
    <row r="286" spans="1:29" ht="12.75" customHeight="1">
      <c r="A286" s="1"/>
      <c r="B286" s="5"/>
      <c r="C286" s="22"/>
      <c r="D286" s="24"/>
      <c r="E286" s="26"/>
      <c r="F286" s="28"/>
      <c r="G286" s="29"/>
      <c r="H286" s="28"/>
      <c r="I286" s="29"/>
      <c r="J286" s="28"/>
      <c r="K286" s="28"/>
      <c r="L286" s="28"/>
      <c r="M286" s="5"/>
      <c r="N286" s="1"/>
      <c r="O286" s="4">
        <f t="shared" si="19"/>
        <v>0</v>
      </c>
      <c r="P286" s="4">
        <f t="shared" si="20"/>
        <v>0</v>
      </c>
      <c r="Q286" s="4">
        <f t="shared" si="2"/>
        <v>0</v>
      </c>
      <c r="R286" s="4">
        <f t="shared" si="3"/>
        <v>0</v>
      </c>
      <c r="S286" s="2">
        <f t="shared" si="21"/>
        <v>-1</v>
      </c>
      <c r="T286" s="4">
        <f t="shared" si="22"/>
        <v>0</v>
      </c>
      <c r="U286" s="2" t="str">
        <f t="shared" si="5"/>
        <v xml:space="preserve"> - </v>
      </c>
      <c r="V286" s="1"/>
      <c r="W286" s="1"/>
      <c r="X286" s="1"/>
      <c r="Y286" s="1"/>
      <c r="Z286" s="1"/>
      <c r="AA286" s="2"/>
      <c r="AB286" s="2"/>
      <c r="AC286" s="2"/>
    </row>
    <row r="287" spans="1:29" ht="12.75" customHeight="1">
      <c r="A287" s="1"/>
      <c r="B287" s="5"/>
      <c r="C287" s="22"/>
      <c r="D287" s="24"/>
      <c r="E287" s="26"/>
      <c r="F287" s="28"/>
      <c r="G287" s="29"/>
      <c r="H287" s="28"/>
      <c r="I287" s="29"/>
      <c r="J287" s="28"/>
      <c r="K287" s="28"/>
      <c r="L287" s="28"/>
      <c r="M287" s="5"/>
      <c r="N287" s="1"/>
      <c r="O287" s="4">
        <f t="shared" si="19"/>
        <v>0</v>
      </c>
      <c r="P287" s="4">
        <f t="shared" si="20"/>
        <v>0</v>
      </c>
      <c r="Q287" s="4">
        <f t="shared" si="2"/>
        <v>0</v>
      </c>
      <c r="R287" s="4">
        <f t="shared" si="3"/>
        <v>0</v>
      </c>
      <c r="S287" s="2">
        <f t="shared" si="21"/>
        <v>-1</v>
      </c>
      <c r="T287" s="4">
        <f t="shared" si="22"/>
        <v>0</v>
      </c>
      <c r="U287" s="2" t="str">
        <f t="shared" si="5"/>
        <v xml:space="preserve"> - </v>
      </c>
      <c r="V287" s="1"/>
      <c r="W287" s="1"/>
      <c r="X287" s="1"/>
      <c r="Y287" s="1"/>
      <c r="Z287" s="1"/>
      <c r="AA287" s="2"/>
      <c r="AB287" s="2"/>
      <c r="AC287" s="2"/>
    </row>
    <row r="288" spans="1:29" ht="12.75" customHeight="1">
      <c r="A288" s="1"/>
      <c r="B288" s="5"/>
      <c r="C288" s="22"/>
      <c r="D288" s="24"/>
      <c r="E288" s="26"/>
      <c r="F288" s="28"/>
      <c r="G288" s="29"/>
      <c r="H288" s="28"/>
      <c r="I288" s="29"/>
      <c r="J288" s="28"/>
      <c r="K288" s="28"/>
      <c r="L288" s="28"/>
      <c r="M288" s="5"/>
      <c r="N288" s="1"/>
      <c r="O288" s="4">
        <f t="shared" si="19"/>
        <v>0</v>
      </c>
      <c r="P288" s="4">
        <f t="shared" si="20"/>
        <v>0</v>
      </c>
      <c r="Q288" s="4">
        <f t="shared" si="2"/>
        <v>0</v>
      </c>
      <c r="R288" s="4">
        <f t="shared" si="3"/>
        <v>0</v>
      </c>
      <c r="S288" s="2">
        <f t="shared" si="21"/>
        <v>-1</v>
      </c>
      <c r="T288" s="4">
        <f t="shared" si="22"/>
        <v>0</v>
      </c>
      <c r="U288" s="2" t="str">
        <f t="shared" si="5"/>
        <v xml:space="preserve"> - </v>
      </c>
      <c r="V288" s="1"/>
      <c r="W288" s="1"/>
      <c r="X288" s="1"/>
      <c r="Y288" s="1"/>
      <c r="Z288" s="1"/>
      <c r="AA288" s="2"/>
      <c r="AB288" s="2"/>
      <c r="AC288" s="2"/>
    </row>
    <row r="289" spans="1:29" ht="12.75" customHeight="1">
      <c r="A289" s="1"/>
      <c r="B289" s="5"/>
      <c r="C289" s="22"/>
      <c r="D289" s="24"/>
      <c r="E289" s="26"/>
      <c r="F289" s="28"/>
      <c r="G289" s="29"/>
      <c r="H289" s="28"/>
      <c r="I289" s="29"/>
      <c r="J289" s="28"/>
      <c r="K289" s="28"/>
      <c r="L289" s="28"/>
      <c r="M289" s="5"/>
      <c r="N289" s="1"/>
      <c r="O289" s="4">
        <f t="shared" si="19"/>
        <v>0</v>
      </c>
      <c r="P289" s="4">
        <f t="shared" si="20"/>
        <v>0</v>
      </c>
      <c r="Q289" s="4">
        <f t="shared" si="2"/>
        <v>0</v>
      </c>
      <c r="R289" s="4">
        <f t="shared" si="3"/>
        <v>0</v>
      </c>
      <c r="S289" s="2">
        <f t="shared" si="21"/>
        <v>-1</v>
      </c>
      <c r="T289" s="4">
        <f t="shared" si="22"/>
        <v>0</v>
      </c>
      <c r="U289" s="2" t="str">
        <f t="shared" si="5"/>
        <v xml:space="preserve"> - </v>
      </c>
      <c r="V289" s="1"/>
      <c r="W289" s="1"/>
      <c r="X289" s="1"/>
      <c r="Y289" s="1"/>
      <c r="Z289" s="1"/>
      <c r="AA289" s="2"/>
      <c r="AB289" s="2"/>
      <c r="AC289" s="2"/>
    </row>
    <row r="290" spans="1:29" ht="12.75" customHeight="1">
      <c r="A290" s="1"/>
      <c r="B290" s="5"/>
      <c r="C290" s="22"/>
      <c r="D290" s="24"/>
      <c r="E290" s="26"/>
      <c r="F290" s="28"/>
      <c r="G290" s="29"/>
      <c r="H290" s="28"/>
      <c r="I290" s="29"/>
      <c r="J290" s="28"/>
      <c r="K290" s="28"/>
      <c r="L290" s="28"/>
      <c r="M290" s="5"/>
      <c r="N290" s="1"/>
      <c r="O290" s="4">
        <f t="shared" si="19"/>
        <v>0</v>
      </c>
      <c r="P290" s="4">
        <f t="shared" si="20"/>
        <v>0</v>
      </c>
      <c r="Q290" s="4">
        <f t="shared" si="2"/>
        <v>0</v>
      </c>
      <c r="R290" s="4">
        <f t="shared" si="3"/>
        <v>0</v>
      </c>
      <c r="S290" s="2">
        <f t="shared" si="21"/>
        <v>-1</v>
      </c>
      <c r="T290" s="4">
        <f t="shared" si="22"/>
        <v>0</v>
      </c>
      <c r="U290" s="2" t="str">
        <f t="shared" si="5"/>
        <v xml:space="preserve"> - </v>
      </c>
      <c r="V290" s="1"/>
      <c r="W290" s="1"/>
      <c r="X290" s="1"/>
      <c r="Y290" s="1"/>
      <c r="Z290" s="1"/>
      <c r="AA290" s="2"/>
      <c r="AB290" s="2"/>
      <c r="AC290" s="2"/>
    </row>
    <row r="291" spans="1:29" ht="12.75" customHeight="1">
      <c r="A291" s="1"/>
      <c r="B291" s="5"/>
      <c r="C291" s="22"/>
      <c r="D291" s="24"/>
      <c r="E291" s="26"/>
      <c r="F291" s="28"/>
      <c r="G291" s="29"/>
      <c r="H291" s="28"/>
      <c r="I291" s="29"/>
      <c r="J291" s="28"/>
      <c r="K291" s="28"/>
      <c r="L291" s="28"/>
      <c r="M291" s="5"/>
      <c r="N291" s="1"/>
      <c r="O291" s="4">
        <f t="shared" si="19"/>
        <v>0</v>
      </c>
      <c r="P291" s="4">
        <f t="shared" si="20"/>
        <v>0</v>
      </c>
      <c r="Q291" s="4">
        <f t="shared" si="2"/>
        <v>0</v>
      </c>
      <c r="R291" s="4">
        <f t="shared" si="3"/>
        <v>0</v>
      </c>
      <c r="S291" s="2">
        <f t="shared" si="21"/>
        <v>-1</v>
      </c>
      <c r="T291" s="4">
        <f t="shared" si="22"/>
        <v>0</v>
      </c>
      <c r="U291" s="2" t="str">
        <f t="shared" si="5"/>
        <v xml:space="preserve"> - </v>
      </c>
      <c r="V291" s="1"/>
      <c r="W291" s="1"/>
      <c r="X291" s="1"/>
      <c r="Y291" s="1"/>
      <c r="Z291" s="1"/>
      <c r="AA291" s="2"/>
      <c r="AB291" s="2"/>
      <c r="AC291" s="2"/>
    </row>
    <row r="292" spans="1:29" ht="12.75" customHeight="1">
      <c r="A292" s="1"/>
      <c r="B292" s="5"/>
      <c r="C292" s="22"/>
      <c r="D292" s="24"/>
      <c r="E292" s="26"/>
      <c r="F292" s="28"/>
      <c r="G292" s="29"/>
      <c r="H292" s="28"/>
      <c r="I292" s="29"/>
      <c r="J292" s="28"/>
      <c r="K292" s="28"/>
      <c r="L292" s="28"/>
      <c r="M292" s="5"/>
      <c r="N292" s="1"/>
      <c r="O292" s="4">
        <f t="shared" si="19"/>
        <v>0</v>
      </c>
      <c r="P292" s="4">
        <f t="shared" si="20"/>
        <v>0</v>
      </c>
      <c r="Q292" s="4">
        <f t="shared" si="2"/>
        <v>0</v>
      </c>
      <c r="R292" s="4">
        <f t="shared" si="3"/>
        <v>0</v>
      </c>
      <c r="S292" s="2">
        <f t="shared" si="21"/>
        <v>-1</v>
      </c>
      <c r="T292" s="4">
        <f t="shared" si="22"/>
        <v>0</v>
      </c>
      <c r="U292" s="2" t="str">
        <f t="shared" si="5"/>
        <v xml:space="preserve"> - </v>
      </c>
      <c r="V292" s="1"/>
      <c r="W292" s="1"/>
      <c r="X292" s="1"/>
      <c r="Y292" s="1"/>
      <c r="Z292" s="1"/>
      <c r="AA292" s="2"/>
      <c r="AB292" s="2"/>
      <c r="AC292" s="2"/>
    </row>
    <row r="293" spans="1:29" ht="12.75" customHeight="1">
      <c r="A293" s="1"/>
      <c r="B293" s="5"/>
      <c r="C293" s="22"/>
      <c r="D293" s="24"/>
      <c r="E293" s="26"/>
      <c r="F293" s="28"/>
      <c r="G293" s="29"/>
      <c r="H293" s="28"/>
      <c r="I293" s="29"/>
      <c r="J293" s="28"/>
      <c r="K293" s="28"/>
      <c r="L293" s="28"/>
      <c r="M293" s="5"/>
      <c r="N293" s="1"/>
      <c r="O293" s="4">
        <f t="shared" si="19"/>
        <v>0</v>
      </c>
      <c r="P293" s="4">
        <f t="shared" si="20"/>
        <v>0</v>
      </c>
      <c r="Q293" s="4">
        <f t="shared" si="2"/>
        <v>0</v>
      </c>
      <c r="R293" s="4">
        <f t="shared" si="3"/>
        <v>0</v>
      </c>
      <c r="S293" s="2">
        <f t="shared" si="21"/>
        <v>-1</v>
      </c>
      <c r="T293" s="4">
        <f t="shared" si="22"/>
        <v>0</v>
      </c>
      <c r="U293" s="2" t="str">
        <f t="shared" si="5"/>
        <v xml:space="preserve"> - </v>
      </c>
      <c r="V293" s="1"/>
      <c r="W293" s="1"/>
      <c r="X293" s="1"/>
      <c r="Y293" s="1"/>
      <c r="Z293" s="1"/>
      <c r="AA293" s="2"/>
      <c r="AB293" s="2"/>
      <c r="AC293" s="2"/>
    </row>
    <row r="294" spans="1:29" ht="12.75" customHeight="1">
      <c r="A294" s="1"/>
      <c r="B294" s="5"/>
      <c r="C294" s="22"/>
      <c r="D294" s="24"/>
      <c r="E294" s="26"/>
      <c r="F294" s="28"/>
      <c r="G294" s="29"/>
      <c r="H294" s="28"/>
      <c r="I294" s="29"/>
      <c r="J294" s="28"/>
      <c r="K294" s="28"/>
      <c r="L294" s="28"/>
      <c r="M294" s="5"/>
      <c r="N294" s="1"/>
      <c r="O294" s="4">
        <f t="shared" si="19"/>
        <v>0</v>
      </c>
      <c r="P294" s="4">
        <f t="shared" si="20"/>
        <v>0</v>
      </c>
      <c r="Q294" s="4">
        <f t="shared" si="2"/>
        <v>0</v>
      </c>
      <c r="R294" s="4">
        <f t="shared" si="3"/>
        <v>0</v>
      </c>
      <c r="S294" s="2">
        <f t="shared" si="21"/>
        <v>-1</v>
      </c>
      <c r="T294" s="4">
        <f t="shared" si="22"/>
        <v>0</v>
      </c>
      <c r="U294" s="2" t="str">
        <f t="shared" si="5"/>
        <v xml:space="preserve"> - </v>
      </c>
      <c r="V294" s="1"/>
      <c r="W294" s="1"/>
      <c r="X294" s="1"/>
      <c r="Y294" s="1"/>
      <c r="Z294" s="1"/>
      <c r="AA294" s="2"/>
      <c r="AB294" s="2"/>
      <c r="AC294" s="2"/>
    </row>
    <row r="295" spans="1:29" ht="12.75" customHeight="1">
      <c r="A295" s="1"/>
      <c r="B295" s="5"/>
      <c r="C295" s="22"/>
      <c r="D295" s="24"/>
      <c r="E295" s="26"/>
      <c r="F295" s="28"/>
      <c r="G295" s="29"/>
      <c r="H295" s="28"/>
      <c r="I295" s="29"/>
      <c r="J295" s="28"/>
      <c r="K295" s="28"/>
      <c r="L295" s="28"/>
      <c r="M295" s="5"/>
      <c r="N295" s="1"/>
      <c r="O295" s="4">
        <f t="shared" si="19"/>
        <v>0</v>
      </c>
      <c r="P295" s="4">
        <f t="shared" si="20"/>
        <v>0</v>
      </c>
      <c r="Q295" s="4">
        <f t="shared" si="2"/>
        <v>0</v>
      </c>
      <c r="R295" s="4">
        <f t="shared" si="3"/>
        <v>0</v>
      </c>
      <c r="S295" s="2">
        <f t="shared" si="21"/>
        <v>-1</v>
      </c>
      <c r="T295" s="4">
        <f t="shared" si="22"/>
        <v>0</v>
      </c>
      <c r="U295" s="2" t="str">
        <f t="shared" si="5"/>
        <v xml:space="preserve"> - </v>
      </c>
      <c r="V295" s="1"/>
      <c r="W295" s="1"/>
      <c r="X295" s="1"/>
      <c r="Y295" s="1"/>
      <c r="Z295" s="1"/>
      <c r="AA295" s="2"/>
      <c r="AB295" s="2"/>
      <c r="AC295" s="2"/>
    </row>
    <row r="296" spans="1:29" ht="12.75" customHeight="1">
      <c r="A296" s="1"/>
      <c r="B296" s="5"/>
      <c r="C296" s="22"/>
      <c r="D296" s="24"/>
      <c r="E296" s="26"/>
      <c r="F296" s="28"/>
      <c r="G296" s="29"/>
      <c r="H296" s="28"/>
      <c r="I296" s="29"/>
      <c r="J296" s="28"/>
      <c r="K296" s="28"/>
      <c r="L296" s="28"/>
      <c r="M296" s="5"/>
      <c r="N296" s="1"/>
      <c r="O296" s="4">
        <f t="shared" si="19"/>
        <v>0</v>
      </c>
      <c r="P296" s="4">
        <f t="shared" si="20"/>
        <v>0</v>
      </c>
      <c r="Q296" s="4">
        <f t="shared" si="2"/>
        <v>0</v>
      </c>
      <c r="R296" s="4">
        <f t="shared" si="3"/>
        <v>0</v>
      </c>
      <c r="S296" s="2">
        <f t="shared" si="21"/>
        <v>-1</v>
      </c>
      <c r="T296" s="4">
        <f t="shared" si="22"/>
        <v>0</v>
      </c>
      <c r="U296" s="2" t="str">
        <f t="shared" si="5"/>
        <v xml:space="preserve"> - </v>
      </c>
      <c r="V296" s="1"/>
      <c r="W296" s="1"/>
      <c r="X296" s="1"/>
      <c r="Y296" s="1"/>
      <c r="Z296" s="1"/>
      <c r="AA296" s="2"/>
      <c r="AB296" s="2"/>
      <c r="AC296" s="2"/>
    </row>
    <row r="297" spans="1:29" ht="12.75" customHeight="1">
      <c r="A297" s="1"/>
      <c r="B297" s="5"/>
      <c r="C297" s="22"/>
      <c r="D297" s="24"/>
      <c r="E297" s="26"/>
      <c r="F297" s="28"/>
      <c r="G297" s="29"/>
      <c r="H297" s="28"/>
      <c r="I297" s="29"/>
      <c r="J297" s="28"/>
      <c r="K297" s="28"/>
      <c r="L297" s="28"/>
      <c r="M297" s="5"/>
      <c r="N297" s="1"/>
      <c r="O297" s="4">
        <f t="shared" si="19"/>
        <v>0</v>
      </c>
      <c r="P297" s="4">
        <f t="shared" si="20"/>
        <v>0</v>
      </c>
      <c r="Q297" s="4">
        <f t="shared" si="2"/>
        <v>0</v>
      </c>
      <c r="R297" s="4">
        <f t="shared" si="3"/>
        <v>0</v>
      </c>
      <c r="S297" s="2">
        <f t="shared" si="21"/>
        <v>-1</v>
      </c>
      <c r="T297" s="4">
        <f t="shared" si="22"/>
        <v>0</v>
      </c>
      <c r="U297" s="2" t="str">
        <f t="shared" si="5"/>
        <v xml:space="preserve"> - </v>
      </c>
      <c r="V297" s="1"/>
      <c r="W297" s="1"/>
      <c r="X297" s="1"/>
      <c r="Y297" s="1"/>
      <c r="Z297" s="1"/>
      <c r="AA297" s="2"/>
      <c r="AB297" s="2"/>
      <c r="AC297" s="2"/>
    </row>
    <row r="298" spans="1:29" ht="12.75" customHeight="1">
      <c r="A298" s="1"/>
      <c r="B298" s="5"/>
      <c r="C298" s="22"/>
      <c r="D298" s="24"/>
      <c r="E298" s="26"/>
      <c r="F298" s="28"/>
      <c r="G298" s="29"/>
      <c r="H298" s="28"/>
      <c r="I298" s="29"/>
      <c r="J298" s="28"/>
      <c r="K298" s="28"/>
      <c r="L298" s="28"/>
      <c r="M298" s="5"/>
      <c r="N298" s="1"/>
      <c r="O298" s="4">
        <f t="shared" si="19"/>
        <v>0</v>
      </c>
      <c r="P298" s="4">
        <f t="shared" si="20"/>
        <v>0</v>
      </c>
      <c r="Q298" s="4">
        <f t="shared" si="2"/>
        <v>0</v>
      </c>
      <c r="R298" s="4">
        <f t="shared" si="3"/>
        <v>0</v>
      </c>
      <c r="S298" s="2">
        <f t="shared" si="21"/>
        <v>-1</v>
      </c>
      <c r="T298" s="4">
        <f t="shared" si="22"/>
        <v>0</v>
      </c>
      <c r="U298" s="2" t="str">
        <f t="shared" si="5"/>
        <v xml:space="preserve"> - </v>
      </c>
      <c r="V298" s="1"/>
      <c r="W298" s="1"/>
      <c r="X298" s="1"/>
      <c r="Y298" s="1"/>
      <c r="Z298" s="1"/>
      <c r="AA298" s="2"/>
      <c r="AB298" s="2"/>
      <c r="AC298" s="2"/>
    </row>
    <row r="299" spans="1:29" ht="12.75" customHeight="1">
      <c r="A299" s="1"/>
      <c r="B299" s="5"/>
      <c r="C299" s="22"/>
      <c r="D299" s="24"/>
      <c r="E299" s="26"/>
      <c r="F299" s="28"/>
      <c r="G299" s="29"/>
      <c r="H299" s="28"/>
      <c r="I299" s="29"/>
      <c r="J299" s="28"/>
      <c r="K299" s="28"/>
      <c r="L299" s="28"/>
      <c r="M299" s="5"/>
      <c r="N299" s="1"/>
      <c r="O299" s="4">
        <f t="shared" si="19"/>
        <v>0</v>
      </c>
      <c r="P299" s="4">
        <f t="shared" si="20"/>
        <v>0</v>
      </c>
      <c r="Q299" s="4">
        <f t="shared" si="2"/>
        <v>0</v>
      </c>
      <c r="R299" s="4">
        <f t="shared" si="3"/>
        <v>0</v>
      </c>
      <c r="S299" s="2">
        <f t="shared" si="21"/>
        <v>-1</v>
      </c>
      <c r="T299" s="4">
        <f t="shared" si="22"/>
        <v>0</v>
      </c>
      <c r="U299" s="2" t="str">
        <f t="shared" si="5"/>
        <v xml:space="preserve"> - </v>
      </c>
      <c r="V299" s="1"/>
      <c r="W299" s="1"/>
      <c r="X299" s="1"/>
      <c r="Y299" s="1"/>
      <c r="Z299" s="1"/>
      <c r="AA299" s="2"/>
      <c r="AB299" s="2"/>
      <c r="AC299" s="2"/>
    </row>
    <row r="300" spans="1:29" ht="12.75" customHeight="1">
      <c r="A300" s="1"/>
      <c r="B300" s="5"/>
      <c r="C300" s="22"/>
      <c r="D300" s="24"/>
      <c r="E300" s="26"/>
      <c r="F300" s="28"/>
      <c r="G300" s="29"/>
      <c r="H300" s="28"/>
      <c r="I300" s="29"/>
      <c r="J300" s="28"/>
      <c r="K300" s="28"/>
      <c r="L300" s="28"/>
      <c r="M300" s="5"/>
      <c r="N300" s="1"/>
      <c r="O300" s="4">
        <f t="shared" si="19"/>
        <v>0</v>
      </c>
      <c r="P300" s="4">
        <f t="shared" si="20"/>
        <v>0</v>
      </c>
      <c r="Q300" s="4">
        <f t="shared" si="2"/>
        <v>0</v>
      </c>
      <c r="R300" s="4">
        <f t="shared" si="3"/>
        <v>0</v>
      </c>
      <c r="S300" s="2">
        <f t="shared" si="21"/>
        <v>-1</v>
      </c>
      <c r="T300" s="4">
        <f t="shared" si="22"/>
        <v>0</v>
      </c>
      <c r="U300" s="2" t="str">
        <f t="shared" si="5"/>
        <v xml:space="preserve"> - </v>
      </c>
      <c r="V300" s="1"/>
      <c r="W300" s="1"/>
      <c r="X300" s="1"/>
      <c r="Y300" s="1"/>
      <c r="Z300" s="1"/>
      <c r="AA300" s="2"/>
      <c r="AB300" s="2"/>
      <c r="AC300" s="2"/>
    </row>
    <row r="301" spans="1:29" ht="12.75" customHeight="1">
      <c r="A301" s="1"/>
      <c r="B301" s="5"/>
      <c r="C301" s="22"/>
      <c r="D301" s="24"/>
      <c r="E301" s="26"/>
      <c r="F301" s="28"/>
      <c r="G301" s="29"/>
      <c r="H301" s="28"/>
      <c r="I301" s="29"/>
      <c r="J301" s="28"/>
      <c r="K301" s="28"/>
      <c r="L301" s="28"/>
      <c r="M301" s="5"/>
      <c r="N301" s="1"/>
      <c r="O301" s="4">
        <f t="shared" si="19"/>
        <v>0</v>
      </c>
      <c r="P301" s="4">
        <f t="shared" si="20"/>
        <v>0</v>
      </c>
      <c r="Q301" s="4">
        <f t="shared" si="2"/>
        <v>0</v>
      </c>
      <c r="R301" s="4">
        <f t="shared" si="3"/>
        <v>0</v>
      </c>
      <c r="S301" s="2">
        <f t="shared" si="21"/>
        <v>-1</v>
      </c>
      <c r="T301" s="4">
        <f t="shared" si="22"/>
        <v>0</v>
      </c>
      <c r="U301" s="2" t="str">
        <f t="shared" si="5"/>
        <v xml:space="preserve"> - </v>
      </c>
      <c r="V301" s="1"/>
      <c r="W301" s="1"/>
      <c r="X301" s="1"/>
      <c r="Y301" s="1"/>
      <c r="Z301" s="1"/>
      <c r="AA301" s="2"/>
      <c r="AB301" s="2"/>
      <c r="AC301" s="2"/>
    </row>
    <row r="302" spans="1:29" ht="12.75" customHeight="1">
      <c r="A302" s="1"/>
      <c r="B302" s="5"/>
      <c r="C302" s="22"/>
      <c r="D302" s="24"/>
      <c r="E302" s="26"/>
      <c r="F302" s="28"/>
      <c r="G302" s="29"/>
      <c r="H302" s="28"/>
      <c r="I302" s="29"/>
      <c r="J302" s="28"/>
      <c r="K302" s="28"/>
      <c r="L302" s="28"/>
      <c r="M302" s="5"/>
      <c r="N302" s="1"/>
      <c r="O302" s="4">
        <f t="shared" si="19"/>
        <v>0</v>
      </c>
      <c r="P302" s="4">
        <f t="shared" si="20"/>
        <v>0</v>
      </c>
      <c r="Q302" s="4">
        <f t="shared" si="2"/>
        <v>0</v>
      </c>
      <c r="R302" s="4">
        <f t="shared" si="3"/>
        <v>0</v>
      </c>
      <c r="S302" s="2">
        <f t="shared" si="21"/>
        <v>-1</v>
      </c>
      <c r="T302" s="4">
        <f t="shared" si="22"/>
        <v>0</v>
      </c>
      <c r="U302" s="2" t="str">
        <f t="shared" si="5"/>
        <v xml:space="preserve"> - </v>
      </c>
      <c r="V302" s="1"/>
      <c r="W302" s="1"/>
      <c r="X302" s="1"/>
      <c r="Y302" s="1"/>
      <c r="Z302" s="1"/>
      <c r="AA302" s="2"/>
      <c r="AB302" s="2"/>
      <c r="AC302" s="2"/>
    </row>
    <row r="303" spans="1:29" ht="12.75" customHeight="1">
      <c r="A303" s="1"/>
      <c r="B303" s="5"/>
      <c r="C303" s="22"/>
      <c r="D303" s="24"/>
      <c r="E303" s="26"/>
      <c r="F303" s="28"/>
      <c r="G303" s="29"/>
      <c r="H303" s="28"/>
      <c r="I303" s="29"/>
      <c r="J303" s="28"/>
      <c r="K303" s="28"/>
      <c r="L303" s="28"/>
      <c r="M303" s="5"/>
      <c r="N303" s="1"/>
      <c r="O303" s="4">
        <f t="shared" si="19"/>
        <v>0</v>
      </c>
      <c r="P303" s="4">
        <f t="shared" si="20"/>
        <v>0</v>
      </c>
      <c r="Q303" s="4">
        <f t="shared" si="2"/>
        <v>0</v>
      </c>
      <c r="R303" s="4">
        <f t="shared" si="3"/>
        <v>0</v>
      </c>
      <c r="S303" s="2">
        <f t="shared" si="21"/>
        <v>-1</v>
      </c>
      <c r="T303" s="4">
        <f t="shared" si="22"/>
        <v>0</v>
      </c>
      <c r="U303" s="2" t="str">
        <f t="shared" si="5"/>
        <v xml:space="preserve"> - </v>
      </c>
      <c r="V303" s="1"/>
      <c r="W303" s="1"/>
      <c r="X303" s="1"/>
      <c r="Y303" s="1"/>
      <c r="Z303" s="1"/>
      <c r="AA303" s="2"/>
      <c r="AB303" s="2"/>
      <c r="AC303" s="2"/>
    </row>
    <row r="304" spans="1:29" ht="12.75" customHeight="1">
      <c r="A304" s="1"/>
      <c r="B304" s="5"/>
      <c r="C304" s="22"/>
      <c r="D304" s="24"/>
      <c r="E304" s="26"/>
      <c r="F304" s="28"/>
      <c r="G304" s="29"/>
      <c r="H304" s="28"/>
      <c r="I304" s="29"/>
      <c r="J304" s="28"/>
      <c r="K304" s="28"/>
      <c r="L304" s="28"/>
      <c r="M304" s="5"/>
      <c r="N304" s="1"/>
      <c r="O304" s="4">
        <f t="shared" si="19"/>
        <v>0</v>
      </c>
      <c r="P304" s="4">
        <f t="shared" si="20"/>
        <v>0</v>
      </c>
      <c r="Q304" s="4">
        <f t="shared" si="2"/>
        <v>0</v>
      </c>
      <c r="R304" s="4">
        <f t="shared" si="3"/>
        <v>0</v>
      </c>
      <c r="S304" s="2">
        <f t="shared" si="21"/>
        <v>-1</v>
      </c>
      <c r="T304" s="4">
        <f t="shared" si="22"/>
        <v>0</v>
      </c>
      <c r="U304" s="2" t="str">
        <f t="shared" si="5"/>
        <v xml:space="preserve"> - </v>
      </c>
      <c r="V304" s="1"/>
      <c r="W304" s="1"/>
      <c r="X304" s="1"/>
      <c r="Y304" s="1"/>
      <c r="Z304" s="1"/>
      <c r="AA304" s="2"/>
      <c r="AB304" s="2"/>
      <c r="AC304" s="2"/>
    </row>
    <row r="305" spans="1:29" ht="12.75" customHeight="1">
      <c r="A305" s="1"/>
      <c r="B305" s="5"/>
      <c r="C305" s="22"/>
      <c r="D305" s="24"/>
      <c r="E305" s="26"/>
      <c r="F305" s="28"/>
      <c r="G305" s="29"/>
      <c r="H305" s="28"/>
      <c r="I305" s="29"/>
      <c r="J305" s="28"/>
      <c r="K305" s="28"/>
      <c r="L305" s="28"/>
      <c r="M305" s="5"/>
      <c r="N305" s="1"/>
      <c r="O305" s="4">
        <f t="shared" si="19"/>
        <v>0</v>
      </c>
      <c r="P305" s="4">
        <f t="shared" si="20"/>
        <v>0</v>
      </c>
      <c r="Q305" s="4">
        <f t="shared" si="2"/>
        <v>0</v>
      </c>
      <c r="R305" s="4">
        <f t="shared" si="3"/>
        <v>0</v>
      </c>
      <c r="S305" s="2">
        <f t="shared" si="21"/>
        <v>-1</v>
      </c>
      <c r="T305" s="4">
        <f t="shared" si="22"/>
        <v>0</v>
      </c>
      <c r="U305" s="2" t="str">
        <f t="shared" si="5"/>
        <v xml:space="preserve"> - </v>
      </c>
      <c r="V305" s="1"/>
      <c r="W305" s="1"/>
      <c r="X305" s="1"/>
      <c r="Y305" s="1"/>
      <c r="Z305" s="1"/>
      <c r="AA305" s="2"/>
      <c r="AB305" s="2"/>
      <c r="AC305" s="2"/>
    </row>
    <row r="306" spans="1:29" ht="12.75" customHeight="1">
      <c r="A306" s="1"/>
      <c r="B306" s="5"/>
      <c r="C306" s="22"/>
      <c r="D306" s="24"/>
      <c r="E306" s="26"/>
      <c r="F306" s="28"/>
      <c r="G306" s="29"/>
      <c r="H306" s="28"/>
      <c r="I306" s="29"/>
      <c r="J306" s="28"/>
      <c r="K306" s="28"/>
      <c r="L306" s="28"/>
      <c r="M306" s="5"/>
      <c r="N306" s="1"/>
      <c r="O306" s="4">
        <f t="shared" si="19"/>
        <v>0</v>
      </c>
      <c r="P306" s="4">
        <f t="shared" si="20"/>
        <v>0</v>
      </c>
      <c r="Q306" s="4">
        <f t="shared" si="2"/>
        <v>0</v>
      </c>
      <c r="R306" s="4">
        <f t="shared" si="3"/>
        <v>0</v>
      </c>
      <c r="S306" s="2">
        <f t="shared" si="21"/>
        <v>-1</v>
      </c>
      <c r="T306" s="4">
        <f t="shared" si="22"/>
        <v>0</v>
      </c>
      <c r="U306" s="2" t="str">
        <f t="shared" si="5"/>
        <v xml:space="preserve"> - </v>
      </c>
      <c r="V306" s="1"/>
      <c r="W306" s="1"/>
      <c r="X306" s="1"/>
      <c r="Y306" s="1"/>
      <c r="Z306" s="1"/>
      <c r="AA306" s="2"/>
      <c r="AB306" s="2"/>
      <c r="AC306" s="2"/>
    </row>
    <row r="307" spans="1:29" ht="12.75" customHeight="1">
      <c r="A307" s="1"/>
      <c r="B307" s="5"/>
      <c r="C307" s="22"/>
      <c r="D307" s="24"/>
      <c r="E307" s="26"/>
      <c r="F307" s="28"/>
      <c r="G307" s="29"/>
      <c r="H307" s="28"/>
      <c r="I307" s="29"/>
      <c r="J307" s="28"/>
      <c r="K307" s="28"/>
      <c r="L307" s="28"/>
      <c r="M307" s="5"/>
      <c r="N307" s="1"/>
      <c r="O307" s="4">
        <f t="shared" si="19"/>
        <v>0</v>
      </c>
      <c r="P307" s="4">
        <f t="shared" si="20"/>
        <v>0</v>
      </c>
      <c r="Q307" s="4">
        <f t="shared" si="2"/>
        <v>0</v>
      </c>
      <c r="R307" s="4">
        <f t="shared" si="3"/>
        <v>0</v>
      </c>
      <c r="S307" s="2">
        <f t="shared" si="21"/>
        <v>-1</v>
      </c>
      <c r="T307" s="4">
        <f t="shared" si="22"/>
        <v>0</v>
      </c>
      <c r="U307" s="2" t="str">
        <f t="shared" si="5"/>
        <v xml:space="preserve"> - </v>
      </c>
      <c r="V307" s="1"/>
      <c r="W307" s="1"/>
      <c r="X307" s="1"/>
      <c r="Y307" s="1"/>
      <c r="Z307" s="1"/>
      <c r="AA307" s="2"/>
      <c r="AB307" s="2"/>
      <c r="AC307" s="2"/>
    </row>
    <row r="308" spans="1:29" ht="12.75" customHeight="1">
      <c r="A308" s="1"/>
      <c r="B308" s="5"/>
      <c r="C308" s="22"/>
      <c r="D308" s="24"/>
      <c r="E308" s="26"/>
      <c r="F308" s="28"/>
      <c r="G308" s="29"/>
      <c r="H308" s="28"/>
      <c r="I308" s="29"/>
      <c r="J308" s="28"/>
      <c r="K308" s="28"/>
      <c r="L308" s="28"/>
      <c r="M308" s="5"/>
      <c r="N308" s="1"/>
      <c r="O308" s="4">
        <f t="shared" si="19"/>
        <v>0</v>
      </c>
      <c r="P308" s="4">
        <f t="shared" si="20"/>
        <v>0</v>
      </c>
      <c r="Q308" s="4">
        <f t="shared" si="2"/>
        <v>0</v>
      </c>
      <c r="R308" s="4">
        <f t="shared" si="3"/>
        <v>0</v>
      </c>
      <c r="S308" s="2">
        <f t="shared" si="21"/>
        <v>-1</v>
      </c>
      <c r="T308" s="4">
        <f t="shared" si="22"/>
        <v>0</v>
      </c>
      <c r="U308" s="2" t="str">
        <f t="shared" si="5"/>
        <v xml:space="preserve"> - </v>
      </c>
      <c r="V308" s="1"/>
      <c r="W308" s="1"/>
      <c r="X308" s="1"/>
      <c r="Y308" s="1"/>
      <c r="Z308" s="1"/>
      <c r="AA308" s="2"/>
      <c r="AB308" s="2"/>
      <c r="AC308" s="2"/>
    </row>
    <row r="309" spans="1:29" ht="12.75" customHeight="1">
      <c r="A309" s="1"/>
      <c r="B309" s="5"/>
      <c r="C309" s="22"/>
      <c r="D309" s="24"/>
      <c r="E309" s="26"/>
      <c r="F309" s="28"/>
      <c r="G309" s="29"/>
      <c r="H309" s="28"/>
      <c r="I309" s="29"/>
      <c r="J309" s="28"/>
      <c r="K309" s="28"/>
      <c r="L309" s="28"/>
      <c r="M309" s="5"/>
      <c r="N309" s="1"/>
      <c r="O309" s="4">
        <f t="shared" si="19"/>
        <v>0</v>
      </c>
      <c r="P309" s="4">
        <f t="shared" si="20"/>
        <v>0</v>
      </c>
      <c r="Q309" s="4">
        <f t="shared" si="2"/>
        <v>0</v>
      </c>
      <c r="R309" s="4">
        <f t="shared" si="3"/>
        <v>0</v>
      </c>
      <c r="S309" s="2">
        <f t="shared" si="21"/>
        <v>-1</v>
      </c>
      <c r="T309" s="4">
        <f t="shared" si="22"/>
        <v>0</v>
      </c>
      <c r="U309" s="2" t="str">
        <f t="shared" si="5"/>
        <v xml:space="preserve"> - </v>
      </c>
      <c r="V309" s="1"/>
      <c r="W309" s="1"/>
      <c r="X309" s="1"/>
      <c r="Y309" s="1"/>
      <c r="Z309" s="1"/>
      <c r="AA309" s="2"/>
      <c r="AB309" s="2"/>
      <c r="AC309" s="2"/>
    </row>
    <row r="310" spans="1:29" ht="12.75" customHeight="1">
      <c r="A310" s="1"/>
      <c r="B310" s="5"/>
      <c r="C310" s="22"/>
      <c r="D310" s="24"/>
      <c r="E310" s="26"/>
      <c r="F310" s="28"/>
      <c r="G310" s="29"/>
      <c r="H310" s="28"/>
      <c r="I310" s="29"/>
      <c r="J310" s="28"/>
      <c r="K310" s="28"/>
      <c r="L310" s="28"/>
      <c r="M310" s="5"/>
      <c r="N310" s="1"/>
      <c r="O310" s="4">
        <f t="shared" si="19"/>
        <v>0</v>
      </c>
      <c r="P310" s="4">
        <f t="shared" si="20"/>
        <v>0</v>
      </c>
      <c r="Q310" s="4">
        <f t="shared" si="2"/>
        <v>0</v>
      </c>
      <c r="R310" s="4">
        <f t="shared" si="3"/>
        <v>0</v>
      </c>
      <c r="S310" s="2">
        <f t="shared" si="21"/>
        <v>-1</v>
      </c>
      <c r="T310" s="4">
        <f t="shared" si="22"/>
        <v>0</v>
      </c>
      <c r="U310" s="2" t="str">
        <f t="shared" si="5"/>
        <v xml:space="preserve"> - </v>
      </c>
      <c r="V310" s="1"/>
      <c r="W310" s="1"/>
      <c r="X310" s="1"/>
      <c r="Y310" s="1"/>
      <c r="Z310" s="1"/>
      <c r="AA310" s="2"/>
      <c r="AB310" s="2"/>
      <c r="AC310" s="2"/>
    </row>
    <row r="311" spans="1:29" ht="12.75" customHeight="1">
      <c r="A311" s="1"/>
      <c r="B311" s="5"/>
      <c r="C311" s="22"/>
      <c r="D311" s="24"/>
      <c r="E311" s="26"/>
      <c r="F311" s="28"/>
      <c r="G311" s="29"/>
      <c r="H311" s="28"/>
      <c r="I311" s="29"/>
      <c r="J311" s="28"/>
      <c r="K311" s="28"/>
      <c r="L311" s="28"/>
      <c r="M311" s="5"/>
      <c r="N311" s="1"/>
      <c r="O311" s="4">
        <f t="shared" si="19"/>
        <v>0</v>
      </c>
      <c r="P311" s="4">
        <f t="shared" si="20"/>
        <v>0</v>
      </c>
      <c r="Q311" s="4">
        <f t="shared" si="2"/>
        <v>0</v>
      </c>
      <c r="R311" s="4">
        <f t="shared" si="3"/>
        <v>0</v>
      </c>
      <c r="S311" s="2">
        <f t="shared" si="21"/>
        <v>-1</v>
      </c>
      <c r="T311" s="4">
        <f t="shared" si="22"/>
        <v>0</v>
      </c>
      <c r="U311" s="2" t="str">
        <f t="shared" si="5"/>
        <v xml:space="preserve"> - </v>
      </c>
      <c r="V311" s="1"/>
      <c r="W311" s="1"/>
      <c r="X311" s="1"/>
      <c r="Y311" s="1"/>
      <c r="Z311" s="1"/>
      <c r="AA311" s="2"/>
      <c r="AB311" s="2"/>
      <c r="AC311" s="2"/>
    </row>
    <row r="312" spans="1:29" ht="12.75" customHeight="1">
      <c r="A312" s="1"/>
      <c r="B312" s="5"/>
      <c r="C312" s="22"/>
      <c r="D312" s="24"/>
      <c r="E312" s="26"/>
      <c r="F312" s="28"/>
      <c r="G312" s="29"/>
      <c r="H312" s="28"/>
      <c r="I312" s="29"/>
      <c r="J312" s="28"/>
      <c r="K312" s="28"/>
      <c r="L312" s="28"/>
      <c r="M312" s="5"/>
      <c r="N312" s="1"/>
      <c r="O312" s="4">
        <f t="shared" si="19"/>
        <v>0</v>
      </c>
      <c r="P312" s="4">
        <f t="shared" si="20"/>
        <v>0</v>
      </c>
      <c r="Q312" s="4">
        <f t="shared" si="2"/>
        <v>0</v>
      </c>
      <c r="R312" s="4">
        <f t="shared" si="3"/>
        <v>0</v>
      </c>
      <c r="S312" s="2">
        <f t="shared" si="21"/>
        <v>-1</v>
      </c>
      <c r="T312" s="4">
        <f t="shared" si="22"/>
        <v>0</v>
      </c>
      <c r="U312" s="2" t="str">
        <f t="shared" si="5"/>
        <v xml:space="preserve"> - </v>
      </c>
      <c r="V312" s="1"/>
      <c r="W312" s="1"/>
      <c r="X312" s="1"/>
      <c r="Y312" s="1"/>
      <c r="Z312" s="1"/>
      <c r="AA312" s="2"/>
      <c r="AB312" s="2"/>
      <c r="AC312" s="2"/>
    </row>
    <row r="313" spans="1:29" ht="12.75" customHeight="1">
      <c r="A313" s="1"/>
      <c r="B313" s="5"/>
      <c r="C313" s="22"/>
      <c r="D313" s="24"/>
      <c r="E313" s="26"/>
      <c r="F313" s="28"/>
      <c r="G313" s="29"/>
      <c r="H313" s="28"/>
      <c r="I313" s="29"/>
      <c r="J313" s="28"/>
      <c r="K313" s="28"/>
      <c r="L313" s="28"/>
      <c r="M313" s="5"/>
      <c r="N313" s="1"/>
      <c r="O313" s="4">
        <f t="shared" si="19"/>
        <v>0</v>
      </c>
      <c r="P313" s="4">
        <f t="shared" si="20"/>
        <v>0</v>
      </c>
      <c r="Q313" s="4">
        <f t="shared" si="2"/>
        <v>0</v>
      </c>
      <c r="R313" s="4">
        <f t="shared" si="3"/>
        <v>0</v>
      </c>
      <c r="S313" s="2">
        <f t="shared" si="21"/>
        <v>-1</v>
      </c>
      <c r="T313" s="4">
        <f t="shared" si="22"/>
        <v>0</v>
      </c>
      <c r="U313" s="2" t="str">
        <f t="shared" si="5"/>
        <v xml:space="preserve"> - </v>
      </c>
      <c r="V313" s="1"/>
      <c r="W313" s="1"/>
      <c r="X313" s="1"/>
      <c r="Y313" s="1"/>
      <c r="Z313" s="1"/>
      <c r="AA313" s="2"/>
      <c r="AB313" s="2"/>
      <c r="AC313" s="2"/>
    </row>
    <row r="314" spans="1:29" ht="12.75" customHeight="1">
      <c r="A314" s="1"/>
      <c r="B314" s="5"/>
      <c r="C314" s="22"/>
      <c r="D314" s="24"/>
      <c r="E314" s="26"/>
      <c r="F314" s="28"/>
      <c r="G314" s="29"/>
      <c r="H314" s="28"/>
      <c r="I314" s="29"/>
      <c r="J314" s="28"/>
      <c r="K314" s="28"/>
      <c r="L314" s="28"/>
      <c r="M314" s="5"/>
      <c r="N314" s="1"/>
      <c r="O314" s="4">
        <f t="shared" si="19"/>
        <v>0</v>
      </c>
      <c r="P314" s="4">
        <f t="shared" si="20"/>
        <v>0</v>
      </c>
      <c r="Q314" s="4">
        <f t="shared" si="2"/>
        <v>0</v>
      </c>
      <c r="R314" s="4">
        <f t="shared" si="3"/>
        <v>0</v>
      </c>
      <c r="S314" s="2">
        <f t="shared" si="21"/>
        <v>-1</v>
      </c>
      <c r="T314" s="4">
        <f t="shared" si="22"/>
        <v>0</v>
      </c>
      <c r="U314" s="2" t="str">
        <f t="shared" si="5"/>
        <v xml:space="preserve"> - </v>
      </c>
      <c r="V314" s="1"/>
      <c r="W314" s="1"/>
      <c r="X314" s="1"/>
      <c r="Y314" s="1"/>
      <c r="Z314" s="1"/>
      <c r="AA314" s="2"/>
      <c r="AB314" s="2"/>
      <c r="AC314" s="2"/>
    </row>
    <row r="315" spans="1:29" ht="12.75" customHeight="1">
      <c r="A315" s="1"/>
      <c r="B315" s="5"/>
      <c r="C315" s="22"/>
      <c r="D315" s="24"/>
      <c r="E315" s="26"/>
      <c r="F315" s="28"/>
      <c r="G315" s="29"/>
      <c r="H315" s="28"/>
      <c r="I315" s="29"/>
      <c r="J315" s="28"/>
      <c r="K315" s="28"/>
      <c r="L315" s="28"/>
      <c r="M315" s="5"/>
      <c r="N315" s="1"/>
      <c r="O315" s="4">
        <f t="shared" si="19"/>
        <v>0</v>
      </c>
      <c r="P315" s="4">
        <f t="shared" si="20"/>
        <v>0</v>
      </c>
      <c r="Q315" s="4">
        <f t="shared" si="2"/>
        <v>0</v>
      </c>
      <c r="R315" s="4">
        <f t="shared" si="3"/>
        <v>0</v>
      </c>
      <c r="S315" s="2">
        <f t="shared" si="21"/>
        <v>-1</v>
      </c>
      <c r="T315" s="4">
        <f t="shared" si="22"/>
        <v>0</v>
      </c>
      <c r="U315" s="2" t="str">
        <f t="shared" si="5"/>
        <v xml:space="preserve"> - </v>
      </c>
      <c r="V315" s="1"/>
      <c r="W315" s="1"/>
      <c r="X315" s="1"/>
      <c r="Y315" s="1"/>
      <c r="Z315" s="1"/>
      <c r="AA315" s="2"/>
      <c r="AB315" s="2"/>
      <c r="AC315" s="2"/>
    </row>
    <row r="316" spans="1:29" ht="12.75" customHeight="1">
      <c r="A316" s="1"/>
      <c r="B316" s="5"/>
      <c r="C316" s="22"/>
      <c r="D316" s="24"/>
      <c r="E316" s="26"/>
      <c r="F316" s="28"/>
      <c r="G316" s="29"/>
      <c r="H316" s="28"/>
      <c r="I316" s="29"/>
      <c r="J316" s="28"/>
      <c r="K316" s="28"/>
      <c r="L316" s="28"/>
      <c r="M316" s="5"/>
      <c r="N316" s="1"/>
      <c r="O316" s="4">
        <f t="shared" si="19"/>
        <v>0</v>
      </c>
      <c r="P316" s="4">
        <f t="shared" si="20"/>
        <v>0</v>
      </c>
      <c r="Q316" s="4">
        <f t="shared" si="2"/>
        <v>0</v>
      </c>
      <c r="R316" s="4">
        <f t="shared" si="3"/>
        <v>0</v>
      </c>
      <c r="S316" s="2">
        <f t="shared" si="21"/>
        <v>-1</v>
      </c>
      <c r="T316" s="4">
        <f t="shared" si="22"/>
        <v>0</v>
      </c>
      <c r="U316" s="2" t="str">
        <f t="shared" si="5"/>
        <v xml:space="preserve"> - </v>
      </c>
      <c r="V316" s="1"/>
      <c r="W316" s="1"/>
      <c r="X316" s="1"/>
      <c r="Y316" s="1"/>
      <c r="Z316" s="1"/>
      <c r="AA316" s="2"/>
      <c r="AB316" s="2"/>
      <c r="AC316" s="2"/>
    </row>
    <row r="317" spans="1:29" ht="12.75" customHeight="1">
      <c r="A317" s="1"/>
      <c r="B317" s="5"/>
      <c r="C317" s="22"/>
      <c r="D317" s="24"/>
      <c r="E317" s="26"/>
      <c r="F317" s="28"/>
      <c r="G317" s="29"/>
      <c r="H317" s="28"/>
      <c r="I317" s="29"/>
      <c r="J317" s="28"/>
      <c r="K317" s="28"/>
      <c r="L317" s="28"/>
      <c r="M317" s="5"/>
      <c r="N317" s="1"/>
      <c r="O317" s="4">
        <f t="shared" si="19"/>
        <v>0</v>
      </c>
      <c r="P317" s="4">
        <f t="shared" si="20"/>
        <v>0</v>
      </c>
      <c r="Q317" s="4">
        <f t="shared" si="2"/>
        <v>0</v>
      </c>
      <c r="R317" s="4">
        <f t="shared" si="3"/>
        <v>0</v>
      </c>
      <c r="S317" s="2">
        <f t="shared" si="21"/>
        <v>-1</v>
      </c>
      <c r="T317" s="4">
        <f t="shared" si="22"/>
        <v>0</v>
      </c>
      <c r="U317" s="2" t="str">
        <f t="shared" si="5"/>
        <v xml:space="preserve"> - </v>
      </c>
      <c r="V317" s="1"/>
      <c r="W317" s="1"/>
      <c r="X317" s="1"/>
      <c r="Y317" s="1"/>
      <c r="Z317" s="1"/>
      <c r="AA317" s="2"/>
      <c r="AB317" s="2"/>
      <c r="AC317" s="2"/>
    </row>
    <row r="318" spans="1:29" ht="12.75" customHeight="1">
      <c r="A318" s="1"/>
      <c r="B318" s="5"/>
      <c r="C318" s="22"/>
      <c r="D318" s="24"/>
      <c r="E318" s="26"/>
      <c r="F318" s="28"/>
      <c r="G318" s="29"/>
      <c r="H318" s="28"/>
      <c r="I318" s="29"/>
      <c r="J318" s="28"/>
      <c r="K318" s="28"/>
      <c r="L318" s="28"/>
      <c r="M318" s="5"/>
      <c r="N318" s="1"/>
      <c r="O318" s="4">
        <f t="shared" si="19"/>
        <v>0</v>
      </c>
      <c r="P318" s="4">
        <f t="shared" si="20"/>
        <v>0</v>
      </c>
      <c r="Q318" s="4">
        <f t="shared" si="2"/>
        <v>0</v>
      </c>
      <c r="R318" s="4">
        <f t="shared" si="3"/>
        <v>0</v>
      </c>
      <c r="S318" s="2">
        <f t="shared" si="21"/>
        <v>-1</v>
      </c>
      <c r="T318" s="4">
        <f t="shared" si="22"/>
        <v>0</v>
      </c>
      <c r="U318" s="2" t="str">
        <f t="shared" si="5"/>
        <v xml:space="preserve"> - </v>
      </c>
      <c r="V318" s="1"/>
      <c r="W318" s="1"/>
      <c r="X318" s="1"/>
      <c r="Y318" s="1"/>
      <c r="Z318" s="1"/>
      <c r="AA318" s="2"/>
      <c r="AB318" s="2"/>
      <c r="AC318" s="2"/>
    </row>
    <row r="319" spans="1:29" ht="12.75" customHeight="1">
      <c r="A319" s="1"/>
      <c r="B319" s="5"/>
      <c r="C319" s="22"/>
      <c r="D319" s="24"/>
      <c r="E319" s="26"/>
      <c r="F319" s="28"/>
      <c r="G319" s="29"/>
      <c r="H319" s="28"/>
      <c r="I319" s="29"/>
      <c r="J319" s="28"/>
      <c r="K319" s="28"/>
      <c r="L319" s="28"/>
      <c r="M319" s="5"/>
      <c r="N319" s="1"/>
      <c r="O319" s="4">
        <f t="shared" si="19"/>
        <v>0</v>
      </c>
      <c r="P319" s="4">
        <f t="shared" si="20"/>
        <v>0</v>
      </c>
      <c r="Q319" s="4">
        <f t="shared" si="2"/>
        <v>0</v>
      </c>
      <c r="R319" s="4">
        <f t="shared" si="3"/>
        <v>0</v>
      </c>
      <c r="S319" s="2">
        <f t="shared" si="21"/>
        <v>-1</v>
      </c>
      <c r="T319" s="4">
        <f t="shared" si="22"/>
        <v>0</v>
      </c>
      <c r="U319" s="2" t="str">
        <f t="shared" si="5"/>
        <v xml:space="preserve"> - </v>
      </c>
      <c r="V319" s="1"/>
      <c r="W319" s="1"/>
      <c r="X319" s="1"/>
      <c r="Y319" s="1"/>
      <c r="Z319" s="1"/>
      <c r="AA319" s="2"/>
      <c r="AB319" s="2"/>
      <c r="AC319" s="2"/>
    </row>
    <row r="320" spans="1:29" ht="12.75" customHeight="1">
      <c r="A320" s="1"/>
      <c r="B320" s="5"/>
      <c r="C320" s="22"/>
      <c r="D320" s="24"/>
      <c r="E320" s="26"/>
      <c r="F320" s="28"/>
      <c r="G320" s="29"/>
      <c r="H320" s="28"/>
      <c r="I320" s="29"/>
      <c r="J320" s="28"/>
      <c r="K320" s="28"/>
      <c r="L320" s="28"/>
      <c r="M320" s="5"/>
      <c r="N320" s="1"/>
      <c r="O320" s="4">
        <f t="shared" si="19"/>
        <v>0</v>
      </c>
      <c r="P320" s="4">
        <f t="shared" si="20"/>
        <v>0</v>
      </c>
      <c r="Q320" s="4">
        <f t="shared" si="2"/>
        <v>0</v>
      </c>
      <c r="R320" s="4">
        <f t="shared" si="3"/>
        <v>0</v>
      </c>
      <c r="S320" s="2">
        <f t="shared" si="21"/>
        <v>-1</v>
      </c>
      <c r="T320" s="4">
        <f t="shared" si="22"/>
        <v>0</v>
      </c>
      <c r="U320" s="2" t="str">
        <f t="shared" si="5"/>
        <v xml:space="preserve"> - </v>
      </c>
      <c r="V320" s="1"/>
      <c r="W320" s="1"/>
      <c r="X320" s="1"/>
      <c r="Y320" s="1"/>
      <c r="Z320" s="1"/>
      <c r="AA320" s="2"/>
      <c r="AB320" s="2"/>
      <c r="AC320" s="2"/>
    </row>
    <row r="321" spans="1:29" ht="12.75" customHeight="1">
      <c r="A321" s="1"/>
      <c r="B321" s="5"/>
      <c r="C321" s="22"/>
      <c r="D321" s="24"/>
      <c r="E321" s="26"/>
      <c r="F321" s="28"/>
      <c r="G321" s="29"/>
      <c r="H321" s="28"/>
      <c r="I321" s="29"/>
      <c r="J321" s="28"/>
      <c r="K321" s="28"/>
      <c r="L321" s="28"/>
      <c r="M321" s="5"/>
      <c r="N321" s="1"/>
      <c r="O321" s="4">
        <f t="shared" si="19"/>
        <v>0</v>
      </c>
      <c r="P321" s="4">
        <f t="shared" si="20"/>
        <v>0</v>
      </c>
      <c r="Q321" s="4">
        <f t="shared" si="2"/>
        <v>0</v>
      </c>
      <c r="R321" s="4">
        <f t="shared" si="3"/>
        <v>0</v>
      </c>
      <c r="S321" s="2">
        <f t="shared" si="21"/>
        <v>-1</v>
      </c>
      <c r="T321" s="4">
        <f t="shared" si="22"/>
        <v>0</v>
      </c>
      <c r="U321" s="2" t="str">
        <f t="shared" si="5"/>
        <v xml:space="preserve"> - </v>
      </c>
      <c r="V321" s="1"/>
      <c r="W321" s="1"/>
      <c r="X321" s="1"/>
      <c r="Y321" s="1"/>
      <c r="Z321" s="1"/>
      <c r="AA321" s="2"/>
      <c r="AB321" s="2"/>
      <c r="AC321" s="2"/>
    </row>
    <row r="322" spans="1:29" ht="12.75" customHeight="1">
      <c r="A322" s="1"/>
      <c r="B322" s="5"/>
      <c r="C322" s="22"/>
      <c r="D322" s="24"/>
      <c r="E322" s="26"/>
      <c r="F322" s="28"/>
      <c r="G322" s="29"/>
      <c r="H322" s="28"/>
      <c r="I322" s="29"/>
      <c r="J322" s="28"/>
      <c r="K322" s="28"/>
      <c r="L322" s="28"/>
      <c r="M322" s="5"/>
      <c r="N322" s="1"/>
      <c r="O322" s="4">
        <f t="shared" si="19"/>
        <v>0</v>
      </c>
      <c r="P322" s="4">
        <f t="shared" si="20"/>
        <v>0</v>
      </c>
      <c r="Q322" s="4">
        <f t="shared" si="2"/>
        <v>0</v>
      </c>
      <c r="R322" s="4">
        <f t="shared" si="3"/>
        <v>0</v>
      </c>
      <c r="S322" s="2">
        <f t="shared" si="21"/>
        <v>-1</v>
      </c>
      <c r="T322" s="4">
        <f t="shared" si="22"/>
        <v>0</v>
      </c>
      <c r="U322" s="2" t="str">
        <f t="shared" si="5"/>
        <v xml:space="preserve"> - </v>
      </c>
      <c r="V322" s="1"/>
      <c r="W322" s="1"/>
      <c r="X322" s="1"/>
      <c r="Y322" s="1"/>
      <c r="Z322" s="1"/>
      <c r="AA322" s="2"/>
      <c r="AB322" s="2"/>
      <c r="AC322" s="2"/>
    </row>
    <row r="323" spans="1:29" ht="12.75" customHeight="1">
      <c r="A323" s="1"/>
      <c r="B323" s="5"/>
      <c r="C323" s="22"/>
      <c r="D323" s="24"/>
      <c r="E323" s="26"/>
      <c r="F323" s="28"/>
      <c r="G323" s="29"/>
      <c r="H323" s="28"/>
      <c r="I323" s="29"/>
      <c r="J323" s="28"/>
      <c r="K323" s="28"/>
      <c r="L323" s="28"/>
      <c r="M323" s="5"/>
      <c r="N323" s="1"/>
      <c r="O323" s="4">
        <f t="shared" si="19"/>
        <v>0</v>
      </c>
      <c r="P323" s="4">
        <f t="shared" si="20"/>
        <v>0</v>
      </c>
      <c r="Q323" s="4">
        <f t="shared" si="2"/>
        <v>0</v>
      </c>
      <c r="R323" s="4">
        <f t="shared" si="3"/>
        <v>0</v>
      </c>
      <c r="S323" s="2">
        <f t="shared" si="21"/>
        <v>-1</v>
      </c>
      <c r="T323" s="4">
        <f t="shared" si="22"/>
        <v>0</v>
      </c>
      <c r="U323" s="2" t="str">
        <f t="shared" si="5"/>
        <v xml:space="preserve"> - </v>
      </c>
      <c r="V323" s="1"/>
      <c r="W323" s="1"/>
      <c r="X323" s="1"/>
      <c r="Y323" s="1"/>
      <c r="Z323" s="1"/>
      <c r="AA323" s="2"/>
      <c r="AB323" s="2"/>
      <c r="AC323" s="2"/>
    </row>
    <row r="324" spans="1:29" ht="12.75" customHeight="1">
      <c r="A324" s="1"/>
      <c r="B324" s="5"/>
      <c r="C324" s="22"/>
      <c r="D324" s="24"/>
      <c r="E324" s="26"/>
      <c r="F324" s="28"/>
      <c r="G324" s="29"/>
      <c r="H324" s="28"/>
      <c r="I324" s="29"/>
      <c r="J324" s="28"/>
      <c r="K324" s="28"/>
      <c r="L324" s="28"/>
      <c r="M324" s="5"/>
      <c r="N324" s="1"/>
      <c r="O324" s="4">
        <f t="shared" ref="O324:O387" si="23">IF($L324&lt;&gt;"",$Q324*PTS_WIN+$R324*PTS_LOSS+(1-$Q324-$R324)*PTS_TIE+MAX(MIN(MAX(PTS_TD_MIN,MIN(PTS_TD_MAX,MAX(0,$F324-PTS_TD_THRESHOLD)*PTS_PER_TD_FOR*IF($H324-PTS_CS_THRESHOLD&gt;0,1,1-PTS_TD_CS_COMB_THRES)+MAX(0,$G324-PTS_TD_THRESHOLD)*PTS_PER_TD_AG*IF($I324-PTS_CS_THRESHOLD&gt;0,1,1-PTS_TD_CS_COMB_THRES)))+MAX(PTS_CS_MIN,MIN(PTS_CS_MAX,MAX(0,$H324-PTS_CS_THRESHOLD)*PTS_PER_CS_FOR*IF($F324-PTS_TD_THRESHOLD&gt;0,1,1-PTS_TD_CS_COMB_THRES)+MAX(0,$I324-PTS_CS_THRESHOLD)*PTS_PER_CS_AG*IF($G324-PTS_TD_THRESHOLD&gt;0,1,1-PTS_TD_CS_COMB_THRES))),PTS_TD_CS_MAX),PTS_TD_CS_MIN),0)</f>
        <v>0</v>
      </c>
      <c r="P324" s="4">
        <f t="shared" ref="P324:P387" si="24">IF($L324&lt;&gt;"",$R324*PTS_WIN+$Q324*PTS_LOSS+(1-$Q324-$R324)*PTS_TIE+MAX(MIN(MAX(PTS_TD_MIN,MIN(PTS_TD_MAX,MAX(0,$G324-PTS_TD_THRESHOLD)*PTS_PER_TD_FOR*IF($I324-PTS_CS_THRESHOLD&gt;0,1,1-PTS_TD_CS_COMB_THRES)+MAX(0,$F324-PTS_TD_THRESHOLD)*PTS_PER_TD_AG*IF($H324-PTS_CS_THRESHOLD&gt;0,1,1-PTS_TD_CS_COMB_THRES)))+MAX(PTS_CS_MIN,MIN(PTS_CS_MAX,MAX(0,$I324-PTS_CS_THRESHOLD)*PTS_PER_CS_FOR*IF($G324-PTS_TD_THRESHOLD&gt;0,1,1-PTS_TD_CS_COMB_THRES)+MAX(0,$H324-PTS_CS_THRESHOLD)*PTS_PER_CS_AG*IF($F324-PTS_TD_THRESHOLD&gt;0,1,1-PTS_TD_CS_COMB_THRES))),PTS_TD_CS_MAX),PTS_TD_CS_MIN),0)</f>
        <v>0</v>
      </c>
      <c r="Q324" s="4">
        <f t="shared" si="2"/>
        <v>0</v>
      </c>
      <c r="R324" s="4">
        <f t="shared" si="3"/>
        <v>0</v>
      </c>
      <c r="S324" s="2">
        <f t="shared" ref="S324:S387" si="25">IF(T324&gt;0,RANK(T324,RES_GATE),-1)</f>
        <v>-1</v>
      </c>
      <c r="T324" s="4">
        <f t="shared" si="22"/>
        <v>0</v>
      </c>
      <c r="U324" s="2" t="str">
        <f t="shared" si="5"/>
        <v xml:space="preserve"> - </v>
      </c>
      <c r="V324" s="1"/>
      <c r="W324" s="1"/>
      <c r="X324" s="1"/>
      <c r="Y324" s="1"/>
      <c r="Z324" s="1"/>
      <c r="AA324" s="2"/>
      <c r="AB324" s="2"/>
      <c r="AC324" s="2"/>
    </row>
    <row r="325" spans="1:29" ht="12.75" customHeight="1">
      <c r="A325" s="1"/>
      <c r="B325" s="5"/>
      <c r="C325" s="22"/>
      <c r="D325" s="24"/>
      <c r="E325" s="26"/>
      <c r="F325" s="28"/>
      <c r="G325" s="29"/>
      <c r="H325" s="28"/>
      <c r="I325" s="29"/>
      <c r="J325" s="28"/>
      <c r="K325" s="28"/>
      <c r="L325" s="28"/>
      <c r="M325" s="5"/>
      <c r="N325" s="1"/>
      <c r="O325" s="4">
        <f t="shared" si="23"/>
        <v>0</v>
      </c>
      <c r="P325" s="4">
        <f t="shared" si="24"/>
        <v>0</v>
      </c>
      <c r="Q325" s="4">
        <f t="shared" si="2"/>
        <v>0</v>
      </c>
      <c r="R325" s="4">
        <f t="shared" si="3"/>
        <v>0</v>
      </c>
      <c r="S325" s="2">
        <f t="shared" si="25"/>
        <v>-1</v>
      </c>
      <c r="T325" s="4">
        <f t="shared" ref="T325:T388" si="26">IF(NOT(ISERROR(MATCH(L325,Team_Stat_Sel,0))),J325+K325+1/(ROW()+777777777),0)</f>
        <v>0</v>
      </c>
      <c r="U325" s="2" t="str">
        <f t="shared" si="5"/>
        <v xml:space="preserve"> - </v>
      </c>
      <c r="V325" s="1"/>
      <c r="W325" s="1"/>
      <c r="X325" s="1"/>
      <c r="Y325" s="1"/>
      <c r="Z325" s="1"/>
      <c r="AA325" s="2"/>
      <c r="AB325" s="2"/>
      <c r="AC325" s="2"/>
    </row>
    <row r="326" spans="1:29" ht="12.75" customHeight="1">
      <c r="A326" s="1"/>
      <c r="B326" s="5"/>
      <c r="C326" s="22"/>
      <c r="D326" s="24"/>
      <c r="E326" s="26"/>
      <c r="F326" s="28"/>
      <c r="G326" s="29"/>
      <c r="H326" s="28"/>
      <c r="I326" s="29"/>
      <c r="J326" s="28"/>
      <c r="K326" s="28"/>
      <c r="L326" s="28"/>
      <c r="M326" s="5"/>
      <c r="N326" s="1"/>
      <c r="O326" s="4">
        <f t="shared" si="23"/>
        <v>0</v>
      </c>
      <c r="P326" s="4">
        <f t="shared" si="24"/>
        <v>0</v>
      </c>
      <c r="Q326" s="4">
        <f t="shared" si="2"/>
        <v>0</v>
      </c>
      <c r="R326" s="4">
        <f t="shared" si="3"/>
        <v>0</v>
      </c>
      <c r="S326" s="2">
        <f t="shared" si="25"/>
        <v>-1</v>
      </c>
      <c r="T326" s="4">
        <f t="shared" si="26"/>
        <v>0</v>
      </c>
      <c r="U326" s="2" t="str">
        <f t="shared" si="5"/>
        <v xml:space="preserve"> - </v>
      </c>
      <c r="V326" s="1"/>
      <c r="W326" s="1"/>
      <c r="X326" s="1"/>
      <c r="Y326" s="1"/>
      <c r="Z326" s="1"/>
      <c r="AA326" s="2"/>
      <c r="AB326" s="2"/>
      <c r="AC326" s="2"/>
    </row>
    <row r="327" spans="1:29" ht="12.75" customHeight="1">
      <c r="A327" s="1"/>
      <c r="B327" s="5"/>
      <c r="C327" s="22"/>
      <c r="D327" s="24"/>
      <c r="E327" s="26"/>
      <c r="F327" s="28"/>
      <c r="G327" s="29"/>
      <c r="H327" s="28"/>
      <c r="I327" s="29"/>
      <c r="J327" s="28"/>
      <c r="K327" s="28"/>
      <c r="L327" s="28"/>
      <c r="M327" s="5"/>
      <c r="N327" s="1"/>
      <c r="O327" s="4">
        <f t="shared" si="23"/>
        <v>0</v>
      </c>
      <c r="P327" s="4">
        <f t="shared" si="24"/>
        <v>0</v>
      </c>
      <c r="Q327" s="4">
        <f t="shared" si="2"/>
        <v>0</v>
      </c>
      <c r="R327" s="4">
        <f t="shared" si="3"/>
        <v>0</v>
      </c>
      <c r="S327" s="2">
        <f t="shared" si="25"/>
        <v>-1</v>
      </c>
      <c r="T327" s="4">
        <f t="shared" si="26"/>
        <v>0</v>
      </c>
      <c r="U327" s="2" t="str">
        <f t="shared" si="5"/>
        <v xml:space="preserve"> - </v>
      </c>
      <c r="V327" s="1"/>
      <c r="W327" s="1"/>
      <c r="X327" s="1"/>
      <c r="Y327" s="1"/>
      <c r="Z327" s="1"/>
      <c r="AA327" s="2"/>
      <c r="AB327" s="2"/>
      <c r="AC327" s="2"/>
    </row>
    <row r="328" spans="1:29" ht="12.75" customHeight="1">
      <c r="A328" s="1"/>
      <c r="B328" s="5"/>
      <c r="C328" s="22"/>
      <c r="D328" s="24"/>
      <c r="E328" s="26"/>
      <c r="F328" s="28"/>
      <c r="G328" s="29"/>
      <c r="H328" s="28"/>
      <c r="I328" s="29"/>
      <c r="J328" s="28"/>
      <c r="K328" s="28"/>
      <c r="L328" s="28"/>
      <c r="M328" s="5"/>
      <c r="N328" s="1"/>
      <c r="O328" s="4">
        <f t="shared" si="23"/>
        <v>0</v>
      </c>
      <c r="P328" s="4">
        <f t="shared" si="24"/>
        <v>0</v>
      </c>
      <c r="Q328" s="4">
        <f t="shared" si="2"/>
        <v>0</v>
      </c>
      <c r="R328" s="4">
        <f t="shared" si="3"/>
        <v>0</v>
      </c>
      <c r="S328" s="2">
        <f t="shared" si="25"/>
        <v>-1</v>
      </c>
      <c r="T328" s="4">
        <f t="shared" si="26"/>
        <v>0</v>
      </c>
      <c r="U328" s="2" t="str">
        <f t="shared" si="5"/>
        <v xml:space="preserve"> - </v>
      </c>
      <c r="V328" s="1"/>
      <c r="W328" s="1"/>
      <c r="X328" s="1"/>
      <c r="Y328" s="1"/>
      <c r="Z328" s="1"/>
      <c r="AA328" s="2"/>
      <c r="AB328" s="2"/>
      <c r="AC328" s="2"/>
    </row>
    <row r="329" spans="1:29" ht="12.75" customHeight="1">
      <c r="A329" s="1"/>
      <c r="B329" s="5"/>
      <c r="C329" s="22"/>
      <c r="D329" s="24"/>
      <c r="E329" s="26"/>
      <c r="F329" s="28"/>
      <c r="G329" s="29"/>
      <c r="H329" s="28"/>
      <c r="I329" s="29"/>
      <c r="J329" s="28"/>
      <c r="K329" s="28"/>
      <c r="L329" s="28"/>
      <c r="M329" s="5"/>
      <c r="N329" s="1"/>
      <c r="O329" s="4">
        <f t="shared" si="23"/>
        <v>0</v>
      </c>
      <c r="P329" s="4">
        <f t="shared" si="24"/>
        <v>0</v>
      </c>
      <c r="Q329" s="4">
        <f t="shared" si="2"/>
        <v>0</v>
      </c>
      <c r="R329" s="4">
        <f t="shared" si="3"/>
        <v>0</v>
      </c>
      <c r="S329" s="2">
        <f t="shared" si="25"/>
        <v>-1</v>
      </c>
      <c r="T329" s="4">
        <f t="shared" si="26"/>
        <v>0</v>
      </c>
      <c r="U329" s="2" t="str">
        <f t="shared" si="5"/>
        <v xml:space="preserve"> - </v>
      </c>
      <c r="V329" s="1"/>
      <c r="W329" s="1"/>
      <c r="X329" s="1"/>
      <c r="Y329" s="1"/>
      <c r="Z329" s="1"/>
      <c r="AA329" s="2"/>
      <c r="AB329" s="2"/>
      <c r="AC329" s="2"/>
    </row>
    <row r="330" spans="1:29" ht="12.75" customHeight="1">
      <c r="A330" s="1"/>
      <c r="B330" s="5"/>
      <c r="C330" s="22"/>
      <c r="D330" s="24"/>
      <c r="E330" s="26"/>
      <c r="F330" s="28"/>
      <c r="G330" s="29"/>
      <c r="H330" s="28"/>
      <c r="I330" s="29"/>
      <c r="J330" s="28"/>
      <c r="K330" s="28"/>
      <c r="L330" s="28"/>
      <c r="M330" s="5"/>
      <c r="N330" s="1"/>
      <c r="O330" s="4">
        <f t="shared" si="23"/>
        <v>0</v>
      </c>
      <c r="P330" s="4">
        <f t="shared" si="24"/>
        <v>0</v>
      </c>
      <c r="Q330" s="4">
        <f t="shared" si="2"/>
        <v>0</v>
      </c>
      <c r="R330" s="4">
        <f t="shared" si="3"/>
        <v>0</v>
      </c>
      <c r="S330" s="2">
        <f t="shared" si="25"/>
        <v>-1</v>
      </c>
      <c r="T330" s="4">
        <f t="shared" si="26"/>
        <v>0</v>
      </c>
      <c r="U330" s="2" t="str">
        <f t="shared" si="5"/>
        <v xml:space="preserve"> - </v>
      </c>
      <c r="V330" s="1"/>
      <c r="W330" s="1"/>
      <c r="X330" s="1"/>
      <c r="Y330" s="1"/>
      <c r="Z330" s="1"/>
      <c r="AA330" s="2"/>
      <c r="AB330" s="2"/>
      <c r="AC330" s="2"/>
    </row>
    <row r="331" spans="1:29" ht="12.75" customHeight="1">
      <c r="A331" s="1"/>
      <c r="B331" s="5"/>
      <c r="C331" s="22"/>
      <c r="D331" s="24"/>
      <c r="E331" s="26"/>
      <c r="F331" s="28"/>
      <c r="G331" s="29"/>
      <c r="H331" s="28"/>
      <c r="I331" s="29"/>
      <c r="J331" s="28"/>
      <c r="K331" s="28"/>
      <c r="L331" s="28"/>
      <c r="M331" s="5"/>
      <c r="N331" s="1"/>
      <c r="O331" s="4">
        <f t="shared" si="23"/>
        <v>0</v>
      </c>
      <c r="P331" s="4">
        <f t="shared" si="24"/>
        <v>0</v>
      </c>
      <c r="Q331" s="4">
        <f t="shared" si="2"/>
        <v>0</v>
      </c>
      <c r="R331" s="4">
        <f t="shared" si="3"/>
        <v>0</v>
      </c>
      <c r="S331" s="2">
        <f t="shared" si="25"/>
        <v>-1</v>
      </c>
      <c r="T331" s="4">
        <f t="shared" si="26"/>
        <v>0</v>
      </c>
      <c r="U331" s="2" t="str">
        <f t="shared" si="5"/>
        <v xml:space="preserve"> - </v>
      </c>
      <c r="V331" s="1"/>
      <c r="W331" s="1"/>
      <c r="X331" s="1"/>
      <c r="Y331" s="1"/>
      <c r="Z331" s="1"/>
      <c r="AA331" s="2"/>
      <c r="AB331" s="2"/>
      <c r="AC331" s="2"/>
    </row>
    <row r="332" spans="1:29" ht="12.75" customHeight="1">
      <c r="A332" s="1"/>
      <c r="B332" s="5"/>
      <c r="C332" s="22"/>
      <c r="D332" s="24"/>
      <c r="E332" s="26"/>
      <c r="F332" s="28"/>
      <c r="G332" s="29"/>
      <c r="H332" s="28"/>
      <c r="I332" s="29"/>
      <c r="J332" s="28"/>
      <c r="K332" s="28"/>
      <c r="L332" s="28"/>
      <c r="M332" s="5"/>
      <c r="N332" s="1"/>
      <c r="O332" s="4">
        <f t="shared" si="23"/>
        <v>0</v>
      </c>
      <c r="P332" s="4">
        <f t="shared" si="24"/>
        <v>0</v>
      </c>
      <c r="Q332" s="4">
        <f t="shared" si="2"/>
        <v>0</v>
      </c>
      <c r="R332" s="4">
        <f t="shared" si="3"/>
        <v>0</v>
      </c>
      <c r="S332" s="2">
        <f t="shared" si="25"/>
        <v>-1</v>
      </c>
      <c r="T332" s="4">
        <f t="shared" si="26"/>
        <v>0</v>
      </c>
      <c r="U332" s="2" t="str">
        <f t="shared" si="5"/>
        <v xml:space="preserve"> - </v>
      </c>
      <c r="V332" s="1"/>
      <c r="W332" s="1"/>
      <c r="X332" s="1"/>
      <c r="Y332" s="1"/>
      <c r="Z332" s="1"/>
      <c r="AA332" s="2"/>
      <c r="AB332" s="2"/>
      <c r="AC332" s="2"/>
    </row>
    <row r="333" spans="1:29" ht="12.75" customHeight="1">
      <c r="A333" s="1"/>
      <c r="B333" s="5"/>
      <c r="C333" s="22"/>
      <c r="D333" s="24"/>
      <c r="E333" s="26"/>
      <c r="F333" s="28"/>
      <c r="G333" s="29"/>
      <c r="H333" s="28"/>
      <c r="I333" s="29"/>
      <c r="J333" s="28"/>
      <c r="K333" s="28"/>
      <c r="L333" s="28"/>
      <c r="M333" s="5"/>
      <c r="N333" s="1"/>
      <c r="O333" s="4">
        <f t="shared" si="23"/>
        <v>0</v>
      </c>
      <c r="P333" s="4">
        <f t="shared" si="24"/>
        <v>0</v>
      </c>
      <c r="Q333" s="4">
        <f t="shared" si="2"/>
        <v>0</v>
      </c>
      <c r="R333" s="4">
        <f t="shared" si="3"/>
        <v>0</v>
      </c>
      <c r="S333" s="2">
        <f t="shared" si="25"/>
        <v>-1</v>
      </c>
      <c r="T333" s="4">
        <f t="shared" si="26"/>
        <v>0</v>
      </c>
      <c r="U333" s="2" t="str">
        <f t="shared" si="5"/>
        <v xml:space="preserve"> - </v>
      </c>
      <c r="V333" s="1"/>
      <c r="W333" s="1"/>
      <c r="X333" s="1"/>
      <c r="Y333" s="1"/>
      <c r="Z333" s="1"/>
      <c r="AA333" s="2"/>
      <c r="AB333" s="2"/>
      <c r="AC333" s="2"/>
    </row>
    <row r="334" spans="1:29" ht="12.75" customHeight="1">
      <c r="A334" s="1"/>
      <c r="B334" s="5"/>
      <c r="C334" s="22"/>
      <c r="D334" s="24"/>
      <c r="E334" s="26"/>
      <c r="F334" s="28"/>
      <c r="G334" s="29"/>
      <c r="H334" s="28"/>
      <c r="I334" s="29"/>
      <c r="J334" s="28"/>
      <c r="K334" s="28"/>
      <c r="L334" s="28"/>
      <c r="M334" s="5"/>
      <c r="N334" s="1"/>
      <c r="O334" s="4">
        <f t="shared" si="23"/>
        <v>0</v>
      </c>
      <c r="P334" s="4">
        <f t="shared" si="24"/>
        <v>0</v>
      </c>
      <c r="Q334" s="4">
        <f t="shared" si="2"/>
        <v>0</v>
      </c>
      <c r="R334" s="4">
        <f t="shared" si="3"/>
        <v>0</v>
      </c>
      <c r="S334" s="2">
        <f t="shared" si="25"/>
        <v>-1</v>
      </c>
      <c r="T334" s="4">
        <f t="shared" si="26"/>
        <v>0</v>
      </c>
      <c r="U334" s="2" t="str">
        <f t="shared" si="5"/>
        <v xml:space="preserve"> - </v>
      </c>
      <c r="V334" s="1"/>
      <c r="W334" s="1"/>
      <c r="X334" s="1"/>
      <c r="Y334" s="1"/>
      <c r="Z334" s="1"/>
      <c r="AA334" s="2"/>
      <c r="AB334" s="2"/>
      <c r="AC334" s="2"/>
    </row>
    <row r="335" spans="1:29" ht="12.75" customHeight="1">
      <c r="A335" s="1"/>
      <c r="B335" s="5"/>
      <c r="C335" s="22"/>
      <c r="D335" s="24"/>
      <c r="E335" s="26"/>
      <c r="F335" s="28"/>
      <c r="G335" s="29"/>
      <c r="H335" s="28"/>
      <c r="I335" s="29"/>
      <c r="J335" s="28"/>
      <c r="K335" s="28"/>
      <c r="L335" s="28"/>
      <c r="M335" s="5"/>
      <c r="N335" s="1"/>
      <c r="O335" s="4">
        <f t="shared" si="23"/>
        <v>0</v>
      </c>
      <c r="P335" s="4">
        <f t="shared" si="24"/>
        <v>0</v>
      </c>
      <c r="Q335" s="4">
        <f t="shared" si="2"/>
        <v>0</v>
      </c>
      <c r="R335" s="4">
        <f t="shared" si="3"/>
        <v>0</v>
      </c>
      <c r="S335" s="2">
        <f t="shared" si="25"/>
        <v>-1</v>
      </c>
      <c r="T335" s="4">
        <f t="shared" si="26"/>
        <v>0</v>
      </c>
      <c r="U335" s="2" t="str">
        <f t="shared" si="5"/>
        <v xml:space="preserve"> - </v>
      </c>
      <c r="V335" s="1"/>
      <c r="W335" s="1"/>
      <c r="X335" s="1"/>
      <c r="Y335" s="1"/>
      <c r="Z335" s="1"/>
      <c r="AA335" s="2"/>
      <c r="AB335" s="2"/>
      <c r="AC335" s="2"/>
    </row>
    <row r="336" spans="1:29" ht="12.75" customHeight="1">
      <c r="A336" s="1"/>
      <c r="B336" s="5"/>
      <c r="C336" s="22"/>
      <c r="D336" s="24"/>
      <c r="E336" s="26"/>
      <c r="F336" s="28"/>
      <c r="G336" s="29"/>
      <c r="H336" s="28"/>
      <c r="I336" s="29"/>
      <c r="J336" s="28"/>
      <c r="K336" s="28"/>
      <c r="L336" s="28"/>
      <c r="M336" s="5"/>
      <c r="N336" s="1"/>
      <c r="O336" s="4">
        <f t="shared" si="23"/>
        <v>0</v>
      </c>
      <c r="P336" s="4">
        <f t="shared" si="24"/>
        <v>0</v>
      </c>
      <c r="Q336" s="4">
        <f t="shared" si="2"/>
        <v>0</v>
      </c>
      <c r="R336" s="4">
        <f t="shared" si="3"/>
        <v>0</v>
      </c>
      <c r="S336" s="2">
        <f t="shared" si="25"/>
        <v>-1</v>
      </c>
      <c r="T336" s="4">
        <f t="shared" si="26"/>
        <v>0</v>
      </c>
      <c r="U336" s="2" t="str">
        <f t="shared" si="5"/>
        <v xml:space="preserve"> - </v>
      </c>
      <c r="V336" s="1"/>
      <c r="W336" s="1"/>
      <c r="X336" s="1"/>
      <c r="Y336" s="1"/>
      <c r="Z336" s="1"/>
      <c r="AA336" s="2"/>
      <c r="AB336" s="2"/>
      <c r="AC336" s="2"/>
    </row>
    <row r="337" spans="1:29" ht="12.75" customHeight="1">
      <c r="A337" s="1"/>
      <c r="B337" s="5"/>
      <c r="C337" s="22"/>
      <c r="D337" s="24"/>
      <c r="E337" s="26"/>
      <c r="F337" s="28"/>
      <c r="G337" s="29"/>
      <c r="H337" s="28"/>
      <c r="I337" s="29"/>
      <c r="J337" s="28"/>
      <c r="K337" s="28"/>
      <c r="L337" s="28"/>
      <c r="M337" s="5"/>
      <c r="N337" s="1"/>
      <c r="O337" s="4">
        <f t="shared" si="23"/>
        <v>0</v>
      </c>
      <c r="P337" s="4">
        <f t="shared" si="24"/>
        <v>0</v>
      </c>
      <c r="Q337" s="4">
        <f t="shared" si="2"/>
        <v>0</v>
      </c>
      <c r="R337" s="4">
        <f t="shared" si="3"/>
        <v>0</v>
      </c>
      <c r="S337" s="2">
        <f t="shared" si="25"/>
        <v>-1</v>
      </c>
      <c r="T337" s="4">
        <f t="shared" si="26"/>
        <v>0</v>
      </c>
      <c r="U337" s="2" t="str">
        <f t="shared" si="5"/>
        <v xml:space="preserve"> - </v>
      </c>
      <c r="V337" s="1"/>
      <c r="W337" s="1"/>
      <c r="X337" s="1"/>
      <c r="Y337" s="1"/>
      <c r="Z337" s="1"/>
      <c r="AA337" s="2"/>
      <c r="AB337" s="2"/>
      <c r="AC337" s="2"/>
    </row>
    <row r="338" spans="1:29" ht="12.75" customHeight="1">
      <c r="A338" s="1"/>
      <c r="B338" s="5"/>
      <c r="C338" s="22"/>
      <c r="D338" s="24"/>
      <c r="E338" s="26"/>
      <c r="F338" s="28"/>
      <c r="G338" s="29"/>
      <c r="H338" s="28"/>
      <c r="I338" s="29"/>
      <c r="J338" s="28"/>
      <c r="K338" s="28"/>
      <c r="L338" s="28"/>
      <c r="M338" s="5"/>
      <c r="N338" s="1"/>
      <c r="O338" s="4">
        <f t="shared" si="23"/>
        <v>0</v>
      </c>
      <c r="P338" s="4">
        <f t="shared" si="24"/>
        <v>0</v>
      </c>
      <c r="Q338" s="4">
        <f t="shared" si="2"/>
        <v>0</v>
      </c>
      <c r="R338" s="4">
        <f t="shared" si="3"/>
        <v>0</v>
      </c>
      <c r="S338" s="2">
        <f t="shared" si="25"/>
        <v>-1</v>
      </c>
      <c r="T338" s="4">
        <f t="shared" si="26"/>
        <v>0</v>
      </c>
      <c r="U338" s="2" t="str">
        <f t="shared" si="5"/>
        <v xml:space="preserve"> - </v>
      </c>
      <c r="V338" s="1"/>
      <c r="W338" s="1"/>
      <c r="X338" s="1"/>
      <c r="Y338" s="1"/>
      <c r="Z338" s="1"/>
      <c r="AA338" s="2"/>
      <c r="AB338" s="2"/>
      <c r="AC338" s="2"/>
    </row>
    <row r="339" spans="1:29" ht="12.75" customHeight="1">
      <c r="A339" s="1"/>
      <c r="B339" s="5"/>
      <c r="C339" s="22"/>
      <c r="D339" s="24"/>
      <c r="E339" s="26"/>
      <c r="F339" s="28"/>
      <c r="G339" s="29"/>
      <c r="H339" s="28"/>
      <c r="I339" s="29"/>
      <c r="J339" s="28"/>
      <c r="K339" s="28"/>
      <c r="L339" s="28"/>
      <c r="M339" s="5"/>
      <c r="N339" s="1"/>
      <c r="O339" s="4">
        <f t="shared" si="23"/>
        <v>0</v>
      </c>
      <c r="P339" s="4">
        <f t="shared" si="24"/>
        <v>0</v>
      </c>
      <c r="Q339" s="4">
        <f t="shared" si="2"/>
        <v>0</v>
      </c>
      <c r="R339" s="4">
        <f t="shared" si="3"/>
        <v>0</v>
      </c>
      <c r="S339" s="2">
        <f t="shared" si="25"/>
        <v>-1</v>
      </c>
      <c r="T339" s="4">
        <f t="shared" si="26"/>
        <v>0</v>
      </c>
      <c r="U339" s="2" t="str">
        <f t="shared" si="5"/>
        <v xml:space="preserve"> - </v>
      </c>
      <c r="V339" s="1"/>
      <c r="W339" s="1"/>
      <c r="X339" s="1"/>
      <c r="Y339" s="1"/>
      <c r="Z339" s="1"/>
      <c r="AA339" s="2"/>
      <c r="AB339" s="2"/>
      <c r="AC339" s="2"/>
    </row>
    <row r="340" spans="1:29" ht="12.75" customHeight="1">
      <c r="A340" s="1"/>
      <c r="B340" s="5"/>
      <c r="C340" s="22"/>
      <c r="D340" s="24"/>
      <c r="E340" s="26"/>
      <c r="F340" s="28"/>
      <c r="G340" s="29"/>
      <c r="H340" s="28"/>
      <c r="I340" s="29"/>
      <c r="J340" s="28"/>
      <c r="K340" s="28"/>
      <c r="L340" s="28"/>
      <c r="M340" s="5"/>
      <c r="N340" s="1"/>
      <c r="O340" s="4">
        <f t="shared" si="23"/>
        <v>0</v>
      </c>
      <c r="P340" s="4">
        <f t="shared" si="24"/>
        <v>0</v>
      </c>
      <c r="Q340" s="4">
        <f t="shared" si="2"/>
        <v>0</v>
      </c>
      <c r="R340" s="4">
        <f t="shared" si="3"/>
        <v>0</v>
      </c>
      <c r="S340" s="2">
        <f t="shared" si="25"/>
        <v>-1</v>
      </c>
      <c r="T340" s="4">
        <f t="shared" si="26"/>
        <v>0</v>
      </c>
      <c r="U340" s="2" t="str">
        <f t="shared" si="5"/>
        <v xml:space="preserve"> - </v>
      </c>
      <c r="V340" s="1"/>
      <c r="W340" s="1"/>
      <c r="X340" s="1"/>
      <c r="Y340" s="1"/>
      <c r="Z340" s="1"/>
      <c r="AA340" s="2"/>
      <c r="AB340" s="2"/>
      <c r="AC340" s="2"/>
    </row>
    <row r="341" spans="1:29" ht="12.75" customHeight="1">
      <c r="A341" s="1"/>
      <c r="B341" s="5"/>
      <c r="C341" s="22"/>
      <c r="D341" s="24"/>
      <c r="E341" s="26"/>
      <c r="F341" s="28"/>
      <c r="G341" s="29"/>
      <c r="H341" s="28"/>
      <c r="I341" s="29"/>
      <c r="J341" s="28"/>
      <c r="K341" s="28"/>
      <c r="L341" s="28"/>
      <c r="M341" s="5"/>
      <c r="N341" s="1"/>
      <c r="O341" s="4">
        <f t="shared" si="23"/>
        <v>0</v>
      </c>
      <c r="P341" s="4">
        <f t="shared" si="24"/>
        <v>0</v>
      </c>
      <c r="Q341" s="4">
        <f t="shared" si="2"/>
        <v>0</v>
      </c>
      <c r="R341" s="4">
        <f t="shared" si="3"/>
        <v>0</v>
      </c>
      <c r="S341" s="2">
        <f t="shared" si="25"/>
        <v>-1</v>
      </c>
      <c r="T341" s="4">
        <f t="shared" si="26"/>
        <v>0</v>
      </c>
      <c r="U341" s="2" t="str">
        <f t="shared" si="5"/>
        <v xml:space="preserve"> - </v>
      </c>
      <c r="V341" s="1"/>
      <c r="W341" s="1"/>
      <c r="X341" s="1"/>
      <c r="Y341" s="1"/>
      <c r="Z341" s="1"/>
      <c r="AA341" s="2"/>
      <c r="AB341" s="2"/>
      <c r="AC341" s="2"/>
    </row>
    <row r="342" spans="1:29" ht="12.75" customHeight="1">
      <c r="A342" s="1"/>
      <c r="B342" s="5"/>
      <c r="C342" s="22"/>
      <c r="D342" s="24"/>
      <c r="E342" s="26"/>
      <c r="F342" s="28"/>
      <c r="G342" s="29"/>
      <c r="H342" s="28"/>
      <c r="I342" s="29"/>
      <c r="J342" s="28"/>
      <c r="K342" s="28"/>
      <c r="L342" s="28"/>
      <c r="M342" s="5"/>
      <c r="N342" s="1"/>
      <c r="O342" s="4">
        <f t="shared" si="23"/>
        <v>0</v>
      </c>
      <c r="P342" s="4">
        <f t="shared" si="24"/>
        <v>0</v>
      </c>
      <c r="Q342" s="4">
        <f t="shared" si="2"/>
        <v>0</v>
      </c>
      <c r="R342" s="4">
        <f t="shared" si="3"/>
        <v>0</v>
      </c>
      <c r="S342" s="2">
        <f t="shared" si="25"/>
        <v>-1</v>
      </c>
      <c r="T342" s="4">
        <f t="shared" si="26"/>
        <v>0</v>
      </c>
      <c r="U342" s="2" t="str">
        <f t="shared" si="5"/>
        <v xml:space="preserve"> - </v>
      </c>
      <c r="V342" s="1"/>
      <c r="W342" s="1"/>
      <c r="X342" s="1"/>
      <c r="Y342" s="1"/>
      <c r="Z342" s="1"/>
      <c r="AA342" s="2"/>
      <c r="AB342" s="2"/>
      <c r="AC342" s="2"/>
    </row>
    <row r="343" spans="1:29" ht="12.75" customHeight="1">
      <c r="A343" s="1"/>
      <c r="B343" s="5"/>
      <c r="C343" s="22"/>
      <c r="D343" s="24"/>
      <c r="E343" s="26"/>
      <c r="F343" s="28"/>
      <c r="G343" s="29"/>
      <c r="H343" s="28"/>
      <c r="I343" s="29"/>
      <c r="J343" s="28"/>
      <c r="K343" s="28"/>
      <c r="L343" s="28"/>
      <c r="M343" s="5"/>
      <c r="N343" s="1"/>
      <c r="O343" s="4">
        <f t="shared" si="23"/>
        <v>0</v>
      </c>
      <c r="P343" s="4">
        <f t="shared" si="24"/>
        <v>0</v>
      </c>
      <c r="Q343" s="4">
        <f t="shared" si="2"/>
        <v>0</v>
      </c>
      <c r="R343" s="4">
        <f t="shared" si="3"/>
        <v>0</v>
      </c>
      <c r="S343" s="2">
        <f t="shared" si="25"/>
        <v>-1</v>
      </c>
      <c r="T343" s="4">
        <f t="shared" si="26"/>
        <v>0</v>
      </c>
      <c r="U343" s="2" t="str">
        <f t="shared" si="5"/>
        <v xml:space="preserve"> - </v>
      </c>
      <c r="V343" s="1"/>
      <c r="W343" s="1"/>
      <c r="X343" s="1"/>
      <c r="Y343" s="1"/>
      <c r="Z343" s="1"/>
      <c r="AA343" s="2"/>
      <c r="AB343" s="2"/>
      <c r="AC343" s="2"/>
    </row>
    <row r="344" spans="1:29" ht="12.75" customHeight="1">
      <c r="A344" s="1"/>
      <c r="B344" s="5"/>
      <c r="C344" s="22"/>
      <c r="D344" s="24"/>
      <c r="E344" s="26"/>
      <c r="F344" s="28"/>
      <c r="G344" s="29"/>
      <c r="H344" s="28"/>
      <c r="I344" s="29"/>
      <c r="J344" s="28"/>
      <c r="K344" s="28"/>
      <c r="L344" s="28"/>
      <c r="M344" s="5"/>
      <c r="N344" s="1"/>
      <c r="O344" s="4">
        <f t="shared" si="23"/>
        <v>0</v>
      </c>
      <c r="P344" s="4">
        <f t="shared" si="24"/>
        <v>0</v>
      </c>
      <c r="Q344" s="4">
        <f t="shared" si="2"/>
        <v>0</v>
      </c>
      <c r="R344" s="4">
        <f t="shared" si="3"/>
        <v>0</v>
      </c>
      <c r="S344" s="2">
        <f t="shared" si="25"/>
        <v>-1</v>
      </c>
      <c r="T344" s="4">
        <f t="shared" si="26"/>
        <v>0</v>
      </c>
      <c r="U344" s="2" t="str">
        <f t="shared" si="5"/>
        <v xml:space="preserve"> - </v>
      </c>
      <c r="V344" s="1"/>
      <c r="W344" s="1"/>
      <c r="X344" s="1"/>
      <c r="Y344" s="1"/>
      <c r="Z344" s="1"/>
      <c r="AA344" s="2"/>
      <c r="AB344" s="2"/>
      <c r="AC344" s="2"/>
    </row>
    <row r="345" spans="1:29" ht="12.75" customHeight="1">
      <c r="A345" s="1"/>
      <c r="B345" s="5"/>
      <c r="C345" s="22"/>
      <c r="D345" s="24"/>
      <c r="E345" s="26"/>
      <c r="F345" s="28"/>
      <c r="G345" s="29"/>
      <c r="H345" s="28"/>
      <c r="I345" s="29"/>
      <c r="J345" s="28"/>
      <c r="K345" s="28"/>
      <c r="L345" s="28"/>
      <c r="M345" s="5"/>
      <c r="N345" s="1"/>
      <c r="O345" s="4">
        <f t="shared" si="23"/>
        <v>0</v>
      </c>
      <c r="P345" s="4">
        <f t="shared" si="24"/>
        <v>0</v>
      </c>
      <c r="Q345" s="4">
        <f t="shared" si="2"/>
        <v>0</v>
      </c>
      <c r="R345" s="4">
        <f t="shared" si="3"/>
        <v>0</v>
      </c>
      <c r="S345" s="2">
        <f t="shared" si="25"/>
        <v>-1</v>
      </c>
      <c r="T345" s="4">
        <f t="shared" si="26"/>
        <v>0</v>
      </c>
      <c r="U345" s="2" t="str">
        <f t="shared" si="5"/>
        <v xml:space="preserve"> - </v>
      </c>
      <c r="V345" s="1"/>
      <c r="W345" s="1"/>
      <c r="X345" s="1"/>
      <c r="Y345" s="1"/>
      <c r="Z345" s="1"/>
      <c r="AA345" s="2"/>
      <c r="AB345" s="2"/>
      <c r="AC345" s="2"/>
    </row>
    <row r="346" spans="1:29" ht="12.75" customHeight="1">
      <c r="A346" s="1"/>
      <c r="B346" s="5"/>
      <c r="C346" s="22"/>
      <c r="D346" s="24"/>
      <c r="E346" s="26"/>
      <c r="F346" s="28"/>
      <c r="G346" s="29"/>
      <c r="H346" s="28"/>
      <c r="I346" s="29"/>
      <c r="J346" s="28"/>
      <c r="K346" s="28"/>
      <c r="L346" s="28"/>
      <c r="M346" s="5"/>
      <c r="N346" s="1"/>
      <c r="O346" s="4">
        <f t="shared" si="23"/>
        <v>0</v>
      </c>
      <c r="P346" s="4">
        <f t="shared" si="24"/>
        <v>0</v>
      </c>
      <c r="Q346" s="4">
        <f t="shared" si="2"/>
        <v>0</v>
      </c>
      <c r="R346" s="4">
        <f t="shared" si="3"/>
        <v>0</v>
      </c>
      <c r="S346" s="2">
        <f t="shared" si="25"/>
        <v>-1</v>
      </c>
      <c r="T346" s="4">
        <f t="shared" si="26"/>
        <v>0</v>
      </c>
      <c r="U346" s="2" t="str">
        <f t="shared" si="5"/>
        <v xml:space="preserve"> - </v>
      </c>
      <c r="V346" s="1"/>
      <c r="W346" s="1"/>
      <c r="X346" s="1"/>
      <c r="Y346" s="1"/>
      <c r="Z346" s="1"/>
      <c r="AA346" s="2"/>
      <c r="AB346" s="2"/>
      <c r="AC346" s="2"/>
    </row>
    <row r="347" spans="1:29" ht="12.75" customHeight="1">
      <c r="A347" s="1"/>
      <c r="B347" s="5"/>
      <c r="C347" s="22"/>
      <c r="D347" s="24"/>
      <c r="E347" s="26"/>
      <c r="F347" s="28"/>
      <c r="G347" s="29"/>
      <c r="H347" s="28"/>
      <c r="I347" s="29"/>
      <c r="J347" s="28"/>
      <c r="K347" s="28"/>
      <c r="L347" s="28"/>
      <c r="M347" s="5"/>
      <c r="N347" s="1"/>
      <c r="O347" s="4">
        <f t="shared" si="23"/>
        <v>0</v>
      </c>
      <c r="P347" s="4">
        <f t="shared" si="24"/>
        <v>0</v>
      </c>
      <c r="Q347" s="4">
        <f t="shared" si="2"/>
        <v>0</v>
      </c>
      <c r="R347" s="4">
        <f t="shared" si="3"/>
        <v>0</v>
      </c>
      <c r="S347" s="2">
        <f t="shared" si="25"/>
        <v>-1</v>
      </c>
      <c r="T347" s="4">
        <f t="shared" si="26"/>
        <v>0</v>
      </c>
      <c r="U347" s="2" t="str">
        <f t="shared" si="5"/>
        <v xml:space="preserve"> - </v>
      </c>
      <c r="V347" s="1"/>
      <c r="W347" s="1"/>
      <c r="X347" s="1"/>
      <c r="Y347" s="1"/>
      <c r="Z347" s="1"/>
      <c r="AA347" s="2"/>
      <c r="AB347" s="2"/>
      <c r="AC347" s="2"/>
    </row>
    <row r="348" spans="1:29" ht="12.75" customHeight="1">
      <c r="A348" s="1"/>
      <c r="B348" s="5"/>
      <c r="C348" s="22"/>
      <c r="D348" s="24"/>
      <c r="E348" s="26"/>
      <c r="F348" s="28"/>
      <c r="G348" s="29"/>
      <c r="H348" s="28"/>
      <c r="I348" s="29"/>
      <c r="J348" s="28"/>
      <c r="K348" s="28"/>
      <c r="L348" s="28"/>
      <c r="M348" s="5"/>
      <c r="N348" s="1"/>
      <c r="O348" s="4">
        <f t="shared" si="23"/>
        <v>0</v>
      </c>
      <c r="P348" s="4">
        <f t="shared" si="24"/>
        <v>0</v>
      </c>
      <c r="Q348" s="4">
        <f t="shared" si="2"/>
        <v>0</v>
      </c>
      <c r="R348" s="4">
        <f t="shared" si="3"/>
        <v>0</v>
      </c>
      <c r="S348" s="2">
        <f t="shared" si="25"/>
        <v>-1</v>
      </c>
      <c r="T348" s="4">
        <f t="shared" si="26"/>
        <v>0</v>
      </c>
      <c r="U348" s="2" t="str">
        <f t="shared" si="5"/>
        <v xml:space="preserve"> - </v>
      </c>
      <c r="V348" s="1"/>
      <c r="W348" s="1"/>
      <c r="X348" s="1"/>
      <c r="Y348" s="1"/>
      <c r="Z348" s="1"/>
      <c r="AA348" s="2"/>
      <c r="AB348" s="2"/>
      <c r="AC348" s="2"/>
    </row>
    <row r="349" spans="1:29" ht="12.75" customHeight="1">
      <c r="A349" s="1"/>
      <c r="B349" s="5"/>
      <c r="C349" s="22"/>
      <c r="D349" s="24"/>
      <c r="E349" s="26"/>
      <c r="F349" s="28"/>
      <c r="G349" s="29"/>
      <c r="H349" s="28"/>
      <c r="I349" s="29"/>
      <c r="J349" s="28"/>
      <c r="K349" s="28"/>
      <c r="L349" s="28"/>
      <c r="M349" s="5"/>
      <c r="N349" s="1"/>
      <c r="O349" s="4">
        <f t="shared" si="23"/>
        <v>0</v>
      </c>
      <c r="P349" s="4">
        <f t="shared" si="24"/>
        <v>0</v>
      </c>
      <c r="Q349" s="4">
        <f t="shared" si="2"/>
        <v>0</v>
      </c>
      <c r="R349" s="4">
        <f t="shared" si="3"/>
        <v>0</v>
      </c>
      <c r="S349" s="2">
        <f t="shared" si="25"/>
        <v>-1</v>
      </c>
      <c r="T349" s="4">
        <f t="shared" si="26"/>
        <v>0</v>
      </c>
      <c r="U349" s="2" t="str">
        <f t="shared" si="5"/>
        <v xml:space="preserve"> - </v>
      </c>
      <c r="V349" s="1"/>
      <c r="W349" s="1"/>
      <c r="X349" s="1"/>
      <c r="Y349" s="1"/>
      <c r="Z349" s="1"/>
      <c r="AA349" s="2"/>
      <c r="AB349" s="2"/>
      <c r="AC349" s="2"/>
    </row>
    <row r="350" spans="1:29" ht="12.75" customHeight="1">
      <c r="A350" s="1"/>
      <c r="B350" s="5"/>
      <c r="C350" s="22"/>
      <c r="D350" s="24"/>
      <c r="E350" s="26"/>
      <c r="F350" s="28"/>
      <c r="G350" s="29"/>
      <c r="H350" s="28"/>
      <c r="I350" s="29"/>
      <c r="J350" s="28"/>
      <c r="K350" s="28"/>
      <c r="L350" s="28"/>
      <c r="M350" s="5"/>
      <c r="N350" s="1"/>
      <c r="O350" s="4">
        <f t="shared" si="23"/>
        <v>0</v>
      </c>
      <c r="P350" s="4">
        <f t="shared" si="24"/>
        <v>0</v>
      </c>
      <c r="Q350" s="4">
        <f t="shared" si="2"/>
        <v>0</v>
      </c>
      <c r="R350" s="4">
        <f t="shared" si="3"/>
        <v>0</v>
      </c>
      <c r="S350" s="2">
        <f t="shared" si="25"/>
        <v>-1</v>
      </c>
      <c r="T350" s="4">
        <f t="shared" si="26"/>
        <v>0</v>
      </c>
      <c r="U350" s="2" t="str">
        <f t="shared" si="5"/>
        <v xml:space="preserve"> - </v>
      </c>
      <c r="V350" s="1"/>
      <c r="W350" s="1"/>
      <c r="X350" s="1"/>
      <c r="Y350" s="1"/>
      <c r="Z350" s="1"/>
      <c r="AA350" s="2"/>
      <c r="AB350" s="2"/>
      <c r="AC350" s="2"/>
    </row>
    <row r="351" spans="1:29" ht="12.75" customHeight="1">
      <c r="A351" s="1"/>
      <c r="B351" s="5"/>
      <c r="C351" s="22"/>
      <c r="D351" s="24"/>
      <c r="E351" s="26"/>
      <c r="F351" s="28"/>
      <c r="G351" s="29"/>
      <c r="H351" s="28"/>
      <c r="I351" s="29"/>
      <c r="J351" s="28"/>
      <c r="K351" s="28"/>
      <c r="L351" s="28"/>
      <c r="M351" s="5"/>
      <c r="N351" s="1"/>
      <c r="O351" s="4">
        <f t="shared" si="23"/>
        <v>0</v>
      </c>
      <c r="P351" s="4">
        <f t="shared" si="24"/>
        <v>0</v>
      </c>
      <c r="Q351" s="4">
        <f t="shared" si="2"/>
        <v>0</v>
      </c>
      <c r="R351" s="4">
        <f t="shared" si="3"/>
        <v>0</v>
      </c>
      <c r="S351" s="2">
        <f t="shared" si="25"/>
        <v>-1</v>
      </c>
      <c r="T351" s="4">
        <f t="shared" si="26"/>
        <v>0</v>
      </c>
      <c r="U351" s="2" t="str">
        <f t="shared" si="5"/>
        <v xml:space="preserve"> - </v>
      </c>
      <c r="V351" s="1"/>
      <c r="W351" s="1"/>
      <c r="X351" s="1"/>
      <c r="Y351" s="1"/>
      <c r="Z351" s="1"/>
      <c r="AA351" s="2"/>
      <c r="AB351" s="2"/>
      <c r="AC351" s="2"/>
    </row>
    <row r="352" spans="1:29" ht="12.75" customHeight="1">
      <c r="A352" s="1"/>
      <c r="B352" s="5"/>
      <c r="C352" s="22"/>
      <c r="D352" s="24"/>
      <c r="E352" s="26"/>
      <c r="F352" s="28"/>
      <c r="G352" s="29"/>
      <c r="H352" s="28"/>
      <c r="I352" s="29"/>
      <c r="J352" s="28"/>
      <c r="K352" s="28"/>
      <c r="L352" s="28"/>
      <c r="M352" s="5"/>
      <c r="N352" s="1"/>
      <c r="O352" s="4">
        <f t="shared" si="23"/>
        <v>0</v>
      </c>
      <c r="P352" s="4">
        <f t="shared" si="24"/>
        <v>0</v>
      </c>
      <c r="Q352" s="4">
        <f t="shared" si="2"/>
        <v>0</v>
      </c>
      <c r="R352" s="4">
        <f t="shared" si="3"/>
        <v>0</v>
      </c>
      <c r="S352" s="2">
        <f t="shared" si="25"/>
        <v>-1</v>
      </c>
      <c r="T352" s="4">
        <f t="shared" si="26"/>
        <v>0</v>
      </c>
      <c r="U352" s="2" t="str">
        <f t="shared" si="5"/>
        <v xml:space="preserve"> - </v>
      </c>
      <c r="V352" s="1"/>
      <c r="W352" s="1"/>
      <c r="X352" s="1"/>
      <c r="Y352" s="1"/>
      <c r="Z352" s="1"/>
      <c r="AA352" s="2"/>
      <c r="AB352" s="2"/>
      <c r="AC352" s="2"/>
    </row>
    <row r="353" spans="1:29" ht="12.75" customHeight="1">
      <c r="A353" s="1"/>
      <c r="B353" s="5"/>
      <c r="C353" s="22"/>
      <c r="D353" s="24"/>
      <c r="E353" s="26"/>
      <c r="F353" s="28"/>
      <c r="G353" s="29"/>
      <c r="H353" s="28"/>
      <c r="I353" s="29"/>
      <c r="J353" s="28"/>
      <c r="K353" s="28"/>
      <c r="L353" s="28"/>
      <c r="M353" s="5"/>
      <c r="N353" s="1"/>
      <c r="O353" s="4">
        <f t="shared" si="23"/>
        <v>0</v>
      </c>
      <c r="P353" s="4">
        <f t="shared" si="24"/>
        <v>0</v>
      </c>
      <c r="Q353" s="4">
        <f t="shared" si="2"/>
        <v>0</v>
      </c>
      <c r="R353" s="4">
        <f t="shared" si="3"/>
        <v>0</v>
      </c>
      <c r="S353" s="2">
        <f t="shared" si="25"/>
        <v>-1</v>
      </c>
      <c r="T353" s="4">
        <f t="shared" si="26"/>
        <v>0</v>
      </c>
      <c r="U353" s="2" t="str">
        <f t="shared" si="5"/>
        <v xml:space="preserve"> - </v>
      </c>
      <c r="V353" s="1"/>
      <c r="W353" s="1"/>
      <c r="X353" s="1"/>
      <c r="Y353" s="1"/>
      <c r="Z353" s="1"/>
      <c r="AA353" s="2"/>
      <c r="AB353" s="2"/>
      <c r="AC353" s="2"/>
    </row>
    <row r="354" spans="1:29" ht="12.75" customHeight="1">
      <c r="A354" s="1"/>
      <c r="B354" s="5"/>
      <c r="C354" s="22"/>
      <c r="D354" s="24"/>
      <c r="E354" s="26"/>
      <c r="F354" s="28"/>
      <c r="G354" s="29"/>
      <c r="H354" s="28"/>
      <c r="I354" s="29"/>
      <c r="J354" s="28"/>
      <c r="K354" s="28"/>
      <c r="L354" s="28"/>
      <c r="M354" s="5"/>
      <c r="N354" s="1"/>
      <c r="O354" s="4">
        <f t="shared" si="23"/>
        <v>0</v>
      </c>
      <c r="P354" s="4">
        <f t="shared" si="24"/>
        <v>0</v>
      </c>
      <c r="Q354" s="4">
        <f t="shared" si="2"/>
        <v>0</v>
      </c>
      <c r="R354" s="4">
        <f t="shared" si="3"/>
        <v>0</v>
      </c>
      <c r="S354" s="2">
        <f t="shared" si="25"/>
        <v>-1</v>
      </c>
      <c r="T354" s="4">
        <f t="shared" si="26"/>
        <v>0</v>
      </c>
      <c r="U354" s="2" t="str">
        <f t="shared" si="5"/>
        <v xml:space="preserve"> - </v>
      </c>
      <c r="V354" s="1"/>
      <c r="W354" s="1"/>
      <c r="X354" s="1"/>
      <c r="Y354" s="1"/>
      <c r="Z354" s="1"/>
      <c r="AA354" s="2"/>
      <c r="AB354" s="2"/>
      <c r="AC354" s="2"/>
    </row>
    <row r="355" spans="1:29" ht="12.75" customHeight="1">
      <c r="A355" s="1"/>
      <c r="B355" s="5"/>
      <c r="C355" s="22"/>
      <c r="D355" s="24"/>
      <c r="E355" s="26"/>
      <c r="F355" s="28"/>
      <c r="G355" s="29"/>
      <c r="H355" s="28"/>
      <c r="I355" s="29"/>
      <c r="J355" s="28"/>
      <c r="K355" s="28"/>
      <c r="L355" s="28"/>
      <c r="M355" s="5"/>
      <c r="N355" s="1"/>
      <c r="O355" s="4">
        <f t="shared" si="23"/>
        <v>0</v>
      </c>
      <c r="P355" s="4">
        <f t="shared" si="24"/>
        <v>0</v>
      </c>
      <c r="Q355" s="4">
        <f t="shared" si="2"/>
        <v>0</v>
      </c>
      <c r="R355" s="4">
        <f t="shared" si="3"/>
        <v>0</v>
      </c>
      <c r="S355" s="2">
        <f t="shared" si="25"/>
        <v>-1</v>
      </c>
      <c r="T355" s="4">
        <f t="shared" si="26"/>
        <v>0</v>
      </c>
      <c r="U355" s="2" t="str">
        <f t="shared" si="5"/>
        <v xml:space="preserve"> - </v>
      </c>
      <c r="V355" s="1"/>
      <c r="W355" s="1"/>
      <c r="X355" s="1"/>
      <c r="Y355" s="1"/>
      <c r="Z355" s="1"/>
      <c r="AA355" s="2"/>
      <c r="AB355" s="2"/>
      <c r="AC355" s="2"/>
    </row>
    <row r="356" spans="1:29" ht="12.75" customHeight="1">
      <c r="A356" s="1"/>
      <c r="B356" s="5"/>
      <c r="C356" s="22"/>
      <c r="D356" s="24"/>
      <c r="E356" s="26"/>
      <c r="F356" s="28"/>
      <c r="G356" s="29"/>
      <c r="H356" s="28"/>
      <c r="I356" s="29"/>
      <c r="J356" s="28"/>
      <c r="K356" s="28"/>
      <c r="L356" s="28"/>
      <c r="M356" s="5"/>
      <c r="N356" s="1"/>
      <c r="O356" s="4">
        <f t="shared" si="23"/>
        <v>0</v>
      </c>
      <c r="P356" s="4">
        <f t="shared" si="24"/>
        <v>0</v>
      </c>
      <c r="Q356" s="4">
        <f t="shared" si="2"/>
        <v>0</v>
      </c>
      <c r="R356" s="4">
        <f t="shared" si="3"/>
        <v>0</v>
      </c>
      <c r="S356" s="2">
        <f t="shared" si="25"/>
        <v>-1</v>
      </c>
      <c r="T356" s="4">
        <f t="shared" si="26"/>
        <v>0</v>
      </c>
      <c r="U356" s="2" t="str">
        <f t="shared" si="5"/>
        <v xml:space="preserve"> - </v>
      </c>
      <c r="V356" s="1"/>
      <c r="W356" s="1"/>
      <c r="X356" s="1"/>
      <c r="Y356" s="1"/>
      <c r="Z356" s="1"/>
      <c r="AA356" s="2"/>
      <c r="AB356" s="2"/>
      <c r="AC356" s="2"/>
    </row>
    <row r="357" spans="1:29" ht="12.75" customHeight="1">
      <c r="A357" s="1"/>
      <c r="B357" s="5"/>
      <c r="C357" s="22"/>
      <c r="D357" s="24"/>
      <c r="E357" s="26"/>
      <c r="F357" s="28"/>
      <c r="G357" s="29"/>
      <c r="H357" s="28"/>
      <c r="I357" s="29"/>
      <c r="J357" s="28"/>
      <c r="K357" s="28"/>
      <c r="L357" s="28"/>
      <c r="M357" s="5"/>
      <c r="N357" s="1"/>
      <c r="O357" s="4">
        <f t="shared" si="23"/>
        <v>0</v>
      </c>
      <c r="P357" s="4">
        <f t="shared" si="24"/>
        <v>0</v>
      </c>
      <c r="Q357" s="4">
        <f t="shared" si="2"/>
        <v>0</v>
      </c>
      <c r="R357" s="4">
        <f t="shared" si="3"/>
        <v>0</v>
      </c>
      <c r="S357" s="2">
        <f t="shared" si="25"/>
        <v>-1</v>
      </c>
      <c r="T357" s="4">
        <f t="shared" si="26"/>
        <v>0</v>
      </c>
      <c r="U357" s="2" t="str">
        <f t="shared" si="5"/>
        <v xml:space="preserve"> - </v>
      </c>
      <c r="V357" s="1"/>
      <c r="W357" s="1"/>
      <c r="X357" s="1"/>
      <c r="Y357" s="1"/>
      <c r="Z357" s="1"/>
      <c r="AA357" s="2"/>
      <c r="AB357" s="2"/>
      <c r="AC357" s="2"/>
    </row>
    <row r="358" spans="1:29" ht="12.75" customHeight="1">
      <c r="A358" s="1"/>
      <c r="B358" s="5"/>
      <c r="C358" s="22"/>
      <c r="D358" s="24"/>
      <c r="E358" s="26"/>
      <c r="F358" s="28"/>
      <c r="G358" s="29"/>
      <c r="H358" s="28"/>
      <c r="I358" s="29"/>
      <c r="J358" s="28"/>
      <c r="K358" s="28"/>
      <c r="L358" s="28"/>
      <c r="M358" s="5"/>
      <c r="N358" s="1"/>
      <c r="O358" s="4">
        <f t="shared" si="23"/>
        <v>0</v>
      </c>
      <c r="P358" s="4">
        <f t="shared" si="24"/>
        <v>0</v>
      </c>
      <c r="Q358" s="4">
        <f t="shared" si="2"/>
        <v>0</v>
      </c>
      <c r="R358" s="4">
        <f t="shared" si="3"/>
        <v>0</v>
      </c>
      <c r="S358" s="2">
        <f t="shared" si="25"/>
        <v>-1</v>
      </c>
      <c r="T358" s="4">
        <f t="shared" si="26"/>
        <v>0</v>
      </c>
      <c r="U358" s="2" t="str">
        <f t="shared" si="5"/>
        <v xml:space="preserve"> - </v>
      </c>
      <c r="V358" s="1"/>
      <c r="W358" s="1"/>
      <c r="X358" s="1"/>
      <c r="Y358" s="1"/>
      <c r="Z358" s="1"/>
      <c r="AA358" s="2"/>
      <c r="AB358" s="2"/>
      <c r="AC358" s="2"/>
    </row>
    <row r="359" spans="1:29" ht="12.75" customHeight="1">
      <c r="A359" s="1"/>
      <c r="B359" s="5"/>
      <c r="C359" s="22"/>
      <c r="D359" s="24"/>
      <c r="E359" s="26"/>
      <c r="F359" s="28"/>
      <c r="G359" s="29"/>
      <c r="H359" s="28"/>
      <c r="I359" s="29"/>
      <c r="J359" s="28"/>
      <c r="K359" s="28"/>
      <c r="L359" s="28"/>
      <c r="M359" s="5"/>
      <c r="N359" s="1"/>
      <c r="O359" s="4">
        <f t="shared" si="23"/>
        <v>0</v>
      </c>
      <c r="P359" s="4">
        <f t="shared" si="24"/>
        <v>0</v>
      </c>
      <c r="Q359" s="4">
        <f t="shared" si="2"/>
        <v>0</v>
      </c>
      <c r="R359" s="4">
        <f t="shared" si="3"/>
        <v>0</v>
      </c>
      <c r="S359" s="2">
        <f t="shared" si="25"/>
        <v>-1</v>
      </c>
      <c r="T359" s="4">
        <f t="shared" si="26"/>
        <v>0</v>
      </c>
      <c r="U359" s="2" t="str">
        <f t="shared" si="5"/>
        <v xml:space="preserve"> - </v>
      </c>
      <c r="V359" s="1"/>
      <c r="W359" s="1"/>
      <c r="X359" s="1"/>
      <c r="Y359" s="1"/>
      <c r="Z359" s="1"/>
      <c r="AA359" s="2"/>
      <c r="AB359" s="2"/>
      <c r="AC359" s="2"/>
    </row>
    <row r="360" spans="1:29" ht="12.75" customHeight="1">
      <c r="A360" s="1"/>
      <c r="B360" s="5"/>
      <c r="C360" s="22"/>
      <c r="D360" s="24"/>
      <c r="E360" s="26"/>
      <c r="F360" s="28"/>
      <c r="G360" s="29"/>
      <c r="H360" s="28"/>
      <c r="I360" s="29"/>
      <c r="J360" s="28"/>
      <c r="K360" s="28"/>
      <c r="L360" s="28"/>
      <c r="M360" s="5"/>
      <c r="N360" s="1"/>
      <c r="O360" s="4">
        <f t="shared" si="23"/>
        <v>0</v>
      </c>
      <c r="P360" s="4">
        <f t="shared" si="24"/>
        <v>0</v>
      </c>
      <c r="Q360" s="4">
        <f t="shared" si="2"/>
        <v>0</v>
      </c>
      <c r="R360" s="4">
        <f t="shared" si="3"/>
        <v>0</v>
      </c>
      <c r="S360" s="2">
        <f t="shared" si="25"/>
        <v>-1</v>
      </c>
      <c r="T360" s="4">
        <f t="shared" si="26"/>
        <v>0</v>
      </c>
      <c r="U360" s="2" t="str">
        <f t="shared" si="5"/>
        <v xml:space="preserve"> - </v>
      </c>
      <c r="V360" s="1"/>
      <c r="W360" s="1"/>
      <c r="X360" s="1"/>
      <c r="Y360" s="1"/>
      <c r="Z360" s="1"/>
      <c r="AA360" s="2"/>
      <c r="AB360" s="2"/>
      <c r="AC360" s="2"/>
    </row>
    <row r="361" spans="1:29" ht="12.75" customHeight="1">
      <c r="A361" s="1"/>
      <c r="B361" s="5"/>
      <c r="C361" s="22"/>
      <c r="D361" s="24"/>
      <c r="E361" s="26"/>
      <c r="F361" s="28"/>
      <c r="G361" s="29"/>
      <c r="H361" s="28"/>
      <c r="I361" s="29"/>
      <c r="J361" s="28"/>
      <c r="K361" s="28"/>
      <c r="L361" s="28"/>
      <c r="M361" s="5"/>
      <c r="N361" s="1"/>
      <c r="O361" s="4">
        <f t="shared" si="23"/>
        <v>0</v>
      </c>
      <c r="P361" s="4">
        <f t="shared" si="24"/>
        <v>0</v>
      </c>
      <c r="Q361" s="4">
        <f t="shared" si="2"/>
        <v>0</v>
      </c>
      <c r="R361" s="4">
        <f t="shared" si="3"/>
        <v>0</v>
      </c>
      <c r="S361" s="2">
        <f t="shared" si="25"/>
        <v>-1</v>
      </c>
      <c r="T361" s="4">
        <f t="shared" si="26"/>
        <v>0</v>
      </c>
      <c r="U361" s="2" t="str">
        <f t="shared" si="5"/>
        <v xml:space="preserve"> - </v>
      </c>
      <c r="V361" s="1"/>
      <c r="W361" s="1"/>
      <c r="X361" s="1"/>
      <c r="Y361" s="1"/>
      <c r="Z361" s="1"/>
      <c r="AA361" s="2"/>
      <c r="AB361" s="2"/>
      <c r="AC361" s="2"/>
    </row>
    <row r="362" spans="1:29" ht="12.75" customHeight="1">
      <c r="A362" s="1"/>
      <c r="B362" s="5"/>
      <c r="C362" s="22"/>
      <c r="D362" s="24"/>
      <c r="E362" s="26"/>
      <c r="F362" s="28"/>
      <c r="G362" s="29"/>
      <c r="H362" s="28"/>
      <c r="I362" s="29"/>
      <c r="J362" s="28"/>
      <c r="K362" s="28"/>
      <c r="L362" s="28"/>
      <c r="M362" s="5"/>
      <c r="N362" s="1"/>
      <c r="O362" s="4">
        <f t="shared" si="23"/>
        <v>0</v>
      </c>
      <c r="P362" s="4">
        <f t="shared" si="24"/>
        <v>0</v>
      </c>
      <c r="Q362" s="4">
        <f t="shared" si="2"/>
        <v>0</v>
      </c>
      <c r="R362" s="4">
        <f t="shared" si="3"/>
        <v>0</v>
      </c>
      <c r="S362" s="2">
        <f t="shared" si="25"/>
        <v>-1</v>
      </c>
      <c r="T362" s="4">
        <f t="shared" si="26"/>
        <v>0</v>
      </c>
      <c r="U362" s="2" t="str">
        <f t="shared" si="5"/>
        <v xml:space="preserve"> - </v>
      </c>
      <c r="V362" s="1"/>
      <c r="W362" s="1"/>
      <c r="X362" s="1"/>
      <c r="Y362" s="1"/>
      <c r="Z362" s="1"/>
      <c r="AA362" s="2"/>
      <c r="AB362" s="2"/>
      <c r="AC362" s="2"/>
    </row>
    <row r="363" spans="1:29" ht="12.75" customHeight="1">
      <c r="A363" s="1"/>
      <c r="B363" s="5"/>
      <c r="C363" s="22"/>
      <c r="D363" s="24"/>
      <c r="E363" s="26"/>
      <c r="F363" s="28"/>
      <c r="G363" s="29"/>
      <c r="H363" s="28"/>
      <c r="I363" s="29"/>
      <c r="J363" s="28"/>
      <c r="K363" s="28"/>
      <c r="L363" s="28"/>
      <c r="M363" s="5"/>
      <c r="N363" s="1"/>
      <c r="O363" s="4">
        <f t="shared" si="23"/>
        <v>0</v>
      </c>
      <c r="P363" s="4">
        <f t="shared" si="24"/>
        <v>0</v>
      </c>
      <c r="Q363" s="4">
        <f t="shared" si="2"/>
        <v>0</v>
      </c>
      <c r="R363" s="4">
        <f t="shared" si="3"/>
        <v>0</v>
      </c>
      <c r="S363" s="2">
        <f t="shared" si="25"/>
        <v>-1</v>
      </c>
      <c r="T363" s="4">
        <f t="shared" si="26"/>
        <v>0</v>
      </c>
      <c r="U363" s="2" t="str">
        <f t="shared" si="5"/>
        <v xml:space="preserve"> - </v>
      </c>
      <c r="V363" s="1"/>
      <c r="W363" s="1"/>
      <c r="X363" s="1"/>
      <c r="Y363" s="1"/>
      <c r="Z363" s="1"/>
      <c r="AA363" s="2"/>
      <c r="AB363" s="2"/>
      <c r="AC363" s="2"/>
    </row>
    <row r="364" spans="1:29" ht="12.75" customHeight="1">
      <c r="A364" s="1"/>
      <c r="B364" s="5"/>
      <c r="C364" s="22"/>
      <c r="D364" s="24"/>
      <c r="E364" s="26"/>
      <c r="F364" s="28"/>
      <c r="G364" s="29"/>
      <c r="H364" s="28"/>
      <c r="I364" s="29"/>
      <c r="J364" s="28"/>
      <c r="K364" s="28"/>
      <c r="L364" s="28"/>
      <c r="M364" s="5"/>
      <c r="N364" s="1"/>
      <c r="O364" s="4">
        <f t="shared" si="23"/>
        <v>0</v>
      </c>
      <c r="P364" s="4">
        <f t="shared" si="24"/>
        <v>0</v>
      </c>
      <c r="Q364" s="4">
        <f t="shared" si="2"/>
        <v>0</v>
      </c>
      <c r="R364" s="4">
        <f t="shared" si="3"/>
        <v>0</v>
      </c>
      <c r="S364" s="2">
        <f t="shared" si="25"/>
        <v>-1</v>
      </c>
      <c r="T364" s="4">
        <f t="shared" si="26"/>
        <v>0</v>
      </c>
      <c r="U364" s="2" t="str">
        <f t="shared" si="5"/>
        <v xml:space="preserve"> - </v>
      </c>
      <c r="V364" s="1"/>
      <c r="W364" s="1"/>
      <c r="X364" s="1"/>
      <c r="Y364" s="1"/>
      <c r="Z364" s="1"/>
      <c r="AA364" s="2"/>
      <c r="AB364" s="2"/>
      <c r="AC364" s="2"/>
    </row>
    <row r="365" spans="1:29" ht="12.75" customHeight="1">
      <c r="A365" s="1"/>
      <c r="B365" s="5"/>
      <c r="C365" s="22"/>
      <c r="D365" s="24"/>
      <c r="E365" s="26"/>
      <c r="F365" s="28"/>
      <c r="G365" s="29"/>
      <c r="H365" s="28"/>
      <c r="I365" s="29"/>
      <c r="J365" s="28"/>
      <c r="K365" s="28"/>
      <c r="L365" s="28"/>
      <c r="M365" s="5"/>
      <c r="N365" s="1"/>
      <c r="O365" s="4">
        <f t="shared" si="23"/>
        <v>0</v>
      </c>
      <c r="P365" s="4">
        <f t="shared" si="24"/>
        <v>0</v>
      </c>
      <c r="Q365" s="4">
        <f t="shared" si="2"/>
        <v>0</v>
      </c>
      <c r="R365" s="4">
        <f t="shared" si="3"/>
        <v>0</v>
      </c>
      <c r="S365" s="2">
        <f t="shared" si="25"/>
        <v>-1</v>
      </c>
      <c r="T365" s="4">
        <f t="shared" si="26"/>
        <v>0</v>
      </c>
      <c r="U365" s="2" t="str">
        <f t="shared" si="5"/>
        <v xml:space="preserve"> - </v>
      </c>
      <c r="V365" s="1"/>
      <c r="W365" s="1"/>
      <c r="X365" s="1"/>
      <c r="Y365" s="1"/>
      <c r="Z365" s="1"/>
      <c r="AA365" s="2"/>
      <c r="AB365" s="2"/>
      <c r="AC365" s="2"/>
    </row>
    <row r="366" spans="1:29" ht="12.75" customHeight="1">
      <c r="A366" s="1"/>
      <c r="B366" s="5"/>
      <c r="C366" s="22"/>
      <c r="D366" s="24"/>
      <c r="E366" s="26"/>
      <c r="F366" s="28"/>
      <c r="G366" s="29"/>
      <c r="H366" s="28"/>
      <c r="I366" s="29"/>
      <c r="J366" s="28"/>
      <c r="K366" s="28"/>
      <c r="L366" s="28"/>
      <c r="M366" s="5"/>
      <c r="N366" s="1"/>
      <c r="O366" s="4">
        <f t="shared" si="23"/>
        <v>0</v>
      </c>
      <c r="P366" s="4">
        <f t="shared" si="24"/>
        <v>0</v>
      </c>
      <c r="Q366" s="4">
        <f t="shared" si="2"/>
        <v>0</v>
      </c>
      <c r="R366" s="4">
        <f t="shared" si="3"/>
        <v>0</v>
      </c>
      <c r="S366" s="2">
        <f t="shared" si="25"/>
        <v>-1</v>
      </c>
      <c r="T366" s="4">
        <f t="shared" si="26"/>
        <v>0</v>
      </c>
      <c r="U366" s="2" t="str">
        <f t="shared" si="5"/>
        <v xml:space="preserve"> - </v>
      </c>
      <c r="V366" s="1"/>
      <c r="W366" s="1"/>
      <c r="X366" s="1"/>
      <c r="Y366" s="1"/>
      <c r="Z366" s="1"/>
      <c r="AA366" s="2"/>
      <c r="AB366" s="2"/>
      <c r="AC366" s="2"/>
    </row>
    <row r="367" spans="1:29" ht="12.75" customHeight="1">
      <c r="A367" s="1"/>
      <c r="B367" s="5"/>
      <c r="C367" s="22"/>
      <c r="D367" s="24"/>
      <c r="E367" s="26"/>
      <c r="F367" s="28"/>
      <c r="G367" s="29"/>
      <c r="H367" s="28"/>
      <c r="I367" s="29"/>
      <c r="J367" s="28"/>
      <c r="K367" s="28"/>
      <c r="L367" s="28"/>
      <c r="M367" s="5"/>
      <c r="N367" s="1"/>
      <c r="O367" s="4">
        <f t="shared" si="23"/>
        <v>0</v>
      </c>
      <c r="P367" s="4">
        <f t="shared" si="24"/>
        <v>0</v>
      </c>
      <c r="Q367" s="4">
        <f t="shared" si="2"/>
        <v>0</v>
      </c>
      <c r="R367" s="4">
        <f t="shared" si="3"/>
        <v>0</v>
      </c>
      <c r="S367" s="2">
        <f t="shared" si="25"/>
        <v>-1</v>
      </c>
      <c r="T367" s="4">
        <f t="shared" si="26"/>
        <v>0</v>
      </c>
      <c r="U367" s="2" t="str">
        <f t="shared" si="5"/>
        <v xml:space="preserve"> - </v>
      </c>
      <c r="V367" s="1"/>
      <c r="W367" s="1"/>
      <c r="X367" s="1"/>
      <c r="Y367" s="1"/>
      <c r="Z367" s="1"/>
      <c r="AA367" s="2"/>
      <c r="AB367" s="2"/>
      <c r="AC367" s="2"/>
    </row>
    <row r="368" spans="1:29" ht="12.75" customHeight="1">
      <c r="A368" s="1"/>
      <c r="B368" s="5"/>
      <c r="C368" s="22"/>
      <c r="D368" s="24"/>
      <c r="E368" s="26"/>
      <c r="F368" s="28"/>
      <c r="G368" s="29"/>
      <c r="H368" s="28"/>
      <c r="I368" s="29"/>
      <c r="J368" s="28"/>
      <c r="K368" s="28"/>
      <c r="L368" s="28"/>
      <c r="M368" s="5"/>
      <c r="N368" s="1"/>
      <c r="O368" s="4">
        <f t="shared" si="23"/>
        <v>0</v>
      </c>
      <c r="P368" s="4">
        <f t="shared" si="24"/>
        <v>0</v>
      </c>
      <c r="Q368" s="4">
        <f t="shared" si="2"/>
        <v>0</v>
      </c>
      <c r="R368" s="4">
        <f t="shared" si="3"/>
        <v>0</v>
      </c>
      <c r="S368" s="2">
        <f t="shared" si="25"/>
        <v>-1</v>
      </c>
      <c r="T368" s="4">
        <f t="shared" si="26"/>
        <v>0</v>
      </c>
      <c r="U368" s="2" t="str">
        <f t="shared" si="5"/>
        <v xml:space="preserve"> - </v>
      </c>
      <c r="V368" s="1"/>
      <c r="W368" s="1"/>
      <c r="X368" s="1"/>
      <c r="Y368" s="1"/>
      <c r="Z368" s="1"/>
      <c r="AA368" s="2"/>
      <c r="AB368" s="2"/>
      <c r="AC368" s="2"/>
    </row>
    <row r="369" spans="1:29" ht="12.75" customHeight="1">
      <c r="A369" s="1"/>
      <c r="B369" s="5"/>
      <c r="C369" s="22"/>
      <c r="D369" s="24"/>
      <c r="E369" s="26"/>
      <c r="F369" s="28"/>
      <c r="G369" s="29"/>
      <c r="H369" s="28"/>
      <c r="I369" s="29"/>
      <c r="J369" s="28"/>
      <c r="K369" s="28"/>
      <c r="L369" s="28"/>
      <c r="M369" s="5"/>
      <c r="N369" s="1"/>
      <c r="O369" s="4">
        <f t="shared" si="23"/>
        <v>0</v>
      </c>
      <c r="P369" s="4">
        <f t="shared" si="24"/>
        <v>0</v>
      </c>
      <c r="Q369" s="4">
        <f t="shared" si="2"/>
        <v>0</v>
      </c>
      <c r="R369" s="4">
        <f t="shared" si="3"/>
        <v>0</v>
      </c>
      <c r="S369" s="2">
        <f t="shared" si="25"/>
        <v>-1</v>
      </c>
      <c r="T369" s="4">
        <f t="shared" si="26"/>
        <v>0</v>
      </c>
      <c r="U369" s="2" t="str">
        <f t="shared" si="5"/>
        <v xml:space="preserve"> - </v>
      </c>
      <c r="V369" s="1"/>
      <c r="W369" s="1"/>
      <c r="X369" s="1"/>
      <c r="Y369" s="1"/>
      <c r="Z369" s="1"/>
      <c r="AA369" s="2"/>
      <c r="AB369" s="2"/>
      <c r="AC369" s="2"/>
    </row>
    <row r="370" spans="1:29" ht="12.75" customHeight="1">
      <c r="A370" s="1"/>
      <c r="B370" s="5"/>
      <c r="C370" s="22"/>
      <c r="D370" s="24"/>
      <c r="E370" s="26"/>
      <c r="F370" s="28"/>
      <c r="G370" s="29"/>
      <c r="H370" s="28"/>
      <c r="I370" s="29"/>
      <c r="J370" s="28"/>
      <c r="K370" s="28"/>
      <c r="L370" s="28"/>
      <c r="M370" s="5"/>
      <c r="N370" s="1"/>
      <c r="O370" s="4">
        <f t="shared" si="23"/>
        <v>0</v>
      </c>
      <c r="P370" s="4">
        <f t="shared" si="24"/>
        <v>0</v>
      </c>
      <c r="Q370" s="4">
        <f t="shared" si="2"/>
        <v>0</v>
      </c>
      <c r="R370" s="4">
        <f t="shared" si="3"/>
        <v>0</v>
      </c>
      <c r="S370" s="2">
        <f t="shared" si="25"/>
        <v>-1</v>
      </c>
      <c r="T370" s="4">
        <f t="shared" si="26"/>
        <v>0</v>
      </c>
      <c r="U370" s="2" t="str">
        <f t="shared" si="5"/>
        <v xml:space="preserve"> - </v>
      </c>
      <c r="V370" s="1"/>
      <c r="W370" s="1"/>
      <c r="X370" s="1"/>
      <c r="Y370" s="1"/>
      <c r="Z370" s="1"/>
      <c r="AA370" s="2"/>
      <c r="AB370" s="2"/>
      <c r="AC370" s="2"/>
    </row>
    <row r="371" spans="1:29" ht="12.75" customHeight="1">
      <c r="A371" s="1"/>
      <c r="B371" s="5"/>
      <c r="C371" s="22"/>
      <c r="D371" s="24"/>
      <c r="E371" s="26"/>
      <c r="F371" s="28"/>
      <c r="G371" s="29"/>
      <c r="H371" s="28"/>
      <c r="I371" s="29"/>
      <c r="J371" s="28"/>
      <c r="K371" s="28"/>
      <c r="L371" s="28"/>
      <c r="M371" s="5"/>
      <c r="N371" s="1"/>
      <c r="O371" s="4">
        <f t="shared" si="23"/>
        <v>0</v>
      </c>
      <c r="P371" s="4">
        <f t="shared" si="24"/>
        <v>0</v>
      </c>
      <c r="Q371" s="4">
        <f t="shared" si="2"/>
        <v>0</v>
      </c>
      <c r="R371" s="4">
        <f t="shared" si="3"/>
        <v>0</v>
      </c>
      <c r="S371" s="2">
        <f t="shared" si="25"/>
        <v>-1</v>
      </c>
      <c r="T371" s="4">
        <f t="shared" si="26"/>
        <v>0</v>
      </c>
      <c r="U371" s="2" t="str">
        <f t="shared" si="5"/>
        <v xml:space="preserve"> - </v>
      </c>
      <c r="V371" s="1"/>
      <c r="W371" s="1"/>
      <c r="X371" s="1"/>
      <c r="Y371" s="1"/>
      <c r="Z371" s="1"/>
      <c r="AA371" s="2"/>
      <c r="AB371" s="2"/>
      <c r="AC371" s="2"/>
    </row>
    <row r="372" spans="1:29" ht="12.75" customHeight="1">
      <c r="A372" s="1"/>
      <c r="B372" s="5"/>
      <c r="C372" s="22"/>
      <c r="D372" s="24"/>
      <c r="E372" s="26"/>
      <c r="F372" s="28"/>
      <c r="G372" s="29"/>
      <c r="H372" s="28"/>
      <c r="I372" s="29"/>
      <c r="J372" s="28"/>
      <c r="K372" s="28"/>
      <c r="L372" s="28"/>
      <c r="M372" s="5"/>
      <c r="N372" s="1"/>
      <c r="O372" s="4">
        <f t="shared" si="23"/>
        <v>0</v>
      </c>
      <c r="P372" s="4">
        <f t="shared" si="24"/>
        <v>0</v>
      </c>
      <c r="Q372" s="4">
        <f t="shared" si="2"/>
        <v>0</v>
      </c>
      <c r="R372" s="4">
        <f t="shared" si="3"/>
        <v>0</v>
      </c>
      <c r="S372" s="2">
        <f t="shared" si="25"/>
        <v>-1</v>
      </c>
      <c r="T372" s="4">
        <f t="shared" si="26"/>
        <v>0</v>
      </c>
      <c r="U372" s="2" t="str">
        <f t="shared" si="5"/>
        <v xml:space="preserve"> - </v>
      </c>
      <c r="V372" s="1"/>
      <c r="W372" s="1"/>
      <c r="X372" s="1"/>
      <c r="Y372" s="1"/>
      <c r="Z372" s="1"/>
      <c r="AA372" s="2"/>
      <c r="AB372" s="2"/>
      <c r="AC372" s="2"/>
    </row>
    <row r="373" spans="1:29" ht="12.75" customHeight="1">
      <c r="A373" s="1"/>
      <c r="B373" s="5"/>
      <c r="C373" s="22"/>
      <c r="D373" s="24"/>
      <c r="E373" s="26"/>
      <c r="F373" s="28"/>
      <c r="G373" s="29"/>
      <c r="H373" s="28"/>
      <c r="I373" s="29"/>
      <c r="J373" s="28"/>
      <c r="K373" s="28"/>
      <c r="L373" s="28"/>
      <c r="M373" s="5"/>
      <c r="N373" s="1"/>
      <c r="O373" s="4">
        <f t="shared" si="23"/>
        <v>0</v>
      </c>
      <c r="P373" s="4">
        <f t="shared" si="24"/>
        <v>0</v>
      </c>
      <c r="Q373" s="4">
        <f t="shared" si="2"/>
        <v>0</v>
      </c>
      <c r="R373" s="4">
        <f t="shared" si="3"/>
        <v>0</v>
      </c>
      <c r="S373" s="2">
        <f t="shared" si="25"/>
        <v>-1</v>
      </c>
      <c r="T373" s="4">
        <f t="shared" si="26"/>
        <v>0</v>
      </c>
      <c r="U373" s="2" t="str">
        <f t="shared" si="5"/>
        <v xml:space="preserve"> - </v>
      </c>
      <c r="V373" s="1"/>
      <c r="W373" s="1"/>
      <c r="X373" s="1"/>
      <c r="Y373" s="1"/>
      <c r="Z373" s="1"/>
      <c r="AA373" s="2"/>
      <c r="AB373" s="2"/>
      <c r="AC373" s="2"/>
    </row>
    <row r="374" spans="1:29" ht="12.75" customHeight="1">
      <c r="A374" s="1"/>
      <c r="B374" s="5"/>
      <c r="C374" s="22"/>
      <c r="D374" s="24"/>
      <c r="E374" s="26"/>
      <c r="F374" s="28"/>
      <c r="G374" s="29"/>
      <c r="H374" s="28"/>
      <c r="I374" s="29"/>
      <c r="J374" s="28"/>
      <c r="K374" s="28"/>
      <c r="L374" s="28"/>
      <c r="M374" s="5"/>
      <c r="N374" s="1"/>
      <c r="O374" s="4">
        <f t="shared" si="23"/>
        <v>0</v>
      </c>
      <c r="P374" s="4">
        <f t="shared" si="24"/>
        <v>0</v>
      </c>
      <c r="Q374" s="4">
        <f t="shared" si="2"/>
        <v>0</v>
      </c>
      <c r="R374" s="4">
        <f t="shared" si="3"/>
        <v>0</v>
      </c>
      <c r="S374" s="2">
        <f t="shared" si="25"/>
        <v>-1</v>
      </c>
      <c r="T374" s="4">
        <f t="shared" si="26"/>
        <v>0</v>
      </c>
      <c r="U374" s="2" t="str">
        <f t="shared" si="5"/>
        <v xml:space="preserve"> - </v>
      </c>
      <c r="V374" s="1"/>
      <c r="W374" s="1"/>
      <c r="X374" s="1"/>
      <c r="Y374" s="1"/>
      <c r="Z374" s="1"/>
      <c r="AA374" s="2"/>
      <c r="AB374" s="2"/>
      <c r="AC374" s="2"/>
    </row>
    <row r="375" spans="1:29" ht="12.75" customHeight="1">
      <c r="A375" s="1"/>
      <c r="B375" s="5"/>
      <c r="C375" s="22"/>
      <c r="D375" s="24"/>
      <c r="E375" s="26"/>
      <c r="F375" s="28"/>
      <c r="G375" s="29"/>
      <c r="H375" s="28"/>
      <c r="I375" s="29"/>
      <c r="J375" s="28"/>
      <c r="K375" s="28"/>
      <c r="L375" s="28"/>
      <c r="M375" s="5"/>
      <c r="N375" s="1"/>
      <c r="O375" s="4">
        <f t="shared" si="23"/>
        <v>0</v>
      </c>
      <c r="P375" s="4">
        <f t="shared" si="24"/>
        <v>0</v>
      </c>
      <c r="Q375" s="4">
        <f t="shared" si="2"/>
        <v>0</v>
      </c>
      <c r="R375" s="4">
        <f t="shared" si="3"/>
        <v>0</v>
      </c>
      <c r="S375" s="2">
        <f t="shared" si="25"/>
        <v>-1</v>
      </c>
      <c r="T375" s="4">
        <f t="shared" si="26"/>
        <v>0</v>
      </c>
      <c r="U375" s="2" t="str">
        <f t="shared" si="5"/>
        <v xml:space="preserve"> - </v>
      </c>
      <c r="V375" s="1"/>
      <c r="W375" s="1"/>
      <c r="X375" s="1"/>
      <c r="Y375" s="1"/>
      <c r="Z375" s="1"/>
      <c r="AA375" s="2"/>
      <c r="AB375" s="2"/>
      <c r="AC375" s="2"/>
    </row>
    <row r="376" spans="1:29" ht="12.75" customHeight="1">
      <c r="A376" s="1"/>
      <c r="B376" s="5"/>
      <c r="C376" s="22"/>
      <c r="D376" s="24"/>
      <c r="E376" s="26"/>
      <c r="F376" s="28"/>
      <c r="G376" s="29"/>
      <c r="H376" s="28"/>
      <c r="I376" s="29"/>
      <c r="J376" s="28"/>
      <c r="K376" s="28"/>
      <c r="L376" s="28"/>
      <c r="M376" s="5"/>
      <c r="N376" s="1"/>
      <c r="O376" s="4">
        <f t="shared" si="23"/>
        <v>0</v>
      </c>
      <c r="P376" s="4">
        <f t="shared" si="24"/>
        <v>0</v>
      </c>
      <c r="Q376" s="4">
        <f t="shared" si="2"/>
        <v>0</v>
      </c>
      <c r="R376" s="4">
        <f t="shared" si="3"/>
        <v>0</v>
      </c>
      <c r="S376" s="2">
        <f t="shared" si="25"/>
        <v>-1</v>
      </c>
      <c r="T376" s="4">
        <f t="shared" si="26"/>
        <v>0</v>
      </c>
      <c r="U376" s="2" t="str">
        <f t="shared" si="5"/>
        <v xml:space="preserve"> - </v>
      </c>
      <c r="V376" s="1"/>
      <c r="W376" s="1"/>
      <c r="X376" s="1"/>
      <c r="Y376" s="1"/>
      <c r="Z376" s="1"/>
      <c r="AA376" s="2"/>
      <c r="AB376" s="2"/>
      <c r="AC376" s="2"/>
    </row>
    <row r="377" spans="1:29" ht="12.75" customHeight="1">
      <c r="A377" s="1"/>
      <c r="B377" s="5"/>
      <c r="C377" s="22"/>
      <c r="D377" s="24"/>
      <c r="E377" s="26"/>
      <c r="F377" s="28"/>
      <c r="G377" s="29"/>
      <c r="H377" s="28"/>
      <c r="I377" s="29"/>
      <c r="J377" s="28"/>
      <c r="K377" s="28"/>
      <c r="L377" s="28"/>
      <c r="M377" s="5"/>
      <c r="N377" s="1"/>
      <c r="O377" s="4">
        <f t="shared" si="23"/>
        <v>0</v>
      </c>
      <c r="P377" s="4">
        <f t="shared" si="24"/>
        <v>0</v>
      </c>
      <c r="Q377" s="4">
        <f t="shared" si="2"/>
        <v>0</v>
      </c>
      <c r="R377" s="4">
        <f t="shared" si="3"/>
        <v>0</v>
      </c>
      <c r="S377" s="2">
        <f t="shared" si="25"/>
        <v>-1</v>
      </c>
      <c r="T377" s="4">
        <f t="shared" si="26"/>
        <v>0</v>
      </c>
      <c r="U377" s="2" t="str">
        <f t="shared" si="5"/>
        <v xml:space="preserve"> - </v>
      </c>
      <c r="V377" s="1"/>
      <c r="W377" s="1"/>
      <c r="X377" s="1"/>
      <c r="Y377" s="1"/>
      <c r="Z377" s="1"/>
      <c r="AA377" s="2"/>
      <c r="AB377" s="2"/>
      <c r="AC377" s="2"/>
    </row>
    <row r="378" spans="1:29" ht="12.75" customHeight="1">
      <c r="A378" s="1"/>
      <c r="B378" s="5"/>
      <c r="C378" s="22"/>
      <c r="D378" s="24"/>
      <c r="E378" s="26"/>
      <c r="F378" s="28"/>
      <c r="G378" s="29"/>
      <c r="H378" s="28"/>
      <c r="I378" s="29"/>
      <c r="J378" s="28"/>
      <c r="K378" s="28"/>
      <c r="L378" s="28"/>
      <c r="M378" s="5"/>
      <c r="N378" s="1"/>
      <c r="O378" s="4">
        <f t="shared" si="23"/>
        <v>0</v>
      </c>
      <c r="P378" s="4">
        <f t="shared" si="24"/>
        <v>0</v>
      </c>
      <c r="Q378" s="4">
        <f t="shared" si="2"/>
        <v>0</v>
      </c>
      <c r="R378" s="4">
        <f t="shared" si="3"/>
        <v>0</v>
      </c>
      <c r="S378" s="2">
        <f t="shared" si="25"/>
        <v>-1</v>
      </c>
      <c r="T378" s="4">
        <f t="shared" si="26"/>
        <v>0</v>
      </c>
      <c r="U378" s="2" t="str">
        <f t="shared" si="5"/>
        <v xml:space="preserve"> - </v>
      </c>
      <c r="V378" s="1"/>
      <c r="W378" s="1"/>
      <c r="X378" s="1"/>
      <c r="Y378" s="1"/>
      <c r="Z378" s="1"/>
      <c r="AA378" s="2"/>
      <c r="AB378" s="2"/>
      <c r="AC378" s="2"/>
    </row>
    <row r="379" spans="1:29" ht="12.75" customHeight="1">
      <c r="A379" s="1"/>
      <c r="B379" s="5"/>
      <c r="C379" s="22"/>
      <c r="D379" s="24"/>
      <c r="E379" s="26"/>
      <c r="F379" s="28"/>
      <c r="G379" s="29"/>
      <c r="H379" s="28"/>
      <c r="I379" s="29"/>
      <c r="J379" s="28"/>
      <c r="K379" s="28"/>
      <c r="L379" s="28"/>
      <c r="M379" s="5"/>
      <c r="N379" s="1"/>
      <c r="O379" s="4">
        <f t="shared" si="23"/>
        <v>0</v>
      </c>
      <c r="P379" s="4">
        <f t="shared" si="24"/>
        <v>0</v>
      </c>
      <c r="Q379" s="4">
        <f t="shared" si="2"/>
        <v>0</v>
      </c>
      <c r="R379" s="4">
        <f t="shared" si="3"/>
        <v>0</v>
      </c>
      <c r="S379" s="2">
        <f t="shared" si="25"/>
        <v>-1</v>
      </c>
      <c r="T379" s="4">
        <f t="shared" si="26"/>
        <v>0</v>
      </c>
      <c r="U379" s="2" t="str">
        <f t="shared" si="5"/>
        <v xml:space="preserve"> - </v>
      </c>
      <c r="V379" s="1"/>
      <c r="W379" s="1"/>
      <c r="X379" s="1"/>
      <c r="Y379" s="1"/>
      <c r="Z379" s="1"/>
      <c r="AA379" s="2"/>
      <c r="AB379" s="2"/>
      <c r="AC379" s="2"/>
    </row>
    <row r="380" spans="1:29" ht="12.75" customHeight="1">
      <c r="A380" s="1"/>
      <c r="B380" s="5"/>
      <c r="C380" s="22"/>
      <c r="D380" s="24"/>
      <c r="E380" s="26"/>
      <c r="F380" s="28"/>
      <c r="G380" s="29"/>
      <c r="H380" s="28"/>
      <c r="I380" s="29"/>
      <c r="J380" s="28"/>
      <c r="K380" s="28"/>
      <c r="L380" s="28"/>
      <c r="M380" s="5"/>
      <c r="N380" s="1"/>
      <c r="O380" s="4">
        <f t="shared" si="23"/>
        <v>0</v>
      </c>
      <c r="P380" s="4">
        <f t="shared" si="24"/>
        <v>0</v>
      </c>
      <c r="Q380" s="4">
        <f t="shared" si="2"/>
        <v>0</v>
      </c>
      <c r="R380" s="4">
        <f t="shared" si="3"/>
        <v>0</v>
      </c>
      <c r="S380" s="2">
        <f t="shared" si="25"/>
        <v>-1</v>
      </c>
      <c r="T380" s="4">
        <f t="shared" si="26"/>
        <v>0</v>
      </c>
      <c r="U380" s="2" t="str">
        <f t="shared" si="5"/>
        <v xml:space="preserve"> - </v>
      </c>
      <c r="V380" s="1"/>
      <c r="W380" s="1"/>
      <c r="X380" s="1"/>
      <c r="Y380" s="1"/>
      <c r="Z380" s="1"/>
      <c r="AA380" s="2"/>
      <c r="AB380" s="2"/>
      <c r="AC380" s="2"/>
    </row>
    <row r="381" spans="1:29" ht="12.75" customHeight="1">
      <c r="A381" s="1"/>
      <c r="B381" s="5"/>
      <c r="C381" s="22"/>
      <c r="D381" s="24"/>
      <c r="E381" s="26"/>
      <c r="F381" s="28"/>
      <c r="G381" s="29"/>
      <c r="H381" s="28"/>
      <c r="I381" s="29"/>
      <c r="J381" s="28"/>
      <c r="K381" s="28"/>
      <c r="L381" s="28"/>
      <c r="M381" s="5"/>
      <c r="N381" s="1"/>
      <c r="O381" s="4">
        <f t="shared" si="23"/>
        <v>0</v>
      </c>
      <c r="P381" s="4">
        <f t="shared" si="24"/>
        <v>0</v>
      </c>
      <c r="Q381" s="4">
        <f t="shared" si="2"/>
        <v>0</v>
      </c>
      <c r="R381" s="4">
        <f t="shared" si="3"/>
        <v>0</v>
      </c>
      <c r="S381" s="2">
        <f t="shared" si="25"/>
        <v>-1</v>
      </c>
      <c r="T381" s="4">
        <f t="shared" si="26"/>
        <v>0</v>
      </c>
      <c r="U381" s="2" t="str">
        <f t="shared" si="5"/>
        <v xml:space="preserve"> - </v>
      </c>
      <c r="V381" s="1"/>
      <c r="W381" s="1"/>
      <c r="X381" s="1"/>
      <c r="Y381" s="1"/>
      <c r="Z381" s="1"/>
      <c r="AA381" s="2"/>
      <c r="AB381" s="2"/>
      <c r="AC381" s="2"/>
    </row>
    <row r="382" spans="1:29" ht="12.75" customHeight="1">
      <c r="A382" s="1"/>
      <c r="B382" s="5"/>
      <c r="C382" s="22"/>
      <c r="D382" s="24"/>
      <c r="E382" s="26"/>
      <c r="F382" s="28"/>
      <c r="G382" s="29"/>
      <c r="H382" s="28"/>
      <c r="I382" s="29"/>
      <c r="J382" s="28"/>
      <c r="K382" s="28"/>
      <c r="L382" s="28"/>
      <c r="M382" s="5"/>
      <c r="N382" s="1"/>
      <c r="O382" s="4">
        <f t="shared" si="23"/>
        <v>0</v>
      </c>
      <c r="P382" s="4">
        <f t="shared" si="24"/>
        <v>0</v>
      </c>
      <c r="Q382" s="4">
        <f t="shared" si="2"/>
        <v>0</v>
      </c>
      <c r="R382" s="4">
        <f t="shared" si="3"/>
        <v>0</v>
      </c>
      <c r="S382" s="2">
        <f t="shared" si="25"/>
        <v>-1</v>
      </c>
      <c r="T382" s="4">
        <f t="shared" si="26"/>
        <v>0</v>
      </c>
      <c r="U382" s="2" t="str">
        <f t="shared" si="5"/>
        <v xml:space="preserve"> - </v>
      </c>
      <c r="V382" s="1"/>
      <c r="W382" s="1"/>
      <c r="X382" s="1"/>
      <c r="Y382" s="1"/>
      <c r="Z382" s="1"/>
      <c r="AA382" s="2"/>
      <c r="AB382" s="2"/>
      <c r="AC382" s="2"/>
    </row>
    <row r="383" spans="1:29" ht="12.75" customHeight="1">
      <c r="A383" s="1"/>
      <c r="B383" s="5"/>
      <c r="C383" s="22"/>
      <c r="D383" s="24"/>
      <c r="E383" s="26"/>
      <c r="F383" s="28"/>
      <c r="G383" s="29"/>
      <c r="H383" s="28"/>
      <c r="I383" s="29"/>
      <c r="J383" s="28"/>
      <c r="K383" s="28"/>
      <c r="L383" s="28"/>
      <c r="M383" s="5"/>
      <c r="N383" s="1"/>
      <c r="O383" s="4">
        <f t="shared" si="23"/>
        <v>0</v>
      </c>
      <c r="P383" s="4">
        <f t="shared" si="24"/>
        <v>0</v>
      </c>
      <c r="Q383" s="4">
        <f t="shared" si="2"/>
        <v>0</v>
      </c>
      <c r="R383" s="4">
        <f t="shared" si="3"/>
        <v>0</v>
      </c>
      <c r="S383" s="2">
        <f t="shared" si="25"/>
        <v>-1</v>
      </c>
      <c r="T383" s="4">
        <f t="shared" si="26"/>
        <v>0</v>
      </c>
      <c r="U383" s="2" t="str">
        <f t="shared" si="5"/>
        <v xml:space="preserve"> - </v>
      </c>
      <c r="V383" s="1"/>
      <c r="W383" s="1"/>
      <c r="X383" s="1"/>
      <c r="Y383" s="1"/>
      <c r="Z383" s="1"/>
      <c r="AA383" s="2"/>
      <c r="AB383" s="2"/>
      <c r="AC383" s="2"/>
    </row>
    <row r="384" spans="1:29" ht="12.75" customHeight="1">
      <c r="A384" s="1"/>
      <c r="B384" s="5"/>
      <c r="C384" s="22"/>
      <c r="D384" s="24"/>
      <c r="E384" s="26"/>
      <c r="F384" s="28"/>
      <c r="G384" s="29"/>
      <c r="H384" s="28"/>
      <c r="I384" s="29"/>
      <c r="J384" s="28"/>
      <c r="K384" s="28"/>
      <c r="L384" s="28"/>
      <c r="M384" s="5"/>
      <c r="N384" s="1"/>
      <c r="O384" s="4">
        <f t="shared" si="23"/>
        <v>0</v>
      </c>
      <c r="P384" s="4">
        <f t="shared" si="24"/>
        <v>0</v>
      </c>
      <c r="Q384" s="4">
        <f t="shared" si="2"/>
        <v>0</v>
      </c>
      <c r="R384" s="4">
        <f t="shared" si="3"/>
        <v>0</v>
      </c>
      <c r="S384" s="2">
        <f t="shared" si="25"/>
        <v>-1</v>
      </c>
      <c r="T384" s="4">
        <f t="shared" si="26"/>
        <v>0</v>
      </c>
      <c r="U384" s="2" t="str">
        <f t="shared" si="5"/>
        <v xml:space="preserve"> - </v>
      </c>
      <c r="V384" s="1"/>
      <c r="W384" s="1"/>
      <c r="X384" s="1"/>
      <c r="Y384" s="1"/>
      <c r="Z384" s="1"/>
      <c r="AA384" s="2"/>
      <c r="AB384" s="2"/>
      <c r="AC384" s="2"/>
    </row>
    <row r="385" spans="1:29" ht="12.75" customHeight="1">
      <c r="A385" s="1"/>
      <c r="B385" s="5"/>
      <c r="C385" s="22"/>
      <c r="D385" s="24"/>
      <c r="E385" s="26"/>
      <c r="F385" s="28"/>
      <c r="G385" s="29"/>
      <c r="H385" s="28"/>
      <c r="I385" s="29"/>
      <c r="J385" s="28"/>
      <c r="K385" s="28"/>
      <c r="L385" s="28"/>
      <c r="M385" s="5"/>
      <c r="N385" s="1"/>
      <c r="O385" s="4">
        <f t="shared" si="23"/>
        <v>0</v>
      </c>
      <c r="P385" s="4">
        <f t="shared" si="24"/>
        <v>0</v>
      </c>
      <c r="Q385" s="4">
        <f t="shared" si="2"/>
        <v>0</v>
      </c>
      <c r="R385" s="4">
        <f t="shared" si="3"/>
        <v>0</v>
      </c>
      <c r="S385" s="2">
        <f t="shared" si="25"/>
        <v>-1</v>
      </c>
      <c r="T385" s="4">
        <f t="shared" si="26"/>
        <v>0</v>
      </c>
      <c r="U385" s="2" t="str">
        <f t="shared" si="5"/>
        <v xml:space="preserve"> - </v>
      </c>
      <c r="V385" s="1"/>
      <c r="W385" s="1"/>
      <c r="X385" s="1"/>
      <c r="Y385" s="1"/>
      <c r="Z385" s="1"/>
      <c r="AA385" s="2"/>
      <c r="AB385" s="2"/>
      <c r="AC385" s="2"/>
    </row>
    <row r="386" spans="1:29" ht="12.75" customHeight="1">
      <c r="A386" s="1"/>
      <c r="B386" s="5"/>
      <c r="C386" s="22"/>
      <c r="D386" s="24"/>
      <c r="E386" s="26"/>
      <c r="F386" s="28"/>
      <c r="G386" s="29"/>
      <c r="H386" s="28"/>
      <c r="I386" s="29"/>
      <c r="J386" s="28"/>
      <c r="K386" s="28"/>
      <c r="L386" s="28"/>
      <c r="M386" s="5"/>
      <c r="N386" s="1"/>
      <c r="O386" s="4">
        <f t="shared" si="23"/>
        <v>0</v>
      </c>
      <c r="P386" s="4">
        <f t="shared" si="24"/>
        <v>0</v>
      </c>
      <c r="Q386" s="4">
        <f t="shared" si="2"/>
        <v>0</v>
      </c>
      <c r="R386" s="4">
        <f t="shared" si="3"/>
        <v>0</v>
      </c>
      <c r="S386" s="2">
        <f t="shared" si="25"/>
        <v>-1</v>
      </c>
      <c r="T386" s="4">
        <f t="shared" si="26"/>
        <v>0</v>
      </c>
      <c r="U386" s="2" t="str">
        <f t="shared" si="5"/>
        <v xml:space="preserve"> - </v>
      </c>
      <c r="V386" s="1"/>
      <c r="W386" s="1"/>
      <c r="X386" s="1"/>
      <c r="Y386" s="1"/>
      <c r="Z386" s="1"/>
      <c r="AA386" s="2"/>
      <c r="AB386" s="2"/>
      <c r="AC386" s="2"/>
    </row>
    <row r="387" spans="1:29" ht="12.75" customHeight="1">
      <c r="A387" s="1"/>
      <c r="B387" s="5"/>
      <c r="C387" s="22"/>
      <c r="D387" s="24"/>
      <c r="E387" s="26"/>
      <c r="F387" s="28"/>
      <c r="G387" s="29"/>
      <c r="H387" s="28"/>
      <c r="I387" s="29"/>
      <c r="J387" s="28"/>
      <c r="K387" s="28"/>
      <c r="L387" s="28"/>
      <c r="M387" s="5"/>
      <c r="N387" s="1"/>
      <c r="O387" s="4">
        <f t="shared" si="23"/>
        <v>0</v>
      </c>
      <c r="P387" s="4">
        <f t="shared" si="24"/>
        <v>0</v>
      </c>
      <c r="Q387" s="4">
        <f t="shared" si="2"/>
        <v>0</v>
      </c>
      <c r="R387" s="4">
        <f t="shared" si="3"/>
        <v>0</v>
      </c>
      <c r="S387" s="2">
        <f t="shared" si="25"/>
        <v>-1</v>
      </c>
      <c r="T387" s="4">
        <f t="shared" si="26"/>
        <v>0</v>
      </c>
      <c r="U387" s="2" t="str">
        <f t="shared" si="5"/>
        <v xml:space="preserve"> - </v>
      </c>
      <c r="V387" s="1"/>
      <c r="W387" s="1"/>
      <c r="X387" s="1"/>
      <c r="Y387" s="1"/>
      <c r="Z387" s="1"/>
      <c r="AA387" s="2"/>
      <c r="AB387" s="2"/>
      <c r="AC387" s="2"/>
    </row>
    <row r="388" spans="1:29" ht="12.75" customHeight="1">
      <c r="A388" s="1"/>
      <c r="B388" s="5"/>
      <c r="C388" s="22"/>
      <c r="D388" s="24"/>
      <c r="E388" s="26"/>
      <c r="F388" s="28"/>
      <c r="G388" s="29"/>
      <c r="H388" s="28"/>
      <c r="I388" s="29"/>
      <c r="J388" s="28"/>
      <c r="K388" s="28"/>
      <c r="L388" s="28"/>
      <c r="M388" s="5"/>
      <c r="N388" s="1"/>
      <c r="O388" s="4">
        <f t="shared" ref="O388:O451" si="27">IF($L388&lt;&gt;"",$Q388*PTS_WIN+$R388*PTS_LOSS+(1-$Q388-$R388)*PTS_TIE+MAX(MIN(MAX(PTS_TD_MIN,MIN(PTS_TD_MAX,MAX(0,$F388-PTS_TD_THRESHOLD)*PTS_PER_TD_FOR*IF($H388-PTS_CS_THRESHOLD&gt;0,1,1-PTS_TD_CS_COMB_THRES)+MAX(0,$G388-PTS_TD_THRESHOLD)*PTS_PER_TD_AG*IF($I388-PTS_CS_THRESHOLD&gt;0,1,1-PTS_TD_CS_COMB_THRES)))+MAX(PTS_CS_MIN,MIN(PTS_CS_MAX,MAX(0,$H388-PTS_CS_THRESHOLD)*PTS_PER_CS_FOR*IF($F388-PTS_TD_THRESHOLD&gt;0,1,1-PTS_TD_CS_COMB_THRES)+MAX(0,$I388-PTS_CS_THRESHOLD)*PTS_PER_CS_AG*IF($G388-PTS_TD_THRESHOLD&gt;0,1,1-PTS_TD_CS_COMB_THRES))),PTS_TD_CS_MAX),PTS_TD_CS_MIN),0)</f>
        <v>0</v>
      </c>
      <c r="P388" s="4">
        <f t="shared" ref="P388:P451" si="28">IF($L388&lt;&gt;"",$R388*PTS_WIN+$Q388*PTS_LOSS+(1-$Q388-$R388)*PTS_TIE+MAX(MIN(MAX(PTS_TD_MIN,MIN(PTS_TD_MAX,MAX(0,$G388-PTS_TD_THRESHOLD)*PTS_PER_TD_FOR*IF($I388-PTS_CS_THRESHOLD&gt;0,1,1-PTS_TD_CS_COMB_THRES)+MAX(0,$F388-PTS_TD_THRESHOLD)*PTS_PER_TD_AG*IF($H388-PTS_CS_THRESHOLD&gt;0,1,1-PTS_TD_CS_COMB_THRES)))+MAX(PTS_CS_MIN,MIN(PTS_CS_MAX,MAX(0,$I388-PTS_CS_THRESHOLD)*PTS_PER_CS_FOR*IF($G388-PTS_TD_THRESHOLD&gt;0,1,1-PTS_TD_CS_COMB_THRES)+MAX(0,$H388-PTS_CS_THRESHOLD)*PTS_PER_CS_AG*IF($F388-PTS_TD_THRESHOLD&gt;0,1,1-PTS_TD_CS_COMB_THRES))),PTS_TD_CS_MAX),PTS_TD_CS_MIN),0)</f>
        <v>0</v>
      </c>
      <c r="Q388" s="4">
        <f t="shared" si="2"/>
        <v>0</v>
      </c>
      <c r="R388" s="4">
        <f t="shared" si="3"/>
        <v>0</v>
      </c>
      <c r="S388" s="2">
        <f t="shared" ref="S388:S451" si="29">IF(T388&gt;0,RANK(T388,RES_GATE),-1)</f>
        <v>-1</v>
      </c>
      <c r="T388" s="4">
        <f t="shared" si="26"/>
        <v>0</v>
      </c>
      <c r="U388" s="2" t="str">
        <f t="shared" si="5"/>
        <v xml:space="preserve"> - </v>
      </c>
      <c r="V388" s="1"/>
      <c r="W388" s="1"/>
      <c r="X388" s="1"/>
      <c r="Y388" s="1"/>
      <c r="Z388" s="1"/>
      <c r="AA388" s="2"/>
      <c r="AB388" s="2"/>
      <c r="AC388" s="2"/>
    </row>
    <row r="389" spans="1:29" ht="12.75" customHeight="1">
      <c r="A389" s="1"/>
      <c r="B389" s="5"/>
      <c r="C389" s="22"/>
      <c r="D389" s="24"/>
      <c r="E389" s="26"/>
      <c r="F389" s="28"/>
      <c r="G389" s="29"/>
      <c r="H389" s="28"/>
      <c r="I389" s="29"/>
      <c r="J389" s="28"/>
      <c r="K389" s="28"/>
      <c r="L389" s="28"/>
      <c r="M389" s="5"/>
      <c r="N389" s="1"/>
      <c r="O389" s="4">
        <f t="shared" si="27"/>
        <v>0</v>
      </c>
      <c r="P389" s="4">
        <f t="shared" si="28"/>
        <v>0</v>
      </c>
      <c r="Q389" s="4">
        <f t="shared" si="2"/>
        <v>0</v>
      </c>
      <c r="R389" s="4">
        <f t="shared" si="3"/>
        <v>0</v>
      </c>
      <c r="S389" s="2">
        <f t="shared" si="29"/>
        <v>-1</v>
      </c>
      <c r="T389" s="4">
        <f t="shared" ref="T389:T452" si="30">IF(NOT(ISERROR(MATCH(L389,Team_Stat_Sel,0))),J389+K389+1/(ROW()+777777777),0)</f>
        <v>0</v>
      </c>
      <c r="U389" s="2" t="str">
        <f t="shared" si="5"/>
        <v xml:space="preserve"> - </v>
      </c>
      <c r="V389" s="1"/>
      <c r="W389" s="1"/>
      <c r="X389" s="1"/>
      <c r="Y389" s="1"/>
      <c r="Z389" s="1"/>
      <c r="AA389" s="2"/>
      <c r="AB389" s="2"/>
      <c r="AC389" s="2"/>
    </row>
    <row r="390" spans="1:29" ht="12.75" customHeight="1">
      <c r="A390" s="1"/>
      <c r="B390" s="5"/>
      <c r="C390" s="22"/>
      <c r="D390" s="24"/>
      <c r="E390" s="26"/>
      <c r="F390" s="28"/>
      <c r="G390" s="29"/>
      <c r="H390" s="28"/>
      <c r="I390" s="29"/>
      <c r="J390" s="28"/>
      <c r="K390" s="28"/>
      <c r="L390" s="28"/>
      <c r="M390" s="5"/>
      <c r="N390" s="1"/>
      <c r="O390" s="4">
        <f t="shared" si="27"/>
        <v>0</v>
      </c>
      <c r="P390" s="4">
        <f t="shared" si="28"/>
        <v>0</v>
      </c>
      <c r="Q390" s="4">
        <f t="shared" si="2"/>
        <v>0</v>
      </c>
      <c r="R390" s="4">
        <f t="shared" si="3"/>
        <v>0</v>
      </c>
      <c r="S390" s="2">
        <f t="shared" si="29"/>
        <v>-1</v>
      </c>
      <c r="T390" s="4">
        <f t="shared" si="30"/>
        <v>0</v>
      </c>
      <c r="U390" s="2" t="str">
        <f t="shared" si="5"/>
        <v xml:space="preserve"> - </v>
      </c>
      <c r="V390" s="1"/>
      <c r="W390" s="1"/>
      <c r="X390" s="1"/>
      <c r="Y390" s="1"/>
      <c r="Z390" s="1"/>
      <c r="AA390" s="2"/>
      <c r="AB390" s="2"/>
      <c r="AC390" s="2"/>
    </row>
    <row r="391" spans="1:29" ht="12.75" customHeight="1">
      <c r="A391" s="1"/>
      <c r="B391" s="5"/>
      <c r="C391" s="22"/>
      <c r="D391" s="24"/>
      <c r="E391" s="26"/>
      <c r="F391" s="28"/>
      <c r="G391" s="29"/>
      <c r="H391" s="28"/>
      <c r="I391" s="29"/>
      <c r="J391" s="28"/>
      <c r="K391" s="28"/>
      <c r="L391" s="28"/>
      <c r="M391" s="5"/>
      <c r="N391" s="1"/>
      <c r="O391" s="4">
        <f t="shared" si="27"/>
        <v>0</v>
      </c>
      <c r="P391" s="4">
        <f t="shared" si="28"/>
        <v>0</v>
      </c>
      <c r="Q391" s="4">
        <f t="shared" si="2"/>
        <v>0</v>
      </c>
      <c r="R391" s="4">
        <f t="shared" si="3"/>
        <v>0</v>
      </c>
      <c r="S391" s="2">
        <f t="shared" si="29"/>
        <v>-1</v>
      </c>
      <c r="T391" s="4">
        <f t="shared" si="30"/>
        <v>0</v>
      </c>
      <c r="U391" s="2" t="str">
        <f t="shared" si="5"/>
        <v xml:space="preserve"> - </v>
      </c>
      <c r="V391" s="1"/>
      <c r="W391" s="1"/>
      <c r="X391" s="1"/>
      <c r="Y391" s="1"/>
      <c r="Z391" s="1"/>
      <c r="AA391" s="2"/>
      <c r="AB391" s="2"/>
      <c r="AC391" s="2"/>
    </row>
    <row r="392" spans="1:29" ht="12.75" customHeight="1">
      <c r="A392" s="1"/>
      <c r="B392" s="5"/>
      <c r="C392" s="22"/>
      <c r="D392" s="24"/>
      <c r="E392" s="26"/>
      <c r="F392" s="28"/>
      <c r="G392" s="29"/>
      <c r="H392" s="28"/>
      <c r="I392" s="29"/>
      <c r="J392" s="28"/>
      <c r="K392" s="28"/>
      <c r="L392" s="28"/>
      <c r="M392" s="5"/>
      <c r="N392" s="1"/>
      <c r="O392" s="4">
        <f t="shared" si="27"/>
        <v>0</v>
      </c>
      <c r="P392" s="4">
        <f t="shared" si="28"/>
        <v>0</v>
      </c>
      <c r="Q392" s="4">
        <f t="shared" si="2"/>
        <v>0</v>
      </c>
      <c r="R392" s="4">
        <f t="shared" si="3"/>
        <v>0</v>
      </c>
      <c r="S392" s="2">
        <f t="shared" si="29"/>
        <v>-1</v>
      </c>
      <c r="T392" s="4">
        <f t="shared" si="30"/>
        <v>0</v>
      </c>
      <c r="U392" s="2" t="str">
        <f t="shared" si="5"/>
        <v xml:space="preserve"> - </v>
      </c>
      <c r="V392" s="1"/>
      <c r="W392" s="1"/>
      <c r="X392" s="1"/>
      <c r="Y392" s="1"/>
      <c r="Z392" s="1"/>
      <c r="AA392" s="2"/>
      <c r="AB392" s="2"/>
      <c r="AC392" s="2"/>
    </row>
    <row r="393" spans="1:29" ht="12.75" customHeight="1">
      <c r="A393" s="1"/>
      <c r="B393" s="5"/>
      <c r="C393" s="22"/>
      <c r="D393" s="24"/>
      <c r="E393" s="26"/>
      <c r="F393" s="28"/>
      <c r="G393" s="29"/>
      <c r="H393" s="28"/>
      <c r="I393" s="29"/>
      <c r="J393" s="28"/>
      <c r="K393" s="28"/>
      <c r="L393" s="28"/>
      <c r="M393" s="5"/>
      <c r="N393" s="1"/>
      <c r="O393" s="4">
        <f t="shared" si="27"/>
        <v>0</v>
      </c>
      <c r="P393" s="4">
        <f t="shared" si="28"/>
        <v>0</v>
      </c>
      <c r="Q393" s="4">
        <f t="shared" si="2"/>
        <v>0</v>
      </c>
      <c r="R393" s="4">
        <f t="shared" si="3"/>
        <v>0</v>
      </c>
      <c r="S393" s="2">
        <f t="shared" si="29"/>
        <v>-1</v>
      </c>
      <c r="T393" s="4">
        <f t="shared" si="30"/>
        <v>0</v>
      </c>
      <c r="U393" s="2" t="str">
        <f t="shared" si="5"/>
        <v xml:space="preserve"> - </v>
      </c>
      <c r="V393" s="1"/>
      <c r="W393" s="1"/>
      <c r="X393" s="1"/>
      <c r="Y393" s="1"/>
      <c r="Z393" s="1"/>
      <c r="AA393" s="2"/>
      <c r="AB393" s="2"/>
      <c r="AC393" s="2"/>
    </row>
    <row r="394" spans="1:29" ht="12.75" customHeight="1">
      <c r="A394" s="1"/>
      <c r="B394" s="5"/>
      <c r="C394" s="22"/>
      <c r="D394" s="24"/>
      <c r="E394" s="26"/>
      <c r="F394" s="28"/>
      <c r="G394" s="29"/>
      <c r="H394" s="28"/>
      <c r="I394" s="29"/>
      <c r="J394" s="28"/>
      <c r="K394" s="28"/>
      <c r="L394" s="28"/>
      <c r="M394" s="5"/>
      <c r="N394" s="1"/>
      <c r="O394" s="4">
        <f t="shared" si="27"/>
        <v>0</v>
      </c>
      <c r="P394" s="4">
        <f t="shared" si="28"/>
        <v>0</v>
      </c>
      <c r="Q394" s="4">
        <f t="shared" si="2"/>
        <v>0</v>
      </c>
      <c r="R394" s="4">
        <f t="shared" si="3"/>
        <v>0</v>
      </c>
      <c r="S394" s="2">
        <f t="shared" si="29"/>
        <v>-1</v>
      </c>
      <c r="T394" s="4">
        <f t="shared" si="30"/>
        <v>0</v>
      </c>
      <c r="U394" s="2" t="str">
        <f t="shared" si="5"/>
        <v xml:space="preserve"> - </v>
      </c>
      <c r="V394" s="1"/>
      <c r="W394" s="1"/>
      <c r="X394" s="1"/>
      <c r="Y394" s="1"/>
      <c r="Z394" s="1"/>
      <c r="AA394" s="2"/>
      <c r="AB394" s="2"/>
      <c r="AC394" s="2"/>
    </row>
    <row r="395" spans="1:29" ht="12.75" customHeight="1">
      <c r="A395" s="1"/>
      <c r="B395" s="5"/>
      <c r="C395" s="22"/>
      <c r="D395" s="24"/>
      <c r="E395" s="26"/>
      <c r="F395" s="28"/>
      <c r="G395" s="29"/>
      <c r="H395" s="28"/>
      <c r="I395" s="29"/>
      <c r="J395" s="28"/>
      <c r="K395" s="28"/>
      <c r="L395" s="28"/>
      <c r="M395" s="5"/>
      <c r="N395" s="1"/>
      <c r="O395" s="4">
        <f t="shared" si="27"/>
        <v>0</v>
      </c>
      <c r="P395" s="4">
        <f t="shared" si="28"/>
        <v>0</v>
      </c>
      <c r="Q395" s="4">
        <f t="shared" si="2"/>
        <v>0</v>
      </c>
      <c r="R395" s="4">
        <f t="shared" si="3"/>
        <v>0</v>
      </c>
      <c r="S395" s="2">
        <f t="shared" si="29"/>
        <v>-1</v>
      </c>
      <c r="T395" s="4">
        <f t="shared" si="30"/>
        <v>0</v>
      </c>
      <c r="U395" s="2" t="str">
        <f t="shared" si="5"/>
        <v xml:space="preserve"> - </v>
      </c>
      <c r="V395" s="1"/>
      <c r="W395" s="1"/>
      <c r="X395" s="1"/>
      <c r="Y395" s="1"/>
      <c r="Z395" s="1"/>
      <c r="AA395" s="2"/>
      <c r="AB395" s="2"/>
      <c r="AC395" s="2"/>
    </row>
    <row r="396" spans="1:29" ht="12.75" customHeight="1">
      <c r="A396" s="1"/>
      <c r="B396" s="5"/>
      <c r="C396" s="22"/>
      <c r="D396" s="24"/>
      <c r="E396" s="26"/>
      <c r="F396" s="28"/>
      <c r="G396" s="29"/>
      <c r="H396" s="28"/>
      <c r="I396" s="29"/>
      <c r="J396" s="28"/>
      <c r="K396" s="28"/>
      <c r="L396" s="28"/>
      <c r="M396" s="5"/>
      <c r="N396" s="1"/>
      <c r="O396" s="4">
        <f t="shared" si="27"/>
        <v>0</v>
      </c>
      <c r="P396" s="4">
        <f t="shared" si="28"/>
        <v>0</v>
      </c>
      <c r="Q396" s="4">
        <f t="shared" si="2"/>
        <v>0</v>
      </c>
      <c r="R396" s="4">
        <f t="shared" si="3"/>
        <v>0</v>
      </c>
      <c r="S396" s="2">
        <f t="shared" si="29"/>
        <v>-1</v>
      </c>
      <c r="T396" s="4">
        <f t="shared" si="30"/>
        <v>0</v>
      </c>
      <c r="U396" s="2" t="str">
        <f t="shared" si="5"/>
        <v xml:space="preserve"> - </v>
      </c>
      <c r="V396" s="1"/>
      <c r="W396" s="1"/>
      <c r="X396" s="1"/>
      <c r="Y396" s="1"/>
      <c r="Z396" s="1"/>
      <c r="AA396" s="2"/>
      <c r="AB396" s="2"/>
      <c r="AC396" s="2"/>
    </row>
    <row r="397" spans="1:29" ht="12.75" customHeight="1">
      <c r="A397" s="1"/>
      <c r="B397" s="5"/>
      <c r="C397" s="22"/>
      <c r="D397" s="24"/>
      <c r="E397" s="26"/>
      <c r="F397" s="28"/>
      <c r="G397" s="29"/>
      <c r="H397" s="28"/>
      <c r="I397" s="29"/>
      <c r="J397" s="28"/>
      <c r="K397" s="28"/>
      <c r="L397" s="28"/>
      <c r="M397" s="5"/>
      <c r="N397" s="1"/>
      <c r="O397" s="4">
        <f t="shared" si="27"/>
        <v>0</v>
      </c>
      <c r="P397" s="4">
        <f t="shared" si="28"/>
        <v>0</v>
      </c>
      <c r="Q397" s="4">
        <f t="shared" si="2"/>
        <v>0</v>
      </c>
      <c r="R397" s="4">
        <f t="shared" si="3"/>
        <v>0</v>
      </c>
      <c r="S397" s="2">
        <f t="shared" si="29"/>
        <v>-1</v>
      </c>
      <c r="T397" s="4">
        <f t="shared" si="30"/>
        <v>0</v>
      </c>
      <c r="U397" s="2" t="str">
        <f t="shared" si="5"/>
        <v xml:space="preserve"> - </v>
      </c>
      <c r="V397" s="1"/>
      <c r="W397" s="1"/>
      <c r="X397" s="1"/>
      <c r="Y397" s="1"/>
      <c r="Z397" s="1"/>
      <c r="AA397" s="2"/>
      <c r="AB397" s="2"/>
      <c r="AC397" s="2"/>
    </row>
    <row r="398" spans="1:29" ht="12.75" customHeight="1">
      <c r="A398" s="1"/>
      <c r="B398" s="5"/>
      <c r="C398" s="22"/>
      <c r="D398" s="24"/>
      <c r="E398" s="26"/>
      <c r="F398" s="28"/>
      <c r="G398" s="29"/>
      <c r="H398" s="28"/>
      <c r="I398" s="29"/>
      <c r="J398" s="28"/>
      <c r="K398" s="28"/>
      <c r="L398" s="28"/>
      <c r="M398" s="5"/>
      <c r="N398" s="1"/>
      <c r="O398" s="4">
        <f t="shared" si="27"/>
        <v>0</v>
      </c>
      <c r="P398" s="4">
        <f t="shared" si="28"/>
        <v>0</v>
      </c>
      <c r="Q398" s="4">
        <f t="shared" si="2"/>
        <v>0</v>
      </c>
      <c r="R398" s="4">
        <f t="shared" si="3"/>
        <v>0</v>
      </c>
      <c r="S398" s="2">
        <f t="shared" si="29"/>
        <v>-1</v>
      </c>
      <c r="T398" s="4">
        <f t="shared" si="30"/>
        <v>0</v>
      </c>
      <c r="U398" s="2" t="str">
        <f t="shared" si="5"/>
        <v xml:space="preserve"> - </v>
      </c>
      <c r="V398" s="1"/>
      <c r="W398" s="1"/>
      <c r="X398" s="1"/>
      <c r="Y398" s="1"/>
      <c r="Z398" s="1"/>
      <c r="AA398" s="2"/>
      <c r="AB398" s="2"/>
      <c r="AC398" s="2"/>
    </row>
    <row r="399" spans="1:29" ht="12.75" customHeight="1">
      <c r="A399" s="1"/>
      <c r="B399" s="5"/>
      <c r="C399" s="22"/>
      <c r="D399" s="24"/>
      <c r="E399" s="26"/>
      <c r="F399" s="28"/>
      <c r="G399" s="29"/>
      <c r="H399" s="28"/>
      <c r="I399" s="29"/>
      <c r="J399" s="28"/>
      <c r="K399" s="28"/>
      <c r="L399" s="28"/>
      <c r="M399" s="5"/>
      <c r="N399" s="1"/>
      <c r="O399" s="4">
        <f t="shared" si="27"/>
        <v>0</v>
      </c>
      <c r="P399" s="4">
        <f t="shared" si="28"/>
        <v>0</v>
      </c>
      <c r="Q399" s="4">
        <f t="shared" si="2"/>
        <v>0</v>
      </c>
      <c r="R399" s="4">
        <f t="shared" si="3"/>
        <v>0</v>
      </c>
      <c r="S399" s="2">
        <f t="shared" si="29"/>
        <v>-1</v>
      </c>
      <c r="T399" s="4">
        <f t="shared" si="30"/>
        <v>0</v>
      </c>
      <c r="U399" s="2" t="str">
        <f t="shared" si="5"/>
        <v xml:space="preserve"> - </v>
      </c>
      <c r="V399" s="1"/>
      <c r="W399" s="1"/>
      <c r="X399" s="1"/>
      <c r="Y399" s="1"/>
      <c r="Z399" s="1"/>
      <c r="AA399" s="2"/>
      <c r="AB399" s="2"/>
      <c r="AC399" s="2"/>
    </row>
    <row r="400" spans="1:29" ht="12.75" customHeight="1">
      <c r="A400" s="1"/>
      <c r="B400" s="5"/>
      <c r="C400" s="22"/>
      <c r="D400" s="24"/>
      <c r="E400" s="26"/>
      <c r="F400" s="28"/>
      <c r="G400" s="29"/>
      <c r="H400" s="28"/>
      <c r="I400" s="29"/>
      <c r="J400" s="28"/>
      <c r="K400" s="28"/>
      <c r="L400" s="28"/>
      <c r="M400" s="5"/>
      <c r="N400" s="1"/>
      <c r="O400" s="4">
        <f t="shared" si="27"/>
        <v>0</v>
      </c>
      <c r="P400" s="4">
        <f t="shared" si="28"/>
        <v>0</v>
      </c>
      <c r="Q400" s="4">
        <f t="shared" si="2"/>
        <v>0</v>
      </c>
      <c r="R400" s="4">
        <f t="shared" si="3"/>
        <v>0</v>
      </c>
      <c r="S400" s="2">
        <f t="shared" si="29"/>
        <v>-1</v>
      </c>
      <c r="T400" s="4">
        <f t="shared" si="30"/>
        <v>0</v>
      </c>
      <c r="U400" s="2" t="str">
        <f t="shared" si="5"/>
        <v xml:space="preserve"> - </v>
      </c>
      <c r="V400" s="1"/>
      <c r="W400" s="1"/>
      <c r="X400" s="1"/>
      <c r="Y400" s="1"/>
      <c r="Z400" s="1"/>
      <c r="AA400" s="2"/>
      <c r="AB400" s="2"/>
      <c r="AC400" s="2"/>
    </row>
    <row r="401" spans="1:29" ht="12.75" customHeight="1">
      <c r="A401" s="1"/>
      <c r="B401" s="5"/>
      <c r="C401" s="22"/>
      <c r="D401" s="24"/>
      <c r="E401" s="26"/>
      <c r="F401" s="28"/>
      <c r="G401" s="29"/>
      <c r="H401" s="28"/>
      <c r="I401" s="29"/>
      <c r="J401" s="28"/>
      <c r="K401" s="28"/>
      <c r="L401" s="28"/>
      <c r="M401" s="5"/>
      <c r="N401" s="1"/>
      <c r="O401" s="4">
        <f t="shared" si="27"/>
        <v>0</v>
      </c>
      <c r="P401" s="4">
        <f t="shared" si="28"/>
        <v>0</v>
      </c>
      <c r="Q401" s="4">
        <f t="shared" si="2"/>
        <v>0</v>
      </c>
      <c r="R401" s="4">
        <f t="shared" si="3"/>
        <v>0</v>
      </c>
      <c r="S401" s="2">
        <f t="shared" si="29"/>
        <v>-1</v>
      </c>
      <c r="T401" s="4">
        <f t="shared" si="30"/>
        <v>0</v>
      </c>
      <c r="U401" s="2" t="str">
        <f t="shared" si="5"/>
        <v xml:space="preserve"> - </v>
      </c>
      <c r="V401" s="1"/>
      <c r="W401" s="1"/>
      <c r="X401" s="1"/>
      <c r="Y401" s="1"/>
      <c r="Z401" s="1"/>
      <c r="AA401" s="2"/>
      <c r="AB401" s="2"/>
      <c r="AC401" s="2"/>
    </row>
    <row r="402" spans="1:29" ht="12.75" customHeight="1">
      <c r="A402" s="1"/>
      <c r="B402" s="5"/>
      <c r="C402" s="22"/>
      <c r="D402" s="24"/>
      <c r="E402" s="26"/>
      <c r="F402" s="28"/>
      <c r="G402" s="29"/>
      <c r="H402" s="28"/>
      <c r="I402" s="29"/>
      <c r="J402" s="28"/>
      <c r="K402" s="28"/>
      <c r="L402" s="28"/>
      <c r="M402" s="5"/>
      <c r="N402" s="1"/>
      <c r="O402" s="4">
        <f t="shared" si="27"/>
        <v>0</v>
      </c>
      <c r="P402" s="4">
        <f t="shared" si="28"/>
        <v>0</v>
      </c>
      <c r="Q402" s="4">
        <f t="shared" si="2"/>
        <v>0</v>
      </c>
      <c r="R402" s="4">
        <f t="shared" si="3"/>
        <v>0</v>
      </c>
      <c r="S402" s="2">
        <f t="shared" si="29"/>
        <v>-1</v>
      </c>
      <c r="T402" s="4">
        <f t="shared" si="30"/>
        <v>0</v>
      </c>
      <c r="U402" s="2" t="str">
        <f t="shared" si="5"/>
        <v xml:space="preserve"> - </v>
      </c>
      <c r="V402" s="1"/>
      <c r="W402" s="1"/>
      <c r="X402" s="1"/>
      <c r="Y402" s="1"/>
      <c r="Z402" s="1"/>
      <c r="AA402" s="2"/>
      <c r="AB402" s="2"/>
      <c r="AC402" s="2"/>
    </row>
    <row r="403" spans="1:29" ht="12.75" customHeight="1">
      <c r="A403" s="1"/>
      <c r="B403" s="5"/>
      <c r="C403" s="22"/>
      <c r="D403" s="24"/>
      <c r="E403" s="26"/>
      <c r="F403" s="28"/>
      <c r="G403" s="29"/>
      <c r="H403" s="28"/>
      <c r="I403" s="29"/>
      <c r="J403" s="28"/>
      <c r="K403" s="28"/>
      <c r="L403" s="28"/>
      <c r="M403" s="5"/>
      <c r="N403" s="1"/>
      <c r="O403" s="4">
        <f t="shared" si="27"/>
        <v>0</v>
      </c>
      <c r="P403" s="4">
        <f t="shared" si="28"/>
        <v>0</v>
      </c>
      <c r="Q403" s="4">
        <f t="shared" si="2"/>
        <v>0</v>
      </c>
      <c r="R403" s="4">
        <f t="shared" si="3"/>
        <v>0</v>
      </c>
      <c r="S403" s="2">
        <f t="shared" si="29"/>
        <v>-1</v>
      </c>
      <c r="T403" s="4">
        <f t="shared" si="30"/>
        <v>0</v>
      </c>
      <c r="U403" s="2" t="str">
        <f t="shared" si="5"/>
        <v xml:space="preserve"> - </v>
      </c>
      <c r="V403" s="1"/>
      <c r="W403" s="1"/>
      <c r="X403" s="1"/>
      <c r="Y403" s="1"/>
      <c r="Z403" s="1"/>
      <c r="AA403" s="2"/>
      <c r="AB403" s="2"/>
      <c r="AC403" s="2"/>
    </row>
    <row r="404" spans="1:29" ht="12.75" customHeight="1">
      <c r="A404" s="1"/>
      <c r="B404" s="5"/>
      <c r="C404" s="22"/>
      <c r="D404" s="24"/>
      <c r="E404" s="26"/>
      <c r="F404" s="28"/>
      <c r="G404" s="29"/>
      <c r="H404" s="28"/>
      <c r="I404" s="29"/>
      <c r="J404" s="28"/>
      <c r="K404" s="28"/>
      <c r="L404" s="28"/>
      <c r="M404" s="5"/>
      <c r="N404" s="1"/>
      <c r="O404" s="4">
        <f t="shared" si="27"/>
        <v>0</v>
      </c>
      <c r="P404" s="4">
        <f t="shared" si="28"/>
        <v>0</v>
      </c>
      <c r="Q404" s="4">
        <f t="shared" si="2"/>
        <v>0</v>
      </c>
      <c r="R404" s="4">
        <f t="shared" si="3"/>
        <v>0</v>
      </c>
      <c r="S404" s="2">
        <f t="shared" si="29"/>
        <v>-1</v>
      </c>
      <c r="T404" s="4">
        <f t="shared" si="30"/>
        <v>0</v>
      </c>
      <c r="U404" s="2" t="str">
        <f t="shared" si="5"/>
        <v xml:space="preserve"> - </v>
      </c>
      <c r="V404" s="1"/>
      <c r="W404" s="1"/>
      <c r="X404" s="1"/>
      <c r="Y404" s="1"/>
      <c r="Z404" s="1"/>
      <c r="AA404" s="2"/>
      <c r="AB404" s="2"/>
      <c r="AC404" s="2"/>
    </row>
    <row r="405" spans="1:29" ht="12.75" customHeight="1">
      <c r="A405" s="1"/>
      <c r="B405" s="5"/>
      <c r="C405" s="22"/>
      <c r="D405" s="24"/>
      <c r="E405" s="26"/>
      <c r="F405" s="28"/>
      <c r="G405" s="29"/>
      <c r="H405" s="28"/>
      <c r="I405" s="29"/>
      <c r="J405" s="28"/>
      <c r="K405" s="28"/>
      <c r="L405" s="28"/>
      <c r="M405" s="5"/>
      <c r="N405" s="1"/>
      <c r="O405" s="4">
        <f t="shared" si="27"/>
        <v>0</v>
      </c>
      <c r="P405" s="4">
        <f t="shared" si="28"/>
        <v>0</v>
      </c>
      <c r="Q405" s="4">
        <f t="shared" si="2"/>
        <v>0</v>
      </c>
      <c r="R405" s="4">
        <f t="shared" si="3"/>
        <v>0</v>
      </c>
      <c r="S405" s="2">
        <f t="shared" si="29"/>
        <v>-1</v>
      </c>
      <c r="T405" s="4">
        <f t="shared" si="30"/>
        <v>0</v>
      </c>
      <c r="U405" s="2" t="str">
        <f t="shared" si="5"/>
        <v xml:space="preserve"> - </v>
      </c>
      <c r="V405" s="1"/>
      <c r="W405" s="1"/>
      <c r="X405" s="1"/>
      <c r="Y405" s="1"/>
      <c r="Z405" s="1"/>
      <c r="AA405" s="2"/>
      <c r="AB405" s="2"/>
      <c r="AC405" s="2"/>
    </row>
    <row r="406" spans="1:29" ht="12.75" customHeight="1">
      <c r="A406" s="1"/>
      <c r="B406" s="5"/>
      <c r="C406" s="22"/>
      <c r="D406" s="24"/>
      <c r="E406" s="26"/>
      <c r="F406" s="28"/>
      <c r="G406" s="29"/>
      <c r="H406" s="28"/>
      <c r="I406" s="29"/>
      <c r="J406" s="28"/>
      <c r="K406" s="28"/>
      <c r="L406" s="28"/>
      <c r="M406" s="5"/>
      <c r="N406" s="1"/>
      <c r="O406" s="4">
        <f t="shared" si="27"/>
        <v>0</v>
      </c>
      <c r="P406" s="4">
        <f t="shared" si="28"/>
        <v>0</v>
      </c>
      <c r="Q406" s="4">
        <f t="shared" si="2"/>
        <v>0</v>
      </c>
      <c r="R406" s="4">
        <f t="shared" si="3"/>
        <v>0</v>
      </c>
      <c r="S406" s="2">
        <f t="shared" si="29"/>
        <v>-1</v>
      </c>
      <c r="T406" s="4">
        <f t="shared" si="30"/>
        <v>0</v>
      </c>
      <c r="U406" s="2" t="str">
        <f t="shared" si="5"/>
        <v xml:space="preserve"> - </v>
      </c>
      <c r="V406" s="1"/>
      <c r="W406" s="1"/>
      <c r="X406" s="1"/>
      <c r="Y406" s="1"/>
      <c r="Z406" s="1"/>
      <c r="AA406" s="2"/>
      <c r="AB406" s="2"/>
      <c r="AC406" s="2"/>
    </row>
    <row r="407" spans="1:29" ht="12.75" customHeight="1">
      <c r="A407" s="1"/>
      <c r="B407" s="5"/>
      <c r="C407" s="22"/>
      <c r="D407" s="24"/>
      <c r="E407" s="26"/>
      <c r="F407" s="28"/>
      <c r="G407" s="29"/>
      <c r="H407" s="28"/>
      <c r="I407" s="29"/>
      <c r="J407" s="28"/>
      <c r="K407" s="28"/>
      <c r="L407" s="28"/>
      <c r="M407" s="5"/>
      <c r="N407" s="1"/>
      <c r="O407" s="4">
        <f t="shared" si="27"/>
        <v>0</v>
      </c>
      <c r="P407" s="4">
        <f t="shared" si="28"/>
        <v>0</v>
      </c>
      <c r="Q407" s="4">
        <f t="shared" si="2"/>
        <v>0</v>
      </c>
      <c r="R407" s="4">
        <f t="shared" si="3"/>
        <v>0</v>
      </c>
      <c r="S407" s="2">
        <f t="shared" si="29"/>
        <v>-1</v>
      </c>
      <c r="T407" s="4">
        <f t="shared" si="30"/>
        <v>0</v>
      </c>
      <c r="U407" s="2" t="str">
        <f t="shared" si="5"/>
        <v xml:space="preserve"> - </v>
      </c>
      <c r="V407" s="1"/>
      <c r="W407" s="1"/>
      <c r="X407" s="1"/>
      <c r="Y407" s="1"/>
      <c r="Z407" s="1"/>
      <c r="AA407" s="2"/>
      <c r="AB407" s="2"/>
      <c r="AC407" s="2"/>
    </row>
    <row r="408" spans="1:29" ht="12.75" customHeight="1">
      <c r="A408" s="1"/>
      <c r="B408" s="5"/>
      <c r="C408" s="22"/>
      <c r="D408" s="24"/>
      <c r="E408" s="26"/>
      <c r="F408" s="28"/>
      <c r="G408" s="29"/>
      <c r="H408" s="28"/>
      <c r="I408" s="29"/>
      <c r="J408" s="28"/>
      <c r="K408" s="28"/>
      <c r="L408" s="28"/>
      <c r="M408" s="5"/>
      <c r="N408" s="1"/>
      <c r="O408" s="4">
        <f t="shared" si="27"/>
        <v>0</v>
      </c>
      <c r="P408" s="4">
        <f t="shared" si="28"/>
        <v>0</v>
      </c>
      <c r="Q408" s="4">
        <f t="shared" si="2"/>
        <v>0</v>
      </c>
      <c r="R408" s="4">
        <f t="shared" si="3"/>
        <v>0</v>
      </c>
      <c r="S408" s="2">
        <f t="shared" si="29"/>
        <v>-1</v>
      </c>
      <c r="T408" s="4">
        <f t="shared" si="30"/>
        <v>0</v>
      </c>
      <c r="U408" s="2" t="str">
        <f t="shared" si="5"/>
        <v xml:space="preserve"> - </v>
      </c>
      <c r="V408" s="1"/>
      <c r="W408" s="1"/>
      <c r="X408" s="1"/>
      <c r="Y408" s="1"/>
      <c r="Z408" s="1"/>
      <c r="AA408" s="2"/>
      <c r="AB408" s="2"/>
      <c r="AC408" s="2"/>
    </row>
    <row r="409" spans="1:29" ht="12.75" customHeight="1">
      <c r="A409" s="1"/>
      <c r="B409" s="5"/>
      <c r="C409" s="22"/>
      <c r="D409" s="24"/>
      <c r="E409" s="26"/>
      <c r="F409" s="28"/>
      <c r="G409" s="29"/>
      <c r="H409" s="28"/>
      <c r="I409" s="29"/>
      <c r="J409" s="28"/>
      <c r="K409" s="28"/>
      <c r="L409" s="28"/>
      <c r="M409" s="5"/>
      <c r="N409" s="1"/>
      <c r="O409" s="4">
        <f t="shared" si="27"/>
        <v>0</v>
      </c>
      <c r="P409" s="4">
        <f t="shared" si="28"/>
        <v>0</v>
      </c>
      <c r="Q409" s="4">
        <f t="shared" si="2"/>
        <v>0</v>
      </c>
      <c r="R409" s="4">
        <f t="shared" si="3"/>
        <v>0</v>
      </c>
      <c r="S409" s="2">
        <f t="shared" si="29"/>
        <v>-1</v>
      </c>
      <c r="T409" s="4">
        <f t="shared" si="30"/>
        <v>0</v>
      </c>
      <c r="U409" s="2" t="str">
        <f t="shared" si="5"/>
        <v xml:space="preserve"> - </v>
      </c>
      <c r="V409" s="1"/>
      <c r="W409" s="1"/>
      <c r="X409" s="1"/>
      <c r="Y409" s="1"/>
      <c r="Z409" s="1"/>
      <c r="AA409" s="2"/>
      <c r="AB409" s="2"/>
      <c r="AC409" s="2"/>
    </row>
    <row r="410" spans="1:29" ht="12.75" customHeight="1">
      <c r="A410" s="1"/>
      <c r="B410" s="5"/>
      <c r="C410" s="22"/>
      <c r="D410" s="24"/>
      <c r="E410" s="26"/>
      <c r="F410" s="28"/>
      <c r="G410" s="29"/>
      <c r="H410" s="28"/>
      <c r="I410" s="29"/>
      <c r="J410" s="28"/>
      <c r="K410" s="28"/>
      <c r="L410" s="28"/>
      <c r="M410" s="5"/>
      <c r="N410" s="1"/>
      <c r="O410" s="4">
        <f t="shared" si="27"/>
        <v>0</v>
      </c>
      <c r="P410" s="4">
        <f t="shared" si="28"/>
        <v>0</v>
      </c>
      <c r="Q410" s="4">
        <f t="shared" si="2"/>
        <v>0</v>
      </c>
      <c r="R410" s="4">
        <f t="shared" si="3"/>
        <v>0</v>
      </c>
      <c r="S410" s="2">
        <f t="shared" si="29"/>
        <v>-1</v>
      </c>
      <c r="T410" s="4">
        <f t="shared" si="30"/>
        <v>0</v>
      </c>
      <c r="U410" s="2" t="str">
        <f t="shared" si="5"/>
        <v xml:space="preserve"> - </v>
      </c>
      <c r="V410" s="1"/>
      <c r="W410" s="1"/>
      <c r="X410" s="1"/>
      <c r="Y410" s="1"/>
      <c r="Z410" s="1"/>
      <c r="AA410" s="2"/>
      <c r="AB410" s="2"/>
      <c r="AC410" s="2"/>
    </row>
    <row r="411" spans="1:29" ht="12.75" customHeight="1">
      <c r="A411" s="1"/>
      <c r="B411" s="5"/>
      <c r="C411" s="22"/>
      <c r="D411" s="24"/>
      <c r="E411" s="26"/>
      <c r="F411" s="28"/>
      <c r="G411" s="29"/>
      <c r="H411" s="28"/>
      <c r="I411" s="29"/>
      <c r="J411" s="28"/>
      <c r="K411" s="28"/>
      <c r="L411" s="28"/>
      <c r="M411" s="5"/>
      <c r="N411" s="1"/>
      <c r="O411" s="4">
        <f t="shared" si="27"/>
        <v>0</v>
      </c>
      <c r="P411" s="4">
        <f t="shared" si="28"/>
        <v>0</v>
      </c>
      <c r="Q411" s="4">
        <f t="shared" si="2"/>
        <v>0</v>
      </c>
      <c r="R411" s="4">
        <f t="shared" si="3"/>
        <v>0</v>
      </c>
      <c r="S411" s="2">
        <f t="shared" si="29"/>
        <v>-1</v>
      </c>
      <c r="T411" s="4">
        <f t="shared" si="30"/>
        <v>0</v>
      </c>
      <c r="U411" s="2" t="str">
        <f t="shared" si="5"/>
        <v xml:space="preserve"> - </v>
      </c>
      <c r="V411" s="1"/>
      <c r="W411" s="1"/>
      <c r="X411" s="1"/>
      <c r="Y411" s="1"/>
      <c r="Z411" s="1"/>
      <c r="AA411" s="2"/>
      <c r="AB411" s="2"/>
      <c r="AC411" s="2"/>
    </row>
    <row r="412" spans="1:29" ht="12.75" customHeight="1">
      <c r="A412" s="1"/>
      <c r="B412" s="5"/>
      <c r="C412" s="22"/>
      <c r="D412" s="24"/>
      <c r="E412" s="26"/>
      <c r="F412" s="28"/>
      <c r="G412" s="29"/>
      <c r="H412" s="28"/>
      <c r="I412" s="29"/>
      <c r="J412" s="28"/>
      <c r="K412" s="28"/>
      <c r="L412" s="28"/>
      <c r="M412" s="5"/>
      <c r="N412" s="1"/>
      <c r="O412" s="4">
        <f t="shared" si="27"/>
        <v>0</v>
      </c>
      <c r="P412" s="4">
        <f t="shared" si="28"/>
        <v>0</v>
      </c>
      <c r="Q412" s="4">
        <f t="shared" si="2"/>
        <v>0</v>
      </c>
      <c r="R412" s="4">
        <f t="shared" si="3"/>
        <v>0</v>
      </c>
      <c r="S412" s="2">
        <f t="shared" si="29"/>
        <v>-1</v>
      </c>
      <c r="T412" s="4">
        <f t="shared" si="30"/>
        <v>0</v>
      </c>
      <c r="U412" s="2" t="str">
        <f t="shared" si="5"/>
        <v xml:space="preserve"> - </v>
      </c>
      <c r="V412" s="1"/>
      <c r="W412" s="1"/>
      <c r="X412" s="1"/>
      <c r="Y412" s="1"/>
      <c r="Z412" s="1"/>
      <c r="AA412" s="2"/>
      <c r="AB412" s="2"/>
      <c r="AC412" s="2"/>
    </row>
    <row r="413" spans="1:29" ht="12.75" customHeight="1">
      <c r="A413" s="1"/>
      <c r="B413" s="5"/>
      <c r="C413" s="22"/>
      <c r="D413" s="24"/>
      <c r="E413" s="26"/>
      <c r="F413" s="28"/>
      <c r="G413" s="29"/>
      <c r="H413" s="28"/>
      <c r="I413" s="29"/>
      <c r="J413" s="28"/>
      <c r="K413" s="28"/>
      <c r="L413" s="28"/>
      <c r="M413" s="5"/>
      <c r="N413" s="1"/>
      <c r="O413" s="4">
        <f t="shared" si="27"/>
        <v>0</v>
      </c>
      <c r="P413" s="4">
        <f t="shared" si="28"/>
        <v>0</v>
      </c>
      <c r="Q413" s="4">
        <f t="shared" si="2"/>
        <v>0</v>
      </c>
      <c r="R413" s="4">
        <f t="shared" si="3"/>
        <v>0</v>
      </c>
      <c r="S413" s="2">
        <f t="shared" si="29"/>
        <v>-1</v>
      </c>
      <c r="T413" s="4">
        <f t="shared" si="30"/>
        <v>0</v>
      </c>
      <c r="U413" s="2" t="str">
        <f t="shared" si="5"/>
        <v xml:space="preserve"> - </v>
      </c>
      <c r="V413" s="1"/>
      <c r="W413" s="1"/>
      <c r="X413" s="1"/>
      <c r="Y413" s="1"/>
      <c r="Z413" s="1"/>
      <c r="AA413" s="2"/>
      <c r="AB413" s="2"/>
      <c r="AC413" s="2"/>
    </row>
    <row r="414" spans="1:29" ht="12.75" customHeight="1">
      <c r="A414" s="1"/>
      <c r="B414" s="5"/>
      <c r="C414" s="22"/>
      <c r="D414" s="24"/>
      <c r="E414" s="26"/>
      <c r="F414" s="28"/>
      <c r="G414" s="29"/>
      <c r="H414" s="28"/>
      <c r="I414" s="29"/>
      <c r="J414" s="28"/>
      <c r="K414" s="28"/>
      <c r="L414" s="28"/>
      <c r="M414" s="5"/>
      <c r="N414" s="1"/>
      <c r="O414" s="4">
        <f t="shared" si="27"/>
        <v>0</v>
      </c>
      <c r="P414" s="4">
        <f t="shared" si="28"/>
        <v>0</v>
      </c>
      <c r="Q414" s="4">
        <f t="shared" si="2"/>
        <v>0</v>
      </c>
      <c r="R414" s="4">
        <f t="shared" si="3"/>
        <v>0</v>
      </c>
      <c r="S414" s="2">
        <f t="shared" si="29"/>
        <v>-1</v>
      </c>
      <c r="T414" s="4">
        <f t="shared" si="30"/>
        <v>0</v>
      </c>
      <c r="U414" s="2" t="str">
        <f t="shared" si="5"/>
        <v xml:space="preserve"> - </v>
      </c>
      <c r="V414" s="1"/>
      <c r="W414" s="1"/>
      <c r="X414" s="1"/>
      <c r="Y414" s="1"/>
      <c r="Z414" s="1"/>
      <c r="AA414" s="2"/>
      <c r="AB414" s="2"/>
      <c r="AC414" s="2"/>
    </row>
    <row r="415" spans="1:29" ht="12.75" customHeight="1">
      <c r="A415" s="1"/>
      <c r="B415" s="5"/>
      <c r="C415" s="22"/>
      <c r="D415" s="24"/>
      <c r="E415" s="26"/>
      <c r="F415" s="28"/>
      <c r="G415" s="29"/>
      <c r="H415" s="28"/>
      <c r="I415" s="29"/>
      <c r="J415" s="28"/>
      <c r="K415" s="28"/>
      <c r="L415" s="28"/>
      <c r="M415" s="5"/>
      <c r="N415" s="1"/>
      <c r="O415" s="4">
        <f t="shared" si="27"/>
        <v>0</v>
      </c>
      <c r="P415" s="4">
        <f t="shared" si="28"/>
        <v>0</v>
      </c>
      <c r="Q415" s="4">
        <f t="shared" si="2"/>
        <v>0</v>
      </c>
      <c r="R415" s="4">
        <f t="shared" si="3"/>
        <v>0</v>
      </c>
      <c r="S415" s="2">
        <f t="shared" si="29"/>
        <v>-1</v>
      </c>
      <c r="T415" s="4">
        <f t="shared" si="30"/>
        <v>0</v>
      </c>
      <c r="U415" s="2" t="str">
        <f t="shared" si="5"/>
        <v xml:space="preserve"> - </v>
      </c>
      <c r="V415" s="1"/>
      <c r="W415" s="1"/>
      <c r="X415" s="1"/>
      <c r="Y415" s="1"/>
      <c r="Z415" s="1"/>
      <c r="AA415" s="2"/>
      <c r="AB415" s="2"/>
      <c r="AC415" s="2"/>
    </row>
    <row r="416" spans="1:29" ht="12.75" customHeight="1">
      <c r="A416" s="1"/>
      <c r="B416" s="5"/>
      <c r="C416" s="22"/>
      <c r="D416" s="24"/>
      <c r="E416" s="26"/>
      <c r="F416" s="28"/>
      <c r="G416" s="29"/>
      <c r="H416" s="28"/>
      <c r="I416" s="29"/>
      <c r="J416" s="28"/>
      <c r="K416" s="28"/>
      <c r="L416" s="28"/>
      <c r="M416" s="5"/>
      <c r="N416" s="1"/>
      <c r="O416" s="4">
        <f t="shared" si="27"/>
        <v>0</v>
      </c>
      <c r="P416" s="4">
        <f t="shared" si="28"/>
        <v>0</v>
      </c>
      <c r="Q416" s="4">
        <f t="shared" si="2"/>
        <v>0</v>
      </c>
      <c r="R416" s="4">
        <f t="shared" si="3"/>
        <v>0</v>
      </c>
      <c r="S416" s="2">
        <f t="shared" si="29"/>
        <v>-1</v>
      </c>
      <c r="T416" s="4">
        <f t="shared" si="30"/>
        <v>0</v>
      </c>
      <c r="U416" s="2" t="str">
        <f t="shared" si="5"/>
        <v xml:space="preserve"> - </v>
      </c>
      <c r="V416" s="1"/>
      <c r="W416" s="1"/>
      <c r="X416" s="1"/>
      <c r="Y416" s="1"/>
      <c r="Z416" s="1"/>
      <c r="AA416" s="2"/>
      <c r="AB416" s="2"/>
      <c r="AC416" s="2"/>
    </row>
    <row r="417" spans="1:29" ht="12.75" customHeight="1">
      <c r="A417" s="1"/>
      <c r="B417" s="5"/>
      <c r="C417" s="22"/>
      <c r="D417" s="24"/>
      <c r="E417" s="26"/>
      <c r="F417" s="28"/>
      <c r="G417" s="29"/>
      <c r="H417" s="28"/>
      <c r="I417" s="29"/>
      <c r="J417" s="28"/>
      <c r="K417" s="28"/>
      <c r="L417" s="28"/>
      <c r="M417" s="5"/>
      <c r="N417" s="1"/>
      <c r="O417" s="4">
        <f t="shared" si="27"/>
        <v>0</v>
      </c>
      <c r="P417" s="4">
        <f t="shared" si="28"/>
        <v>0</v>
      </c>
      <c r="Q417" s="4">
        <f t="shared" si="2"/>
        <v>0</v>
      </c>
      <c r="R417" s="4">
        <f t="shared" si="3"/>
        <v>0</v>
      </c>
      <c r="S417" s="2">
        <f t="shared" si="29"/>
        <v>-1</v>
      </c>
      <c r="T417" s="4">
        <f t="shared" si="30"/>
        <v>0</v>
      </c>
      <c r="U417" s="2" t="str">
        <f t="shared" si="5"/>
        <v xml:space="preserve"> - </v>
      </c>
      <c r="V417" s="1"/>
      <c r="W417" s="1"/>
      <c r="X417" s="1"/>
      <c r="Y417" s="1"/>
      <c r="Z417" s="1"/>
      <c r="AA417" s="2"/>
      <c r="AB417" s="2"/>
      <c r="AC417" s="2"/>
    </row>
    <row r="418" spans="1:29" ht="12.75" customHeight="1">
      <c r="A418" s="1"/>
      <c r="B418" s="5"/>
      <c r="C418" s="22"/>
      <c r="D418" s="24"/>
      <c r="E418" s="26"/>
      <c r="F418" s="28"/>
      <c r="G418" s="29"/>
      <c r="H418" s="28"/>
      <c r="I418" s="29"/>
      <c r="J418" s="28"/>
      <c r="K418" s="28"/>
      <c r="L418" s="28"/>
      <c r="M418" s="5"/>
      <c r="N418" s="1"/>
      <c r="O418" s="4">
        <f t="shared" si="27"/>
        <v>0</v>
      </c>
      <c r="P418" s="4">
        <f t="shared" si="28"/>
        <v>0</v>
      </c>
      <c r="Q418" s="4">
        <f t="shared" si="2"/>
        <v>0</v>
      </c>
      <c r="R418" s="4">
        <f t="shared" si="3"/>
        <v>0</v>
      </c>
      <c r="S418" s="2">
        <f t="shared" si="29"/>
        <v>-1</v>
      </c>
      <c r="T418" s="4">
        <f t="shared" si="30"/>
        <v>0</v>
      </c>
      <c r="U418" s="2" t="str">
        <f t="shared" si="5"/>
        <v xml:space="preserve"> - </v>
      </c>
      <c r="V418" s="1"/>
      <c r="W418" s="1"/>
      <c r="X418" s="1"/>
      <c r="Y418" s="1"/>
      <c r="Z418" s="1"/>
      <c r="AA418" s="2"/>
      <c r="AB418" s="2"/>
      <c r="AC418" s="2"/>
    </row>
    <row r="419" spans="1:29" ht="12.75" customHeight="1">
      <c r="A419" s="1"/>
      <c r="B419" s="5"/>
      <c r="C419" s="22"/>
      <c r="D419" s="24"/>
      <c r="E419" s="26"/>
      <c r="F419" s="28"/>
      <c r="G419" s="29"/>
      <c r="H419" s="28"/>
      <c r="I419" s="29"/>
      <c r="J419" s="28"/>
      <c r="K419" s="28"/>
      <c r="L419" s="28"/>
      <c r="M419" s="5"/>
      <c r="N419" s="1"/>
      <c r="O419" s="4">
        <f t="shared" si="27"/>
        <v>0</v>
      </c>
      <c r="P419" s="4">
        <f t="shared" si="28"/>
        <v>0</v>
      </c>
      <c r="Q419" s="4">
        <f t="shared" si="2"/>
        <v>0</v>
      </c>
      <c r="R419" s="4">
        <f t="shared" si="3"/>
        <v>0</v>
      </c>
      <c r="S419" s="2">
        <f t="shared" si="29"/>
        <v>-1</v>
      </c>
      <c r="T419" s="4">
        <f t="shared" si="30"/>
        <v>0</v>
      </c>
      <c r="U419" s="2" t="str">
        <f t="shared" si="5"/>
        <v xml:space="preserve"> - </v>
      </c>
      <c r="V419" s="1"/>
      <c r="W419" s="1"/>
      <c r="X419" s="1"/>
      <c r="Y419" s="1"/>
      <c r="Z419" s="1"/>
      <c r="AA419" s="2"/>
      <c r="AB419" s="2"/>
      <c r="AC419" s="2"/>
    </row>
    <row r="420" spans="1:29" ht="12.75" customHeight="1">
      <c r="A420" s="1"/>
      <c r="B420" s="5"/>
      <c r="C420" s="22"/>
      <c r="D420" s="24"/>
      <c r="E420" s="26"/>
      <c r="F420" s="28"/>
      <c r="G420" s="29"/>
      <c r="H420" s="28"/>
      <c r="I420" s="29"/>
      <c r="J420" s="28"/>
      <c r="K420" s="28"/>
      <c r="L420" s="28"/>
      <c r="M420" s="5"/>
      <c r="N420" s="1"/>
      <c r="O420" s="4">
        <f t="shared" si="27"/>
        <v>0</v>
      </c>
      <c r="P420" s="4">
        <f t="shared" si="28"/>
        <v>0</v>
      </c>
      <c r="Q420" s="4">
        <f t="shared" si="2"/>
        <v>0</v>
      </c>
      <c r="R420" s="4">
        <f t="shared" si="3"/>
        <v>0</v>
      </c>
      <c r="S420" s="2">
        <f t="shared" si="29"/>
        <v>-1</v>
      </c>
      <c r="T420" s="4">
        <f t="shared" si="30"/>
        <v>0</v>
      </c>
      <c r="U420" s="2" t="str">
        <f t="shared" si="5"/>
        <v xml:space="preserve"> - </v>
      </c>
      <c r="V420" s="1"/>
      <c r="W420" s="1"/>
      <c r="X420" s="1"/>
      <c r="Y420" s="1"/>
      <c r="Z420" s="1"/>
      <c r="AA420" s="2"/>
      <c r="AB420" s="2"/>
      <c r="AC420" s="2"/>
    </row>
    <row r="421" spans="1:29" ht="12.75" customHeight="1">
      <c r="A421" s="1"/>
      <c r="B421" s="5"/>
      <c r="C421" s="22"/>
      <c r="D421" s="24"/>
      <c r="E421" s="26"/>
      <c r="F421" s="28"/>
      <c r="G421" s="29"/>
      <c r="H421" s="28"/>
      <c r="I421" s="29"/>
      <c r="J421" s="28"/>
      <c r="K421" s="28"/>
      <c r="L421" s="28"/>
      <c r="M421" s="5"/>
      <c r="N421" s="1"/>
      <c r="O421" s="4">
        <f t="shared" si="27"/>
        <v>0</v>
      </c>
      <c r="P421" s="4">
        <f t="shared" si="28"/>
        <v>0</v>
      </c>
      <c r="Q421" s="4">
        <f t="shared" si="2"/>
        <v>0</v>
      </c>
      <c r="R421" s="4">
        <f t="shared" si="3"/>
        <v>0</v>
      </c>
      <c r="S421" s="2">
        <f t="shared" si="29"/>
        <v>-1</v>
      </c>
      <c r="T421" s="4">
        <f t="shared" si="30"/>
        <v>0</v>
      </c>
      <c r="U421" s="2" t="str">
        <f t="shared" si="5"/>
        <v xml:space="preserve"> - </v>
      </c>
      <c r="V421" s="1"/>
      <c r="W421" s="1"/>
      <c r="X421" s="1"/>
      <c r="Y421" s="1"/>
      <c r="Z421" s="1"/>
      <c r="AA421" s="2"/>
      <c r="AB421" s="2"/>
      <c r="AC421" s="2"/>
    </row>
    <row r="422" spans="1:29" ht="12.75" customHeight="1">
      <c r="A422" s="1"/>
      <c r="B422" s="5"/>
      <c r="C422" s="22"/>
      <c r="D422" s="24"/>
      <c r="E422" s="26"/>
      <c r="F422" s="28"/>
      <c r="G422" s="29"/>
      <c r="H422" s="28"/>
      <c r="I422" s="29"/>
      <c r="J422" s="28"/>
      <c r="K422" s="28"/>
      <c r="L422" s="28"/>
      <c r="M422" s="5"/>
      <c r="N422" s="1"/>
      <c r="O422" s="4">
        <f t="shared" si="27"/>
        <v>0</v>
      </c>
      <c r="P422" s="4">
        <f t="shared" si="28"/>
        <v>0</v>
      </c>
      <c r="Q422" s="4">
        <f t="shared" si="2"/>
        <v>0</v>
      </c>
      <c r="R422" s="4">
        <f t="shared" si="3"/>
        <v>0</v>
      </c>
      <c r="S422" s="2">
        <f t="shared" si="29"/>
        <v>-1</v>
      </c>
      <c r="T422" s="4">
        <f t="shared" si="30"/>
        <v>0</v>
      </c>
      <c r="U422" s="2" t="str">
        <f t="shared" si="5"/>
        <v xml:space="preserve"> - </v>
      </c>
      <c r="V422" s="1"/>
      <c r="W422" s="1"/>
      <c r="X422" s="1"/>
      <c r="Y422" s="1"/>
      <c r="Z422" s="1"/>
      <c r="AA422" s="2"/>
      <c r="AB422" s="2"/>
      <c r="AC422" s="2"/>
    </row>
    <row r="423" spans="1:29" ht="12.75" customHeight="1">
      <c r="A423" s="1"/>
      <c r="B423" s="5"/>
      <c r="C423" s="22"/>
      <c r="D423" s="24"/>
      <c r="E423" s="26"/>
      <c r="F423" s="28"/>
      <c r="G423" s="29"/>
      <c r="H423" s="28"/>
      <c r="I423" s="29"/>
      <c r="J423" s="28"/>
      <c r="K423" s="28"/>
      <c r="L423" s="28"/>
      <c r="M423" s="5"/>
      <c r="N423" s="1"/>
      <c r="O423" s="4">
        <f t="shared" si="27"/>
        <v>0</v>
      </c>
      <c r="P423" s="4">
        <f t="shared" si="28"/>
        <v>0</v>
      </c>
      <c r="Q423" s="4">
        <f t="shared" si="2"/>
        <v>0</v>
      </c>
      <c r="R423" s="4">
        <f t="shared" si="3"/>
        <v>0</v>
      </c>
      <c r="S423" s="2">
        <f t="shared" si="29"/>
        <v>-1</v>
      </c>
      <c r="T423" s="4">
        <f t="shared" si="30"/>
        <v>0</v>
      </c>
      <c r="U423" s="2" t="str">
        <f t="shared" si="5"/>
        <v xml:space="preserve"> - </v>
      </c>
      <c r="V423" s="1"/>
      <c r="W423" s="1"/>
      <c r="X423" s="1"/>
      <c r="Y423" s="1"/>
      <c r="Z423" s="1"/>
      <c r="AA423" s="2"/>
      <c r="AB423" s="2"/>
      <c r="AC423" s="2"/>
    </row>
    <row r="424" spans="1:29" ht="12.75" customHeight="1">
      <c r="A424" s="1"/>
      <c r="B424" s="5"/>
      <c r="C424" s="22"/>
      <c r="D424" s="24"/>
      <c r="E424" s="26"/>
      <c r="F424" s="28"/>
      <c r="G424" s="29"/>
      <c r="H424" s="28"/>
      <c r="I424" s="29"/>
      <c r="J424" s="28"/>
      <c r="K424" s="28"/>
      <c r="L424" s="28"/>
      <c r="M424" s="5"/>
      <c r="N424" s="1"/>
      <c r="O424" s="4">
        <f t="shared" si="27"/>
        <v>0</v>
      </c>
      <c r="P424" s="4">
        <f t="shared" si="28"/>
        <v>0</v>
      </c>
      <c r="Q424" s="4">
        <f t="shared" si="2"/>
        <v>0</v>
      </c>
      <c r="R424" s="4">
        <f t="shared" si="3"/>
        <v>0</v>
      </c>
      <c r="S424" s="2">
        <f t="shared" si="29"/>
        <v>-1</v>
      </c>
      <c r="T424" s="4">
        <f t="shared" si="30"/>
        <v>0</v>
      </c>
      <c r="U424" s="2" t="str">
        <f t="shared" si="5"/>
        <v xml:space="preserve"> - </v>
      </c>
      <c r="V424" s="1"/>
      <c r="W424" s="1"/>
      <c r="X424" s="1"/>
      <c r="Y424" s="1"/>
      <c r="Z424" s="1"/>
      <c r="AA424" s="2"/>
      <c r="AB424" s="2"/>
      <c r="AC424" s="2"/>
    </row>
    <row r="425" spans="1:29" ht="12.75" customHeight="1">
      <c r="A425" s="1"/>
      <c r="B425" s="5"/>
      <c r="C425" s="22"/>
      <c r="D425" s="24"/>
      <c r="E425" s="26"/>
      <c r="F425" s="28"/>
      <c r="G425" s="29"/>
      <c r="H425" s="28"/>
      <c r="I425" s="29"/>
      <c r="J425" s="28"/>
      <c r="K425" s="28"/>
      <c r="L425" s="28"/>
      <c r="M425" s="5"/>
      <c r="N425" s="1"/>
      <c r="O425" s="4">
        <f t="shared" si="27"/>
        <v>0</v>
      </c>
      <c r="P425" s="4">
        <f t="shared" si="28"/>
        <v>0</v>
      </c>
      <c r="Q425" s="4">
        <f t="shared" si="2"/>
        <v>0</v>
      </c>
      <c r="R425" s="4">
        <f t="shared" si="3"/>
        <v>0</v>
      </c>
      <c r="S425" s="2">
        <f t="shared" si="29"/>
        <v>-1</v>
      </c>
      <c r="T425" s="4">
        <f t="shared" si="30"/>
        <v>0</v>
      </c>
      <c r="U425" s="2" t="str">
        <f t="shared" si="5"/>
        <v xml:space="preserve"> - </v>
      </c>
      <c r="V425" s="1"/>
      <c r="W425" s="1"/>
      <c r="X425" s="1"/>
      <c r="Y425" s="1"/>
      <c r="Z425" s="1"/>
      <c r="AA425" s="2"/>
      <c r="AB425" s="2"/>
      <c r="AC425" s="2"/>
    </row>
    <row r="426" spans="1:29" ht="12.75" customHeight="1">
      <c r="A426" s="1"/>
      <c r="B426" s="5"/>
      <c r="C426" s="22"/>
      <c r="D426" s="24"/>
      <c r="E426" s="26"/>
      <c r="F426" s="28"/>
      <c r="G426" s="29"/>
      <c r="H426" s="28"/>
      <c r="I426" s="29"/>
      <c r="J426" s="28"/>
      <c r="K426" s="28"/>
      <c r="L426" s="28"/>
      <c r="M426" s="5"/>
      <c r="N426" s="1"/>
      <c r="O426" s="4">
        <f t="shared" si="27"/>
        <v>0</v>
      </c>
      <c r="P426" s="4">
        <f t="shared" si="28"/>
        <v>0</v>
      </c>
      <c r="Q426" s="4">
        <f t="shared" si="2"/>
        <v>0</v>
      </c>
      <c r="R426" s="4">
        <f t="shared" si="3"/>
        <v>0</v>
      </c>
      <c r="S426" s="2">
        <f t="shared" si="29"/>
        <v>-1</v>
      </c>
      <c r="T426" s="4">
        <f t="shared" si="30"/>
        <v>0</v>
      </c>
      <c r="U426" s="2" t="str">
        <f t="shared" si="5"/>
        <v xml:space="preserve"> - </v>
      </c>
      <c r="V426" s="1"/>
      <c r="W426" s="1"/>
      <c r="X426" s="1"/>
      <c r="Y426" s="1"/>
      <c r="Z426" s="1"/>
      <c r="AA426" s="2"/>
      <c r="AB426" s="2"/>
      <c r="AC426" s="2"/>
    </row>
    <row r="427" spans="1:29" ht="12.75" customHeight="1">
      <c r="A427" s="1"/>
      <c r="B427" s="5"/>
      <c r="C427" s="22"/>
      <c r="D427" s="24"/>
      <c r="E427" s="26"/>
      <c r="F427" s="28"/>
      <c r="G427" s="29"/>
      <c r="H427" s="28"/>
      <c r="I427" s="29"/>
      <c r="J427" s="28"/>
      <c r="K427" s="28"/>
      <c r="L427" s="28"/>
      <c r="M427" s="5"/>
      <c r="N427" s="1"/>
      <c r="O427" s="4">
        <f t="shared" si="27"/>
        <v>0</v>
      </c>
      <c r="P427" s="4">
        <f t="shared" si="28"/>
        <v>0</v>
      </c>
      <c r="Q427" s="4">
        <f t="shared" si="2"/>
        <v>0</v>
      </c>
      <c r="R427" s="4">
        <f t="shared" si="3"/>
        <v>0</v>
      </c>
      <c r="S427" s="2">
        <f t="shared" si="29"/>
        <v>-1</v>
      </c>
      <c r="T427" s="4">
        <f t="shared" si="30"/>
        <v>0</v>
      </c>
      <c r="U427" s="2" t="str">
        <f t="shared" si="5"/>
        <v xml:space="preserve"> - </v>
      </c>
      <c r="V427" s="1"/>
      <c r="W427" s="1"/>
      <c r="X427" s="1"/>
      <c r="Y427" s="1"/>
      <c r="Z427" s="1"/>
      <c r="AA427" s="2"/>
      <c r="AB427" s="2"/>
      <c r="AC427" s="2"/>
    </row>
    <row r="428" spans="1:29" ht="12.75" customHeight="1">
      <c r="A428" s="1"/>
      <c r="B428" s="5"/>
      <c r="C428" s="22"/>
      <c r="D428" s="24"/>
      <c r="E428" s="26"/>
      <c r="F428" s="28"/>
      <c r="G428" s="29"/>
      <c r="H428" s="28"/>
      <c r="I428" s="29"/>
      <c r="J428" s="28"/>
      <c r="K428" s="28"/>
      <c r="L428" s="28"/>
      <c r="M428" s="5"/>
      <c r="N428" s="1"/>
      <c r="O428" s="4">
        <f t="shared" si="27"/>
        <v>0</v>
      </c>
      <c r="P428" s="4">
        <f t="shared" si="28"/>
        <v>0</v>
      </c>
      <c r="Q428" s="4">
        <f t="shared" si="2"/>
        <v>0</v>
      </c>
      <c r="R428" s="4">
        <f t="shared" si="3"/>
        <v>0</v>
      </c>
      <c r="S428" s="2">
        <f t="shared" si="29"/>
        <v>-1</v>
      </c>
      <c r="T428" s="4">
        <f t="shared" si="30"/>
        <v>0</v>
      </c>
      <c r="U428" s="2" t="str">
        <f t="shared" si="5"/>
        <v xml:space="preserve"> - </v>
      </c>
      <c r="V428" s="1"/>
      <c r="W428" s="1"/>
      <c r="X428" s="1"/>
      <c r="Y428" s="1"/>
      <c r="Z428" s="1"/>
      <c r="AA428" s="2"/>
      <c r="AB428" s="2"/>
      <c r="AC428" s="2"/>
    </row>
    <row r="429" spans="1:29" ht="12.75" customHeight="1">
      <c r="A429" s="1"/>
      <c r="B429" s="5"/>
      <c r="C429" s="22"/>
      <c r="D429" s="24"/>
      <c r="E429" s="26"/>
      <c r="F429" s="28"/>
      <c r="G429" s="29"/>
      <c r="H429" s="28"/>
      <c r="I429" s="29"/>
      <c r="J429" s="28"/>
      <c r="K429" s="28"/>
      <c r="L429" s="28"/>
      <c r="M429" s="5"/>
      <c r="N429" s="1"/>
      <c r="O429" s="4">
        <f t="shared" si="27"/>
        <v>0</v>
      </c>
      <c r="P429" s="4">
        <f t="shared" si="28"/>
        <v>0</v>
      </c>
      <c r="Q429" s="4">
        <f t="shared" si="2"/>
        <v>0</v>
      </c>
      <c r="R429" s="4">
        <f t="shared" si="3"/>
        <v>0</v>
      </c>
      <c r="S429" s="2">
        <f t="shared" si="29"/>
        <v>-1</v>
      </c>
      <c r="T429" s="4">
        <f t="shared" si="30"/>
        <v>0</v>
      </c>
      <c r="U429" s="2" t="str">
        <f t="shared" si="5"/>
        <v xml:space="preserve"> - </v>
      </c>
      <c r="V429" s="1"/>
      <c r="W429" s="1"/>
      <c r="X429" s="1"/>
      <c r="Y429" s="1"/>
      <c r="Z429" s="1"/>
      <c r="AA429" s="2"/>
      <c r="AB429" s="2"/>
      <c r="AC429" s="2"/>
    </row>
    <row r="430" spans="1:29" ht="12.75" customHeight="1">
      <c r="A430" s="1"/>
      <c r="B430" s="5"/>
      <c r="C430" s="22"/>
      <c r="D430" s="24"/>
      <c r="E430" s="26"/>
      <c r="F430" s="28"/>
      <c r="G430" s="29"/>
      <c r="H430" s="28"/>
      <c r="I430" s="29"/>
      <c r="J430" s="28"/>
      <c r="K430" s="28"/>
      <c r="L430" s="28"/>
      <c r="M430" s="5"/>
      <c r="N430" s="1"/>
      <c r="O430" s="4">
        <f t="shared" si="27"/>
        <v>0</v>
      </c>
      <c r="P430" s="4">
        <f t="shared" si="28"/>
        <v>0</v>
      </c>
      <c r="Q430" s="4">
        <f t="shared" si="2"/>
        <v>0</v>
      </c>
      <c r="R430" s="4">
        <f t="shared" si="3"/>
        <v>0</v>
      </c>
      <c r="S430" s="2">
        <f t="shared" si="29"/>
        <v>-1</v>
      </c>
      <c r="T430" s="4">
        <f t="shared" si="30"/>
        <v>0</v>
      </c>
      <c r="U430" s="2" t="str">
        <f t="shared" si="5"/>
        <v xml:space="preserve"> - </v>
      </c>
      <c r="V430" s="1"/>
      <c r="W430" s="1"/>
      <c r="X430" s="1"/>
      <c r="Y430" s="1"/>
      <c r="Z430" s="1"/>
      <c r="AA430" s="2"/>
      <c r="AB430" s="2"/>
      <c r="AC430" s="2"/>
    </row>
    <row r="431" spans="1:29" ht="12.75" customHeight="1">
      <c r="A431" s="1"/>
      <c r="B431" s="5"/>
      <c r="C431" s="22"/>
      <c r="D431" s="24"/>
      <c r="E431" s="26"/>
      <c r="F431" s="28"/>
      <c r="G431" s="29"/>
      <c r="H431" s="28"/>
      <c r="I431" s="29"/>
      <c r="J431" s="28"/>
      <c r="K431" s="28"/>
      <c r="L431" s="28"/>
      <c r="M431" s="5"/>
      <c r="N431" s="1"/>
      <c r="O431" s="4">
        <f t="shared" si="27"/>
        <v>0</v>
      </c>
      <c r="P431" s="4">
        <f t="shared" si="28"/>
        <v>0</v>
      </c>
      <c r="Q431" s="4">
        <f t="shared" si="2"/>
        <v>0</v>
      </c>
      <c r="R431" s="4">
        <f t="shared" si="3"/>
        <v>0</v>
      </c>
      <c r="S431" s="2">
        <f t="shared" si="29"/>
        <v>-1</v>
      </c>
      <c r="T431" s="4">
        <f t="shared" si="30"/>
        <v>0</v>
      </c>
      <c r="U431" s="2" t="str">
        <f t="shared" si="5"/>
        <v xml:space="preserve"> - </v>
      </c>
      <c r="V431" s="1"/>
      <c r="W431" s="1"/>
      <c r="X431" s="1"/>
      <c r="Y431" s="1"/>
      <c r="Z431" s="1"/>
      <c r="AA431" s="2"/>
      <c r="AB431" s="2"/>
      <c r="AC431" s="2"/>
    </row>
    <row r="432" spans="1:29" ht="12.75" customHeight="1">
      <c r="A432" s="1"/>
      <c r="B432" s="5"/>
      <c r="C432" s="22"/>
      <c r="D432" s="24"/>
      <c r="E432" s="26"/>
      <c r="F432" s="28"/>
      <c r="G432" s="29"/>
      <c r="H432" s="28"/>
      <c r="I432" s="29"/>
      <c r="J432" s="28"/>
      <c r="K432" s="28"/>
      <c r="L432" s="28"/>
      <c r="M432" s="5"/>
      <c r="N432" s="1"/>
      <c r="O432" s="4">
        <f t="shared" si="27"/>
        <v>0</v>
      </c>
      <c r="P432" s="4">
        <f t="shared" si="28"/>
        <v>0</v>
      </c>
      <c r="Q432" s="4">
        <f t="shared" si="2"/>
        <v>0</v>
      </c>
      <c r="R432" s="4">
        <f t="shared" si="3"/>
        <v>0</v>
      </c>
      <c r="S432" s="2">
        <f t="shared" si="29"/>
        <v>-1</v>
      </c>
      <c r="T432" s="4">
        <f t="shared" si="30"/>
        <v>0</v>
      </c>
      <c r="U432" s="2" t="str">
        <f t="shared" si="5"/>
        <v xml:space="preserve"> - </v>
      </c>
      <c r="V432" s="1"/>
      <c r="W432" s="1"/>
      <c r="X432" s="1"/>
      <c r="Y432" s="1"/>
      <c r="Z432" s="1"/>
      <c r="AA432" s="2"/>
      <c r="AB432" s="2"/>
      <c r="AC432" s="2"/>
    </row>
    <row r="433" spans="1:29" ht="12.75" customHeight="1">
      <c r="A433" s="1"/>
      <c r="B433" s="5"/>
      <c r="C433" s="22"/>
      <c r="D433" s="24"/>
      <c r="E433" s="26"/>
      <c r="F433" s="28"/>
      <c r="G433" s="29"/>
      <c r="H433" s="28"/>
      <c r="I433" s="29"/>
      <c r="J433" s="28"/>
      <c r="K433" s="28"/>
      <c r="L433" s="28"/>
      <c r="M433" s="5"/>
      <c r="N433" s="1"/>
      <c r="O433" s="4">
        <f t="shared" si="27"/>
        <v>0</v>
      </c>
      <c r="P433" s="4">
        <f t="shared" si="28"/>
        <v>0</v>
      </c>
      <c r="Q433" s="4">
        <f t="shared" si="2"/>
        <v>0</v>
      </c>
      <c r="R433" s="4">
        <f t="shared" si="3"/>
        <v>0</v>
      </c>
      <c r="S433" s="2">
        <f t="shared" si="29"/>
        <v>-1</v>
      </c>
      <c r="T433" s="4">
        <f t="shared" si="30"/>
        <v>0</v>
      </c>
      <c r="U433" s="2" t="str">
        <f t="shared" si="5"/>
        <v xml:space="preserve"> - </v>
      </c>
      <c r="V433" s="1"/>
      <c r="W433" s="1"/>
      <c r="X433" s="1"/>
      <c r="Y433" s="1"/>
      <c r="Z433" s="1"/>
      <c r="AA433" s="2"/>
      <c r="AB433" s="2"/>
      <c r="AC433" s="2"/>
    </row>
    <row r="434" spans="1:29" ht="12.75" customHeight="1">
      <c r="A434" s="1"/>
      <c r="B434" s="5"/>
      <c r="C434" s="22"/>
      <c r="D434" s="24"/>
      <c r="E434" s="26"/>
      <c r="F434" s="28"/>
      <c r="G434" s="29"/>
      <c r="H434" s="28"/>
      <c r="I434" s="29"/>
      <c r="J434" s="28"/>
      <c r="K434" s="28"/>
      <c r="L434" s="28"/>
      <c r="M434" s="5"/>
      <c r="N434" s="1"/>
      <c r="O434" s="4">
        <f t="shared" si="27"/>
        <v>0</v>
      </c>
      <c r="P434" s="4">
        <f t="shared" si="28"/>
        <v>0</v>
      </c>
      <c r="Q434" s="4">
        <f t="shared" si="2"/>
        <v>0</v>
      </c>
      <c r="R434" s="4">
        <f t="shared" si="3"/>
        <v>0</v>
      </c>
      <c r="S434" s="2">
        <f t="shared" si="29"/>
        <v>-1</v>
      </c>
      <c r="T434" s="4">
        <f t="shared" si="30"/>
        <v>0</v>
      </c>
      <c r="U434" s="2" t="str">
        <f t="shared" si="5"/>
        <v xml:space="preserve"> - </v>
      </c>
      <c r="V434" s="1"/>
      <c r="W434" s="1"/>
      <c r="X434" s="1"/>
      <c r="Y434" s="1"/>
      <c r="Z434" s="1"/>
      <c r="AA434" s="2"/>
      <c r="AB434" s="2"/>
      <c r="AC434" s="2"/>
    </row>
    <row r="435" spans="1:29" ht="12.75" customHeight="1">
      <c r="A435" s="1"/>
      <c r="B435" s="5"/>
      <c r="C435" s="22"/>
      <c r="D435" s="24"/>
      <c r="E435" s="26"/>
      <c r="F435" s="28"/>
      <c r="G435" s="29"/>
      <c r="H435" s="28"/>
      <c r="I435" s="29"/>
      <c r="J435" s="28"/>
      <c r="K435" s="28"/>
      <c r="L435" s="28"/>
      <c r="M435" s="5"/>
      <c r="N435" s="1"/>
      <c r="O435" s="4">
        <f t="shared" si="27"/>
        <v>0</v>
      </c>
      <c r="P435" s="4">
        <f t="shared" si="28"/>
        <v>0</v>
      </c>
      <c r="Q435" s="4">
        <f t="shared" si="2"/>
        <v>0</v>
      </c>
      <c r="R435" s="4">
        <f t="shared" si="3"/>
        <v>0</v>
      </c>
      <c r="S435" s="2">
        <f t="shared" si="29"/>
        <v>-1</v>
      </c>
      <c r="T435" s="4">
        <f t="shared" si="30"/>
        <v>0</v>
      </c>
      <c r="U435" s="2" t="str">
        <f t="shared" si="5"/>
        <v xml:space="preserve"> - </v>
      </c>
      <c r="V435" s="1"/>
      <c r="W435" s="1"/>
      <c r="X435" s="1"/>
      <c r="Y435" s="1"/>
      <c r="Z435" s="1"/>
      <c r="AA435" s="2"/>
      <c r="AB435" s="2"/>
      <c r="AC435" s="2"/>
    </row>
    <row r="436" spans="1:29" ht="12.75" customHeight="1">
      <c r="A436" s="1"/>
      <c r="B436" s="5"/>
      <c r="C436" s="22"/>
      <c r="D436" s="24"/>
      <c r="E436" s="26"/>
      <c r="F436" s="28"/>
      <c r="G436" s="29"/>
      <c r="H436" s="28"/>
      <c r="I436" s="29"/>
      <c r="J436" s="28"/>
      <c r="K436" s="28"/>
      <c r="L436" s="28"/>
      <c r="M436" s="5"/>
      <c r="N436" s="1"/>
      <c r="O436" s="4">
        <f t="shared" si="27"/>
        <v>0</v>
      </c>
      <c r="P436" s="4">
        <f t="shared" si="28"/>
        <v>0</v>
      </c>
      <c r="Q436" s="4">
        <f t="shared" si="2"/>
        <v>0</v>
      </c>
      <c r="R436" s="4">
        <f t="shared" si="3"/>
        <v>0</v>
      </c>
      <c r="S436" s="2">
        <f t="shared" si="29"/>
        <v>-1</v>
      </c>
      <c r="T436" s="4">
        <f t="shared" si="30"/>
        <v>0</v>
      </c>
      <c r="U436" s="2" t="str">
        <f t="shared" si="5"/>
        <v xml:space="preserve"> - </v>
      </c>
      <c r="V436" s="1"/>
      <c r="W436" s="1"/>
      <c r="X436" s="1"/>
      <c r="Y436" s="1"/>
      <c r="Z436" s="1"/>
      <c r="AA436" s="2"/>
      <c r="AB436" s="2"/>
      <c r="AC436" s="2"/>
    </row>
    <row r="437" spans="1:29" ht="12.75" customHeight="1">
      <c r="A437" s="1"/>
      <c r="B437" s="5"/>
      <c r="C437" s="22"/>
      <c r="D437" s="24"/>
      <c r="E437" s="26"/>
      <c r="F437" s="28"/>
      <c r="G437" s="29"/>
      <c r="H437" s="28"/>
      <c r="I437" s="29"/>
      <c r="J437" s="28"/>
      <c r="K437" s="28"/>
      <c r="L437" s="28"/>
      <c r="M437" s="5"/>
      <c r="N437" s="1"/>
      <c r="O437" s="4">
        <f t="shared" si="27"/>
        <v>0</v>
      </c>
      <c r="P437" s="4">
        <f t="shared" si="28"/>
        <v>0</v>
      </c>
      <c r="Q437" s="4">
        <f t="shared" si="2"/>
        <v>0</v>
      </c>
      <c r="R437" s="4">
        <f t="shared" si="3"/>
        <v>0</v>
      </c>
      <c r="S437" s="2">
        <f t="shared" si="29"/>
        <v>-1</v>
      </c>
      <c r="T437" s="4">
        <f t="shared" si="30"/>
        <v>0</v>
      </c>
      <c r="U437" s="2" t="str">
        <f t="shared" si="5"/>
        <v xml:space="preserve"> - </v>
      </c>
      <c r="V437" s="1"/>
      <c r="W437" s="1"/>
      <c r="X437" s="1"/>
      <c r="Y437" s="1"/>
      <c r="Z437" s="1"/>
      <c r="AA437" s="2"/>
      <c r="AB437" s="2"/>
      <c r="AC437" s="2"/>
    </row>
    <row r="438" spans="1:29" ht="12.75" customHeight="1">
      <c r="A438" s="1"/>
      <c r="B438" s="5"/>
      <c r="C438" s="22"/>
      <c r="D438" s="24"/>
      <c r="E438" s="26"/>
      <c r="F438" s="28"/>
      <c r="G438" s="29"/>
      <c r="H438" s="28"/>
      <c r="I438" s="29"/>
      <c r="J438" s="28"/>
      <c r="K438" s="28"/>
      <c r="L438" s="28"/>
      <c r="M438" s="5"/>
      <c r="N438" s="1"/>
      <c r="O438" s="4">
        <f t="shared" si="27"/>
        <v>0</v>
      </c>
      <c r="P438" s="4">
        <f t="shared" si="28"/>
        <v>0</v>
      </c>
      <c r="Q438" s="4">
        <f t="shared" si="2"/>
        <v>0</v>
      </c>
      <c r="R438" s="4">
        <f t="shared" si="3"/>
        <v>0</v>
      </c>
      <c r="S438" s="2">
        <f t="shared" si="29"/>
        <v>-1</v>
      </c>
      <c r="T438" s="4">
        <f t="shared" si="30"/>
        <v>0</v>
      </c>
      <c r="U438" s="2" t="str">
        <f t="shared" si="5"/>
        <v xml:space="preserve"> - </v>
      </c>
      <c r="V438" s="1"/>
      <c r="W438" s="1"/>
      <c r="X438" s="1"/>
      <c r="Y438" s="1"/>
      <c r="Z438" s="1"/>
      <c r="AA438" s="2"/>
      <c r="AB438" s="2"/>
      <c r="AC438" s="2"/>
    </row>
    <row r="439" spans="1:29" ht="12.75" customHeight="1">
      <c r="A439" s="1"/>
      <c r="B439" s="5"/>
      <c r="C439" s="22"/>
      <c r="D439" s="24"/>
      <c r="E439" s="26"/>
      <c r="F439" s="28"/>
      <c r="G439" s="29"/>
      <c r="H439" s="28"/>
      <c r="I439" s="29"/>
      <c r="J439" s="28"/>
      <c r="K439" s="28"/>
      <c r="L439" s="28"/>
      <c r="M439" s="5"/>
      <c r="N439" s="1"/>
      <c r="O439" s="4">
        <f t="shared" si="27"/>
        <v>0</v>
      </c>
      <c r="P439" s="4">
        <f t="shared" si="28"/>
        <v>0</v>
      </c>
      <c r="Q439" s="4">
        <f t="shared" si="2"/>
        <v>0</v>
      </c>
      <c r="R439" s="4">
        <f t="shared" si="3"/>
        <v>0</v>
      </c>
      <c r="S439" s="2">
        <f t="shared" si="29"/>
        <v>-1</v>
      </c>
      <c r="T439" s="4">
        <f t="shared" si="30"/>
        <v>0</v>
      </c>
      <c r="U439" s="2" t="str">
        <f t="shared" si="5"/>
        <v xml:space="preserve"> - </v>
      </c>
      <c r="V439" s="1"/>
      <c r="W439" s="1"/>
      <c r="X439" s="1"/>
      <c r="Y439" s="1"/>
      <c r="Z439" s="1"/>
      <c r="AA439" s="2"/>
      <c r="AB439" s="2"/>
      <c r="AC439" s="2"/>
    </row>
    <row r="440" spans="1:29" ht="12.75" customHeight="1">
      <c r="A440" s="1"/>
      <c r="B440" s="5"/>
      <c r="C440" s="22"/>
      <c r="D440" s="24"/>
      <c r="E440" s="26"/>
      <c r="F440" s="28"/>
      <c r="G440" s="29"/>
      <c r="H440" s="28"/>
      <c r="I440" s="29"/>
      <c r="J440" s="28"/>
      <c r="K440" s="28"/>
      <c r="L440" s="28"/>
      <c r="M440" s="5"/>
      <c r="N440" s="1"/>
      <c r="O440" s="4">
        <f t="shared" si="27"/>
        <v>0</v>
      </c>
      <c r="P440" s="4">
        <f t="shared" si="28"/>
        <v>0</v>
      </c>
      <c r="Q440" s="4">
        <f t="shared" si="2"/>
        <v>0</v>
      </c>
      <c r="R440" s="4">
        <f t="shared" si="3"/>
        <v>0</v>
      </c>
      <c r="S440" s="2">
        <f t="shared" si="29"/>
        <v>-1</v>
      </c>
      <c r="T440" s="4">
        <f t="shared" si="30"/>
        <v>0</v>
      </c>
      <c r="U440" s="2" t="str">
        <f t="shared" si="5"/>
        <v xml:space="preserve"> - </v>
      </c>
      <c r="V440" s="1"/>
      <c r="W440" s="1"/>
      <c r="X440" s="1"/>
      <c r="Y440" s="1"/>
      <c r="Z440" s="1"/>
      <c r="AA440" s="2"/>
      <c r="AB440" s="2"/>
      <c r="AC440" s="2"/>
    </row>
    <row r="441" spans="1:29" ht="12.75" customHeight="1">
      <c r="A441" s="1"/>
      <c r="B441" s="5"/>
      <c r="C441" s="22"/>
      <c r="D441" s="24"/>
      <c r="E441" s="26"/>
      <c r="F441" s="28"/>
      <c r="G441" s="29"/>
      <c r="H441" s="28"/>
      <c r="I441" s="29"/>
      <c r="J441" s="28"/>
      <c r="K441" s="28"/>
      <c r="L441" s="28"/>
      <c r="M441" s="5"/>
      <c r="N441" s="1"/>
      <c r="O441" s="4">
        <f t="shared" si="27"/>
        <v>0</v>
      </c>
      <c r="P441" s="4">
        <f t="shared" si="28"/>
        <v>0</v>
      </c>
      <c r="Q441" s="4">
        <f t="shared" si="2"/>
        <v>0</v>
      </c>
      <c r="R441" s="4">
        <f t="shared" si="3"/>
        <v>0</v>
      </c>
      <c r="S441" s="2">
        <f t="shared" si="29"/>
        <v>-1</v>
      </c>
      <c r="T441" s="4">
        <f t="shared" si="30"/>
        <v>0</v>
      </c>
      <c r="U441" s="2" t="str">
        <f t="shared" si="5"/>
        <v xml:space="preserve"> - </v>
      </c>
      <c r="V441" s="1"/>
      <c r="W441" s="1"/>
      <c r="X441" s="1"/>
      <c r="Y441" s="1"/>
      <c r="Z441" s="1"/>
      <c r="AA441" s="2"/>
      <c r="AB441" s="2"/>
      <c r="AC441" s="2"/>
    </row>
    <row r="442" spans="1:29" ht="12.75" customHeight="1">
      <c r="A442" s="1"/>
      <c r="B442" s="5"/>
      <c r="C442" s="22"/>
      <c r="D442" s="24"/>
      <c r="E442" s="26"/>
      <c r="F442" s="28"/>
      <c r="G442" s="29"/>
      <c r="H442" s="28"/>
      <c r="I442" s="29"/>
      <c r="J442" s="28"/>
      <c r="K442" s="28"/>
      <c r="L442" s="28"/>
      <c r="M442" s="5"/>
      <c r="N442" s="1"/>
      <c r="O442" s="4">
        <f t="shared" si="27"/>
        <v>0</v>
      </c>
      <c r="P442" s="4">
        <f t="shared" si="28"/>
        <v>0</v>
      </c>
      <c r="Q442" s="4">
        <f t="shared" si="2"/>
        <v>0</v>
      </c>
      <c r="R442" s="4">
        <f t="shared" si="3"/>
        <v>0</v>
      </c>
      <c r="S442" s="2">
        <f t="shared" si="29"/>
        <v>-1</v>
      </c>
      <c r="T442" s="4">
        <f t="shared" si="30"/>
        <v>0</v>
      </c>
      <c r="U442" s="2" t="str">
        <f t="shared" si="5"/>
        <v xml:space="preserve"> - </v>
      </c>
      <c r="V442" s="1"/>
      <c r="W442" s="1"/>
      <c r="X442" s="1"/>
      <c r="Y442" s="1"/>
      <c r="Z442" s="1"/>
      <c r="AA442" s="2"/>
      <c r="AB442" s="2"/>
      <c r="AC442" s="2"/>
    </row>
    <row r="443" spans="1:29" ht="12.75" customHeight="1">
      <c r="A443" s="1"/>
      <c r="B443" s="5"/>
      <c r="C443" s="22"/>
      <c r="D443" s="24"/>
      <c r="E443" s="26"/>
      <c r="F443" s="28"/>
      <c r="G443" s="29"/>
      <c r="H443" s="28"/>
      <c r="I443" s="29"/>
      <c r="J443" s="28"/>
      <c r="K443" s="28"/>
      <c r="L443" s="28"/>
      <c r="M443" s="5"/>
      <c r="N443" s="1"/>
      <c r="O443" s="4">
        <f t="shared" si="27"/>
        <v>0</v>
      </c>
      <c r="P443" s="4">
        <f t="shared" si="28"/>
        <v>0</v>
      </c>
      <c r="Q443" s="4">
        <f t="shared" si="2"/>
        <v>0</v>
      </c>
      <c r="R443" s="4">
        <f t="shared" si="3"/>
        <v>0</v>
      </c>
      <c r="S443" s="2">
        <f t="shared" si="29"/>
        <v>-1</v>
      </c>
      <c r="T443" s="4">
        <f t="shared" si="30"/>
        <v>0</v>
      </c>
      <c r="U443" s="2" t="str">
        <f t="shared" si="5"/>
        <v xml:space="preserve"> - </v>
      </c>
      <c r="V443" s="1"/>
      <c r="W443" s="1"/>
      <c r="X443" s="1"/>
      <c r="Y443" s="1"/>
      <c r="Z443" s="1"/>
      <c r="AA443" s="2"/>
      <c r="AB443" s="2"/>
      <c r="AC443" s="2"/>
    </row>
    <row r="444" spans="1:29" ht="12.75" customHeight="1">
      <c r="A444" s="1"/>
      <c r="B444" s="5"/>
      <c r="C444" s="22"/>
      <c r="D444" s="24"/>
      <c r="E444" s="26"/>
      <c r="F444" s="28"/>
      <c r="G444" s="29"/>
      <c r="H444" s="28"/>
      <c r="I444" s="29"/>
      <c r="J444" s="28"/>
      <c r="K444" s="28"/>
      <c r="L444" s="28"/>
      <c r="M444" s="5"/>
      <c r="N444" s="1"/>
      <c r="O444" s="4">
        <f t="shared" si="27"/>
        <v>0</v>
      </c>
      <c r="P444" s="4">
        <f t="shared" si="28"/>
        <v>0</v>
      </c>
      <c r="Q444" s="4">
        <f t="shared" si="2"/>
        <v>0</v>
      </c>
      <c r="R444" s="4">
        <f t="shared" si="3"/>
        <v>0</v>
      </c>
      <c r="S444" s="2">
        <f t="shared" si="29"/>
        <v>-1</v>
      </c>
      <c r="T444" s="4">
        <f t="shared" si="30"/>
        <v>0</v>
      </c>
      <c r="U444" s="2" t="str">
        <f t="shared" si="5"/>
        <v xml:space="preserve"> - </v>
      </c>
      <c r="V444" s="1"/>
      <c r="W444" s="1"/>
      <c r="X444" s="1"/>
      <c r="Y444" s="1"/>
      <c r="Z444" s="1"/>
      <c r="AA444" s="2"/>
      <c r="AB444" s="2"/>
      <c r="AC444" s="2"/>
    </row>
    <row r="445" spans="1:29" ht="12.75" customHeight="1">
      <c r="A445" s="1"/>
      <c r="B445" s="5"/>
      <c r="C445" s="22"/>
      <c r="D445" s="24"/>
      <c r="E445" s="26"/>
      <c r="F445" s="28"/>
      <c r="G445" s="29"/>
      <c r="H445" s="28"/>
      <c r="I445" s="29"/>
      <c r="J445" s="28"/>
      <c r="K445" s="28"/>
      <c r="L445" s="28"/>
      <c r="M445" s="5"/>
      <c r="N445" s="1"/>
      <c r="O445" s="4">
        <f t="shared" si="27"/>
        <v>0</v>
      </c>
      <c r="P445" s="4">
        <f t="shared" si="28"/>
        <v>0</v>
      </c>
      <c r="Q445" s="4">
        <f t="shared" si="2"/>
        <v>0</v>
      </c>
      <c r="R445" s="4">
        <f t="shared" si="3"/>
        <v>0</v>
      </c>
      <c r="S445" s="2">
        <f t="shared" si="29"/>
        <v>-1</v>
      </c>
      <c r="T445" s="4">
        <f t="shared" si="30"/>
        <v>0</v>
      </c>
      <c r="U445" s="2" t="str">
        <f t="shared" si="5"/>
        <v xml:space="preserve"> - </v>
      </c>
      <c r="V445" s="1"/>
      <c r="W445" s="1"/>
      <c r="X445" s="1"/>
      <c r="Y445" s="1"/>
      <c r="Z445" s="1"/>
      <c r="AA445" s="2"/>
      <c r="AB445" s="2"/>
      <c r="AC445" s="2"/>
    </row>
    <row r="446" spans="1:29" ht="12.75" customHeight="1">
      <c r="A446" s="1"/>
      <c r="B446" s="5"/>
      <c r="C446" s="22"/>
      <c r="D446" s="24"/>
      <c r="E446" s="26"/>
      <c r="F446" s="28"/>
      <c r="G446" s="29"/>
      <c r="H446" s="28"/>
      <c r="I446" s="29"/>
      <c r="J446" s="28"/>
      <c r="K446" s="28"/>
      <c r="L446" s="28"/>
      <c r="M446" s="5"/>
      <c r="N446" s="1"/>
      <c r="O446" s="4">
        <f t="shared" si="27"/>
        <v>0</v>
      </c>
      <c r="P446" s="4">
        <f t="shared" si="28"/>
        <v>0</v>
      </c>
      <c r="Q446" s="4">
        <f t="shared" si="2"/>
        <v>0</v>
      </c>
      <c r="R446" s="4">
        <f t="shared" si="3"/>
        <v>0</v>
      </c>
      <c r="S446" s="2">
        <f t="shared" si="29"/>
        <v>-1</v>
      </c>
      <c r="T446" s="4">
        <f t="shared" si="30"/>
        <v>0</v>
      </c>
      <c r="U446" s="2" t="str">
        <f t="shared" si="5"/>
        <v xml:space="preserve"> - </v>
      </c>
      <c r="V446" s="1"/>
      <c r="W446" s="1"/>
      <c r="X446" s="1"/>
      <c r="Y446" s="1"/>
      <c r="Z446" s="1"/>
      <c r="AA446" s="2"/>
      <c r="AB446" s="2"/>
      <c r="AC446" s="2"/>
    </row>
    <row r="447" spans="1:29" ht="12.75" customHeight="1">
      <c r="A447" s="1"/>
      <c r="B447" s="5"/>
      <c r="C447" s="22"/>
      <c r="D447" s="24"/>
      <c r="E447" s="26"/>
      <c r="F447" s="28"/>
      <c r="G447" s="29"/>
      <c r="H447" s="28"/>
      <c r="I447" s="29"/>
      <c r="J447" s="28"/>
      <c r="K447" s="28"/>
      <c r="L447" s="28"/>
      <c r="M447" s="5"/>
      <c r="N447" s="1"/>
      <c r="O447" s="4">
        <f t="shared" si="27"/>
        <v>0</v>
      </c>
      <c r="P447" s="4">
        <f t="shared" si="28"/>
        <v>0</v>
      </c>
      <c r="Q447" s="4">
        <f t="shared" si="2"/>
        <v>0</v>
      </c>
      <c r="R447" s="4">
        <f t="shared" si="3"/>
        <v>0</v>
      </c>
      <c r="S447" s="2">
        <f t="shared" si="29"/>
        <v>-1</v>
      </c>
      <c r="T447" s="4">
        <f t="shared" si="30"/>
        <v>0</v>
      </c>
      <c r="U447" s="2" t="str">
        <f t="shared" si="5"/>
        <v xml:space="preserve"> - </v>
      </c>
      <c r="V447" s="1"/>
      <c r="W447" s="1"/>
      <c r="X447" s="1"/>
      <c r="Y447" s="1"/>
      <c r="Z447" s="1"/>
      <c r="AA447" s="2"/>
      <c r="AB447" s="2"/>
      <c r="AC447" s="2"/>
    </row>
    <row r="448" spans="1:29" ht="12.75" customHeight="1">
      <c r="A448" s="1"/>
      <c r="B448" s="5"/>
      <c r="C448" s="22"/>
      <c r="D448" s="24"/>
      <c r="E448" s="26"/>
      <c r="F448" s="28"/>
      <c r="G448" s="29"/>
      <c r="H448" s="28"/>
      <c r="I448" s="29"/>
      <c r="J448" s="28"/>
      <c r="K448" s="28"/>
      <c r="L448" s="28"/>
      <c r="M448" s="5"/>
      <c r="N448" s="1"/>
      <c r="O448" s="4">
        <f t="shared" si="27"/>
        <v>0</v>
      </c>
      <c r="P448" s="4">
        <f t="shared" si="28"/>
        <v>0</v>
      </c>
      <c r="Q448" s="4">
        <f t="shared" si="2"/>
        <v>0</v>
      </c>
      <c r="R448" s="4">
        <f t="shared" si="3"/>
        <v>0</v>
      </c>
      <c r="S448" s="2">
        <f t="shared" si="29"/>
        <v>-1</v>
      </c>
      <c r="T448" s="4">
        <f t="shared" si="30"/>
        <v>0</v>
      </c>
      <c r="U448" s="2" t="str">
        <f t="shared" si="5"/>
        <v xml:space="preserve"> - </v>
      </c>
      <c r="V448" s="1"/>
      <c r="W448" s="1"/>
      <c r="X448" s="1"/>
      <c r="Y448" s="1"/>
      <c r="Z448" s="1"/>
      <c r="AA448" s="2"/>
      <c r="AB448" s="2"/>
      <c r="AC448" s="2"/>
    </row>
    <row r="449" spans="1:29" ht="12.75" customHeight="1">
      <c r="A449" s="1"/>
      <c r="B449" s="5"/>
      <c r="C449" s="22"/>
      <c r="D449" s="24"/>
      <c r="E449" s="26"/>
      <c r="F449" s="28"/>
      <c r="G449" s="29"/>
      <c r="H449" s="28"/>
      <c r="I449" s="29"/>
      <c r="J449" s="28"/>
      <c r="K449" s="28"/>
      <c r="L449" s="28"/>
      <c r="M449" s="5"/>
      <c r="N449" s="1"/>
      <c r="O449" s="4">
        <f t="shared" si="27"/>
        <v>0</v>
      </c>
      <c r="P449" s="4">
        <f t="shared" si="28"/>
        <v>0</v>
      </c>
      <c r="Q449" s="4">
        <f t="shared" si="2"/>
        <v>0</v>
      </c>
      <c r="R449" s="4">
        <f t="shared" si="3"/>
        <v>0</v>
      </c>
      <c r="S449" s="2">
        <f t="shared" si="29"/>
        <v>-1</v>
      </c>
      <c r="T449" s="4">
        <f t="shared" si="30"/>
        <v>0</v>
      </c>
      <c r="U449" s="2" t="str">
        <f t="shared" si="5"/>
        <v xml:space="preserve"> - </v>
      </c>
      <c r="V449" s="1"/>
      <c r="W449" s="1"/>
      <c r="X449" s="1"/>
      <c r="Y449" s="1"/>
      <c r="Z449" s="1"/>
      <c r="AA449" s="2"/>
      <c r="AB449" s="2"/>
      <c r="AC449" s="2"/>
    </row>
    <row r="450" spans="1:29" ht="12.75" customHeight="1">
      <c r="A450" s="1"/>
      <c r="B450" s="5"/>
      <c r="C450" s="22"/>
      <c r="D450" s="24"/>
      <c r="E450" s="26"/>
      <c r="F450" s="28"/>
      <c r="G450" s="29"/>
      <c r="H450" s="28"/>
      <c r="I450" s="29"/>
      <c r="J450" s="28"/>
      <c r="K450" s="28"/>
      <c r="L450" s="28"/>
      <c r="M450" s="5"/>
      <c r="N450" s="1"/>
      <c r="O450" s="4">
        <f t="shared" si="27"/>
        <v>0</v>
      </c>
      <c r="P450" s="4">
        <f t="shared" si="28"/>
        <v>0</v>
      </c>
      <c r="Q450" s="4">
        <f t="shared" si="2"/>
        <v>0</v>
      </c>
      <c r="R450" s="4">
        <f t="shared" si="3"/>
        <v>0</v>
      </c>
      <c r="S450" s="2">
        <f t="shared" si="29"/>
        <v>-1</v>
      </c>
      <c r="T450" s="4">
        <f t="shared" si="30"/>
        <v>0</v>
      </c>
      <c r="U450" s="2" t="str">
        <f t="shared" si="5"/>
        <v xml:space="preserve"> - </v>
      </c>
      <c r="V450" s="1"/>
      <c r="W450" s="1"/>
      <c r="X450" s="1"/>
      <c r="Y450" s="1"/>
      <c r="Z450" s="1"/>
      <c r="AA450" s="2"/>
      <c r="AB450" s="2"/>
      <c r="AC450" s="2"/>
    </row>
    <row r="451" spans="1:29" ht="12.75" customHeight="1">
      <c r="A451" s="1"/>
      <c r="B451" s="5"/>
      <c r="C451" s="22"/>
      <c r="D451" s="24"/>
      <c r="E451" s="26"/>
      <c r="F451" s="28"/>
      <c r="G451" s="29"/>
      <c r="H451" s="28"/>
      <c r="I451" s="29"/>
      <c r="J451" s="28"/>
      <c r="K451" s="28"/>
      <c r="L451" s="28"/>
      <c r="M451" s="5"/>
      <c r="N451" s="1"/>
      <c r="O451" s="4">
        <f t="shared" si="27"/>
        <v>0</v>
      </c>
      <c r="P451" s="4">
        <f t="shared" si="28"/>
        <v>0</v>
      </c>
      <c r="Q451" s="4">
        <f t="shared" si="2"/>
        <v>0</v>
      </c>
      <c r="R451" s="4">
        <f t="shared" si="3"/>
        <v>0</v>
      </c>
      <c r="S451" s="2">
        <f t="shared" si="29"/>
        <v>-1</v>
      </c>
      <c r="T451" s="4">
        <f t="shared" si="30"/>
        <v>0</v>
      </c>
      <c r="U451" s="2" t="str">
        <f t="shared" si="5"/>
        <v xml:space="preserve"> - </v>
      </c>
      <c r="V451" s="1"/>
      <c r="W451" s="1"/>
      <c r="X451" s="1"/>
      <c r="Y451" s="1"/>
      <c r="Z451" s="1"/>
      <c r="AA451" s="2"/>
      <c r="AB451" s="2"/>
      <c r="AC451" s="2"/>
    </row>
    <row r="452" spans="1:29" ht="12.75" customHeight="1">
      <c r="A452" s="1"/>
      <c r="B452" s="5"/>
      <c r="C452" s="22"/>
      <c r="D452" s="24"/>
      <c r="E452" s="26"/>
      <c r="F452" s="28"/>
      <c r="G452" s="29"/>
      <c r="H452" s="28"/>
      <c r="I452" s="29"/>
      <c r="J452" s="28"/>
      <c r="K452" s="28"/>
      <c r="L452" s="28"/>
      <c r="M452" s="5"/>
      <c r="N452" s="1"/>
      <c r="O452" s="4">
        <f t="shared" ref="O452:O503" si="31">IF($L452&lt;&gt;"",$Q452*PTS_WIN+$R452*PTS_LOSS+(1-$Q452-$R452)*PTS_TIE+MAX(MIN(MAX(PTS_TD_MIN,MIN(PTS_TD_MAX,MAX(0,$F452-PTS_TD_THRESHOLD)*PTS_PER_TD_FOR*IF($H452-PTS_CS_THRESHOLD&gt;0,1,1-PTS_TD_CS_COMB_THRES)+MAX(0,$G452-PTS_TD_THRESHOLD)*PTS_PER_TD_AG*IF($I452-PTS_CS_THRESHOLD&gt;0,1,1-PTS_TD_CS_COMB_THRES)))+MAX(PTS_CS_MIN,MIN(PTS_CS_MAX,MAX(0,$H452-PTS_CS_THRESHOLD)*PTS_PER_CS_FOR*IF($F452-PTS_TD_THRESHOLD&gt;0,1,1-PTS_TD_CS_COMB_THRES)+MAX(0,$I452-PTS_CS_THRESHOLD)*PTS_PER_CS_AG*IF($G452-PTS_TD_THRESHOLD&gt;0,1,1-PTS_TD_CS_COMB_THRES))),PTS_TD_CS_MAX),PTS_TD_CS_MIN),0)</f>
        <v>0</v>
      </c>
      <c r="P452" s="4">
        <f t="shared" ref="P452:P503" si="32">IF($L452&lt;&gt;"",$R452*PTS_WIN+$Q452*PTS_LOSS+(1-$Q452-$R452)*PTS_TIE+MAX(MIN(MAX(PTS_TD_MIN,MIN(PTS_TD_MAX,MAX(0,$G452-PTS_TD_THRESHOLD)*PTS_PER_TD_FOR*IF($I452-PTS_CS_THRESHOLD&gt;0,1,1-PTS_TD_CS_COMB_THRES)+MAX(0,$F452-PTS_TD_THRESHOLD)*PTS_PER_TD_AG*IF($H452-PTS_CS_THRESHOLD&gt;0,1,1-PTS_TD_CS_COMB_THRES)))+MAX(PTS_CS_MIN,MIN(PTS_CS_MAX,MAX(0,$I452-PTS_CS_THRESHOLD)*PTS_PER_CS_FOR*IF($G452-PTS_TD_THRESHOLD&gt;0,1,1-PTS_TD_CS_COMB_THRES)+MAX(0,$H452-PTS_CS_THRESHOLD)*PTS_PER_CS_AG*IF($F452-PTS_TD_THRESHOLD&gt;0,1,1-PTS_TD_CS_COMB_THRES))),PTS_TD_CS_MAX),PTS_TD_CS_MIN),0)</f>
        <v>0</v>
      </c>
      <c r="Q452" s="4">
        <f t="shared" si="2"/>
        <v>0</v>
      </c>
      <c r="R452" s="4">
        <f t="shared" si="3"/>
        <v>0</v>
      </c>
      <c r="S452" s="2">
        <f t="shared" ref="S452:S503" si="33">IF(T452&gt;0,RANK(T452,RES_GATE),-1)</f>
        <v>-1</v>
      </c>
      <c r="T452" s="4">
        <f t="shared" si="30"/>
        <v>0</v>
      </c>
      <c r="U452" s="2" t="str">
        <f t="shared" si="5"/>
        <v xml:space="preserve"> - </v>
      </c>
      <c r="V452" s="1"/>
      <c r="W452" s="1"/>
      <c r="X452" s="1"/>
      <c r="Y452" s="1"/>
      <c r="Z452" s="1"/>
      <c r="AA452" s="2"/>
      <c r="AB452" s="2"/>
      <c r="AC452" s="2"/>
    </row>
    <row r="453" spans="1:29" ht="12.75" customHeight="1">
      <c r="A453" s="1"/>
      <c r="B453" s="5"/>
      <c r="C453" s="22"/>
      <c r="D453" s="24"/>
      <c r="E453" s="26"/>
      <c r="F453" s="28"/>
      <c r="G453" s="29"/>
      <c r="H453" s="28"/>
      <c r="I453" s="29"/>
      <c r="J453" s="28"/>
      <c r="K453" s="28"/>
      <c r="L453" s="28"/>
      <c r="M453" s="5"/>
      <c r="N453" s="1"/>
      <c r="O453" s="4">
        <f t="shared" si="31"/>
        <v>0</v>
      </c>
      <c r="P453" s="4">
        <f t="shared" si="32"/>
        <v>0</v>
      </c>
      <c r="Q453" s="4">
        <f t="shared" si="2"/>
        <v>0</v>
      </c>
      <c r="R453" s="4">
        <f t="shared" si="3"/>
        <v>0</v>
      </c>
      <c r="S453" s="2">
        <f t="shared" si="33"/>
        <v>-1</v>
      </c>
      <c r="T453" s="4">
        <f t="shared" ref="T453:T503" si="34">IF(NOT(ISERROR(MATCH(L453,Team_Stat_Sel,0))),J453+K453+1/(ROW()+777777777),0)</f>
        <v>0</v>
      </c>
      <c r="U453" s="2" t="str">
        <f t="shared" si="5"/>
        <v xml:space="preserve"> - </v>
      </c>
      <c r="V453" s="1"/>
      <c r="W453" s="1"/>
      <c r="X453" s="1"/>
      <c r="Y453" s="1"/>
      <c r="Z453" s="1"/>
      <c r="AA453" s="2"/>
      <c r="AB453" s="2"/>
      <c r="AC453" s="2"/>
    </row>
    <row r="454" spans="1:29" ht="12.75" customHeight="1">
      <c r="A454" s="1"/>
      <c r="B454" s="5"/>
      <c r="C454" s="22"/>
      <c r="D454" s="24"/>
      <c r="E454" s="26"/>
      <c r="F454" s="28"/>
      <c r="G454" s="29"/>
      <c r="H454" s="28"/>
      <c r="I454" s="29"/>
      <c r="J454" s="28"/>
      <c r="K454" s="28"/>
      <c r="L454" s="28"/>
      <c r="M454" s="5"/>
      <c r="N454" s="1"/>
      <c r="O454" s="4">
        <f t="shared" si="31"/>
        <v>0</v>
      </c>
      <c r="P454" s="4">
        <f t="shared" si="32"/>
        <v>0</v>
      </c>
      <c r="Q454" s="4">
        <f t="shared" si="2"/>
        <v>0</v>
      </c>
      <c r="R454" s="4">
        <f t="shared" si="3"/>
        <v>0</v>
      </c>
      <c r="S454" s="2">
        <f t="shared" si="33"/>
        <v>-1</v>
      </c>
      <c r="T454" s="4">
        <f t="shared" si="34"/>
        <v>0</v>
      </c>
      <c r="U454" s="2" t="str">
        <f t="shared" si="5"/>
        <v xml:space="preserve"> - </v>
      </c>
      <c r="V454" s="1"/>
      <c r="W454" s="1"/>
      <c r="X454" s="1"/>
      <c r="Y454" s="1"/>
      <c r="Z454" s="1"/>
      <c r="AA454" s="2"/>
      <c r="AB454" s="2"/>
      <c r="AC454" s="2"/>
    </row>
    <row r="455" spans="1:29" ht="12.75" customHeight="1">
      <c r="A455" s="1"/>
      <c r="B455" s="5"/>
      <c r="C455" s="22"/>
      <c r="D455" s="24"/>
      <c r="E455" s="26"/>
      <c r="F455" s="28"/>
      <c r="G455" s="29"/>
      <c r="H455" s="28"/>
      <c r="I455" s="29"/>
      <c r="J455" s="28"/>
      <c r="K455" s="28"/>
      <c r="L455" s="28"/>
      <c r="M455" s="5"/>
      <c r="N455" s="1"/>
      <c r="O455" s="4">
        <f t="shared" si="31"/>
        <v>0</v>
      </c>
      <c r="P455" s="4">
        <f t="shared" si="32"/>
        <v>0</v>
      </c>
      <c r="Q455" s="4">
        <f t="shared" si="2"/>
        <v>0</v>
      </c>
      <c r="R455" s="4">
        <f t="shared" si="3"/>
        <v>0</v>
      </c>
      <c r="S455" s="2">
        <f t="shared" si="33"/>
        <v>-1</v>
      </c>
      <c r="T455" s="4">
        <f t="shared" si="34"/>
        <v>0</v>
      </c>
      <c r="U455" s="2" t="str">
        <f t="shared" si="5"/>
        <v xml:space="preserve"> - </v>
      </c>
      <c r="V455" s="1"/>
      <c r="W455" s="1"/>
      <c r="X455" s="1"/>
      <c r="Y455" s="1"/>
      <c r="Z455" s="1"/>
      <c r="AA455" s="2"/>
      <c r="AB455" s="2"/>
      <c r="AC455" s="2"/>
    </row>
    <row r="456" spans="1:29" ht="12.75" customHeight="1">
      <c r="A456" s="1"/>
      <c r="B456" s="5"/>
      <c r="C456" s="22"/>
      <c r="D456" s="24"/>
      <c r="E456" s="26"/>
      <c r="F456" s="28"/>
      <c r="G456" s="29"/>
      <c r="H456" s="28"/>
      <c r="I456" s="29"/>
      <c r="J456" s="28"/>
      <c r="K456" s="28"/>
      <c r="L456" s="28"/>
      <c r="M456" s="5"/>
      <c r="N456" s="1"/>
      <c r="O456" s="4">
        <f t="shared" si="31"/>
        <v>0</v>
      </c>
      <c r="P456" s="4">
        <f t="shared" si="32"/>
        <v>0</v>
      </c>
      <c r="Q456" s="4">
        <f t="shared" si="2"/>
        <v>0</v>
      </c>
      <c r="R456" s="4">
        <f t="shared" si="3"/>
        <v>0</v>
      </c>
      <c r="S456" s="2">
        <f t="shared" si="33"/>
        <v>-1</v>
      </c>
      <c r="T456" s="4">
        <f t="shared" si="34"/>
        <v>0</v>
      </c>
      <c r="U456" s="2" t="str">
        <f t="shared" si="5"/>
        <v xml:space="preserve"> - </v>
      </c>
      <c r="V456" s="1"/>
      <c r="W456" s="1"/>
      <c r="X456" s="1"/>
      <c r="Y456" s="1"/>
      <c r="Z456" s="1"/>
      <c r="AA456" s="2"/>
      <c r="AB456" s="2"/>
      <c r="AC456" s="2"/>
    </row>
    <row r="457" spans="1:29" ht="12.75" customHeight="1">
      <c r="A457" s="1"/>
      <c r="B457" s="5"/>
      <c r="C457" s="22"/>
      <c r="D457" s="24"/>
      <c r="E457" s="26"/>
      <c r="F457" s="28"/>
      <c r="G457" s="29"/>
      <c r="H457" s="28"/>
      <c r="I457" s="29"/>
      <c r="J457" s="28"/>
      <c r="K457" s="28"/>
      <c r="L457" s="28"/>
      <c r="M457" s="5"/>
      <c r="N457" s="1"/>
      <c r="O457" s="4">
        <f t="shared" si="31"/>
        <v>0</v>
      </c>
      <c r="P457" s="4">
        <f t="shared" si="32"/>
        <v>0</v>
      </c>
      <c r="Q457" s="4">
        <f t="shared" si="2"/>
        <v>0</v>
      </c>
      <c r="R457" s="4">
        <f t="shared" si="3"/>
        <v>0</v>
      </c>
      <c r="S457" s="2">
        <f t="shared" si="33"/>
        <v>-1</v>
      </c>
      <c r="T457" s="4">
        <f t="shared" si="34"/>
        <v>0</v>
      </c>
      <c r="U457" s="2" t="str">
        <f t="shared" si="5"/>
        <v xml:space="preserve"> - </v>
      </c>
      <c r="V457" s="1"/>
      <c r="W457" s="1"/>
      <c r="X457" s="1"/>
      <c r="Y457" s="1"/>
      <c r="Z457" s="1"/>
      <c r="AA457" s="2"/>
      <c r="AB457" s="2"/>
      <c r="AC457" s="2"/>
    </row>
    <row r="458" spans="1:29" ht="12.75" customHeight="1">
      <c r="A458" s="1"/>
      <c r="B458" s="5"/>
      <c r="C458" s="22"/>
      <c r="D458" s="24"/>
      <c r="E458" s="26"/>
      <c r="F458" s="28"/>
      <c r="G458" s="29"/>
      <c r="H458" s="28"/>
      <c r="I458" s="29"/>
      <c r="J458" s="28"/>
      <c r="K458" s="28"/>
      <c r="L458" s="28"/>
      <c r="M458" s="5"/>
      <c r="N458" s="1"/>
      <c r="O458" s="4">
        <f t="shared" si="31"/>
        <v>0</v>
      </c>
      <c r="P458" s="4">
        <f t="shared" si="32"/>
        <v>0</v>
      </c>
      <c r="Q458" s="4">
        <f t="shared" si="2"/>
        <v>0</v>
      </c>
      <c r="R458" s="4">
        <f t="shared" si="3"/>
        <v>0</v>
      </c>
      <c r="S458" s="2">
        <f t="shared" si="33"/>
        <v>-1</v>
      </c>
      <c r="T458" s="4">
        <f t="shared" si="34"/>
        <v>0</v>
      </c>
      <c r="U458" s="2" t="str">
        <f t="shared" si="5"/>
        <v xml:space="preserve"> - </v>
      </c>
      <c r="V458" s="1"/>
      <c r="W458" s="1"/>
      <c r="X458" s="1"/>
      <c r="Y458" s="1"/>
      <c r="Z458" s="1"/>
      <c r="AA458" s="2"/>
      <c r="AB458" s="2"/>
      <c r="AC458" s="2"/>
    </row>
    <row r="459" spans="1:29" ht="12.75" customHeight="1">
      <c r="A459" s="1"/>
      <c r="B459" s="5"/>
      <c r="C459" s="22"/>
      <c r="D459" s="24"/>
      <c r="E459" s="26"/>
      <c r="F459" s="28"/>
      <c r="G459" s="29"/>
      <c r="H459" s="28"/>
      <c r="I459" s="29"/>
      <c r="J459" s="28"/>
      <c r="K459" s="28"/>
      <c r="L459" s="28"/>
      <c r="M459" s="5"/>
      <c r="N459" s="1"/>
      <c r="O459" s="4">
        <f t="shared" si="31"/>
        <v>0</v>
      </c>
      <c r="P459" s="4">
        <f t="shared" si="32"/>
        <v>0</v>
      </c>
      <c r="Q459" s="4">
        <f t="shared" si="2"/>
        <v>0</v>
      </c>
      <c r="R459" s="4">
        <f t="shared" si="3"/>
        <v>0</v>
      </c>
      <c r="S459" s="2">
        <f t="shared" si="33"/>
        <v>-1</v>
      </c>
      <c r="T459" s="4">
        <f t="shared" si="34"/>
        <v>0</v>
      </c>
      <c r="U459" s="2" t="str">
        <f t="shared" si="5"/>
        <v xml:space="preserve"> - </v>
      </c>
      <c r="V459" s="1"/>
      <c r="W459" s="1"/>
      <c r="X459" s="1"/>
      <c r="Y459" s="1"/>
      <c r="Z459" s="1"/>
      <c r="AA459" s="2"/>
      <c r="AB459" s="2"/>
      <c r="AC459" s="2"/>
    </row>
    <row r="460" spans="1:29" ht="12.75" customHeight="1">
      <c r="A460" s="1"/>
      <c r="B460" s="5"/>
      <c r="C460" s="22"/>
      <c r="D460" s="24"/>
      <c r="E460" s="26"/>
      <c r="F460" s="28"/>
      <c r="G460" s="29"/>
      <c r="H460" s="28"/>
      <c r="I460" s="29"/>
      <c r="J460" s="28"/>
      <c r="K460" s="28"/>
      <c r="L460" s="28"/>
      <c r="M460" s="5"/>
      <c r="N460" s="1"/>
      <c r="O460" s="4">
        <f t="shared" si="31"/>
        <v>0</v>
      </c>
      <c r="P460" s="4">
        <f t="shared" si="32"/>
        <v>0</v>
      </c>
      <c r="Q460" s="4">
        <f t="shared" si="2"/>
        <v>0</v>
      </c>
      <c r="R460" s="4">
        <f t="shared" si="3"/>
        <v>0</v>
      </c>
      <c r="S460" s="2">
        <f t="shared" si="33"/>
        <v>-1</v>
      </c>
      <c r="T460" s="4">
        <f t="shared" si="34"/>
        <v>0</v>
      </c>
      <c r="U460" s="2" t="str">
        <f t="shared" si="5"/>
        <v xml:space="preserve"> - </v>
      </c>
      <c r="V460" s="1"/>
      <c r="W460" s="1"/>
      <c r="X460" s="1"/>
      <c r="Y460" s="1"/>
      <c r="Z460" s="1"/>
      <c r="AA460" s="2"/>
      <c r="AB460" s="2"/>
      <c r="AC460" s="2"/>
    </row>
    <row r="461" spans="1:29" ht="12.75" customHeight="1">
      <c r="A461" s="1"/>
      <c r="B461" s="5"/>
      <c r="C461" s="22"/>
      <c r="D461" s="24"/>
      <c r="E461" s="26"/>
      <c r="F461" s="28"/>
      <c r="G461" s="29"/>
      <c r="H461" s="28"/>
      <c r="I461" s="29"/>
      <c r="J461" s="28"/>
      <c r="K461" s="28"/>
      <c r="L461" s="28"/>
      <c r="M461" s="5"/>
      <c r="N461" s="1"/>
      <c r="O461" s="4">
        <f t="shared" si="31"/>
        <v>0</v>
      </c>
      <c r="P461" s="4">
        <f t="shared" si="32"/>
        <v>0</v>
      </c>
      <c r="Q461" s="4">
        <f t="shared" si="2"/>
        <v>0</v>
      </c>
      <c r="R461" s="4">
        <f t="shared" si="3"/>
        <v>0</v>
      </c>
      <c r="S461" s="2">
        <f t="shared" si="33"/>
        <v>-1</v>
      </c>
      <c r="T461" s="4">
        <f t="shared" si="34"/>
        <v>0</v>
      </c>
      <c r="U461" s="2" t="str">
        <f t="shared" si="5"/>
        <v xml:space="preserve"> - </v>
      </c>
      <c r="V461" s="1"/>
      <c r="W461" s="1"/>
      <c r="X461" s="1"/>
      <c r="Y461" s="1"/>
      <c r="Z461" s="1"/>
      <c r="AA461" s="2"/>
      <c r="AB461" s="2"/>
      <c r="AC461" s="2"/>
    </row>
    <row r="462" spans="1:29" ht="12.75" customHeight="1">
      <c r="A462" s="1"/>
      <c r="B462" s="5"/>
      <c r="C462" s="22"/>
      <c r="D462" s="24"/>
      <c r="E462" s="26"/>
      <c r="F462" s="28"/>
      <c r="G462" s="29"/>
      <c r="H462" s="28"/>
      <c r="I462" s="29"/>
      <c r="J462" s="28"/>
      <c r="K462" s="28"/>
      <c r="L462" s="28"/>
      <c r="M462" s="5"/>
      <c r="N462" s="1"/>
      <c r="O462" s="4">
        <f t="shared" si="31"/>
        <v>0</v>
      </c>
      <c r="P462" s="4">
        <f t="shared" si="32"/>
        <v>0</v>
      </c>
      <c r="Q462" s="4">
        <f t="shared" si="2"/>
        <v>0</v>
      </c>
      <c r="R462" s="4">
        <f t="shared" si="3"/>
        <v>0</v>
      </c>
      <c r="S462" s="2">
        <f t="shared" si="33"/>
        <v>-1</v>
      </c>
      <c r="T462" s="4">
        <f t="shared" si="34"/>
        <v>0</v>
      </c>
      <c r="U462" s="2" t="str">
        <f t="shared" si="5"/>
        <v xml:space="preserve"> - </v>
      </c>
      <c r="V462" s="1"/>
      <c r="W462" s="1"/>
      <c r="X462" s="1"/>
      <c r="Y462" s="1"/>
      <c r="Z462" s="1"/>
      <c r="AA462" s="2"/>
      <c r="AB462" s="2"/>
      <c r="AC462" s="2"/>
    </row>
    <row r="463" spans="1:29" ht="12.75" customHeight="1">
      <c r="A463" s="1"/>
      <c r="B463" s="5"/>
      <c r="C463" s="22"/>
      <c r="D463" s="24"/>
      <c r="E463" s="26"/>
      <c r="F463" s="28"/>
      <c r="G463" s="29"/>
      <c r="H463" s="28"/>
      <c r="I463" s="29"/>
      <c r="J463" s="28"/>
      <c r="K463" s="28"/>
      <c r="L463" s="28"/>
      <c r="M463" s="5"/>
      <c r="N463" s="1"/>
      <c r="O463" s="4">
        <f t="shared" si="31"/>
        <v>0</v>
      </c>
      <c r="P463" s="4">
        <f t="shared" si="32"/>
        <v>0</v>
      </c>
      <c r="Q463" s="4">
        <f t="shared" si="2"/>
        <v>0</v>
      </c>
      <c r="R463" s="4">
        <f t="shared" si="3"/>
        <v>0</v>
      </c>
      <c r="S463" s="2">
        <f t="shared" si="33"/>
        <v>-1</v>
      </c>
      <c r="T463" s="4">
        <f t="shared" si="34"/>
        <v>0</v>
      </c>
      <c r="U463" s="2" t="str">
        <f t="shared" si="5"/>
        <v xml:space="preserve"> - </v>
      </c>
      <c r="V463" s="1"/>
      <c r="W463" s="1"/>
      <c r="X463" s="1"/>
      <c r="Y463" s="1"/>
      <c r="Z463" s="1"/>
      <c r="AA463" s="2"/>
      <c r="AB463" s="2"/>
      <c r="AC463" s="2"/>
    </row>
    <row r="464" spans="1:29" ht="12.75" customHeight="1">
      <c r="A464" s="1"/>
      <c r="B464" s="5"/>
      <c r="C464" s="22"/>
      <c r="D464" s="24"/>
      <c r="E464" s="26"/>
      <c r="F464" s="28"/>
      <c r="G464" s="29"/>
      <c r="H464" s="28"/>
      <c r="I464" s="29"/>
      <c r="J464" s="28"/>
      <c r="K464" s="28"/>
      <c r="L464" s="28"/>
      <c r="M464" s="5"/>
      <c r="N464" s="1"/>
      <c r="O464" s="4">
        <f t="shared" si="31"/>
        <v>0</v>
      </c>
      <c r="P464" s="4">
        <f t="shared" si="32"/>
        <v>0</v>
      </c>
      <c r="Q464" s="4">
        <f t="shared" si="2"/>
        <v>0</v>
      </c>
      <c r="R464" s="4">
        <f t="shared" si="3"/>
        <v>0</v>
      </c>
      <c r="S464" s="2">
        <f t="shared" si="33"/>
        <v>-1</v>
      </c>
      <c r="T464" s="4">
        <f t="shared" si="34"/>
        <v>0</v>
      </c>
      <c r="U464" s="2" t="str">
        <f t="shared" si="5"/>
        <v xml:space="preserve"> - </v>
      </c>
      <c r="V464" s="1"/>
      <c r="W464" s="1"/>
      <c r="X464" s="1"/>
      <c r="Y464" s="1"/>
      <c r="Z464" s="1"/>
      <c r="AA464" s="2"/>
      <c r="AB464" s="2"/>
      <c r="AC464" s="2"/>
    </row>
    <row r="465" spans="1:29" ht="12.75" customHeight="1">
      <c r="A465" s="1"/>
      <c r="B465" s="5"/>
      <c r="C465" s="22"/>
      <c r="D465" s="24"/>
      <c r="E465" s="26"/>
      <c r="F465" s="28"/>
      <c r="G465" s="29"/>
      <c r="H465" s="28"/>
      <c r="I465" s="29"/>
      <c r="J465" s="28"/>
      <c r="K465" s="28"/>
      <c r="L465" s="28"/>
      <c r="M465" s="5"/>
      <c r="N465" s="1"/>
      <c r="O465" s="4">
        <f t="shared" si="31"/>
        <v>0</v>
      </c>
      <c r="P465" s="4">
        <f t="shared" si="32"/>
        <v>0</v>
      </c>
      <c r="Q465" s="4">
        <f t="shared" si="2"/>
        <v>0</v>
      </c>
      <c r="R465" s="4">
        <f t="shared" si="3"/>
        <v>0</v>
      </c>
      <c r="S465" s="2">
        <f t="shared" si="33"/>
        <v>-1</v>
      </c>
      <c r="T465" s="4">
        <f t="shared" si="34"/>
        <v>0</v>
      </c>
      <c r="U465" s="2" t="str">
        <f t="shared" si="5"/>
        <v xml:space="preserve"> - </v>
      </c>
      <c r="V465" s="1"/>
      <c r="W465" s="1"/>
      <c r="X465" s="1"/>
      <c r="Y465" s="1"/>
      <c r="Z465" s="1"/>
      <c r="AA465" s="2"/>
      <c r="AB465" s="2"/>
      <c r="AC465" s="2"/>
    </row>
    <row r="466" spans="1:29" ht="12.75" customHeight="1">
      <c r="A466" s="1"/>
      <c r="B466" s="5"/>
      <c r="C466" s="22"/>
      <c r="D466" s="24"/>
      <c r="E466" s="26"/>
      <c r="F466" s="28"/>
      <c r="G466" s="29"/>
      <c r="H466" s="28"/>
      <c r="I466" s="29"/>
      <c r="J466" s="28"/>
      <c r="K466" s="28"/>
      <c r="L466" s="28"/>
      <c r="M466" s="5"/>
      <c r="N466" s="1"/>
      <c r="O466" s="4">
        <f t="shared" si="31"/>
        <v>0</v>
      </c>
      <c r="P466" s="4">
        <f t="shared" si="32"/>
        <v>0</v>
      </c>
      <c r="Q466" s="4">
        <f t="shared" si="2"/>
        <v>0</v>
      </c>
      <c r="R466" s="4">
        <f t="shared" si="3"/>
        <v>0</v>
      </c>
      <c r="S466" s="2">
        <f t="shared" si="33"/>
        <v>-1</v>
      </c>
      <c r="T466" s="4">
        <f t="shared" si="34"/>
        <v>0</v>
      </c>
      <c r="U466" s="2" t="str">
        <f t="shared" si="5"/>
        <v xml:space="preserve"> - </v>
      </c>
      <c r="V466" s="1"/>
      <c r="W466" s="1"/>
      <c r="X466" s="1"/>
      <c r="Y466" s="1"/>
      <c r="Z466" s="1"/>
      <c r="AA466" s="2"/>
      <c r="AB466" s="2"/>
      <c r="AC466" s="2"/>
    </row>
    <row r="467" spans="1:29" ht="12.75" customHeight="1">
      <c r="A467" s="1"/>
      <c r="B467" s="5"/>
      <c r="C467" s="22"/>
      <c r="D467" s="24"/>
      <c r="E467" s="26"/>
      <c r="F467" s="28"/>
      <c r="G467" s="29"/>
      <c r="H467" s="28"/>
      <c r="I467" s="29"/>
      <c r="J467" s="28"/>
      <c r="K467" s="28"/>
      <c r="L467" s="28"/>
      <c r="M467" s="5"/>
      <c r="N467" s="1"/>
      <c r="O467" s="4">
        <f t="shared" si="31"/>
        <v>0</v>
      </c>
      <c r="P467" s="4">
        <f t="shared" si="32"/>
        <v>0</v>
      </c>
      <c r="Q467" s="4">
        <f t="shared" si="2"/>
        <v>0</v>
      </c>
      <c r="R467" s="4">
        <f t="shared" si="3"/>
        <v>0</v>
      </c>
      <c r="S467" s="2">
        <f t="shared" si="33"/>
        <v>-1</v>
      </c>
      <c r="T467" s="4">
        <f t="shared" si="34"/>
        <v>0</v>
      </c>
      <c r="U467" s="2" t="str">
        <f t="shared" si="5"/>
        <v xml:space="preserve"> - </v>
      </c>
      <c r="V467" s="1"/>
      <c r="W467" s="1"/>
      <c r="X467" s="1"/>
      <c r="Y467" s="1"/>
      <c r="Z467" s="1"/>
      <c r="AA467" s="2"/>
      <c r="AB467" s="2"/>
      <c r="AC467" s="2"/>
    </row>
    <row r="468" spans="1:29" ht="12.75" customHeight="1">
      <c r="A468" s="1"/>
      <c r="B468" s="5"/>
      <c r="C468" s="22"/>
      <c r="D468" s="24"/>
      <c r="E468" s="26"/>
      <c r="F468" s="28"/>
      <c r="G468" s="29"/>
      <c r="H468" s="28"/>
      <c r="I468" s="29"/>
      <c r="J468" s="28"/>
      <c r="K468" s="28"/>
      <c r="L468" s="28"/>
      <c r="M468" s="5"/>
      <c r="N468" s="1"/>
      <c r="O468" s="4">
        <f t="shared" si="31"/>
        <v>0</v>
      </c>
      <c r="P468" s="4">
        <f t="shared" si="32"/>
        <v>0</v>
      </c>
      <c r="Q468" s="4">
        <f t="shared" si="2"/>
        <v>0</v>
      </c>
      <c r="R468" s="4">
        <f t="shared" si="3"/>
        <v>0</v>
      </c>
      <c r="S468" s="2">
        <f t="shared" si="33"/>
        <v>-1</v>
      </c>
      <c r="T468" s="4">
        <f t="shared" si="34"/>
        <v>0</v>
      </c>
      <c r="U468" s="2" t="str">
        <f t="shared" si="5"/>
        <v xml:space="preserve"> - </v>
      </c>
      <c r="V468" s="1"/>
      <c r="W468" s="1"/>
      <c r="X468" s="1"/>
      <c r="Y468" s="1"/>
      <c r="Z468" s="1"/>
      <c r="AA468" s="2"/>
      <c r="AB468" s="2"/>
      <c r="AC468" s="2"/>
    </row>
    <row r="469" spans="1:29" ht="12.75" customHeight="1">
      <c r="A469" s="1"/>
      <c r="B469" s="5"/>
      <c r="C469" s="22"/>
      <c r="D469" s="24"/>
      <c r="E469" s="26"/>
      <c r="F469" s="28"/>
      <c r="G469" s="29"/>
      <c r="H469" s="28"/>
      <c r="I469" s="29"/>
      <c r="J469" s="28"/>
      <c r="K469" s="28"/>
      <c r="L469" s="28"/>
      <c r="M469" s="5"/>
      <c r="N469" s="1"/>
      <c r="O469" s="4">
        <f t="shared" si="31"/>
        <v>0</v>
      </c>
      <c r="P469" s="4">
        <f t="shared" si="32"/>
        <v>0</v>
      </c>
      <c r="Q469" s="4">
        <f t="shared" si="2"/>
        <v>0</v>
      </c>
      <c r="R469" s="4">
        <f t="shared" si="3"/>
        <v>0</v>
      </c>
      <c r="S469" s="2">
        <f t="shared" si="33"/>
        <v>-1</v>
      </c>
      <c r="T469" s="4">
        <f t="shared" si="34"/>
        <v>0</v>
      </c>
      <c r="U469" s="2" t="str">
        <f t="shared" si="5"/>
        <v xml:space="preserve"> - </v>
      </c>
      <c r="V469" s="1"/>
      <c r="W469" s="1"/>
      <c r="X469" s="1"/>
      <c r="Y469" s="1"/>
      <c r="Z469" s="1"/>
      <c r="AA469" s="2"/>
      <c r="AB469" s="2"/>
      <c r="AC469" s="2"/>
    </row>
    <row r="470" spans="1:29" ht="12.75" customHeight="1">
      <c r="A470" s="1"/>
      <c r="B470" s="5"/>
      <c r="C470" s="22"/>
      <c r="D470" s="24"/>
      <c r="E470" s="26"/>
      <c r="F470" s="28"/>
      <c r="G470" s="29"/>
      <c r="H470" s="28"/>
      <c r="I470" s="29"/>
      <c r="J470" s="28"/>
      <c r="K470" s="28"/>
      <c r="L470" s="28"/>
      <c r="M470" s="5"/>
      <c r="N470" s="1"/>
      <c r="O470" s="4">
        <f t="shared" si="31"/>
        <v>0</v>
      </c>
      <c r="P470" s="4">
        <f t="shared" si="32"/>
        <v>0</v>
      </c>
      <c r="Q470" s="4">
        <f t="shared" si="2"/>
        <v>0</v>
      </c>
      <c r="R470" s="4">
        <f t="shared" si="3"/>
        <v>0</v>
      </c>
      <c r="S470" s="2">
        <f t="shared" si="33"/>
        <v>-1</v>
      </c>
      <c r="T470" s="4">
        <f t="shared" si="34"/>
        <v>0</v>
      </c>
      <c r="U470" s="2" t="str">
        <f t="shared" si="5"/>
        <v xml:space="preserve"> - </v>
      </c>
      <c r="V470" s="1"/>
      <c r="W470" s="1"/>
      <c r="X470" s="1"/>
      <c r="Y470" s="1"/>
      <c r="Z470" s="1"/>
      <c r="AA470" s="2"/>
      <c r="AB470" s="2"/>
      <c r="AC470" s="2"/>
    </row>
    <row r="471" spans="1:29" ht="12.75" customHeight="1">
      <c r="A471" s="1"/>
      <c r="B471" s="5"/>
      <c r="C471" s="22"/>
      <c r="D471" s="24"/>
      <c r="E471" s="26"/>
      <c r="F471" s="28"/>
      <c r="G471" s="29"/>
      <c r="H471" s="28"/>
      <c r="I471" s="29"/>
      <c r="J471" s="28"/>
      <c r="K471" s="28"/>
      <c r="L471" s="28"/>
      <c r="M471" s="5"/>
      <c r="N471" s="1"/>
      <c r="O471" s="4">
        <f t="shared" si="31"/>
        <v>0</v>
      </c>
      <c r="P471" s="4">
        <f t="shared" si="32"/>
        <v>0</v>
      </c>
      <c r="Q471" s="4">
        <f t="shared" si="2"/>
        <v>0</v>
      </c>
      <c r="R471" s="4">
        <f t="shared" si="3"/>
        <v>0</v>
      </c>
      <c r="S471" s="2">
        <f t="shared" si="33"/>
        <v>-1</v>
      </c>
      <c r="T471" s="4">
        <f t="shared" si="34"/>
        <v>0</v>
      </c>
      <c r="U471" s="2" t="str">
        <f t="shared" si="5"/>
        <v xml:space="preserve"> - </v>
      </c>
      <c r="V471" s="1"/>
      <c r="W471" s="1"/>
      <c r="X471" s="1"/>
      <c r="Y471" s="1"/>
      <c r="Z471" s="1"/>
      <c r="AA471" s="2"/>
      <c r="AB471" s="2"/>
      <c r="AC471" s="2"/>
    </row>
    <row r="472" spans="1:29" ht="12.75" customHeight="1">
      <c r="A472" s="1"/>
      <c r="B472" s="5"/>
      <c r="C472" s="22"/>
      <c r="D472" s="24"/>
      <c r="E472" s="26"/>
      <c r="F472" s="28"/>
      <c r="G472" s="29"/>
      <c r="H472" s="28"/>
      <c r="I472" s="29"/>
      <c r="J472" s="28"/>
      <c r="K472" s="28"/>
      <c r="L472" s="28"/>
      <c r="M472" s="5"/>
      <c r="N472" s="1"/>
      <c r="O472" s="4">
        <f t="shared" si="31"/>
        <v>0</v>
      </c>
      <c r="P472" s="4">
        <f t="shared" si="32"/>
        <v>0</v>
      </c>
      <c r="Q472" s="4">
        <f t="shared" si="2"/>
        <v>0</v>
      </c>
      <c r="R472" s="4">
        <f t="shared" si="3"/>
        <v>0</v>
      </c>
      <c r="S472" s="2">
        <f t="shared" si="33"/>
        <v>-1</v>
      </c>
      <c r="T472" s="4">
        <f t="shared" si="34"/>
        <v>0</v>
      </c>
      <c r="U472" s="2" t="str">
        <f t="shared" si="5"/>
        <v xml:space="preserve"> - </v>
      </c>
      <c r="V472" s="1"/>
      <c r="W472" s="1"/>
      <c r="X472" s="1"/>
      <c r="Y472" s="1"/>
      <c r="Z472" s="1"/>
      <c r="AA472" s="2"/>
      <c r="AB472" s="2"/>
      <c r="AC472" s="2"/>
    </row>
    <row r="473" spans="1:29" ht="12.75" customHeight="1">
      <c r="A473" s="1"/>
      <c r="B473" s="5"/>
      <c r="C473" s="22"/>
      <c r="D473" s="24"/>
      <c r="E473" s="26"/>
      <c r="F473" s="28"/>
      <c r="G473" s="29"/>
      <c r="H473" s="28"/>
      <c r="I473" s="29"/>
      <c r="J473" s="28"/>
      <c r="K473" s="28"/>
      <c r="L473" s="28"/>
      <c r="M473" s="5"/>
      <c r="N473" s="1"/>
      <c r="O473" s="4">
        <f t="shared" si="31"/>
        <v>0</v>
      </c>
      <c r="P473" s="4">
        <f t="shared" si="32"/>
        <v>0</v>
      </c>
      <c r="Q473" s="4">
        <f t="shared" si="2"/>
        <v>0</v>
      </c>
      <c r="R473" s="4">
        <f t="shared" si="3"/>
        <v>0</v>
      </c>
      <c r="S473" s="2">
        <f t="shared" si="33"/>
        <v>-1</v>
      </c>
      <c r="T473" s="4">
        <f t="shared" si="34"/>
        <v>0</v>
      </c>
      <c r="U473" s="2" t="str">
        <f t="shared" si="5"/>
        <v xml:space="preserve"> - </v>
      </c>
      <c r="V473" s="1"/>
      <c r="W473" s="1"/>
      <c r="X473" s="1"/>
      <c r="Y473" s="1"/>
      <c r="Z473" s="1"/>
      <c r="AA473" s="2"/>
      <c r="AB473" s="2"/>
      <c r="AC473" s="2"/>
    </row>
    <row r="474" spans="1:29" ht="12.75" customHeight="1">
      <c r="A474" s="1"/>
      <c r="B474" s="5"/>
      <c r="C474" s="22"/>
      <c r="D474" s="24"/>
      <c r="E474" s="26"/>
      <c r="F474" s="28"/>
      <c r="G474" s="29"/>
      <c r="H474" s="28"/>
      <c r="I474" s="29"/>
      <c r="J474" s="28"/>
      <c r="K474" s="28"/>
      <c r="L474" s="28"/>
      <c r="M474" s="5"/>
      <c r="N474" s="1"/>
      <c r="O474" s="4">
        <f t="shared" si="31"/>
        <v>0</v>
      </c>
      <c r="P474" s="4">
        <f t="shared" si="32"/>
        <v>0</v>
      </c>
      <c r="Q474" s="4">
        <f t="shared" si="2"/>
        <v>0</v>
      </c>
      <c r="R474" s="4">
        <f t="shared" si="3"/>
        <v>0</v>
      </c>
      <c r="S474" s="2">
        <f t="shared" si="33"/>
        <v>-1</v>
      </c>
      <c r="T474" s="4">
        <f t="shared" si="34"/>
        <v>0</v>
      </c>
      <c r="U474" s="2" t="str">
        <f t="shared" si="5"/>
        <v xml:space="preserve"> - </v>
      </c>
      <c r="V474" s="1"/>
      <c r="W474" s="1"/>
      <c r="X474" s="1"/>
      <c r="Y474" s="1"/>
      <c r="Z474" s="1"/>
      <c r="AA474" s="2"/>
      <c r="AB474" s="2"/>
      <c r="AC474" s="2"/>
    </row>
    <row r="475" spans="1:29" ht="12.75" customHeight="1">
      <c r="A475" s="1"/>
      <c r="B475" s="5"/>
      <c r="C475" s="22"/>
      <c r="D475" s="24"/>
      <c r="E475" s="26"/>
      <c r="F475" s="28"/>
      <c r="G475" s="29"/>
      <c r="H475" s="28"/>
      <c r="I475" s="29"/>
      <c r="J475" s="28"/>
      <c r="K475" s="28"/>
      <c r="L475" s="28"/>
      <c r="M475" s="5"/>
      <c r="N475" s="1"/>
      <c r="O475" s="4">
        <f t="shared" si="31"/>
        <v>0</v>
      </c>
      <c r="P475" s="4">
        <f t="shared" si="32"/>
        <v>0</v>
      </c>
      <c r="Q475" s="4">
        <f t="shared" si="2"/>
        <v>0</v>
      </c>
      <c r="R475" s="4">
        <f t="shared" si="3"/>
        <v>0</v>
      </c>
      <c r="S475" s="2">
        <f t="shared" si="33"/>
        <v>-1</v>
      </c>
      <c r="T475" s="4">
        <f t="shared" si="34"/>
        <v>0</v>
      </c>
      <c r="U475" s="2" t="str">
        <f t="shared" si="5"/>
        <v xml:space="preserve"> - </v>
      </c>
      <c r="V475" s="1"/>
      <c r="W475" s="1"/>
      <c r="X475" s="1"/>
      <c r="Y475" s="1"/>
      <c r="Z475" s="1"/>
      <c r="AA475" s="2"/>
      <c r="AB475" s="2"/>
      <c r="AC475" s="2"/>
    </row>
    <row r="476" spans="1:29" ht="12.75" customHeight="1">
      <c r="A476" s="1"/>
      <c r="B476" s="5"/>
      <c r="C476" s="22"/>
      <c r="D476" s="24"/>
      <c r="E476" s="26"/>
      <c r="F476" s="28"/>
      <c r="G476" s="29"/>
      <c r="H476" s="28"/>
      <c r="I476" s="29"/>
      <c r="J476" s="28"/>
      <c r="K476" s="28"/>
      <c r="L476" s="28"/>
      <c r="M476" s="5"/>
      <c r="N476" s="1"/>
      <c r="O476" s="4">
        <f t="shared" si="31"/>
        <v>0</v>
      </c>
      <c r="P476" s="4">
        <f t="shared" si="32"/>
        <v>0</v>
      </c>
      <c r="Q476" s="4">
        <f t="shared" si="2"/>
        <v>0</v>
      </c>
      <c r="R476" s="4">
        <f t="shared" si="3"/>
        <v>0</v>
      </c>
      <c r="S476" s="2">
        <f t="shared" si="33"/>
        <v>-1</v>
      </c>
      <c r="T476" s="4">
        <f t="shared" si="34"/>
        <v>0</v>
      </c>
      <c r="U476" s="2" t="str">
        <f t="shared" si="5"/>
        <v xml:space="preserve"> - </v>
      </c>
      <c r="V476" s="1"/>
      <c r="W476" s="1"/>
      <c r="X476" s="1"/>
      <c r="Y476" s="1"/>
      <c r="Z476" s="1"/>
      <c r="AA476" s="2"/>
      <c r="AB476" s="2"/>
      <c r="AC476" s="2"/>
    </row>
    <row r="477" spans="1:29" ht="12.75" customHeight="1">
      <c r="A477" s="1"/>
      <c r="B477" s="5"/>
      <c r="C477" s="22"/>
      <c r="D477" s="24"/>
      <c r="E477" s="26"/>
      <c r="F477" s="28"/>
      <c r="G477" s="29"/>
      <c r="H477" s="28"/>
      <c r="I477" s="29"/>
      <c r="J477" s="28"/>
      <c r="K477" s="28"/>
      <c r="L477" s="28"/>
      <c r="M477" s="5"/>
      <c r="N477" s="1"/>
      <c r="O477" s="4">
        <f t="shared" si="31"/>
        <v>0</v>
      </c>
      <c r="P477" s="4">
        <f t="shared" si="32"/>
        <v>0</v>
      </c>
      <c r="Q477" s="4">
        <f t="shared" si="2"/>
        <v>0</v>
      </c>
      <c r="R477" s="4">
        <f t="shared" si="3"/>
        <v>0</v>
      </c>
      <c r="S477" s="2">
        <f t="shared" si="33"/>
        <v>-1</v>
      </c>
      <c r="T477" s="4">
        <f t="shared" si="34"/>
        <v>0</v>
      </c>
      <c r="U477" s="2" t="str">
        <f t="shared" si="5"/>
        <v xml:space="preserve"> - </v>
      </c>
      <c r="V477" s="1"/>
      <c r="W477" s="1"/>
      <c r="X477" s="1"/>
      <c r="Y477" s="1"/>
      <c r="Z477" s="1"/>
      <c r="AA477" s="2"/>
      <c r="AB477" s="2"/>
      <c r="AC477" s="2"/>
    </row>
    <row r="478" spans="1:29" ht="12.75" customHeight="1">
      <c r="A478" s="1"/>
      <c r="B478" s="5"/>
      <c r="C478" s="22"/>
      <c r="D478" s="24"/>
      <c r="E478" s="26"/>
      <c r="F478" s="28"/>
      <c r="G478" s="29"/>
      <c r="H478" s="28"/>
      <c r="I478" s="29"/>
      <c r="J478" s="28"/>
      <c r="K478" s="28"/>
      <c r="L478" s="28"/>
      <c r="M478" s="5"/>
      <c r="N478" s="1"/>
      <c r="O478" s="4">
        <f t="shared" si="31"/>
        <v>0</v>
      </c>
      <c r="P478" s="4">
        <f t="shared" si="32"/>
        <v>0</v>
      </c>
      <c r="Q478" s="4">
        <f t="shared" si="2"/>
        <v>0</v>
      </c>
      <c r="R478" s="4">
        <f t="shared" si="3"/>
        <v>0</v>
      </c>
      <c r="S478" s="2">
        <f t="shared" si="33"/>
        <v>-1</v>
      </c>
      <c r="T478" s="4">
        <f t="shared" si="34"/>
        <v>0</v>
      </c>
      <c r="U478" s="2" t="str">
        <f t="shared" si="5"/>
        <v xml:space="preserve"> - </v>
      </c>
      <c r="V478" s="1"/>
      <c r="W478" s="1"/>
      <c r="X478" s="1"/>
      <c r="Y478" s="1"/>
      <c r="Z478" s="1"/>
      <c r="AA478" s="2"/>
      <c r="AB478" s="2"/>
      <c r="AC478" s="2"/>
    </row>
    <row r="479" spans="1:29" ht="12.75" customHeight="1">
      <c r="A479" s="1"/>
      <c r="B479" s="5"/>
      <c r="C479" s="22"/>
      <c r="D479" s="24"/>
      <c r="E479" s="26"/>
      <c r="F479" s="28"/>
      <c r="G479" s="29"/>
      <c r="H479" s="28"/>
      <c r="I479" s="29"/>
      <c r="J479" s="28"/>
      <c r="K479" s="28"/>
      <c r="L479" s="28"/>
      <c r="M479" s="5"/>
      <c r="N479" s="1"/>
      <c r="O479" s="4">
        <f t="shared" si="31"/>
        <v>0</v>
      </c>
      <c r="P479" s="4">
        <f t="shared" si="32"/>
        <v>0</v>
      </c>
      <c r="Q479" s="4">
        <f t="shared" si="2"/>
        <v>0</v>
      </c>
      <c r="R479" s="4">
        <f t="shared" si="3"/>
        <v>0</v>
      </c>
      <c r="S479" s="2">
        <f t="shared" si="33"/>
        <v>-1</v>
      </c>
      <c r="T479" s="4">
        <f t="shared" si="34"/>
        <v>0</v>
      </c>
      <c r="U479" s="2" t="str">
        <f t="shared" si="5"/>
        <v xml:space="preserve"> - </v>
      </c>
      <c r="V479" s="1"/>
      <c r="W479" s="1"/>
      <c r="X479" s="1"/>
      <c r="Y479" s="1"/>
      <c r="Z479" s="1"/>
      <c r="AA479" s="2"/>
      <c r="AB479" s="2"/>
      <c r="AC479" s="2"/>
    </row>
    <row r="480" spans="1:29" ht="12.75" customHeight="1">
      <c r="A480" s="1"/>
      <c r="B480" s="5"/>
      <c r="C480" s="22"/>
      <c r="D480" s="24"/>
      <c r="E480" s="26"/>
      <c r="F480" s="28"/>
      <c r="G480" s="29"/>
      <c r="H480" s="28"/>
      <c r="I480" s="29"/>
      <c r="J480" s="28"/>
      <c r="K480" s="28"/>
      <c r="L480" s="28"/>
      <c r="M480" s="5"/>
      <c r="N480" s="1"/>
      <c r="O480" s="4">
        <f t="shared" si="31"/>
        <v>0</v>
      </c>
      <c r="P480" s="4">
        <f t="shared" si="32"/>
        <v>0</v>
      </c>
      <c r="Q480" s="4">
        <f t="shared" si="2"/>
        <v>0</v>
      </c>
      <c r="R480" s="4">
        <f t="shared" si="3"/>
        <v>0</v>
      </c>
      <c r="S480" s="2">
        <f t="shared" si="33"/>
        <v>-1</v>
      </c>
      <c r="T480" s="4">
        <f t="shared" si="34"/>
        <v>0</v>
      </c>
      <c r="U480" s="2" t="str">
        <f t="shared" si="5"/>
        <v xml:space="preserve"> - </v>
      </c>
      <c r="V480" s="1"/>
      <c r="W480" s="1"/>
      <c r="X480" s="1"/>
      <c r="Y480" s="1"/>
      <c r="Z480" s="1"/>
      <c r="AA480" s="2"/>
      <c r="AB480" s="2"/>
      <c r="AC480" s="2"/>
    </row>
    <row r="481" spans="1:29" ht="12.75" customHeight="1">
      <c r="A481" s="1"/>
      <c r="B481" s="5"/>
      <c r="C481" s="22"/>
      <c r="D481" s="24"/>
      <c r="E481" s="26"/>
      <c r="F481" s="28"/>
      <c r="G481" s="29"/>
      <c r="H481" s="28"/>
      <c r="I481" s="29"/>
      <c r="J481" s="28"/>
      <c r="K481" s="28"/>
      <c r="L481" s="28"/>
      <c r="M481" s="5"/>
      <c r="N481" s="1"/>
      <c r="O481" s="4">
        <f t="shared" si="31"/>
        <v>0</v>
      </c>
      <c r="P481" s="4">
        <f t="shared" si="32"/>
        <v>0</v>
      </c>
      <c r="Q481" s="4">
        <f t="shared" si="2"/>
        <v>0</v>
      </c>
      <c r="R481" s="4">
        <f t="shared" si="3"/>
        <v>0</v>
      </c>
      <c r="S481" s="2">
        <f t="shared" si="33"/>
        <v>-1</v>
      </c>
      <c r="T481" s="4">
        <f t="shared" si="34"/>
        <v>0</v>
      </c>
      <c r="U481" s="2" t="str">
        <f t="shared" si="5"/>
        <v xml:space="preserve"> - </v>
      </c>
      <c r="V481" s="1"/>
      <c r="W481" s="1"/>
      <c r="X481" s="1"/>
      <c r="Y481" s="1"/>
      <c r="Z481" s="1"/>
      <c r="AA481" s="2"/>
      <c r="AB481" s="2"/>
      <c r="AC481" s="2"/>
    </row>
    <row r="482" spans="1:29" ht="12.75" customHeight="1">
      <c r="A482" s="1"/>
      <c r="B482" s="5"/>
      <c r="C482" s="22"/>
      <c r="D482" s="24"/>
      <c r="E482" s="26"/>
      <c r="F482" s="28"/>
      <c r="G482" s="29"/>
      <c r="H482" s="28"/>
      <c r="I482" s="29"/>
      <c r="J482" s="28"/>
      <c r="K482" s="28"/>
      <c r="L482" s="28"/>
      <c r="M482" s="5"/>
      <c r="N482" s="1"/>
      <c r="O482" s="4">
        <f t="shared" si="31"/>
        <v>0</v>
      </c>
      <c r="P482" s="4">
        <f t="shared" si="32"/>
        <v>0</v>
      </c>
      <c r="Q482" s="4">
        <f t="shared" si="2"/>
        <v>0</v>
      </c>
      <c r="R482" s="4">
        <f t="shared" si="3"/>
        <v>0</v>
      </c>
      <c r="S482" s="2">
        <f t="shared" si="33"/>
        <v>-1</v>
      </c>
      <c r="T482" s="4">
        <f t="shared" si="34"/>
        <v>0</v>
      </c>
      <c r="U482" s="2" t="str">
        <f t="shared" si="5"/>
        <v xml:space="preserve"> - </v>
      </c>
      <c r="V482" s="1"/>
      <c r="W482" s="1"/>
      <c r="X482" s="1"/>
      <c r="Y482" s="1"/>
      <c r="Z482" s="1"/>
      <c r="AA482" s="2"/>
      <c r="AB482" s="2"/>
      <c r="AC482" s="2"/>
    </row>
    <row r="483" spans="1:29" ht="12.75" customHeight="1">
      <c r="A483" s="1"/>
      <c r="B483" s="5"/>
      <c r="C483" s="22"/>
      <c r="D483" s="24"/>
      <c r="E483" s="26"/>
      <c r="F483" s="28"/>
      <c r="G483" s="29"/>
      <c r="H483" s="28"/>
      <c r="I483" s="29"/>
      <c r="J483" s="28"/>
      <c r="K483" s="28"/>
      <c r="L483" s="28"/>
      <c r="M483" s="5"/>
      <c r="N483" s="1"/>
      <c r="O483" s="4">
        <f t="shared" si="31"/>
        <v>0</v>
      </c>
      <c r="P483" s="4">
        <f t="shared" si="32"/>
        <v>0</v>
      </c>
      <c r="Q483" s="4">
        <f t="shared" si="2"/>
        <v>0</v>
      </c>
      <c r="R483" s="4">
        <f t="shared" si="3"/>
        <v>0</v>
      </c>
      <c r="S483" s="2">
        <f t="shared" si="33"/>
        <v>-1</v>
      </c>
      <c r="T483" s="4">
        <f t="shared" si="34"/>
        <v>0</v>
      </c>
      <c r="U483" s="2" t="str">
        <f t="shared" si="5"/>
        <v xml:space="preserve"> - </v>
      </c>
      <c r="V483" s="1"/>
      <c r="W483" s="1"/>
      <c r="X483" s="1"/>
      <c r="Y483" s="1"/>
      <c r="Z483" s="1"/>
      <c r="AA483" s="2"/>
      <c r="AB483" s="2"/>
      <c r="AC483" s="2"/>
    </row>
    <row r="484" spans="1:29" ht="12.75" customHeight="1">
      <c r="A484" s="1"/>
      <c r="B484" s="5"/>
      <c r="C484" s="22"/>
      <c r="D484" s="24"/>
      <c r="E484" s="26"/>
      <c r="F484" s="28"/>
      <c r="G484" s="29"/>
      <c r="H484" s="28"/>
      <c r="I484" s="29"/>
      <c r="J484" s="28"/>
      <c r="K484" s="28"/>
      <c r="L484" s="28"/>
      <c r="M484" s="5"/>
      <c r="N484" s="1"/>
      <c r="O484" s="4">
        <f t="shared" si="31"/>
        <v>0</v>
      </c>
      <c r="P484" s="4">
        <f t="shared" si="32"/>
        <v>0</v>
      </c>
      <c r="Q484" s="4">
        <f t="shared" si="2"/>
        <v>0</v>
      </c>
      <c r="R484" s="4">
        <f t="shared" si="3"/>
        <v>0</v>
      </c>
      <c r="S484" s="2">
        <f t="shared" si="33"/>
        <v>-1</v>
      </c>
      <c r="T484" s="4">
        <f t="shared" si="34"/>
        <v>0</v>
      </c>
      <c r="U484" s="2" t="str">
        <f t="shared" si="5"/>
        <v xml:space="preserve"> - </v>
      </c>
      <c r="V484" s="1"/>
      <c r="W484" s="1"/>
      <c r="X484" s="1"/>
      <c r="Y484" s="1"/>
      <c r="Z484" s="1"/>
      <c r="AA484" s="2"/>
      <c r="AB484" s="2"/>
      <c r="AC484" s="2"/>
    </row>
    <row r="485" spans="1:29" ht="12.75" customHeight="1">
      <c r="A485" s="1"/>
      <c r="B485" s="5"/>
      <c r="C485" s="22"/>
      <c r="D485" s="24"/>
      <c r="E485" s="26"/>
      <c r="F485" s="28"/>
      <c r="G485" s="29"/>
      <c r="H485" s="28"/>
      <c r="I485" s="29"/>
      <c r="J485" s="28"/>
      <c r="K485" s="28"/>
      <c r="L485" s="28"/>
      <c r="M485" s="5"/>
      <c r="N485" s="1"/>
      <c r="O485" s="4">
        <f t="shared" si="31"/>
        <v>0</v>
      </c>
      <c r="P485" s="4">
        <f t="shared" si="32"/>
        <v>0</v>
      </c>
      <c r="Q485" s="4">
        <f t="shared" si="2"/>
        <v>0</v>
      </c>
      <c r="R485" s="4">
        <f t="shared" si="3"/>
        <v>0</v>
      </c>
      <c r="S485" s="2">
        <f t="shared" si="33"/>
        <v>-1</v>
      </c>
      <c r="T485" s="4">
        <f t="shared" si="34"/>
        <v>0</v>
      </c>
      <c r="U485" s="2" t="str">
        <f t="shared" si="5"/>
        <v xml:space="preserve"> - </v>
      </c>
      <c r="V485" s="1"/>
      <c r="W485" s="1"/>
      <c r="X485" s="1"/>
      <c r="Y485" s="1"/>
      <c r="Z485" s="1"/>
      <c r="AA485" s="2"/>
      <c r="AB485" s="2"/>
      <c r="AC485" s="2"/>
    </row>
    <row r="486" spans="1:29" ht="12.75" customHeight="1">
      <c r="A486" s="1"/>
      <c r="B486" s="5"/>
      <c r="C486" s="22"/>
      <c r="D486" s="24"/>
      <c r="E486" s="26"/>
      <c r="F486" s="28"/>
      <c r="G486" s="29"/>
      <c r="H486" s="28"/>
      <c r="I486" s="29"/>
      <c r="J486" s="28"/>
      <c r="K486" s="28"/>
      <c r="L486" s="28"/>
      <c r="M486" s="5"/>
      <c r="N486" s="1"/>
      <c r="O486" s="4">
        <f t="shared" si="31"/>
        <v>0</v>
      </c>
      <c r="P486" s="4">
        <f t="shared" si="32"/>
        <v>0</v>
      </c>
      <c r="Q486" s="4">
        <f t="shared" si="2"/>
        <v>0</v>
      </c>
      <c r="R486" s="4">
        <f t="shared" si="3"/>
        <v>0</v>
      </c>
      <c r="S486" s="2">
        <f t="shared" si="33"/>
        <v>-1</v>
      </c>
      <c r="T486" s="4">
        <f t="shared" si="34"/>
        <v>0</v>
      </c>
      <c r="U486" s="2" t="str">
        <f t="shared" si="5"/>
        <v xml:space="preserve"> - </v>
      </c>
      <c r="V486" s="1"/>
      <c r="W486" s="1"/>
      <c r="X486" s="1"/>
      <c r="Y486" s="1"/>
      <c r="Z486" s="1"/>
      <c r="AA486" s="2"/>
      <c r="AB486" s="2"/>
      <c r="AC486" s="2"/>
    </row>
    <row r="487" spans="1:29" ht="12.75" customHeight="1">
      <c r="A487" s="1"/>
      <c r="B487" s="5"/>
      <c r="C487" s="22"/>
      <c r="D487" s="24"/>
      <c r="E487" s="26"/>
      <c r="F487" s="28"/>
      <c r="G487" s="29"/>
      <c r="H487" s="28"/>
      <c r="I487" s="29"/>
      <c r="J487" s="28"/>
      <c r="K487" s="28"/>
      <c r="L487" s="28"/>
      <c r="M487" s="5"/>
      <c r="N487" s="1"/>
      <c r="O487" s="4">
        <f t="shared" si="31"/>
        <v>0</v>
      </c>
      <c r="P487" s="4">
        <f t="shared" si="32"/>
        <v>0</v>
      </c>
      <c r="Q487" s="4">
        <f t="shared" si="2"/>
        <v>0</v>
      </c>
      <c r="R487" s="4">
        <f t="shared" si="3"/>
        <v>0</v>
      </c>
      <c r="S487" s="2">
        <f t="shared" si="33"/>
        <v>-1</v>
      </c>
      <c r="T487" s="4">
        <f t="shared" si="34"/>
        <v>0</v>
      </c>
      <c r="U487" s="2" t="str">
        <f t="shared" si="5"/>
        <v xml:space="preserve"> - </v>
      </c>
      <c r="V487" s="1"/>
      <c r="W487" s="1"/>
      <c r="X487" s="1"/>
      <c r="Y487" s="1"/>
      <c r="Z487" s="1"/>
      <c r="AA487" s="2"/>
      <c r="AB487" s="2"/>
      <c r="AC487" s="2"/>
    </row>
    <row r="488" spans="1:29" ht="12.75" customHeight="1">
      <c r="A488" s="1"/>
      <c r="B488" s="5"/>
      <c r="C488" s="22"/>
      <c r="D488" s="24"/>
      <c r="E488" s="26"/>
      <c r="F488" s="28"/>
      <c r="G488" s="29"/>
      <c r="H488" s="28"/>
      <c r="I488" s="29"/>
      <c r="J488" s="28"/>
      <c r="K488" s="28"/>
      <c r="L488" s="28"/>
      <c r="M488" s="5"/>
      <c r="N488" s="1"/>
      <c r="O488" s="4">
        <f t="shared" si="31"/>
        <v>0</v>
      </c>
      <c r="P488" s="4">
        <f t="shared" si="32"/>
        <v>0</v>
      </c>
      <c r="Q488" s="4">
        <f t="shared" si="2"/>
        <v>0</v>
      </c>
      <c r="R488" s="4">
        <f t="shared" si="3"/>
        <v>0</v>
      </c>
      <c r="S488" s="2">
        <f t="shared" si="33"/>
        <v>-1</v>
      </c>
      <c r="T488" s="4">
        <f t="shared" si="34"/>
        <v>0</v>
      </c>
      <c r="U488" s="2" t="str">
        <f t="shared" si="5"/>
        <v xml:space="preserve"> - </v>
      </c>
      <c r="V488" s="1"/>
      <c r="W488" s="1"/>
      <c r="X488" s="1"/>
      <c r="Y488" s="1"/>
      <c r="Z488" s="1"/>
      <c r="AA488" s="2"/>
      <c r="AB488" s="2"/>
      <c r="AC488" s="2"/>
    </row>
    <row r="489" spans="1:29" ht="12.75" customHeight="1">
      <c r="A489" s="1"/>
      <c r="B489" s="5"/>
      <c r="C489" s="22"/>
      <c r="D489" s="24"/>
      <c r="E489" s="26"/>
      <c r="F489" s="28"/>
      <c r="G489" s="29"/>
      <c r="H489" s="28"/>
      <c r="I489" s="29"/>
      <c r="J489" s="28"/>
      <c r="K489" s="28"/>
      <c r="L489" s="28"/>
      <c r="M489" s="5"/>
      <c r="N489" s="1"/>
      <c r="O489" s="4">
        <f t="shared" si="31"/>
        <v>0</v>
      </c>
      <c r="P489" s="4">
        <f t="shared" si="32"/>
        <v>0</v>
      </c>
      <c r="Q489" s="4">
        <f t="shared" si="2"/>
        <v>0</v>
      </c>
      <c r="R489" s="4">
        <f t="shared" si="3"/>
        <v>0</v>
      </c>
      <c r="S489" s="2">
        <f t="shared" si="33"/>
        <v>-1</v>
      </c>
      <c r="T489" s="4">
        <f t="shared" si="34"/>
        <v>0</v>
      </c>
      <c r="U489" s="2" t="str">
        <f t="shared" si="5"/>
        <v xml:space="preserve"> - </v>
      </c>
      <c r="V489" s="1"/>
      <c r="W489" s="1"/>
      <c r="X489" s="1"/>
      <c r="Y489" s="1"/>
      <c r="Z489" s="1"/>
      <c r="AA489" s="2"/>
      <c r="AB489" s="2"/>
      <c r="AC489" s="2"/>
    </row>
    <row r="490" spans="1:29" ht="12.75" customHeight="1">
      <c r="A490" s="1"/>
      <c r="B490" s="5"/>
      <c r="C490" s="22"/>
      <c r="D490" s="24"/>
      <c r="E490" s="26"/>
      <c r="F490" s="28"/>
      <c r="G490" s="29"/>
      <c r="H490" s="28"/>
      <c r="I490" s="29"/>
      <c r="J490" s="28"/>
      <c r="K490" s="28"/>
      <c r="L490" s="28"/>
      <c r="M490" s="5"/>
      <c r="N490" s="1"/>
      <c r="O490" s="4">
        <f t="shared" si="31"/>
        <v>0</v>
      </c>
      <c r="P490" s="4">
        <f t="shared" si="32"/>
        <v>0</v>
      </c>
      <c r="Q490" s="4">
        <f t="shared" si="2"/>
        <v>0</v>
      </c>
      <c r="R490" s="4">
        <f t="shared" si="3"/>
        <v>0</v>
      </c>
      <c r="S490" s="2">
        <f t="shared" si="33"/>
        <v>-1</v>
      </c>
      <c r="T490" s="4">
        <f t="shared" si="34"/>
        <v>0</v>
      </c>
      <c r="U490" s="2" t="str">
        <f t="shared" si="5"/>
        <v xml:space="preserve"> - </v>
      </c>
      <c r="V490" s="1"/>
      <c r="W490" s="1"/>
      <c r="X490" s="1"/>
      <c r="Y490" s="1"/>
      <c r="Z490" s="1"/>
      <c r="AA490" s="2"/>
      <c r="AB490" s="2"/>
      <c r="AC490" s="2"/>
    </row>
    <row r="491" spans="1:29" ht="12.75" customHeight="1">
      <c r="A491" s="1"/>
      <c r="B491" s="5"/>
      <c r="C491" s="22"/>
      <c r="D491" s="24"/>
      <c r="E491" s="26"/>
      <c r="F491" s="28"/>
      <c r="G491" s="29"/>
      <c r="H491" s="28"/>
      <c r="I491" s="29"/>
      <c r="J491" s="28"/>
      <c r="K491" s="28"/>
      <c r="L491" s="28"/>
      <c r="M491" s="5"/>
      <c r="N491" s="1"/>
      <c r="O491" s="4">
        <f t="shared" si="31"/>
        <v>0</v>
      </c>
      <c r="P491" s="4">
        <f t="shared" si="32"/>
        <v>0</v>
      </c>
      <c r="Q491" s="4">
        <f t="shared" si="2"/>
        <v>0</v>
      </c>
      <c r="R491" s="4">
        <f t="shared" si="3"/>
        <v>0</v>
      </c>
      <c r="S491" s="2">
        <f t="shared" si="33"/>
        <v>-1</v>
      </c>
      <c r="T491" s="4">
        <f t="shared" si="34"/>
        <v>0</v>
      </c>
      <c r="U491" s="2" t="str">
        <f t="shared" si="5"/>
        <v xml:space="preserve"> - </v>
      </c>
      <c r="V491" s="1"/>
      <c r="W491" s="1"/>
      <c r="X491" s="1"/>
      <c r="Y491" s="1"/>
      <c r="Z491" s="1"/>
      <c r="AA491" s="2"/>
      <c r="AB491" s="2"/>
      <c r="AC491" s="2"/>
    </row>
    <row r="492" spans="1:29" ht="12.75" customHeight="1">
      <c r="A492" s="1"/>
      <c r="B492" s="5"/>
      <c r="C492" s="22"/>
      <c r="D492" s="24"/>
      <c r="E492" s="26"/>
      <c r="F492" s="28"/>
      <c r="G492" s="29"/>
      <c r="H492" s="28"/>
      <c r="I492" s="29"/>
      <c r="J492" s="28"/>
      <c r="K492" s="28"/>
      <c r="L492" s="28"/>
      <c r="M492" s="5"/>
      <c r="N492" s="1"/>
      <c r="O492" s="4">
        <f t="shared" si="31"/>
        <v>0</v>
      </c>
      <c r="P492" s="4">
        <f t="shared" si="32"/>
        <v>0</v>
      </c>
      <c r="Q492" s="4">
        <f t="shared" si="2"/>
        <v>0</v>
      </c>
      <c r="R492" s="4">
        <f t="shared" si="3"/>
        <v>0</v>
      </c>
      <c r="S492" s="2">
        <f t="shared" si="33"/>
        <v>-1</v>
      </c>
      <c r="T492" s="4">
        <f t="shared" si="34"/>
        <v>0</v>
      </c>
      <c r="U492" s="2" t="str">
        <f t="shared" si="5"/>
        <v xml:space="preserve"> - </v>
      </c>
      <c r="V492" s="1"/>
      <c r="W492" s="1"/>
      <c r="X492" s="1"/>
      <c r="Y492" s="1"/>
      <c r="Z492" s="1"/>
      <c r="AA492" s="2"/>
      <c r="AB492" s="2"/>
      <c r="AC492" s="2"/>
    </row>
    <row r="493" spans="1:29" ht="12.75" customHeight="1">
      <c r="A493" s="1"/>
      <c r="B493" s="5"/>
      <c r="C493" s="22"/>
      <c r="D493" s="24"/>
      <c r="E493" s="26"/>
      <c r="F493" s="28"/>
      <c r="G493" s="29"/>
      <c r="H493" s="28"/>
      <c r="I493" s="29"/>
      <c r="J493" s="28"/>
      <c r="K493" s="28"/>
      <c r="L493" s="28"/>
      <c r="M493" s="5"/>
      <c r="N493" s="1"/>
      <c r="O493" s="4">
        <f t="shared" si="31"/>
        <v>0</v>
      </c>
      <c r="P493" s="4">
        <f t="shared" si="32"/>
        <v>0</v>
      </c>
      <c r="Q493" s="4">
        <f t="shared" si="2"/>
        <v>0</v>
      </c>
      <c r="R493" s="4">
        <f t="shared" si="3"/>
        <v>0</v>
      </c>
      <c r="S493" s="2">
        <f t="shared" si="33"/>
        <v>-1</v>
      </c>
      <c r="T493" s="4">
        <f t="shared" si="34"/>
        <v>0</v>
      </c>
      <c r="U493" s="2" t="str">
        <f t="shared" si="5"/>
        <v xml:space="preserve"> - </v>
      </c>
      <c r="V493" s="1"/>
      <c r="W493" s="1"/>
      <c r="X493" s="1"/>
      <c r="Y493" s="1"/>
      <c r="Z493" s="1"/>
      <c r="AA493" s="2"/>
      <c r="AB493" s="2"/>
      <c r="AC493" s="2"/>
    </row>
    <row r="494" spans="1:29" ht="12.75" customHeight="1">
      <c r="A494" s="1"/>
      <c r="B494" s="5"/>
      <c r="C494" s="22"/>
      <c r="D494" s="24"/>
      <c r="E494" s="26"/>
      <c r="F494" s="28"/>
      <c r="G494" s="29"/>
      <c r="H494" s="28"/>
      <c r="I494" s="29"/>
      <c r="J494" s="28"/>
      <c r="K494" s="28"/>
      <c r="L494" s="28"/>
      <c r="M494" s="5"/>
      <c r="N494" s="1"/>
      <c r="O494" s="4">
        <f t="shared" si="31"/>
        <v>0</v>
      </c>
      <c r="P494" s="4">
        <f t="shared" si="32"/>
        <v>0</v>
      </c>
      <c r="Q494" s="4">
        <f t="shared" si="2"/>
        <v>0</v>
      </c>
      <c r="R494" s="4">
        <f t="shared" si="3"/>
        <v>0</v>
      </c>
      <c r="S494" s="2">
        <f t="shared" si="33"/>
        <v>-1</v>
      </c>
      <c r="T494" s="4">
        <f t="shared" si="34"/>
        <v>0</v>
      </c>
      <c r="U494" s="2" t="str">
        <f t="shared" si="5"/>
        <v xml:space="preserve"> - </v>
      </c>
      <c r="V494" s="1"/>
      <c r="W494" s="1"/>
      <c r="X494" s="1"/>
      <c r="Y494" s="1"/>
      <c r="Z494" s="1"/>
      <c r="AA494" s="2"/>
      <c r="AB494" s="2"/>
      <c r="AC494" s="2"/>
    </row>
    <row r="495" spans="1:29" ht="12.75" customHeight="1">
      <c r="A495" s="1"/>
      <c r="B495" s="5"/>
      <c r="C495" s="22"/>
      <c r="D495" s="24"/>
      <c r="E495" s="26"/>
      <c r="F495" s="28"/>
      <c r="G495" s="29"/>
      <c r="H495" s="28"/>
      <c r="I495" s="29"/>
      <c r="J495" s="28"/>
      <c r="K495" s="28"/>
      <c r="L495" s="28"/>
      <c r="M495" s="5"/>
      <c r="N495" s="1"/>
      <c r="O495" s="4">
        <f t="shared" si="31"/>
        <v>0</v>
      </c>
      <c r="P495" s="4">
        <f t="shared" si="32"/>
        <v>0</v>
      </c>
      <c r="Q495" s="4">
        <f t="shared" si="2"/>
        <v>0</v>
      </c>
      <c r="R495" s="4">
        <f t="shared" si="3"/>
        <v>0</v>
      </c>
      <c r="S495" s="2">
        <f t="shared" si="33"/>
        <v>-1</v>
      </c>
      <c r="T495" s="4">
        <f t="shared" si="34"/>
        <v>0</v>
      </c>
      <c r="U495" s="2" t="str">
        <f t="shared" si="5"/>
        <v xml:space="preserve"> - </v>
      </c>
      <c r="V495" s="1"/>
      <c r="W495" s="1"/>
      <c r="X495" s="1"/>
      <c r="Y495" s="1"/>
      <c r="Z495" s="1"/>
      <c r="AA495" s="2"/>
      <c r="AB495" s="2"/>
      <c r="AC495" s="2"/>
    </row>
    <row r="496" spans="1:29" ht="12.75" customHeight="1">
      <c r="A496" s="1"/>
      <c r="B496" s="5"/>
      <c r="C496" s="22"/>
      <c r="D496" s="24"/>
      <c r="E496" s="26"/>
      <c r="F496" s="28"/>
      <c r="G496" s="29"/>
      <c r="H496" s="28"/>
      <c r="I496" s="29"/>
      <c r="J496" s="28"/>
      <c r="K496" s="28"/>
      <c r="L496" s="28"/>
      <c r="M496" s="5"/>
      <c r="N496" s="1"/>
      <c r="O496" s="4">
        <f t="shared" si="31"/>
        <v>0</v>
      </c>
      <c r="P496" s="4">
        <f t="shared" si="32"/>
        <v>0</v>
      </c>
      <c r="Q496" s="4">
        <f t="shared" si="2"/>
        <v>0</v>
      </c>
      <c r="R496" s="4">
        <f t="shared" si="3"/>
        <v>0</v>
      </c>
      <c r="S496" s="2">
        <f t="shared" si="33"/>
        <v>-1</v>
      </c>
      <c r="T496" s="4">
        <f t="shared" si="34"/>
        <v>0</v>
      </c>
      <c r="U496" s="2" t="str">
        <f t="shared" si="5"/>
        <v xml:space="preserve"> - </v>
      </c>
      <c r="V496" s="1"/>
      <c r="W496" s="1"/>
      <c r="X496" s="1"/>
      <c r="Y496" s="1"/>
      <c r="Z496" s="1"/>
      <c r="AA496" s="2"/>
      <c r="AB496" s="2"/>
      <c r="AC496" s="2"/>
    </row>
    <row r="497" spans="1:29" ht="12.75" customHeight="1">
      <c r="A497" s="1"/>
      <c r="B497" s="5"/>
      <c r="C497" s="22"/>
      <c r="D497" s="24"/>
      <c r="E497" s="26"/>
      <c r="F497" s="28"/>
      <c r="G497" s="29"/>
      <c r="H497" s="28"/>
      <c r="I497" s="29"/>
      <c r="J497" s="28"/>
      <c r="K497" s="28"/>
      <c r="L497" s="28"/>
      <c r="M497" s="5"/>
      <c r="N497" s="1"/>
      <c r="O497" s="4">
        <f t="shared" si="31"/>
        <v>0</v>
      </c>
      <c r="P497" s="4">
        <f t="shared" si="32"/>
        <v>0</v>
      </c>
      <c r="Q497" s="4">
        <f t="shared" si="2"/>
        <v>0</v>
      </c>
      <c r="R497" s="4">
        <f t="shared" si="3"/>
        <v>0</v>
      </c>
      <c r="S497" s="2">
        <f t="shared" si="33"/>
        <v>-1</v>
      </c>
      <c r="T497" s="4">
        <f t="shared" si="34"/>
        <v>0</v>
      </c>
      <c r="U497" s="2" t="str">
        <f t="shared" si="5"/>
        <v xml:space="preserve"> - </v>
      </c>
      <c r="V497" s="1"/>
      <c r="W497" s="1"/>
      <c r="X497" s="1"/>
      <c r="Y497" s="1"/>
      <c r="Z497" s="1"/>
      <c r="AA497" s="2"/>
      <c r="AB497" s="2"/>
      <c r="AC497" s="2"/>
    </row>
    <row r="498" spans="1:29" ht="12.75" customHeight="1">
      <c r="A498" s="1"/>
      <c r="B498" s="5"/>
      <c r="C498" s="22"/>
      <c r="D498" s="24"/>
      <c r="E498" s="26"/>
      <c r="F498" s="28"/>
      <c r="G498" s="29"/>
      <c r="H498" s="28"/>
      <c r="I498" s="29"/>
      <c r="J498" s="28"/>
      <c r="K498" s="28"/>
      <c r="L498" s="28"/>
      <c r="M498" s="5"/>
      <c r="N498" s="1"/>
      <c r="O498" s="4">
        <f t="shared" si="31"/>
        <v>0</v>
      </c>
      <c r="P498" s="4">
        <f t="shared" si="32"/>
        <v>0</v>
      </c>
      <c r="Q498" s="4">
        <f t="shared" si="2"/>
        <v>0</v>
      </c>
      <c r="R498" s="4">
        <f t="shared" si="3"/>
        <v>0</v>
      </c>
      <c r="S498" s="2">
        <f t="shared" si="33"/>
        <v>-1</v>
      </c>
      <c r="T498" s="4">
        <f t="shared" si="34"/>
        <v>0</v>
      </c>
      <c r="U498" s="2" t="str">
        <f t="shared" si="5"/>
        <v xml:space="preserve"> - </v>
      </c>
      <c r="V498" s="1"/>
      <c r="W498" s="1"/>
      <c r="X498" s="1"/>
      <c r="Y498" s="1"/>
      <c r="Z498" s="1"/>
      <c r="AA498" s="2"/>
      <c r="AB498" s="2"/>
      <c r="AC498" s="2"/>
    </row>
    <row r="499" spans="1:29" ht="12.75" customHeight="1">
      <c r="A499" s="1"/>
      <c r="B499" s="5"/>
      <c r="C499" s="22"/>
      <c r="D499" s="24"/>
      <c r="E499" s="26"/>
      <c r="F499" s="28"/>
      <c r="G499" s="29"/>
      <c r="H499" s="28"/>
      <c r="I499" s="29"/>
      <c r="J499" s="28"/>
      <c r="K499" s="28"/>
      <c r="L499" s="28"/>
      <c r="M499" s="5"/>
      <c r="N499" s="1"/>
      <c r="O499" s="4">
        <f t="shared" si="31"/>
        <v>0</v>
      </c>
      <c r="P499" s="4">
        <f t="shared" si="32"/>
        <v>0</v>
      </c>
      <c r="Q499" s="4">
        <f t="shared" si="2"/>
        <v>0</v>
      </c>
      <c r="R499" s="4">
        <f t="shared" si="3"/>
        <v>0</v>
      </c>
      <c r="S499" s="2">
        <f t="shared" si="33"/>
        <v>-1</v>
      </c>
      <c r="T499" s="4">
        <f t="shared" si="34"/>
        <v>0</v>
      </c>
      <c r="U499" s="2" t="str">
        <f t="shared" si="5"/>
        <v xml:space="preserve"> - </v>
      </c>
      <c r="V499" s="1"/>
      <c r="W499" s="1"/>
      <c r="X499" s="1"/>
      <c r="Y499" s="1"/>
      <c r="Z499" s="1"/>
      <c r="AA499" s="2"/>
      <c r="AB499" s="2"/>
      <c r="AC499" s="2"/>
    </row>
    <row r="500" spans="1:29" ht="12.75" customHeight="1">
      <c r="A500" s="1"/>
      <c r="B500" s="5"/>
      <c r="C500" s="22"/>
      <c r="D500" s="24"/>
      <c r="E500" s="26"/>
      <c r="F500" s="28"/>
      <c r="G500" s="29"/>
      <c r="H500" s="28"/>
      <c r="I500" s="29"/>
      <c r="J500" s="28"/>
      <c r="K500" s="28"/>
      <c r="L500" s="28"/>
      <c r="M500" s="5"/>
      <c r="N500" s="1"/>
      <c r="O500" s="4">
        <f t="shared" si="31"/>
        <v>0</v>
      </c>
      <c r="P500" s="4">
        <f t="shared" si="32"/>
        <v>0</v>
      </c>
      <c r="Q500" s="4">
        <f t="shared" si="2"/>
        <v>0</v>
      </c>
      <c r="R500" s="4">
        <f t="shared" si="3"/>
        <v>0</v>
      </c>
      <c r="S500" s="2">
        <f t="shared" si="33"/>
        <v>-1</v>
      </c>
      <c r="T500" s="4">
        <f t="shared" si="34"/>
        <v>0</v>
      </c>
      <c r="U500" s="2" t="str">
        <f t="shared" si="5"/>
        <v xml:space="preserve"> - </v>
      </c>
      <c r="V500" s="1"/>
      <c r="W500" s="1"/>
      <c r="X500" s="1"/>
      <c r="Y500" s="1"/>
      <c r="Z500" s="1"/>
      <c r="AA500" s="2"/>
      <c r="AB500" s="2"/>
      <c r="AC500" s="2"/>
    </row>
    <row r="501" spans="1:29" ht="12.75" customHeight="1">
      <c r="A501" s="1"/>
      <c r="B501" s="5"/>
      <c r="C501" s="22"/>
      <c r="D501" s="24"/>
      <c r="E501" s="26"/>
      <c r="F501" s="28"/>
      <c r="G501" s="29"/>
      <c r="H501" s="28"/>
      <c r="I501" s="29"/>
      <c r="J501" s="28"/>
      <c r="K501" s="28"/>
      <c r="L501" s="28"/>
      <c r="M501" s="5"/>
      <c r="N501" s="1"/>
      <c r="O501" s="4">
        <f t="shared" si="31"/>
        <v>0</v>
      </c>
      <c r="P501" s="4">
        <f t="shared" si="32"/>
        <v>0</v>
      </c>
      <c r="Q501" s="4">
        <f t="shared" si="2"/>
        <v>0</v>
      </c>
      <c r="R501" s="4">
        <f t="shared" si="3"/>
        <v>0</v>
      </c>
      <c r="S501" s="2">
        <f t="shared" si="33"/>
        <v>-1</v>
      </c>
      <c r="T501" s="4">
        <f t="shared" si="34"/>
        <v>0</v>
      </c>
      <c r="U501" s="2" t="str">
        <f t="shared" si="5"/>
        <v xml:space="preserve"> - </v>
      </c>
      <c r="V501" s="1"/>
      <c r="W501" s="1"/>
      <c r="X501" s="1"/>
      <c r="Y501" s="1"/>
      <c r="Z501" s="1"/>
      <c r="AA501" s="2"/>
      <c r="AB501" s="2"/>
      <c r="AC501" s="2"/>
    </row>
    <row r="502" spans="1:29" ht="12.75" customHeight="1">
      <c r="A502" s="1"/>
      <c r="B502" s="5"/>
      <c r="C502" s="22"/>
      <c r="D502" s="24"/>
      <c r="E502" s="26"/>
      <c r="F502" s="28"/>
      <c r="G502" s="29"/>
      <c r="H502" s="28"/>
      <c r="I502" s="29"/>
      <c r="J502" s="28"/>
      <c r="K502" s="28"/>
      <c r="L502" s="28"/>
      <c r="M502" s="5"/>
      <c r="N502" s="1"/>
      <c r="O502" s="4">
        <f t="shared" si="31"/>
        <v>0</v>
      </c>
      <c r="P502" s="4">
        <f t="shared" si="32"/>
        <v>0</v>
      </c>
      <c r="Q502" s="4">
        <f t="shared" si="2"/>
        <v>0</v>
      </c>
      <c r="R502" s="4">
        <f t="shared" si="3"/>
        <v>0</v>
      </c>
      <c r="S502" s="2">
        <f t="shared" si="33"/>
        <v>-1</v>
      </c>
      <c r="T502" s="4">
        <f t="shared" si="34"/>
        <v>0</v>
      </c>
      <c r="U502" s="2" t="str">
        <f t="shared" si="5"/>
        <v xml:space="preserve"> - </v>
      </c>
      <c r="V502" s="1"/>
      <c r="W502" s="1"/>
      <c r="X502" s="1"/>
      <c r="Y502" s="1"/>
      <c r="Z502" s="1"/>
      <c r="AA502" s="2"/>
      <c r="AB502" s="2"/>
      <c r="AC502" s="2"/>
    </row>
    <row r="503" spans="1:29" ht="12.75" customHeight="1">
      <c r="A503" s="1"/>
      <c r="B503" s="5"/>
      <c r="C503" s="231"/>
      <c r="D503" s="24"/>
      <c r="E503" s="26"/>
      <c r="F503" s="28"/>
      <c r="G503" s="29"/>
      <c r="H503" s="28"/>
      <c r="I503" s="29"/>
      <c r="J503" s="28"/>
      <c r="K503" s="28"/>
      <c r="L503" s="28"/>
      <c r="M503" s="5"/>
      <c r="N503" s="1"/>
      <c r="O503" s="4">
        <f t="shared" si="31"/>
        <v>0</v>
      </c>
      <c r="P503" s="4">
        <f t="shared" si="32"/>
        <v>0</v>
      </c>
      <c r="Q503" s="4">
        <f t="shared" si="2"/>
        <v>0</v>
      </c>
      <c r="R503" s="4">
        <f t="shared" si="3"/>
        <v>0</v>
      </c>
      <c r="S503" s="2">
        <f t="shared" si="33"/>
        <v>-1</v>
      </c>
      <c r="T503" s="4">
        <f t="shared" si="34"/>
        <v>0</v>
      </c>
      <c r="U503" s="2" t="str">
        <f t="shared" si="5"/>
        <v xml:space="preserve"> - </v>
      </c>
      <c r="V503" s="1"/>
      <c r="W503" s="1"/>
      <c r="X503" s="1"/>
      <c r="Y503" s="1"/>
      <c r="Z503" s="1"/>
      <c r="AA503" s="2"/>
      <c r="AB503" s="2"/>
      <c r="AC503" s="2"/>
    </row>
    <row r="504" spans="1:29" ht="12.75" customHeight="1">
      <c r="A504" s="1"/>
      <c r="B504" s="5"/>
      <c r="C504" s="319" t="s">
        <v>242</v>
      </c>
      <c r="D504" s="316"/>
      <c r="E504" s="316"/>
      <c r="F504" s="316"/>
      <c r="G504" s="316"/>
      <c r="H504" s="316"/>
      <c r="I504" s="316"/>
      <c r="J504" s="316"/>
      <c r="K504" s="316"/>
      <c r="L504" s="316"/>
      <c r="M504" s="5"/>
      <c r="N504" s="1"/>
      <c r="O504" s="4"/>
      <c r="P504" s="4"/>
      <c r="Q504" s="4"/>
      <c r="R504" s="4"/>
      <c r="S504" s="1"/>
      <c r="T504" s="4"/>
      <c r="U504" s="1"/>
      <c r="V504" s="1"/>
      <c r="W504" s="1"/>
      <c r="X504" s="1"/>
      <c r="Y504" s="1"/>
      <c r="Z504" s="1"/>
      <c r="AA504" s="2"/>
      <c r="AB504" s="2"/>
      <c r="AC504" s="2"/>
    </row>
    <row r="505" spans="1:29" ht="12.75" customHeight="1">
      <c r="A505" s="1"/>
      <c r="B505" s="5"/>
      <c r="C505" s="317" t="s">
        <v>243</v>
      </c>
      <c r="D505" s="316"/>
      <c r="E505" s="316"/>
      <c r="F505" s="316"/>
      <c r="G505" s="316"/>
      <c r="H505" s="316"/>
      <c r="I505" s="316"/>
      <c r="J505" s="316"/>
      <c r="K505" s="316"/>
      <c r="L505" s="316"/>
      <c r="M505" s="5"/>
      <c r="N505" s="1"/>
      <c r="O505" s="4"/>
      <c r="P505" s="4"/>
      <c r="Q505" s="4"/>
      <c r="R505" s="4"/>
      <c r="S505" s="1"/>
      <c r="T505" s="4"/>
      <c r="U505" s="1"/>
      <c r="V505" s="1"/>
      <c r="W505" s="1"/>
      <c r="X505" s="1"/>
      <c r="Y505" s="1"/>
      <c r="Z505" s="1"/>
      <c r="AA505" s="2"/>
      <c r="AB505" s="2"/>
      <c r="AC505" s="2"/>
    </row>
    <row r="506" spans="1:29" ht="12.75" customHeight="1">
      <c r="A506" s="1"/>
      <c r="B506" s="5"/>
      <c r="C506" s="232"/>
      <c r="D506" s="232" t="s">
        <v>244</v>
      </c>
      <c r="E506" s="232" t="s">
        <v>245</v>
      </c>
      <c r="F506" s="233" t="s">
        <v>246</v>
      </c>
      <c r="G506" s="232" t="s">
        <v>247</v>
      </c>
      <c r="H506" s="232" t="s">
        <v>248</v>
      </c>
      <c r="I506" s="232" t="s">
        <v>249</v>
      </c>
      <c r="J506" s="232" t="s">
        <v>250</v>
      </c>
      <c r="K506" s="232" t="s">
        <v>251</v>
      </c>
      <c r="L506" s="232" t="s">
        <v>252</v>
      </c>
      <c r="M506" s="5"/>
      <c r="N506" s="1"/>
      <c r="O506" s="4"/>
      <c r="P506" s="4"/>
      <c r="Q506" s="4"/>
      <c r="R506" s="4"/>
      <c r="S506" s="232" t="s">
        <v>253</v>
      </c>
      <c r="T506" s="4"/>
      <c r="U506" s="1"/>
      <c r="V506" s="1"/>
      <c r="W506" s="1"/>
      <c r="X506" s="1"/>
      <c r="Y506" s="1"/>
      <c r="Z506" s="1"/>
      <c r="AA506" s="2"/>
      <c r="AB506" s="2"/>
      <c r="AC506" s="2"/>
    </row>
  </sheetData>
  <mergeCells count="5">
    <mergeCell ref="C505:L505"/>
    <mergeCell ref="F3:G3"/>
    <mergeCell ref="H3:I3"/>
    <mergeCell ref="C1:L1"/>
    <mergeCell ref="C504:L504"/>
  </mergeCells>
  <dataValidations count="4">
    <dataValidation type="list" allowBlank="1" showErrorMessage="1" sqref="L4:L503">
      <formula1>GameTypes</formula1>
    </dataValidation>
    <dataValidation type="list" allowBlank="1" showErrorMessage="1" sqref="D4:E503">
      <formula1>OFFSET(ListTeams,0,0,NoTeams,1)</formula1>
    </dataValidation>
    <dataValidation type="list" allowBlank="1" showErrorMessage="1" sqref="M4:M506">
      <formula1>$Y$3:$Y$6</formula1>
    </dataValidation>
    <dataValidation type="date" allowBlank="1" showErrorMessage="1" sqref="C4:C502">
      <formula1>37257</formula1>
      <formula2>73415</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27"/>
  <sheetViews>
    <sheetView topLeftCell="M1" workbookViewId="0"/>
  </sheetViews>
  <sheetFormatPr defaultColWidth="14.42578125" defaultRowHeight="15" customHeight="1"/>
  <cols>
    <col min="1" max="1" width="5.5703125" hidden="1" customWidth="1"/>
    <col min="2" max="2" width="12.140625" hidden="1" customWidth="1"/>
    <col min="3" max="3" width="5.42578125" hidden="1" customWidth="1"/>
    <col min="4" max="4" width="6" hidden="1" customWidth="1"/>
    <col min="5" max="5" width="5.42578125" hidden="1" customWidth="1"/>
    <col min="6" max="6" width="5" hidden="1" customWidth="1"/>
    <col min="7" max="10" width="5.28515625" hidden="1" customWidth="1"/>
    <col min="11" max="11" width="7" hidden="1" customWidth="1"/>
    <col min="12" max="12" width="12" hidden="1" customWidth="1"/>
    <col min="13" max="13" width="3.5703125" customWidth="1"/>
    <col min="14" max="14" width="3.140625" customWidth="1"/>
    <col min="15" max="15" width="24.28515625" customWidth="1"/>
    <col min="16" max="16" width="6.7109375" customWidth="1"/>
    <col min="17" max="17" width="6.140625" customWidth="1"/>
    <col min="18" max="18" width="11.85546875" customWidth="1"/>
    <col min="19" max="20" width="9.7109375" customWidth="1"/>
    <col min="21" max="21" width="9.7109375" hidden="1" customWidth="1"/>
    <col min="22" max="22" width="3.42578125" customWidth="1"/>
    <col min="23" max="23" width="14.42578125" customWidth="1"/>
    <col min="24" max="26" width="11.42578125" customWidth="1"/>
  </cols>
  <sheetData>
    <row r="1" spans="1:26" ht="27.75" customHeight="1">
      <c r="A1" s="2"/>
      <c r="B1" s="3"/>
      <c r="C1" s="3"/>
      <c r="D1" s="3"/>
      <c r="E1" s="3"/>
      <c r="F1" s="3"/>
      <c r="G1" s="3"/>
      <c r="H1" s="3"/>
      <c r="I1" s="3"/>
      <c r="J1" s="3"/>
      <c r="K1" s="3"/>
      <c r="L1" s="7"/>
      <c r="M1" s="1"/>
      <c r="N1" s="315" t="s">
        <v>2</v>
      </c>
      <c r="O1" s="316"/>
      <c r="P1" s="316"/>
      <c r="Q1" s="316"/>
      <c r="R1" s="316"/>
      <c r="S1" s="316"/>
      <c r="T1" s="316"/>
      <c r="U1" s="9"/>
      <c r="V1" s="10"/>
      <c r="W1" s="11"/>
      <c r="X1" s="12"/>
      <c r="Y1" s="12"/>
      <c r="Z1" s="12"/>
    </row>
    <row r="2" spans="1:26" ht="17.25" customHeight="1">
      <c r="A2" s="4" t="s">
        <v>3</v>
      </c>
      <c r="B2" s="14" t="s">
        <v>4</v>
      </c>
      <c r="C2" s="14" t="s">
        <v>6</v>
      </c>
      <c r="D2" s="14" t="s">
        <v>7</v>
      </c>
      <c r="E2" s="14" t="s">
        <v>8</v>
      </c>
      <c r="F2" s="14" t="s">
        <v>9</v>
      </c>
      <c r="G2" s="14" t="s">
        <v>10</v>
      </c>
      <c r="H2" s="14" t="s">
        <v>11</v>
      </c>
      <c r="I2" s="14" t="s">
        <v>12</v>
      </c>
      <c r="J2" s="14" t="s">
        <v>13</v>
      </c>
      <c r="K2" s="14" t="s">
        <v>14</v>
      </c>
      <c r="L2" s="19" t="s">
        <v>15</v>
      </c>
      <c r="M2" s="20"/>
      <c r="N2" s="21"/>
      <c r="O2" s="23" t="s">
        <v>4</v>
      </c>
      <c r="P2" s="25" t="s">
        <v>34</v>
      </c>
      <c r="Q2" s="25" t="s">
        <v>36</v>
      </c>
      <c r="R2" s="25" t="s">
        <v>37</v>
      </c>
      <c r="S2" s="25" t="s">
        <v>38</v>
      </c>
      <c r="T2" s="27" t="s">
        <v>39</v>
      </c>
      <c r="U2" s="31"/>
      <c r="V2" s="32"/>
      <c r="W2" s="33" t="s">
        <v>41</v>
      </c>
      <c r="X2" s="10"/>
      <c r="Y2" s="12"/>
      <c r="Z2" s="12"/>
    </row>
    <row r="3" spans="1:26" ht="12.75" customHeight="1">
      <c r="A3" s="4">
        <f t="shared" ref="A3:A27" ca="1" si="0">RANK($L3,$L$3:$L$27)</f>
        <v>2</v>
      </c>
      <c r="B3" s="3" t="str">
        <f ca="1">IF('Team Stats'!$N3&lt;&gt;"",'Team Stats'!$N3,"")</f>
        <v>Sylvania Suckhawks</v>
      </c>
      <c r="C3" s="14">
        <f t="array" aca="1" ref="C3" ca="1">SUM(IF(RES_H=$B3,IF(NOT(ISERROR(MATCH(RES_TYPE,RankingSelection,0))),RES_TD_H,0)),IF(RES_A=$B3,IF(NOT(ISERROR(MATCH(RES_TYPE,RankingSelection,0))),RES_TD_A,0)))</f>
        <v>7</v>
      </c>
      <c r="D3" s="14">
        <f t="array" aca="1" ref="D3" ca="1">SUM(IF(RES_H=$B3,IF(NOT(ISERROR(MATCH(RES_TYPE,RankingSelection,0))),RES_TD_A,0)),IF(RES_A=$B3,IF(NOT(ISERROR(MATCH(RES_TYPE,RankingSelection,0))),RES_TD_H,0)))</f>
        <v>4</v>
      </c>
      <c r="E3" s="14">
        <f t="array" aca="1" ref="E3" ca="1">SUM(IF(RES_H=$B3,IF(NOT(ISERROR(MATCH(RES_TYPE,RankingSelection,0))),RES_CAS_H,0)),IF(RES_A=$B3,IF(NOT(ISERROR(MATCH(RES_TYPE,RankingSelection,0))),RES_CAS_A,0)))</f>
        <v>8</v>
      </c>
      <c r="F3" s="14">
        <f t="array" aca="1" ref="F3" ca="1">SUM(IF(RES_H=$B3,IF(NOT(ISERROR(MATCH(RES_TYPE,RankingSelection,0))),RES_CAS_A,0)),IF(RES_A=$B3,IF(NOT(ISERROR(MATCH(RES_TYPE,RankingSelection,0))),RES_CAS_H,0)))</f>
        <v>13</v>
      </c>
      <c r="G3" s="14">
        <f t="array" aca="1" ref="G3" ca="1">SUM(IF(NOT(ISERROR(MATCH(RES_TYPE,RankingSelection,0))),IF(RES_H=$B3,1,IF(RES_A=$B3,1,0))))</f>
        <v>6</v>
      </c>
      <c r="H3" s="14">
        <f t="array" aca="1" ref="H3" ca="1">SUM(IF(NOT(ISERROR(MATCH(RES_TYPE,RankingSelection,0))),IF(RES_H=$B3,RES_WIN_H,(IF(RES_A=$B3,RES_WIN_A,0)))),0)</f>
        <v>4</v>
      </c>
      <c r="I3" s="14">
        <f t="shared" ref="I3:I27" ca="1" si="1">$G3-$H3-$J3</f>
        <v>0</v>
      </c>
      <c r="J3" s="14">
        <f t="array" aca="1" ref="J3" ca="1">SUM(IF(NOT(ISERROR(MATCH(RES_TYPE,RankingSelection,0))),IF(RES_H=$B3,RES_WIN_A,(IF(RES_A=$B3,RES_WIN_H,0)))),0)</f>
        <v>2</v>
      </c>
      <c r="K3" s="14">
        <f t="array" aca="1" ref="K3" ca="1">SUM(IF(NOT(ISERROR(MATCH(RES_TYPE,RankingSelection,0))),IF(RES_H=$B3,RES_PTS_H,(IF(RES_A=$B3,RES_PTS_A,0)))),0)/IF(PTS_WINRATIO=1,MAX(1,G3),1)</f>
        <v>12</v>
      </c>
      <c r="L3" s="19">
        <f t="shared" ref="L3:L27" ca="1" si="2">IF(AND(B3&lt;&gt;"",G3&gt;0),K3+(C3-D3)/100000+ROW()/10000000,-1)</f>
        <v>12.000030300000001</v>
      </c>
      <c r="M3" s="20"/>
      <c r="N3" s="34">
        <v>1</v>
      </c>
      <c r="O3" s="35" t="e">
        <f>IF($N3&lt;=#REF!,VLOOKUP($N3,TeamRanking,2,FALSE),"")</f>
        <v>#REF!</v>
      </c>
      <c r="P3" s="31" t="e">
        <f t="shared" ref="P3:P27" si="3">IF($N3&lt;=NoTeams,VLOOKUP($N3,TeamRanking,11,FALSE),"")</f>
        <v>#REF!</v>
      </c>
      <c r="Q3" s="31" t="e">
        <f t="shared" ref="Q3:Q27" si="4">IF($N3&lt;=NoTeams,VLOOKUP($N3,TeamRanking,7,FALSE),"")</f>
        <v>#REF!</v>
      </c>
      <c r="R3" s="31" t="e">
        <f t="shared" ref="R3:R27" si="5">IF($N3&lt;=NoTeams,TEXT(VLOOKUP($N3,TeamRanking,8,FALSE),0)&amp;" - "&amp;TEXT(VLOOKUP($N3,TeamRanking,9,FALSE),0)&amp;" - "&amp;TEXT(VLOOKUP($N3,TeamRanking,10,FALSE),0),"")</f>
        <v>#REF!</v>
      </c>
      <c r="S3" s="31" t="e">
        <f t="shared" ref="S3:S27" si="6">IF($N3&lt;=NoTeams,TEXT(VLOOKUP($N3,TeamRanking,3,FALSE),0)&amp;" : "&amp;TEXT(VLOOKUP($N3,TeamRanking,4,FALSE),0),"")</f>
        <v>#REF!</v>
      </c>
      <c r="T3" s="36" t="e">
        <f t="shared" ref="T3:T27" si="7">IF($N3&lt;=NoTeams,TEXT(VLOOKUP($N3,TeamRanking,5,FALSE),0)&amp;" : "&amp;TEXT(VLOOKUP($N3,TeamRanking,6,FALSE),0),"")</f>
        <v>#REF!</v>
      </c>
      <c r="U3" s="31">
        <v>1</v>
      </c>
      <c r="V3" s="32"/>
      <c r="W3" s="37" t="s">
        <v>40</v>
      </c>
      <c r="X3" s="10"/>
      <c r="Y3" s="12"/>
      <c r="Z3" s="12"/>
    </row>
    <row r="4" spans="1:26" ht="12.75" customHeight="1">
      <c r="A4" s="4">
        <f t="shared" ca="1" si="0"/>
        <v>5</v>
      </c>
      <c r="B4" s="3" t="str">
        <f ca="1">IF('Team Stats'!$N4&lt;&gt;"",'Team Stats'!$N4,"")</f>
        <v>Jacksonville Thrillers</v>
      </c>
      <c r="C4" s="14">
        <f t="array" aca="1" ref="C4" ca="1">SUM(IF(RES_H=$B4,IF(NOT(ISERROR(MATCH(RES_TYPE,RankingSelection,0))),RES_TD_H,0)),IF(RES_A=$B4,IF(NOT(ISERROR(MATCH(RES_TYPE,RankingSelection,0))),RES_TD_A,0)))</f>
        <v>3</v>
      </c>
      <c r="D4" s="14">
        <f t="array" aca="1" ref="D4" ca="1">SUM(IF(RES_H=$B4,IF(NOT(ISERROR(MATCH(RES_TYPE,RankingSelection,0))),RES_TD_A,0)),IF(RES_A=$B4,IF(NOT(ISERROR(MATCH(RES_TYPE,RankingSelection,0))),RES_TD_H,0)))</f>
        <v>1</v>
      </c>
      <c r="E4" s="14">
        <f t="array" aca="1" ref="E4" ca="1">SUM(IF(RES_H=$B4,IF(NOT(ISERROR(MATCH(RES_TYPE,RankingSelection,0))),RES_CAS_H,0)),IF(RES_A=$B4,IF(NOT(ISERROR(MATCH(RES_TYPE,RankingSelection,0))),RES_CAS_A,0)))</f>
        <v>2</v>
      </c>
      <c r="F4" s="14">
        <f t="array" aca="1" ref="F4" ca="1">SUM(IF(RES_H=$B4,IF(NOT(ISERROR(MATCH(RES_TYPE,RankingSelection,0))),RES_CAS_A,0)),IF(RES_A=$B4,IF(NOT(ISERROR(MATCH(RES_TYPE,RankingSelection,0))),RES_CAS_H,0)))</f>
        <v>4</v>
      </c>
      <c r="G4" s="14">
        <f t="array" aca="1" ref="G4" ca="1">SUM(IF(NOT(ISERROR(MATCH(RES_TYPE,RankingSelection,0))),IF(RES_H=$B4,1,IF(RES_A=$B4,1,0))))</f>
        <v>2</v>
      </c>
      <c r="H4" s="14">
        <f t="array" aca="1" ref="H4" ca="1">SUM(IF(NOT(ISERROR(MATCH(RES_TYPE,RankingSelection,0))),IF(RES_H=$B4,RES_WIN_H,(IF(RES_A=$B4,RES_WIN_A,0)))),0)</f>
        <v>2</v>
      </c>
      <c r="I4" s="14">
        <f t="shared" ca="1" si="1"/>
        <v>0</v>
      </c>
      <c r="J4" s="14">
        <f t="array" aca="1" ref="J4" ca="1">SUM(IF(NOT(ISERROR(MATCH(RES_TYPE,RankingSelection,0))),IF(RES_H=$B4,RES_WIN_A,(IF(RES_A=$B4,RES_WIN_H,0)))),0)</f>
        <v>0</v>
      </c>
      <c r="K4" s="14">
        <f t="array" aca="1" ref="K4" ca="1">SUM(IF(NOT(ISERROR(MATCH(RES_TYPE,RankingSelection,0))),IF(RES_H=$B4,RES_PTS_H,(IF(RES_A=$B4,RES_PTS_A,0)))),0)/IF(PTS_WINRATIO=1,MAX(1,G4),1)</f>
        <v>6</v>
      </c>
      <c r="L4" s="19">
        <f t="shared" ca="1" si="2"/>
        <v>6.0000204000000004</v>
      </c>
      <c r="M4" s="20"/>
      <c r="N4" s="34">
        <v>2</v>
      </c>
      <c r="O4" s="48" t="e">
        <f t="shared" ref="O4:O27" si="8">IF($N4&lt;=NoTeams,VLOOKUP($N4,TeamRanking,2,FALSE),"")</f>
        <v>#REF!</v>
      </c>
      <c r="P4" s="28" t="e">
        <f t="shared" si="3"/>
        <v>#REF!</v>
      </c>
      <c r="Q4" s="28" t="e">
        <f t="shared" si="4"/>
        <v>#REF!</v>
      </c>
      <c r="R4" s="28" t="e">
        <f t="shared" si="5"/>
        <v>#REF!</v>
      </c>
      <c r="S4" s="28" t="e">
        <f t="shared" si="6"/>
        <v>#REF!</v>
      </c>
      <c r="T4" s="52" t="e">
        <f t="shared" si="7"/>
        <v>#REF!</v>
      </c>
      <c r="U4" s="31">
        <v>2</v>
      </c>
      <c r="V4" s="32"/>
      <c r="W4" s="37"/>
      <c r="X4" s="10"/>
      <c r="Y4" s="12"/>
      <c r="Z4" s="12"/>
    </row>
    <row r="5" spans="1:26" ht="12.75" customHeight="1">
      <c r="A5" s="4">
        <f t="shared" ca="1" si="0"/>
        <v>7</v>
      </c>
      <c r="B5" s="3" t="str">
        <f ca="1">IF('Team Stats'!$N5&lt;&gt;"",'Team Stats'!$N5,"")</f>
        <v>Population: Orc</v>
      </c>
      <c r="C5" s="14">
        <f t="array" aca="1" ref="C5" ca="1">SUM(IF(RES_H=$B5,IF(NOT(ISERROR(MATCH(RES_TYPE,RankingSelection,0))),RES_TD_H,0)),IF(RES_A=$B5,IF(NOT(ISERROR(MATCH(RES_TYPE,RankingSelection,0))),RES_TD_A,0)))</f>
        <v>3</v>
      </c>
      <c r="D5" s="14">
        <f t="array" aca="1" ref="D5" ca="1">SUM(IF(RES_H=$B5,IF(NOT(ISERROR(MATCH(RES_TYPE,RankingSelection,0))),RES_TD_A,0)),IF(RES_A=$B5,IF(NOT(ISERROR(MATCH(RES_TYPE,RankingSelection,0))),RES_TD_H,0)))</f>
        <v>11</v>
      </c>
      <c r="E5" s="14">
        <f t="array" aca="1" ref="E5" ca="1">SUM(IF(RES_H=$B5,IF(NOT(ISERROR(MATCH(RES_TYPE,RankingSelection,0))),RES_CAS_H,0)),IF(RES_A=$B5,IF(NOT(ISERROR(MATCH(RES_TYPE,RankingSelection,0))),RES_CAS_A,0)))</f>
        <v>12</v>
      </c>
      <c r="F5" s="14">
        <f t="array" aca="1" ref="F5" ca="1">SUM(IF(RES_H=$B5,IF(NOT(ISERROR(MATCH(RES_TYPE,RankingSelection,0))),RES_CAS_A,0)),IF(RES_A=$B5,IF(NOT(ISERROR(MATCH(RES_TYPE,RankingSelection,0))),RES_CAS_H,0)))</f>
        <v>11</v>
      </c>
      <c r="G5" s="14">
        <f t="array" aca="1" ref="G5" ca="1">SUM(IF(NOT(ISERROR(MATCH(RES_TYPE,RankingSelection,0))),IF(RES_H=$B5,1,IF(RES_A=$B5,1,0))))</f>
        <v>6</v>
      </c>
      <c r="H5" s="14">
        <f t="array" aca="1" ref="H5" ca="1">SUM(IF(NOT(ISERROR(MATCH(RES_TYPE,RankingSelection,0))),IF(RES_H=$B5,RES_WIN_H,(IF(RES_A=$B5,RES_WIN_A,0)))),0)</f>
        <v>1</v>
      </c>
      <c r="I5" s="14">
        <f t="shared" ca="1" si="1"/>
        <v>0</v>
      </c>
      <c r="J5" s="14">
        <f t="array" aca="1" ref="J5" ca="1">SUM(IF(NOT(ISERROR(MATCH(RES_TYPE,RankingSelection,0))),IF(RES_H=$B5,RES_WIN_A,(IF(RES_A=$B5,RES_WIN_H,0)))),0)</f>
        <v>5</v>
      </c>
      <c r="K5" s="14">
        <f t="array" aca="1" ref="K5" ca="1">SUM(IF(NOT(ISERROR(MATCH(RES_TYPE,RankingSelection,0))),IF(RES_H=$B5,RES_PTS_H,(IF(RES_A=$B5,RES_PTS_A,0)))),0)/IF(PTS_WINRATIO=1,MAX(1,G5),1)</f>
        <v>3</v>
      </c>
      <c r="L5" s="19">
        <f t="shared" ca="1" si="2"/>
        <v>2.9999205</v>
      </c>
      <c r="M5" s="20"/>
      <c r="N5" s="34">
        <v>3</v>
      </c>
      <c r="O5" s="48" t="e">
        <f t="shared" si="8"/>
        <v>#REF!</v>
      </c>
      <c r="P5" s="28" t="e">
        <f t="shared" si="3"/>
        <v>#REF!</v>
      </c>
      <c r="Q5" s="28" t="e">
        <f t="shared" si="4"/>
        <v>#REF!</v>
      </c>
      <c r="R5" s="28" t="e">
        <f t="shared" si="5"/>
        <v>#REF!</v>
      </c>
      <c r="S5" s="28" t="e">
        <f t="shared" si="6"/>
        <v>#REF!</v>
      </c>
      <c r="T5" s="52" t="e">
        <f t="shared" si="7"/>
        <v>#REF!</v>
      </c>
      <c r="U5" s="31">
        <v>3</v>
      </c>
      <c r="V5" s="32"/>
      <c r="W5" s="37"/>
      <c r="X5" s="10"/>
      <c r="Y5" s="12"/>
      <c r="Z5" s="12"/>
    </row>
    <row r="6" spans="1:26" ht="12.75" customHeight="1">
      <c r="A6" s="4">
        <f t="shared" ca="1" si="0"/>
        <v>9</v>
      </c>
      <c r="B6" s="3" t="str">
        <f ca="1">IF('Team Stats'!$N6&lt;&gt;"",'Team Stats'!$N6,"")</f>
        <v>Wrath of the Month</v>
      </c>
      <c r="C6" s="14">
        <f t="array" aca="1" ref="C6" ca="1">SUM(IF(RES_H=$B6,IF(NOT(ISERROR(MATCH(RES_TYPE,RankingSelection,0))),RES_TD_H,0)),IF(RES_A=$B6,IF(NOT(ISERROR(MATCH(RES_TYPE,RankingSelection,0))),RES_TD_A,0)))</f>
        <v>2</v>
      </c>
      <c r="D6" s="14">
        <f t="array" aca="1" ref="D6" ca="1">SUM(IF(RES_H=$B6,IF(NOT(ISERROR(MATCH(RES_TYPE,RankingSelection,0))),RES_TD_A,0)),IF(RES_A=$B6,IF(NOT(ISERROR(MATCH(RES_TYPE,RankingSelection,0))),RES_TD_H,0)))</f>
        <v>4</v>
      </c>
      <c r="E6" s="14">
        <f t="array" aca="1" ref="E6" ca="1">SUM(IF(RES_H=$B6,IF(NOT(ISERROR(MATCH(RES_TYPE,RankingSelection,0))),RES_CAS_H,0)),IF(RES_A=$B6,IF(NOT(ISERROR(MATCH(RES_TYPE,RankingSelection,0))),RES_CAS_A,0)))</f>
        <v>5</v>
      </c>
      <c r="F6" s="14">
        <f t="array" aca="1" ref="F6" ca="1">SUM(IF(RES_H=$B6,IF(NOT(ISERROR(MATCH(RES_TYPE,RankingSelection,0))),RES_CAS_A,0)),IF(RES_A=$B6,IF(NOT(ISERROR(MATCH(RES_TYPE,RankingSelection,0))),RES_CAS_H,0)))</f>
        <v>4</v>
      </c>
      <c r="G6" s="14">
        <f t="array" aca="1" ref="G6" ca="1">SUM(IF(NOT(ISERROR(MATCH(RES_TYPE,RankingSelection,0))),IF(RES_H=$B6,1,IF(RES_A=$B6,1,0))))</f>
        <v>3</v>
      </c>
      <c r="H6" s="14">
        <f t="array" aca="1" ref="H6" ca="1">SUM(IF(NOT(ISERROR(MATCH(RES_TYPE,RankingSelection,0))),IF(RES_H=$B6,RES_WIN_H,(IF(RES_A=$B6,RES_WIN_A,0)))),0)</f>
        <v>0</v>
      </c>
      <c r="I6" s="14">
        <f t="shared" ca="1" si="1"/>
        <v>1</v>
      </c>
      <c r="J6" s="14">
        <f t="array" aca="1" ref="J6" ca="1">SUM(IF(NOT(ISERROR(MATCH(RES_TYPE,RankingSelection,0))),IF(RES_H=$B6,RES_WIN_A,(IF(RES_A=$B6,RES_WIN_H,0)))),0)</f>
        <v>2</v>
      </c>
      <c r="K6" s="14">
        <f t="array" aca="1" ref="K6" ca="1">SUM(IF(NOT(ISERROR(MATCH(RES_TYPE,RankingSelection,0))),IF(RES_H=$B6,RES_PTS_H,(IF(RES_A=$B6,RES_PTS_A,0)))),0)/IF(PTS_WINRATIO=1,MAX(1,G6),1)</f>
        <v>1</v>
      </c>
      <c r="L6" s="19">
        <f t="shared" ca="1" si="2"/>
        <v>0.9999806</v>
      </c>
      <c r="M6" s="20"/>
      <c r="N6" s="34">
        <v>4</v>
      </c>
      <c r="O6" s="48" t="e">
        <f t="shared" si="8"/>
        <v>#REF!</v>
      </c>
      <c r="P6" s="28" t="e">
        <f t="shared" si="3"/>
        <v>#REF!</v>
      </c>
      <c r="Q6" s="28" t="e">
        <f t="shared" si="4"/>
        <v>#REF!</v>
      </c>
      <c r="R6" s="28" t="e">
        <f t="shared" si="5"/>
        <v>#REF!</v>
      </c>
      <c r="S6" s="28" t="e">
        <f t="shared" si="6"/>
        <v>#REF!</v>
      </c>
      <c r="T6" s="52" t="e">
        <f t="shared" si="7"/>
        <v>#REF!</v>
      </c>
      <c r="U6" s="31">
        <v>4</v>
      </c>
      <c r="V6" s="32"/>
      <c r="W6" s="37"/>
      <c r="X6" s="10"/>
      <c r="Y6" s="12"/>
      <c r="Z6" s="12"/>
    </row>
    <row r="7" spans="1:26" ht="12.75" customHeight="1">
      <c r="A7" s="4">
        <f t="shared" ca="1" si="0"/>
        <v>10</v>
      </c>
      <c r="B7" s="3" t="str">
        <f ca="1">IF('Team Stats'!$N7&lt;&gt;"",'Team Stats'!$N7,"")</f>
        <v>OrCares</v>
      </c>
      <c r="C7" s="14">
        <f t="array" aca="1" ref="C7" ca="1">SUM(IF(RES_H=$B7,IF(NOT(ISERROR(MATCH(RES_TYPE,RankingSelection,0))),RES_TD_H,0)),IF(RES_A=$B7,IF(NOT(ISERROR(MATCH(RES_TYPE,RankingSelection,0))),RES_TD_A,0)))</f>
        <v>0</v>
      </c>
      <c r="D7" s="14">
        <f t="array" aca="1" ref="D7" ca="1">SUM(IF(RES_H=$B7,IF(NOT(ISERROR(MATCH(RES_TYPE,RankingSelection,0))),RES_TD_A,0)),IF(RES_A=$B7,IF(NOT(ISERROR(MATCH(RES_TYPE,RankingSelection,0))),RES_TD_H,0)))</f>
        <v>2</v>
      </c>
      <c r="E7" s="14">
        <f t="array" aca="1" ref="E7" ca="1">SUM(IF(RES_H=$B7,IF(NOT(ISERROR(MATCH(RES_TYPE,RankingSelection,0))),RES_CAS_H,0)),IF(RES_A=$B7,IF(NOT(ISERROR(MATCH(RES_TYPE,RankingSelection,0))),RES_CAS_A,0)))</f>
        <v>6</v>
      </c>
      <c r="F7" s="14">
        <f t="array" aca="1" ref="F7" ca="1">SUM(IF(RES_H=$B7,IF(NOT(ISERROR(MATCH(RES_TYPE,RankingSelection,0))),RES_CAS_A,0)),IF(RES_A=$B7,IF(NOT(ISERROR(MATCH(RES_TYPE,RankingSelection,0))),RES_CAS_H,0)))</f>
        <v>0</v>
      </c>
      <c r="G7" s="14">
        <f t="array" aca="1" ref="G7" ca="1">SUM(IF(NOT(ISERROR(MATCH(RES_TYPE,RankingSelection,0))),IF(RES_H=$B7,1,IF(RES_A=$B7,1,0))))</f>
        <v>2</v>
      </c>
      <c r="H7" s="14">
        <f t="array" aca="1" ref="H7" ca="1">SUM(IF(NOT(ISERROR(MATCH(RES_TYPE,RankingSelection,0))),IF(RES_H=$B7,RES_WIN_H,(IF(RES_A=$B7,RES_WIN_A,0)))),0)</f>
        <v>0</v>
      </c>
      <c r="I7" s="14">
        <f t="shared" ca="1" si="1"/>
        <v>0</v>
      </c>
      <c r="J7" s="14">
        <f t="array" aca="1" ref="J7" ca="1">SUM(IF(NOT(ISERROR(MATCH(RES_TYPE,RankingSelection,0))),IF(RES_H=$B7,RES_WIN_A,(IF(RES_A=$B7,RES_WIN_H,0)))),0)</f>
        <v>2</v>
      </c>
      <c r="K7" s="14">
        <f t="array" aca="1" ref="K7" ca="1">SUM(IF(NOT(ISERROR(MATCH(RES_TYPE,RankingSelection,0))),IF(RES_H=$B7,RES_PTS_H,(IF(RES_A=$B7,RES_PTS_A,0)))),0)/IF(PTS_WINRATIO=1,MAX(1,G7),1)</f>
        <v>0</v>
      </c>
      <c r="L7" s="19">
        <f t="shared" ca="1" si="2"/>
        <v>-1.9300000000000002E-5</v>
      </c>
      <c r="M7" s="20"/>
      <c r="N7" s="34">
        <v>5</v>
      </c>
      <c r="O7" s="48" t="e">
        <f t="shared" si="8"/>
        <v>#REF!</v>
      </c>
      <c r="P7" s="28" t="e">
        <f t="shared" si="3"/>
        <v>#REF!</v>
      </c>
      <c r="Q7" s="28" t="e">
        <f t="shared" si="4"/>
        <v>#REF!</v>
      </c>
      <c r="R7" s="28" t="e">
        <f t="shared" si="5"/>
        <v>#REF!</v>
      </c>
      <c r="S7" s="28" t="e">
        <f t="shared" si="6"/>
        <v>#REF!</v>
      </c>
      <c r="T7" s="52" t="e">
        <f t="shared" si="7"/>
        <v>#REF!</v>
      </c>
      <c r="U7" s="31">
        <v>5</v>
      </c>
      <c r="V7" s="32"/>
      <c r="W7" s="37"/>
      <c r="X7" s="10"/>
      <c r="Y7" s="12"/>
      <c r="Z7" s="12"/>
    </row>
    <row r="8" spans="1:26" ht="12.75" customHeight="1">
      <c r="A8" s="4">
        <f t="shared" ca="1" si="0"/>
        <v>1</v>
      </c>
      <c r="B8" s="3" t="str">
        <f ca="1">IF('Team Stats'!$N8&lt;&gt;"",'Team Stats'!$N8,"")</f>
        <v>Guardians of the Nile</v>
      </c>
      <c r="C8" s="14">
        <f t="array" aca="1" ref="C8" ca="1">SUM(IF(RES_H=$B8,IF(NOT(ISERROR(MATCH(RES_TYPE,RankingSelection,0))),RES_TD_H,0)),IF(RES_A=$B8,IF(NOT(ISERROR(MATCH(RES_TYPE,RankingSelection,0))),RES_TD_A,0)))</f>
        <v>5</v>
      </c>
      <c r="D8" s="14">
        <f t="array" aca="1" ref="D8" ca="1">SUM(IF(RES_H=$B8,IF(NOT(ISERROR(MATCH(RES_TYPE,RankingSelection,0))),RES_TD_A,0)),IF(RES_A=$B8,IF(NOT(ISERROR(MATCH(RES_TYPE,RankingSelection,0))),RES_TD_H,0)))</f>
        <v>1</v>
      </c>
      <c r="E8" s="14">
        <f t="array" aca="1" ref="E8" ca="1">SUM(IF(RES_H=$B8,IF(NOT(ISERROR(MATCH(RES_TYPE,RankingSelection,0))),RES_CAS_H,0)),IF(RES_A=$B8,IF(NOT(ISERROR(MATCH(RES_TYPE,RankingSelection,0))),RES_CAS_A,0)))</f>
        <v>6</v>
      </c>
      <c r="F8" s="14">
        <f t="array" aca="1" ref="F8" ca="1">SUM(IF(RES_H=$B8,IF(NOT(ISERROR(MATCH(RES_TYPE,RankingSelection,0))),RES_CAS_A,0)),IF(RES_A=$B8,IF(NOT(ISERROR(MATCH(RES_TYPE,RankingSelection,0))),RES_CAS_H,0)))</f>
        <v>2</v>
      </c>
      <c r="G8" s="14">
        <f t="array" aca="1" ref="G8" ca="1">SUM(IF(NOT(ISERROR(MATCH(RES_TYPE,RankingSelection,0))),IF(RES_H=$B8,1,IF(RES_A=$B8,1,0))))</f>
        <v>4</v>
      </c>
      <c r="H8" s="14">
        <f t="array" aca="1" ref="H8" ca="1">SUM(IF(NOT(ISERROR(MATCH(RES_TYPE,RankingSelection,0))),IF(RES_H=$B8,RES_WIN_H,(IF(RES_A=$B8,RES_WIN_A,0)))),0)</f>
        <v>4</v>
      </c>
      <c r="I8" s="14">
        <f t="shared" ca="1" si="1"/>
        <v>0</v>
      </c>
      <c r="J8" s="14">
        <f t="array" aca="1" ref="J8" ca="1">SUM(IF(NOT(ISERROR(MATCH(RES_TYPE,RankingSelection,0))),IF(RES_H=$B8,RES_WIN_A,(IF(RES_A=$B8,RES_WIN_H,0)))),0)</f>
        <v>0</v>
      </c>
      <c r="K8" s="14">
        <f t="array" aca="1" ref="K8" ca="1">SUM(IF(NOT(ISERROR(MATCH(RES_TYPE,RankingSelection,0))),IF(RES_H=$B8,RES_PTS_H,(IF(RES_A=$B8,RES_PTS_A,0)))),0)/IF(PTS_WINRATIO=1,MAX(1,G8),1)</f>
        <v>12</v>
      </c>
      <c r="L8" s="19">
        <f t="shared" ca="1" si="2"/>
        <v>12.000040800000001</v>
      </c>
      <c r="M8" s="20"/>
      <c r="N8" s="34">
        <v>6</v>
      </c>
      <c r="O8" s="48" t="e">
        <f t="shared" si="8"/>
        <v>#REF!</v>
      </c>
      <c r="P8" s="28" t="e">
        <f t="shared" si="3"/>
        <v>#REF!</v>
      </c>
      <c r="Q8" s="28" t="e">
        <f t="shared" si="4"/>
        <v>#REF!</v>
      </c>
      <c r="R8" s="28" t="e">
        <f t="shared" si="5"/>
        <v>#REF!</v>
      </c>
      <c r="S8" s="28" t="e">
        <f t="shared" si="6"/>
        <v>#REF!</v>
      </c>
      <c r="T8" s="52" t="e">
        <f t="shared" si="7"/>
        <v>#REF!</v>
      </c>
      <c r="U8" s="31">
        <v>6</v>
      </c>
      <c r="V8" s="32"/>
      <c r="W8" s="37"/>
      <c r="X8" s="10"/>
      <c r="Y8" s="12"/>
      <c r="Z8" s="12"/>
    </row>
    <row r="9" spans="1:26" ht="12.75" customHeight="1">
      <c r="A9" s="4">
        <f t="shared" ca="1" si="0"/>
        <v>4</v>
      </c>
      <c r="B9" s="3" t="str">
        <f ca="1">IF('Team Stats'!$N9&lt;&gt;"",'Team Stats'!$N9,"")</f>
        <v>Skyhaven Silverfoxes</v>
      </c>
      <c r="C9" s="14">
        <f t="array" aca="1" ref="C9" ca="1">SUM(IF(RES_H=$B9,IF(NOT(ISERROR(MATCH(RES_TYPE,RankingSelection,0))),RES_TD_H,0)),IF(RES_A=$B9,IF(NOT(ISERROR(MATCH(RES_TYPE,RankingSelection,0))),RES_TD_A,0)))</f>
        <v>9</v>
      </c>
      <c r="D9" s="14">
        <f t="array" aca="1" ref="D9" ca="1">SUM(IF(RES_H=$B9,IF(NOT(ISERROR(MATCH(RES_TYPE,RankingSelection,0))),RES_TD_A,0)),IF(RES_A=$B9,IF(NOT(ISERROR(MATCH(RES_TYPE,RankingSelection,0))),RES_TD_H,0)))</f>
        <v>6</v>
      </c>
      <c r="E9" s="14">
        <f t="array" aca="1" ref="E9" ca="1">SUM(IF(RES_H=$B9,IF(NOT(ISERROR(MATCH(RES_TYPE,RankingSelection,0))),RES_CAS_H,0)),IF(RES_A=$B9,IF(NOT(ISERROR(MATCH(RES_TYPE,RankingSelection,0))),RES_CAS_A,0)))</f>
        <v>2</v>
      </c>
      <c r="F9" s="14">
        <f t="array" aca="1" ref="F9" ca="1">SUM(IF(RES_H=$B9,IF(NOT(ISERROR(MATCH(RES_TYPE,RankingSelection,0))),RES_CAS_A,0)),IF(RES_A=$B9,IF(NOT(ISERROR(MATCH(RES_TYPE,RankingSelection,0))),RES_CAS_H,0)))</f>
        <v>9</v>
      </c>
      <c r="G9" s="14">
        <f t="array" aca="1" ref="G9" ca="1">SUM(IF(NOT(ISERROR(MATCH(RES_TYPE,RankingSelection,0))),IF(RES_H=$B9,1,IF(RES_A=$B9,1,0))))</f>
        <v>5</v>
      </c>
      <c r="H9" s="14">
        <f t="array" aca="1" ref="H9" ca="1">SUM(IF(NOT(ISERROR(MATCH(RES_TYPE,RankingSelection,0))),IF(RES_H=$B9,RES_WIN_H,(IF(RES_A=$B9,RES_WIN_A,0)))),0)</f>
        <v>2</v>
      </c>
      <c r="I9" s="14">
        <f t="shared" ca="1" si="1"/>
        <v>1</v>
      </c>
      <c r="J9" s="14">
        <f t="array" aca="1" ref="J9" ca="1">SUM(IF(NOT(ISERROR(MATCH(RES_TYPE,RankingSelection,0))),IF(RES_H=$B9,RES_WIN_A,(IF(RES_A=$B9,RES_WIN_H,0)))),0)</f>
        <v>2</v>
      </c>
      <c r="K9" s="14">
        <f t="array" aca="1" ref="K9" ca="1">SUM(IF(NOT(ISERROR(MATCH(RES_TYPE,RankingSelection,0))),IF(RES_H=$B9,RES_PTS_H,(IF(RES_A=$B9,RES_PTS_A,0)))),0)/IF(PTS_WINRATIO=1,MAX(1,G9),1)</f>
        <v>7</v>
      </c>
      <c r="L9" s="19">
        <f t="shared" ca="1" si="2"/>
        <v>7.0000308999999996</v>
      </c>
      <c r="M9" s="20"/>
      <c r="N9" s="34">
        <v>7</v>
      </c>
      <c r="O9" s="48" t="e">
        <f t="shared" si="8"/>
        <v>#REF!</v>
      </c>
      <c r="P9" s="28" t="e">
        <f t="shared" si="3"/>
        <v>#REF!</v>
      </c>
      <c r="Q9" s="28" t="e">
        <f t="shared" si="4"/>
        <v>#REF!</v>
      </c>
      <c r="R9" s="28" t="e">
        <f t="shared" si="5"/>
        <v>#REF!</v>
      </c>
      <c r="S9" s="28" t="e">
        <f t="shared" si="6"/>
        <v>#REF!</v>
      </c>
      <c r="T9" s="52" t="e">
        <f t="shared" si="7"/>
        <v>#REF!</v>
      </c>
      <c r="U9" s="31">
        <v>7</v>
      </c>
      <c r="V9" s="32"/>
      <c r="W9" s="37"/>
      <c r="X9" s="10"/>
      <c r="Y9" s="12"/>
      <c r="Z9" s="12"/>
    </row>
    <row r="10" spans="1:26" ht="12.75" customHeight="1">
      <c r="A10" s="4">
        <f t="shared" ca="1" si="0"/>
        <v>8</v>
      </c>
      <c r="B10" s="3" t="str">
        <f ca="1">IF('Team Stats'!$N10&lt;&gt;"",'Team Stats'!$N10,"")</f>
        <v>Ashtown Villains</v>
      </c>
      <c r="C10" s="14">
        <f t="array" aca="1" ref="C10" ca="1">SUM(IF(RES_H=$B10,IF(NOT(ISERROR(MATCH(RES_TYPE,RankingSelection,0))),RES_TD_H,0)),IF(RES_A=$B10,IF(NOT(ISERROR(MATCH(RES_TYPE,RankingSelection,0))),RES_TD_A,0)))</f>
        <v>2</v>
      </c>
      <c r="D10" s="14">
        <f t="array" aca="1" ref="D10" ca="1">SUM(IF(RES_H=$B10,IF(NOT(ISERROR(MATCH(RES_TYPE,RankingSelection,0))),RES_TD_A,0)),IF(RES_A=$B10,IF(NOT(ISERROR(MATCH(RES_TYPE,RankingSelection,0))),RES_TD_H,0)))</f>
        <v>4</v>
      </c>
      <c r="E10" s="14">
        <f t="array" aca="1" ref="E10" ca="1">SUM(IF(RES_H=$B10,IF(NOT(ISERROR(MATCH(RES_TYPE,RankingSelection,0))),RES_CAS_H,0)),IF(RES_A=$B10,IF(NOT(ISERROR(MATCH(RES_TYPE,RankingSelection,0))),RES_CAS_A,0)))</f>
        <v>3</v>
      </c>
      <c r="F10" s="14">
        <f t="array" aca="1" ref="F10" ca="1">SUM(IF(RES_H=$B10,IF(NOT(ISERROR(MATCH(RES_TYPE,RankingSelection,0))),RES_CAS_A,0)),IF(RES_A=$B10,IF(NOT(ISERROR(MATCH(RES_TYPE,RankingSelection,0))),RES_CAS_H,0)))</f>
        <v>0</v>
      </c>
      <c r="G10" s="14">
        <f t="array" aca="1" ref="G10" ca="1">SUM(IF(NOT(ISERROR(MATCH(RES_TYPE,RankingSelection,0))),IF(RES_H=$B10,1,IF(RES_A=$B10,1,0))))</f>
        <v>2</v>
      </c>
      <c r="H10" s="14">
        <f t="array" aca="1" ref="H10" ca="1">SUM(IF(NOT(ISERROR(MATCH(RES_TYPE,RankingSelection,0))),IF(RES_H=$B10,RES_WIN_H,(IF(RES_A=$B10,RES_WIN_A,0)))),0)</f>
        <v>0</v>
      </c>
      <c r="I10" s="14">
        <f t="shared" ca="1" si="1"/>
        <v>1</v>
      </c>
      <c r="J10" s="14">
        <f t="array" aca="1" ref="J10" ca="1">SUM(IF(NOT(ISERROR(MATCH(RES_TYPE,RankingSelection,0))),IF(RES_H=$B10,RES_WIN_A,(IF(RES_A=$B10,RES_WIN_H,0)))),0)</f>
        <v>1</v>
      </c>
      <c r="K10" s="14">
        <f t="array" aca="1" ref="K10" ca="1">SUM(IF(NOT(ISERROR(MATCH(RES_TYPE,RankingSelection,0))),IF(RES_H=$B10,RES_PTS_H,(IF(RES_A=$B10,RES_PTS_A,0)))),0)/IF(PTS_WINRATIO=1,MAX(1,G10),1)</f>
        <v>1</v>
      </c>
      <c r="L10" s="19">
        <f t="shared" ca="1" si="2"/>
        <v>0.99998100000000001</v>
      </c>
      <c r="M10" s="20"/>
      <c r="N10" s="34">
        <v>8</v>
      </c>
      <c r="O10" s="48" t="e">
        <f t="shared" si="8"/>
        <v>#REF!</v>
      </c>
      <c r="P10" s="28" t="e">
        <f t="shared" si="3"/>
        <v>#REF!</v>
      </c>
      <c r="Q10" s="28" t="e">
        <f t="shared" si="4"/>
        <v>#REF!</v>
      </c>
      <c r="R10" s="28" t="e">
        <f t="shared" si="5"/>
        <v>#REF!</v>
      </c>
      <c r="S10" s="28" t="e">
        <f t="shared" si="6"/>
        <v>#REF!</v>
      </c>
      <c r="T10" s="52" t="e">
        <f t="shared" si="7"/>
        <v>#REF!</v>
      </c>
      <c r="U10" s="31">
        <v>8</v>
      </c>
      <c r="V10" s="32"/>
      <c r="W10" s="37"/>
      <c r="X10" s="10"/>
      <c r="Y10" s="12"/>
      <c r="Z10" s="12"/>
    </row>
    <row r="11" spans="1:26" ht="12.75" customHeight="1">
      <c r="A11" s="4">
        <f t="shared" ca="1" si="0"/>
        <v>3</v>
      </c>
      <c r="B11" s="3" t="str">
        <f ca="1">IF('Team Stats'!$N11&lt;&gt;"",'Team Stats'!$N11,"")</f>
        <v>Aedra &amp; Daedra</v>
      </c>
      <c r="C11" s="14">
        <f t="array" aca="1" ref="C11" ca="1">SUM(IF(RES_H=$B11,IF(NOT(ISERROR(MATCH(RES_TYPE,RankingSelection,0))),RES_TD_H,0)),IF(RES_A=$B11,IF(NOT(ISERROR(MATCH(RES_TYPE,RankingSelection,0))),RES_TD_A,0)))</f>
        <v>7</v>
      </c>
      <c r="D11" s="14">
        <f t="array" aca="1" ref="D11" ca="1">SUM(IF(RES_H=$B11,IF(NOT(ISERROR(MATCH(RES_TYPE,RankingSelection,0))),RES_TD_A,0)),IF(RES_A=$B11,IF(NOT(ISERROR(MATCH(RES_TYPE,RankingSelection,0))),RES_TD_H,0)))</f>
        <v>3</v>
      </c>
      <c r="E11" s="14">
        <f t="array" aca="1" ref="E11" ca="1">SUM(IF(RES_H=$B11,IF(NOT(ISERROR(MATCH(RES_TYPE,RankingSelection,0))),RES_CAS_H,0)),IF(RES_A=$B11,IF(NOT(ISERROR(MATCH(RES_TYPE,RankingSelection,0))),RES_CAS_A,0)))</f>
        <v>5</v>
      </c>
      <c r="F11" s="14">
        <f t="array" aca="1" ref="F11" ca="1">SUM(IF(RES_H=$B11,IF(NOT(ISERROR(MATCH(RES_TYPE,RankingSelection,0))),RES_CAS_A,0)),IF(RES_A=$B11,IF(NOT(ISERROR(MATCH(RES_TYPE,RankingSelection,0))),RES_CAS_H,0)))</f>
        <v>7</v>
      </c>
      <c r="G11" s="14">
        <f t="array" aca="1" ref="G11" ca="1">SUM(IF(NOT(ISERROR(MATCH(RES_TYPE,RankingSelection,0))),IF(RES_H=$B11,1,IF(RES_A=$B11,1,0))))</f>
        <v>4</v>
      </c>
      <c r="H11" s="14">
        <f t="array" aca="1" ref="H11" ca="1">SUM(IF(NOT(ISERROR(MATCH(RES_TYPE,RankingSelection,0))),IF(RES_H=$B11,RES_WIN_H,(IF(RES_A=$B11,RES_WIN_A,0)))),0)</f>
        <v>2</v>
      </c>
      <c r="I11" s="14">
        <f t="shared" ca="1" si="1"/>
        <v>1</v>
      </c>
      <c r="J11" s="14">
        <f t="array" aca="1" ref="J11" ca="1">SUM(IF(NOT(ISERROR(MATCH(RES_TYPE,RankingSelection,0))),IF(RES_H=$B11,RES_WIN_A,(IF(RES_A=$B11,RES_WIN_H,0)))),0)</f>
        <v>1</v>
      </c>
      <c r="K11" s="14">
        <f t="array" aca="1" ref="K11" ca="1">SUM(IF(NOT(ISERROR(MATCH(RES_TYPE,RankingSelection,0))),IF(RES_H=$B11,RES_PTS_H,(IF(RES_A=$B11,RES_PTS_A,0)))),0)/IF(PTS_WINRATIO=1,MAX(1,G11),1)</f>
        <v>7</v>
      </c>
      <c r="L11" s="19">
        <f t="shared" ca="1" si="2"/>
        <v>7.0000411000000007</v>
      </c>
      <c r="M11" s="20"/>
      <c r="N11" s="34">
        <v>9</v>
      </c>
      <c r="O11" s="48" t="e">
        <f t="shared" si="8"/>
        <v>#REF!</v>
      </c>
      <c r="P11" s="28" t="e">
        <f t="shared" si="3"/>
        <v>#REF!</v>
      </c>
      <c r="Q11" s="28" t="e">
        <f t="shared" si="4"/>
        <v>#REF!</v>
      </c>
      <c r="R11" s="28" t="e">
        <f t="shared" si="5"/>
        <v>#REF!</v>
      </c>
      <c r="S11" s="28" t="e">
        <f t="shared" si="6"/>
        <v>#REF!</v>
      </c>
      <c r="T11" s="52" t="e">
        <f t="shared" si="7"/>
        <v>#REF!</v>
      </c>
      <c r="U11" s="31">
        <v>9</v>
      </c>
      <c r="V11" s="32"/>
      <c r="W11" s="37"/>
      <c r="X11" s="10"/>
      <c r="Y11" s="12"/>
      <c r="Z11" s="12"/>
    </row>
    <row r="12" spans="1:26" ht="12.75" customHeight="1">
      <c r="A12" s="4">
        <f t="shared" ca="1" si="0"/>
        <v>6</v>
      </c>
      <c r="B12" s="3" t="str">
        <f ca="1">IF('Team Stats'!$N12&lt;&gt;"",'Team Stats'!$N12,"")</f>
        <v>Hellions of Troy</v>
      </c>
      <c r="C12" s="14">
        <f t="array" aca="1" ref="C12" ca="1">SUM(IF(RES_H=$B12,IF(NOT(ISERROR(MATCH(RES_TYPE,RankingSelection,0))),RES_TD_H,0)),IF(RES_A=$B12,IF(NOT(ISERROR(MATCH(RES_TYPE,RankingSelection,0))),RES_TD_A,0)))</f>
        <v>1</v>
      </c>
      <c r="D12" s="14">
        <f t="array" aca="1" ref="D12" ca="1">SUM(IF(RES_H=$B12,IF(NOT(ISERROR(MATCH(RES_TYPE,RankingSelection,0))),RES_TD_A,0)),IF(RES_A=$B12,IF(NOT(ISERROR(MATCH(RES_TYPE,RankingSelection,0))),RES_TD_H,0)))</f>
        <v>3</v>
      </c>
      <c r="E12" s="14">
        <f t="array" aca="1" ref="E12" ca="1">SUM(IF(RES_H=$B12,IF(NOT(ISERROR(MATCH(RES_TYPE,RankingSelection,0))),RES_CAS_H,0)),IF(RES_A=$B12,IF(NOT(ISERROR(MATCH(RES_TYPE,RankingSelection,0))),RES_CAS_A,0)))</f>
        <v>4</v>
      </c>
      <c r="F12" s="14">
        <f t="array" aca="1" ref="F12" ca="1">SUM(IF(RES_H=$B12,IF(NOT(ISERROR(MATCH(RES_TYPE,RankingSelection,0))),RES_CAS_A,0)),IF(RES_A=$B12,IF(NOT(ISERROR(MATCH(RES_TYPE,RankingSelection,0))),RES_CAS_H,0)))</f>
        <v>3</v>
      </c>
      <c r="G12" s="14">
        <f t="array" aca="1" ref="G12" ca="1">SUM(IF(NOT(ISERROR(MATCH(RES_TYPE,RankingSelection,0))),IF(RES_H=$B12,1,IF(RES_A=$B12,1,0))))</f>
        <v>2</v>
      </c>
      <c r="H12" s="14">
        <f t="array" aca="1" ref="H12" ca="1">SUM(IF(NOT(ISERROR(MATCH(RES_TYPE,RankingSelection,0))),IF(RES_H=$B12,RES_WIN_H,(IF(RES_A=$B12,RES_WIN_A,0)))),0)</f>
        <v>1</v>
      </c>
      <c r="I12" s="14">
        <f t="shared" ca="1" si="1"/>
        <v>0</v>
      </c>
      <c r="J12" s="14">
        <f t="array" aca="1" ref="J12" ca="1">SUM(IF(NOT(ISERROR(MATCH(RES_TYPE,RankingSelection,0))),IF(RES_H=$B12,RES_WIN_A,(IF(RES_A=$B12,RES_WIN_H,0)))),0)</f>
        <v>1</v>
      </c>
      <c r="K12" s="14">
        <f t="array" aca="1" ref="K12" ca="1">SUM(IF(NOT(ISERROR(MATCH(RES_TYPE,RankingSelection,0))),IF(RES_H=$B12,RES_PTS_H,(IF(RES_A=$B12,RES_PTS_A,0)))),0)/IF(PTS_WINRATIO=1,MAX(1,G12),1)</f>
        <v>3</v>
      </c>
      <c r="L12" s="19">
        <f t="shared" ca="1" si="2"/>
        <v>2.9999811999999997</v>
      </c>
      <c r="M12" s="20"/>
      <c r="N12" s="34">
        <v>10</v>
      </c>
      <c r="O12" s="48" t="e">
        <f t="shared" si="8"/>
        <v>#REF!</v>
      </c>
      <c r="P12" s="28" t="e">
        <f t="shared" si="3"/>
        <v>#REF!</v>
      </c>
      <c r="Q12" s="28" t="e">
        <f t="shared" si="4"/>
        <v>#REF!</v>
      </c>
      <c r="R12" s="28" t="e">
        <f t="shared" si="5"/>
        <v>#REF!</v>
      </c>
      <c r="S12" s="28" t="e">
        <f t="shared" si="6"/>
        <v>#REF!</v>
      </c>
      <c r="T12" s="52" t="e">
        <f t="shared" si="7"/>
        <v>#REF!</v>
      </c>
      <c r="U12" s="31">
        <v>10</v>
      </c>
      <c r="V12" s="32"/>
      <c r="W12" s="37"/>
      <c r="X12" s="10"/>
      <c r="Y12" s="12"/>
      <c r="Z12" s="12"/>
    </row>
    <row r="13" spans="1:26" ht="12.75" customHeight="1">
      <c r="A13" s="4">
        <f t="shared" ca="1" si="0"/>
        <v>11</v>
      </c>
      <c r="B13" s="3" t="str">
        <f ca="1">IF('Team Stats'!$N13&lt;&gt;"",'Team Stats'!$N13,"")</f>
        <v/>
      </c>
      <c r="C13" s="14">
        <f t="array" aca="1" ref="C13" ca="1">SUM(IF(RES_H=$B13,IF(NOT(ISERROR(MATCH(RES_TYPE,RankingSelection,0))),RES_TD_H,0)),IF(RES_A=$B13,IF(NOT(ISERROR(MATCH(RES_TYPE,RankingSelection,0))),RES_TD_A,0)))</f>
        <v>0</v>
      </c>
      <c r="D13" s="14">
        <f t="array" aca="1" ref="D13" ca="1">SUM(IF(RES_H=$B13,IF(NOT(ISERROR(MATCH(RES_TYPE,RankingSelection,0))),RES_TD_A,0)),IF(RES_A=$B13,IF(NOT(ISERROR(MATCH(RES_TYPE,RankingSelection,0))),RES_TD_H,0)))</f>
        <v>0</v>
      </c>
      <c r="E13" s="14">
        <f t="array" aca="1" ref="E13" ca="1">SUM(IF(RES_H=$B13,IF(NOT(ISERROR(MATCH(RES_TYPE,RankingSelection,0))),RES_CAS_H,0)),IF(RES_A=$B13,IF(NOT(ISERROR(MATCH(RES_TYPE,RankingSelection,0))),RES_CAS_A,0)))</f>
        <v>0</v>
      </c>
      <c r="F13" s="14">
        <f t="array" aca="1" ref="F13" ca="1">SUM(IF(RES_H=$B13,IF(NOT(ISERROR(MATCH(RES_TYPE,RankingSelection,0))),RES_CAS_A,0)),IF(RES_A=$B13,IF(NOT(ISERROR(MATCH(RES_TYPE,RankingSelection,0))),RES_CAS_H,0)))</f>
        <v>0</v>
      </c>
      <c r="G13" s="14">
        <f t="array" aca="1" ref="G13" ca="1">SUM(IF(NOT(ISERROR(MATCH(RES_TYPE,RankingSelection,0))),IF(RES_H=$B13,1,IF(RES_A=$B13,1,0))))</f>
        <v>0</v>
      </c>
      <c r="H13" s="14">
        <f t="array" aca="1" ref="H13" ca="1">SUM(IF(NOT(ISERROR(MATCH(RES_TYPE,RankingSelection,0))),IF(RES_H=$B13,RES_WIN_H,(IF(RES_A=$B13,RES_WIN_A,0)))),0)</f>
        <v>0</v>
      </c>
      <c r="I13" s="14">
        <f t="shared" ca="1" si="1"/>
        <v>0</v>
      </c>
      <c r="J13" s="14">
        <f t="array" aca="1" ref="J13" ca="1">SUM(IF(NOT(ISERROR(MATCH(RES_TYPE,RankingSelection,0))),IF(RES_H=$B13,RES_WIN_A,(IF(RES_A=$B13,RES_WIN_H,0)))),0)</f>
        <v>0</v>
      </c>
      <c r="K13" s="14">
        <f t="array" aca="1" ref="K13" ca="1">SUM(IF(NOT(ISERROR(MATCH(RES_TYPE,RankingSelection,0))),IF(RES_H=$B13,RES_PTS_H,(IF(RES_A=$B13,RES_PTS_A,0)))),0)/IF(PTS_WINRATIO=1,MAX(1,G13),1)</f>
        <v>0</v>
      </c>
      <c r="L13" s="19">
        <f t="shared" ca="1" si="2"/>
        <v>-1</v>
      </c>
      <c r="M13" s="20"/>
      <c r="N13" s="34">
        <v>11</v>
      </c>
      <c r="O13" s="48" t="e">
        <f t="shared" si="8"/>
        <v>#REF!</v>
      </c>
      <c r="P13" s="28" t="e">
        <f t="shared" si="3"/>
        <v>#REF!</v>
      </c>
      <c r="Q13" s="28" t="e">
        <f t="shared" si="4"/>
        <v>#REF!</v>
      </c>
      <c r="R13" s="28" t="e">
        <f t="shared" si="5"/>
        <v>#REF!</v>
      </c>
      <c r="S13" s="28" t="e">
        <f t="shared" si="6"/>
        <v>#REF!</v>
      </c>
      <c r="T13" s="52" t="e">
        <f t="shared" si="7"/>
        <v>#REF!</v>
      </c>
      <c r="U13" s="31">
        <v>11</v>
      </c>
      <c r="V13" s="32"/>
      <c r="W13" s="37"/>
      <c r="X13" s="10"/>
      <c r="Y13" s="12"/>
      <c r="Z13" s="12"/>
    </row>
    <row r="14" spans="1:26" ht="12.75" customHeight="1">
      <c r="A14" s="4">
        <f t="shared" ca="1" si="0"/>
        <v>11</v>
      </c>
      <c r="B14" s="3" t="str">
        <f ca="1">IF('Team Stats'!$N14&lt;&gt;"",'Team Stats'!$N14,"")</f>
        <v/>
      </c>
      <c r="C14" s="14">
        <f t="array" aca="1" ref="C14" ca="1">SUM(IF(RES_H=$B14,IF(NOT(ISERROR(MATCH(RES_TYPE,RankingSelection,0))),RES_TD_H,0)),IF(RES_A=$B14,IF(NOT(ISERROR(MATCH(RES_TYPE,RankingSelection,0))),RES_TD_A,0)))</f>
        <v>0</v>
      </c>
      <c r="D14" s="14">
        <f t="array" aca="1" ref="D14" ca="1">SUM(IF(RES_H=$B14,IF(NOT(ISERROR(MATCH(RES_TYPE,RankingSelection,0))),RES_TD_A,0)),IF(RES_A=$B14,IF(NOT(ISERROR(MATCH(RES_TYPE,RankingSelection,0))),RES_TD_H,0)))</f>
        <v>0</v>
      </c>
      <c r="E14" s="14">
        <f t="array" aca="1" ref="E14" ca="1">SUM(IF(RES_H=$B14,IF(NOT(ISERROR(MATCH(RES_TYPE,RankingSelection,0))),RES_CAS_H,0)),IF(RES_A=$B14,IF(NOT(ISERROR(MATCH(RES_TYPE,RankingSelection,0))),RES_CAS_A,0)))</f>
        <v>0</v>
      </c>
      <c r="F14" s="14">
        <f t="array" aca="1" ref="F14" ca="1">SUM(IF(RES_H=$B14,IF(NOT(ISERROR(MATCH(RES_TYPE,RankingSelection,0))),RES_CAS_A,0)),IF(RES_A=$B14,IF(NOT(ISERROR(MATCH(RES_TYPE,RankingSelection,0))),RES_CAS_H,0)))</f>
        <v>0</v>
      </c>
      <c r="G14" s="14">
        <f t="array" aca="1" ref="G14" ca="1">SUM(IF(NOT(ISERROR(MATCH(RES_TYPE,RankingSelection,0))),IF(RES_H=$B14,1,IF(RES_A=$B14,1,0))))</f>
        <v>0</v>
      </c>
      <c r="H14" s="14">
        <f t="array" aca="1" ref="H14" ca="1">SUM(IF(NOT(ISERROR(MATCH(RES_TYPE,RankingSelection,0))),IF(RES_H=$B14,RES_WIN_H,(IF(RES_A=$B14,RES_WIN_A,0)))),0)</f>
        <v>0</v>
      </c>
      <c r="I14" s="14">
        <f t="shared" ca="1" si="1"/>
        <v>0</v>
      </c>
      <c r="J14" s="14">
        <f t="array" aca="1" ref="J14" ca="1">SUM(IF(NOT(ISERROR(MATCH(RES_TYPE,RankingSelection,0))),IF(RES_H=$B14,RES_WIN_A,(IF(RES_A=$B14,RES_WIN_H,0)))),0)</f>
        <v>0</v>
      </c>
      <c r="K14" s="14">
        <f t="array" aca="1" ref="K14" ca="1">SUM(IF(NOT(ISERROR(MATCH(RES_TYPE,RankingSelection,0))),IF(RES_H=$B14,RES_PTS_H,(IF(RES_A=$B14,RES_PTS_A,0)))),0)/IF(PTS_WINRATIO=1,MAX(1,G14),1)</f>
        <v>0</v>
      </c>
      <c r="L14" s="19">
        <f t="shared" ca="1" si="2"/>
        <v>-1</v>
      </c>
      <c r="M14" s="20"/>
      <c r="N14" s="34">
        <v>12</v>
      </c>
      <c r="O14" s="48" t="e">
        <f t="shared" si="8"/>
        <v>#REF!</v>
      </c>
      <c r="P14" s="28" t="e">
        <f t="shared" si="3"/>
        <v>#REF!</v>
      </c>
      <c r="Q14" s="28" t="e">
        <f t="shared" si="4"/>
        <v>#REF!</v>
      </c>
      <c r="R14" s="28" t="e">
        <f t="shared" si="5"/>
        <v>#REF!</v>
      </c>
      <c r="S14" s="28" t="e">
        <f t="shared" si="6"/>
        <v>#REF!</v>
      </c>
      <c r="T14" s="52" t="e">
        <f t="shared" si="7"/>
        <v>#REF!</v>
      </c>
      <c r="U14" s="31">
        <v>12</v>
      </c>
      <c r="V14" s="32"/>
      <c r="W14" s="37"/>
      <c r="X14" s="10"/>
      <c r="Y14" s="12"/>
      <c r="Z14" s="12"/>
    </row>
    <row r="15" spans="1:26" ht="12.75" customHeight="1">
      <c r="A15" s="4">
        <f t="shared" ca="1" si="0"/>
        <v>11</v>
      </c>
      <c r="B15" s="3" t="str">
        <f ca="1">IF('Team Stats'!$N15&lt;&gt;"",'Team Stats'!$N15,"")</f>
        <v/>
      </c>
      <c r="C15" s="14">
        <f t="array" aca="1" ref="C15" ca="1">SUM(IF(RES_H=$B15,IF(NOT(ISERROR(MATCH(RES_TYPE,RankingSelection,0))),RES_TD_H,0)),IF(RES_A=$B15,IF(NOT(ISERROR(MATCH(RES_TYPE,RankingSelection,0))),RES_TD_A,0)))</f>
        <v>0</v>
      </c>
      <c r="D15" s="14">
        <f t="array" aca="1" ref="D15" ca="1">SUM(IF(RES_H=$B15,IF(NOT(ISERROR(MATCH(RES_TYPE,RankingSelection,0))),RES_TD_A,0)),IF(RES_A=$B15,IF(NOT(ISERROR(MATCH(RES_TYPE,RankingSelection,0))),RES_TD_H,0)))</f>
        <v>0</v>
      </c>
      <c r="E15" s="14">
        <f t="array" aca="1" ref="E15" ca="1">SUM(IF(RES_H=$B15,IF(NOT(ISERROR(MATCH(RES_TYPE,RankingSelection,0))),RES_CAS_H,0)),IF(RES_A=$B15,IF(NOT(ISERROR(MATCH(RES_TYPE,RankingSelection,0))),RES_CAS_A,0)))</f>
        <v>0</v>
      </c>
      <c r="F15" s="14">
        <f t="array" aca="1" ref="F15" ca="1">SUM(IF(RES_H=$B15,IF(NOT(ISERROR(MATCH(RES_TYPE,RankingSelection,0))),RES_CAS_A,0)),IF(RES_A=$B15,IF(NOT(ISERROR(MATCH(RES_TYPE,RankingSelection,0))),RES_CAS_H,0)))</f>
        <v>0</v>
      </c>
      <c r="G15" s="14">
        <f t="array" aca="1" ref="G15" ca="1">SUM(IF(NOT(ISERROR(MATCH(RES_TYPE,RankingSelection,0))),IF(RES_H=$B15,1,IF(RES_A=$B15,1,0))))</f>
        <v>0</v>
      </c>
      <c r="H15" s="14">
        <f t="array" aca="1" ref="H15" ca="1">SUM(IF(NOT(ISERROR(MATCH(RES_TYPE,RankingSelection,0))),IF(RES_H=$B15,RES_WIN_H,(IF(RES_A=$B15,RES_WIN_A,0)))),0)</f>
        <v>0</v>
      </c>
      <c r="I15" s="14">
        <f t="shared" ca="1" si="1"/>
        <v>0</v>
      </c>
      <c r="J15" s="14">
        <f t="array" aca="1" ref="J15" ca="1">SUM(IF(NOT(ISERROR(MATCH(RES_TYPE,RankingSelection,0))),IF(RES_H=$B15,RES_WIN_A,(IF(RES_A=$B15,RES_WIN_H,0)))),0)</f>
        <v>0</v>
      </c>
      <c r="K15" s="14">
        <f t="array" aca="1" ref="K15" ca="1">SUM(IF(NOT(ISERROR(MATCH(RES_TYPE,RankingSelection,0))),IF(RES_H=$B15,RES_PTS_H,(IF(RES_A=$B15,RES_PTS_A,0)))),0)/IF(PTS_WINRATIO=1,MAX(1,G15),1)</f>
        <v>0</v>
      </c>
      <c r="L15" s="19">
        <f t="shared" ca="1" si="2"/>
        <v>-1</v>
      </c>
      <c r="M15" s="20"/>
      <c r="N15" s="34">
        <v>13</v>
      </c>
      <c r="O15" s="48" t="e">
        <f t="shared" si="8"/>
        <v>#REF!</v>
      </c>
      <c r="P15" s="28" t="e">
        <f t="shared" si="3"/>
        <v>#REF!</v>
      </c>
      <c r="Q15" s="28" t="e">
        <f t="shared" si="4"/>
        <v>#REF!</v>
      </c>
      <c r="R15" s="28" t="e">
        <f t="shared" si="5"/>
        <v>#REF!</v>
      </c>
      <c r="S15" s="28" t="e">
        <f t="shared" si="6"/>
        <v>#REF!</v>
      </c>
      <c r="T15" s="52" t="e">
        <f t="shared" si="7"/>
        <v>#REF!</v>
      </c>
      <c r="U15" s="31">
        <v>13</v>
      </c>
      <c r="V15" s="32"/>
      <c r="W15" s="37"/>
      <c r="X15" s="10"/>
      <c r="Y15" s="12"/>
      <c r="Z15" s="12"/>
    </row>
    <row r="16" spans="1:26" ht="12.75" customHeight="1">
      <c r="A16" s="4">
        <f t="shared" ca="1" si="0"/>
        <v>11</v>
      </c>
      <c r="B16" s="3" t="str">
        <f ca="1">IF('Team Stats'!$N16&lt;&gt;"",'Team Stats'!$N16,"")</f>
        <v/>
      </c>
      <c r="C16" s="14">
        <f t="array" aca="1" ref="C16" ca="1">SUM(IF(RES_H=$B16,IF(NOT(ISERROR(MATCH(RES_TYPE,RankingSelection,0))),RES_TD_H,0)),IF(RES_A=$B16,IF(NOT(ISERROR(MATCH(RES_TYPE,RankingSelection,0))),RES_TD_A,0)))</f>
        <v>0</v>
      </c>
      <c r="D16" s="14">
        <f t="array" aca="1" ref="D16" ca="1">SUM(IF(RES_H=$B16,IF(NOT(ISERROR(MATCH(RES_TYPE,RankingSelection,0))),RES_TD_A,0)),IF(RES_A=$B16,IF(NOT(ISERROR(MATCH(RES_TYPE,RankingSelection,0))),RES_TD_H,0)))</f>
        <v>0</v>
      </c>
      <c r="E16" s="14">
        <f t="array" aca="1" ref="E16" ca="1">SUM(IF(RES_H=$B16,IF(NOT(ISERROR(MATCH(RES_TYPE,RankingSelection,0))),RES_CAS_H,0)),IF(RES_A=$B16,IF(NOT(ISERROR(MATCH(RES_TYPE,RankingSelection,0))),RES_CAS_A,0)))</f>
        <v>0</v>
      </c>
      <c r="F16" s="14">
        <f t="array" aca="1" ref="F16" ca="1">SUM(IF(RES_H=$B16,IF(NOT(ISERROR(MATCH(RES_TYPE,RankingSelection,0))),RES_CAS_A,0)),IF(RES_A=$B16,IF(NOT(ISERROR(MATCH(RES_TYPE,RankingSelection,0))),RES_CAS_H,0)))</f>
        <v>0</v>
      </c>
      <c r="G16" s="14">
        <f t="array" aca="1" ref="G16" ca="1">SUM(IF(NOT(ISERROR(MATCH(RES_TYPE,RankingSelection,0))),IF(RES_H=$B16,1,IF(RES_A=$B16,1,0))))</f>
        <v>0</v>
      </c>
      <c r="H16" s="14">
        <f t="array" aca="1" ref="H16" ca="1">SUM(IF(NOT(ISERROR(MATCH(RES_TYPE,RankingSelection,0))),IF(RES_H=$B16,RES_WIN_H,(IF(RES_A=$B16,RES_WIN_A,0)))),0)</f>
        <v>0</v>
      </c>
      <c r="I16" s="14">
        <f t="shared" ca="1" si="1"/>
        <v>0</v>
      </c>
      <c r="J16" s="14">
        <f t="array" aca="1" ref="J16" ca="1">SUM(IF(NOT(ISERROR(MATCH(RES_TYPE,RankingSelection,0))),IF(RES_H=$B16,RES_WIN_A,(IF(RES_A=$B16,RES_WIN_H,0)))),0)</f>
        <v>0</v>
      </c>
      <c r="K16" s="14">
        <f t="array" aca="1" ref="K16" ca="1">SUM(IF(NOT(ISERROR(MATCH(RES_TYPE,RankingSelection,0))),IF(RES_H=$B16,RES_PTS_H,(IF(RES_A=$B16,RES_PTS_A,0)))),0)/IF(PTS_WINRATIO=1,MAX(1,G16),1)</f>
        <v>0</v>
      </c>
      <c r="L16" s="19">
        <f t="shared" ca="1" si="2"/>
        <v>-1</v>
      </c>
      <c r="M16" s="20"/>
      <c r="N16" s="34">
        <v>14</v>
      </c>
      <c r="O16" s="48" t="e">
        <f t="shared" si="8"/>
        <v>#REF!</v>
      </c>
      <c r="P16" s="28" t="e">
        <f t="shared" si="3"/>
        <v>#REF!</v>
      </c>
      <c r="Q16" s="28" t="e">
        <f t="shared" si="4"/>
        <v>#REF!</v>
      </c>
      <c r="R16" s="28" t="e">
        <f t="shared" si="5"/>
        <v>#REF!</v>
      </c>
      <c r="S16" s="28" t="e">
        <f t="shared" si="6"/>
        <v>#REF!</v>
      </c>
      <c r="T16" s="52" t="e">
        <f t="shared" si="7"/>
        <v>#REF!</v>
      </c>
      <c r="U16" s="31">
        <v>14</v>
      </c>
      <c r="V16" s="32"/>
      <c r="W16" s="37"/>
      <c r="X16" s="10"/>
      <c r="Y16" s="12"/>
      <c r="Z16" s="12"/>
    </row>
    <row r="17" spans="1:26" ht="12.75" customHeight="1">
      <c r="A17" s="4">
        <f t="shared" ca="1" si="0"/>
        <v>11</v>
      </c>
      <c r="B17" s="3" t="str">
        <f ca="1">IF('Team Stats'!$N17&lt;&gt;"",'Team Stats'!$N17,"")</f>
        <v/>
      </c>
      <c r="C17" s="14">
        <f t="array" aca="1" ref="C17" ca="1">SUM(IF(RES_H=$B17,IF(NOT(ISERROR(MATCH(RES_TYPE,RankingSelection,0))),RES_TD_H,0)),IF(RES_A=$B17,IF(NOT(ISERROR(MATCH(RES_TYPE,RankingSelection,0))),RES_TD_A,0)))</f>
        <v>0</v>
      </c>
      <c r="D17" s="14">
        <f t="array" aca="1" ref="D17" ca="1">SUM(IF(RES_H=$B17,IF(NOT(ISERROR(MATCH(RES_TYPE,RankingSelection,0))),RES_TD_A,0)),IF(RES_A=$B17,IF(NOT(ISERROR(MATCH(RES_TYPE,RankingSelection,0))),RES_TD_H,0)))</f>
        <v>0</v>
      </c>
      <c r="E17" s="14">
        <f t="array" aca="1" ref="E17" ca="1">SUM(IF(RES_H=$B17,IF(NOT(ISERROR(MATCH(RES_TYPE,RankingSelection,0))),RES_CAS_H,0)),IF(RES_A=$B17,IF(NOT(ISERROR(MATCH(RES_TYPE,RankingSelection,0))),RES_CAS_A,0)))</f>
        <v>0</v>
      </c>
      <c r="F17" s="14">
        <f t="array" aca="1" ref="F17" ca="1">SUM(IF(RES_H=$B17,IF(NOT(ISERROR(MATCH(RES_TYPE,RankingSelection,0))),RES_CAS_A,0)),IF(RES_A=$B17,IF(NOT(ISERROR(MATCH(RES_TYPE,RankingSelection,0))),RES_CAS_H,0)))</f>
        <v>0</v>
      </c>
      <c r="G17" s="14">
        <f t="array" aca="1" ref="G17" ca="1">SUM(IF(NOT(ISERROR(MATCH(RES_TYPE,RankingSelection,0))),IF(RES_H=$B17,1,IF(RES_A=$B17,1,0))))</f>
        <v>0</v>
      </c>
      <c r="H17" s="14">
        <f t="array" aca="1" ref="H17" ca="1">SUM(IF(NOT(ISERROR(MATCH(RES_TYPE,RankingSelection,0))),IF(RES_H=$B17,RES_WIN_H,(IF(RES_A=$B17,RES_WIN_A,0)))),0)</f>
        <v>0</v>
      </c>
      <c r="I17" s="14">
        <f t="shared" ca="1" si="1"/>
        <v>0</v>
      </c>
      <c r="J17" s="14">
        <f t="array" aca="1" ref="J17" ca="1">SUM(IF(NOT(ISERROR(MATCH(RES_TYPE,RankingSelection,0))),IF(RES_H=$B17,RES_WIN_A,(IF(RES_A=$B17,RES_WIN_H,0)))),0)</f>
        <v>0</v>
      </c>
      <c r="K17" s="14">
        <f t="array" aca="1" ref="K17" ca="1">SUM(IF(NOT(ISERROR(MATCH(RES_TYPE,RankingSelection,0))),IF(RES_H=$B17,RES_PTS_H,(IF(RES_A=$B17,RES_PTS_A,0)))),0)/IF(PTS_WINRATIO=1,MAX(1,G17),1)</f>
        <v>0</v>
      </c>
      <c r="L17" s="19">
        <f t="shared" ca="1" si="2"/>
        <v>-1</v>
      </c>
      <c r="M17" s="20"/>
      <c r="N17" s="34">
        <v>15</v>
      </c>
      <c r="O17" s="48" t="e">
        <f t="shared" si="8"/>
        <v>#REF!</v>
      </c>
      <c r="P17" s="28" t="e">
        <f t="shared" si="3"/>
        <v>#REF!</v>
      </c>
      <c r="Q17" s="28" t="e">
        <f t="shared" si="4"/>
        <v>#REF!</v>
      </c>
      <c r="R17" s="28" t="e">
        <f t="shared" si="5"/>
        <v>#REF!</v>
      </c>
      <c r="S17" s="28" t="e">
        <f t="shared" si="6"/>
        <v>#REF!</v>
      </c>
      <c r="T17" s="52" t="e">
        <f t="shared" si="7"/>
        <v>#REF!</v>
      </c>
      <c r="U17" s="31">
        <v>15</v>
      </c>
      <c r="V17" s="32"/>
      <c r="W17" s="37"/>
      <c r="X17" s="10"/>
      <c r="Y17" s="12"/>
      <c r="Z17" s="12"/>
    </row>
    <row r="18" spans="1:26" ht="12.75" customHeight="1">
      <c r="A18" s="4">
        <f t="shared" ca="1" si="0"/>
        <v>11</v>
      </c>
      <c r="B18" s="3" t="str">
        <f ca="1">IF('Team Stats'!$N18&lt;&gt;"",'Team Stats'!$N18,"")</f>
        <v/>
      </c>
      <c r="C18" s="14">
        <f t="array" aca="1" ref="C18" ca="1">SUM(IF(RES_H=$B18,IF(NOT(ISERROR(MATCH(RES_TYPE,RankingSelection,0))),RES_TD_H,0)),IF(RES_A=$B18,IF(NOT(ISERROR(MATCH(RES_TYPE,RankingSelection,0))),RES_TD_A,0)))</f>
        <v>0</v>
      </c>
      <c r="D18" s="14">
        <f t="array" aca="1" ref="D18" ca="1">SUM(IF(RES_H=$B18,IF(NOT(ISERROR(MATCH(RES_TYPE,RankingSelection,0))),RES_TD_A,0)),IF(RES_A=$B18,IF(NOT(ISERROR(MATCH(RES_TYPE,RankingSelection,0))),RES_TD_H,0)))</f>
        <v>0</v>
      </c>
      <c r="E18" s="14">
        <f t="array" aca="1" ref="E18" ca="1">SUM(IF(RES_H=$B18,IF(NOT(ISERROR(MATCH(RES_TYPE,RankingSelection,0))),RES_CAS_H,0)),IF(RES_A=$B18,IF(NOT(ISERROR(MATCH(RES_TYPE,RankingSelection,0))),RES_CAS_A,0)))</f>
        <v>0</v>
      </c>
      <c r="F18" s="14">
        <f t="array" aca="1" ref="F18" ca="1">SUM(IF(RES_H=$B18,IF(NOT(ISERROR(MATCH(RES_TYPE,RankingSelection,0))),RES_CAS_A,0)),IF(RES_A=$B18,IF(NOT(ISERROR(MATCH(RES_TYPE,RankingSelection,0))),RES_CAS_H,0)))</f>
        <v>0</v>
      </c>
      <c r="G18" s="14">
        <f t="array" aca="1" ref="G18" ca="1">SUM(IF(NOT(ISERROR(MATCH(RES_TYPE,RankingSelection,0))),IF(RES_H=$B18,1,IF(RES_A=$B18,1,0))))</f>
        <v>0</v>
      </c>
      <c r="H18" s="14">
        <f t="array" aca="1" ref="H18" ca="1">SUM(IF(NOT(ISERROR(MATCH(RES_TYPE,RankingSelection,0))),IF(RES_H=$B18,RES_WIN_H,(IF(RES_A=$B18,RES_WIN_A,0)))),0)</f>
        <v>0</v>
      </c>
      <c r="I18" s="14">
        <f t="shared" ca="1" si="1"/>
        <v>0</v>
      </c>
      <c r="J18" s="14">
        <f t="array" aca="1" ref="J18" ca="1">SUM(IF(NOT(ISERROR(MATCH(RES_TYPE,RankingSelection,0))),IF(RES_H=$B18,RES_WIN_A,(IF(RES_A=$B18,RES_WIN_H,0)))),0)</f>
        <v>0</v>
      </c>
      <c r="K18" s="14">
        <f t="array" aca="1" ref="K18" ca="1">SUM(IF(NOT(ISERROR(MATCH(RES_TYPE,RankingSelection,0))),IF(RES_H=$B18,RES_PTS_H,(IF(RES_A=$B18,RES_PTS_A,0)))),0)/IF(PTS_WINRATIO=1,MAX(1,G18),1)</f>
        <v>0</v>
      </c>
      <c r="L18" s="19">
        <f t="shared" ca="1" si="2"/>
        <v>-1</v>
      </c>
      <c r="M18" s="20"/>
      <c r="N18" s="34">
        <v>16</v>
      </c>
      <c r="O18" s="48" t="e">
        <f t="shared" si="8"/>
        <v>#REF!</v>
      </c>
      <c r="P18" s="28" t="e">
        <f t="shared" si="3"/>
        <v>#REF!</v>
      </c>
      <c r="Q18" s="28" t="e">
        <f t="shared" si="4"/>
        <v>#REF!</v>
      </c>
      <c r="R18" s="28" t="e">
        <f t="shared" si="5"/>
        <v>#REF!</v>
      </c>
      <c r="S18" s="28" t="e">
        <f t="shared" si="6"/>
        <v>#REF!</v>
      </c>
      <c r="T18" s="52" t="e">
        <f t="shared" si="7"/>
        <v>#REF!</v>
      </c>
      <c r="U18" s="31">
        <v>16</v>
      </c>
      <c r="V18" s="32"/>
      <c r="W18" s="37"/>
      <c r="X18" s="10"/>
      <c r="Y18" s="12"/>
      <c r="Z18" s="12"/>
    </row>
    <row r="19" spans="1:26" ht="12.75" customHeight="1">
      <c r="A19" s="4">
        <f t="shared" ca="1" si="0"/>
        <v>11</v>
      </c>
      <c r="B19" s="3" t="str">
        <f ca="1">IF('Team Stats'!$N19&lt;&gt;"",'Team Stats'!$N19,"")</f>
        <v/>
      </c>
      <c r="C19" s="14">
        <f t="array" aca="1" ref="C19" ca="1">SUM(IF(RES_H=$B19,IF(NOT(ISERROR(MATCH(RES_TYPE,RankingSelection,0))),RES_TD_H,0)),IF(RES_A=$B19,IF(NOT(ISERROR(MATCH(RES_TYPE,RankingSelection,0))),RES_TD_A,0)))</f>
        <v>0</v>
      </c>
      <c r="D19" s="14">
        <f t="array" aca="1" ref="D19" ca="1">SUM(IF(RES_H=$B19,IF(NOT(ISERROR(MATCH(RES_TYPE,RankingSelection,0))),RES_TD_A,0)),IF(RES_A=$B19,IF(NOT(ISERROR(MATCH(RES_TYPE,RankingSelection,0))),RES_TD_H,0)))</f>
        <v>0</v>
      </c>
      <c r="E19" s="14">
        <f t="array" aca="1" ref="E19" ca="1">SUM(IF(RES_H=$B19,IF(NOT(ISERROR(MATCH(RES_TYPE,RankingSelection,0))),RES_CAS_H,0)),IF(RES_A=$B19,IF(NOT(ISERROR(MATCH(RES_TYPE,RankingSelection,0))),RES_CAS_A,0)))</f>
        <v>0</v>
      </c>
      <c r="F19" s="14">
        <f t="array" aca="1" ref="F19" ca="1">SUM(IF(RES_H=$B19,IF(NOT(ISERROR(MATCH(RES_TYPE,RankingSelection,0))),RES_CAS_A,0)),IF(RES_A=$B19,IF(NOT(ISERROR(MATCH(RES_TYPE,RankingSelection,0))),RES_CAS_H,0)))</f>
        <v>0</v>
      </c>
      <c r="G19" s="14">
        <f t="array" aca="1" ref="G19" ca="1">SUM(IF(NOT(ISERROR(MATCH(RES_TYPE,RankingSelection,0))),IF(RES_H=$B19,1,IF(RES_A=$B19,1,0))))</f>
        <v>0</v>
      </c>
      <c r="H19" s="14">
        <f t="array" aca="1" ref="H19" ca="1">SUM(IF(NOT(ISERROR(MATCH(RES_TYPE,RankingSelection,0))),IF(RES_H=$B19,RES_WIN_H,(IF(RES_A=$B19,RES_WIN_A,0)))),0)</f>
        <v>0</v>
      </c>
      <c r="I19" s="14">
        <f t="shared" ca="1" si="1"/>
        <v>0</v>
      </c>
      <c r="J19" s="14">
        <f t="array" aca="1" ref="J19" ca="1">SUM(IF(NOT(ISERROR(MATCH(RES_TYPE,RankingSelection,0))),IF(RES_H=$B19,RES_WIN_A,(IF(RES_A=$B19,RES_WIN_H,0)))),0)</f>
        <v>0</v>
      </c>
      <c r="K19" s="14">
        <f t="array" aca="1" ref="K19" ca="1">SUM(IF(NOT(ISERROR(MATCH(RES_TYPE,RankingSelection,0))),IF(RES_H=$B19,RES_PTS_H,(IF(RES_A=$B19,RES_PTS_A,0)))),0)/IF(PTS_WINRATIO=1,MAX(1,G19),1)</f>
        <v>0</v>
      </c>
      <c r="L19" s="19">
        <f t="shared" ca="1" si="2"/>
        <v>-1</v>
      </c>
      <c r="M19" s="20"/>
      <c r="N19" s="34">
        <v>17</v>
      </c>
      <c r="O19" s="48" t="e">
        <f t="shared" si="8"/>
        <v>#REF!</v>
      </c>
      <c r="P19" s="28" t="e">
        <f t="shared" si="3"/>
        <v>#REF!</v>
      </c>
      <c r="Q19" s="28" t="e">
        <f t="shared" si="4"/>
        <v>#REF!</v>
      </c>
      <c r="R19" s="28" t="e">
        <f t="shared" si="5"/>
        <v>#REF!</v>
      </c>
      <c r="S19" s="28" t="e">
        <f t="shared" si="6"/>
        <v>#REF!</v>
      </c>
      <c r="T19" s="52" t="e">
        <f t="shared" si="7"/>
        <v>#REF!</v>
      </c>
      <c r="U19" s="31">
        <v>17</v>
      </c>
      <c r="V19" s="32"/>
      <c r="W19" s="37"/>
      <c r="X19" s="10"/>
      <c r="Y19" s="12"/>
      <c r="Z19" s="12"/>
    </row>
    <row r="20" spans="1:26" ht="12.75" customHeight="1">
      <c r="A20" s="4">
        <f t="shared" ca="1" si="0"/>
        <v>11</v>
      </c>
      <c r="B20" s="3" t="str">
        <f ca="1">IF('Team Stats'!$N20&lt;&gt;"",'Team Stats'!$N20,"")</f>
        <v/>
      </c>
      <c r="C20" s="14">
        <f t="array" aca="1" ref="C20" ca="1">SUM(IF(RES_H=$B20,IF(NOT(ISERROR(MATCH(RES_TYPE,RankingSelection,0))),RES_TD_H,0)),IF(RES_A=$B20,IF(NOT(ISERROR(MATCH(RES_TYPE,RankingSelection,0))),RES_TD_A,0)))</f>
        <v>0</v>
      </c>
      <c r="D20" s="14">
        <f t="array" aca="1" ref="D20" ca="1">SUM(IF(RES_H=$B20,IF(NOT(ISERROR(MATCH(RES_TYPE,RankingSelection,0))),RES_TD_A,0)),IF(RES_A=$B20,IF(NOT(ISERROR(MATCH(RES_TYPE,RankingSelection,0))),RES_TD_H,0)))</f>
        <v>0</v>
      </c>
      <c r="E20" s="14">
        <f t="array" aca="1" ref="E20" ca="1">SUM(IF(RES_H=$B20,IF(NOT(ISERROR(MATCH(RES_TYPE,RankingSelection,0))),RES_CAS_H,0)),IF(RES_A=$B20,IF(NOT(ISERROR(MATCH(RES_TYPE,RankingSelection,0))),RES_CAS_A,0)))</f>
        <v>0</v>
      </c>
      <c r="F20" s="14">
        <f t="array" aca="1" ref="F20" ca="1">SUM(IF(RES_H=$B20,IF(NOT(ISERROR(MATCH(RES_TYPE,RankingSelection,0))),RES_CAS_A,0)),IF(RES_A=$B20,IF(NOT(ISERROR(MATCH(RES_TYPE,RankingSelection,0))),RES_CAS_H,0)))</f>
        <v>0</v>
      </c>
      <c r="G20" s="14">
        <f t="array" aca="1" ref="G20" ca="1">SUM(IF(NOT(ISERROR(MATCH(RES_TYPE,RankingSelection,0))),IF(RES_H=$B20,1,IF(RES_A=$B20,1,0))))</f>
        <v>0</v>
      </c>
      <c r="H20" s="14">
        <f t="array" aca="1" ref="H20" ca="1">SUM(IF(NOT(ISERROR(MATCH(RES_TYPE,RankingSelection,0))),IF(RES_H=$B20,RES_WIN_H,(IF(RES_A=$B20,RES_WIN_A,0)))),0)</f>
        <v>0</v>
      </c>
      <c r="I20" s="14">
        <f t="shared" ca="1" si="1"/>
        <v>0</v>
      </c>
      <c r="J20" s="14">
        <f t="array" aca="1" ref="J20" ca="1">SUM(IF(NOT(ISERROR(MATCH(RES_TYPE,RankingSelection,0))),IF(RES_H=$B20,RES_WIN_A,(IF(RES_A=$B20,RES_WIN_H,0)))),0)</f>
        <v>0</v>
      </c>
      <c r="K20" s="14">
        <f t="array" aca="1" ref="K20" ca="1">SUM(IF(NOT(ISERROR(MATCH(RES_TYPE,RankingSelection,0))),IF(RES_H=$B20,RES_PTS_H,(IF(RES_A=$B20,RES_PTS_A,0)))),0)/IF(PTS_WINRATIO=1,MAX(1,G20),1)</f>
        <v>0</v>
      </c>
      <c r="L20" s="19">
        <f t="shared" ca="1" si="2"/>
        <v>-1</v>
      </c>
      <c r="M20" s="20"/>
      <c r="N20" s="34">
        <v>18</v>
      </c>
      <c r="O20" s="48" t="e">
        <f t="shared" si="8"/>
        <v>#REF!</v>
      </c>
      <c r="P20" s="28" t="e">
        <f t="shared" si="3"/>
        <v>#REF!</v>
      </c>
      <c r="Q20" s="28" t="e">
        <f t="shared" si="4"/>
        <v>#REF!</v>
      </c>
      <c r="R20" s="28" t="e">
        <f t="shared" si="5"/>
        <v>#REF!</v>
      </c>
      <c r="S20" s="28" t="e">
        <f t="shared" si="6"/>
        <v>#REF!</v>
      </c>
      <c r="T20" s="52" t="e">
        <f t="shared" si="7"/>
        <v>#REF!</v>
      </c>
      <c r="U20" s="31">
        <v>18</v>
      </c>
      <c r="V20" s="32"/>
      <c r="W20" s="37"/>
      <c r="X20" s="10"/>
      <c r="Y20" s="12"/>
      <c r="Z20" s="12"/>
    </row>
    <row r="21" spans="1:26" ht="12.75" customHeight="1">
      <c r="A21" s="4">
        <f t="shared" ca="1" si="0"/>
        <v>11</v>
      </c>
      <c r="B21" s="3" t="str">
        <f ca="1">IF('Team Stats'!$N21&lt;&gt;"",'Team Stats'!$N21,"")</f>
        <v/>
      </c>
      <c r="C21" s="14">
        <f t="array" aca="1" ref="C21" ca="1">SUM(IF(RES_H=$B21,IF(NOT(ISERROR(MATCH(RES_TYPE,RankingSelection,0))),RES_TD_H,0)),IF(RES_A=$B21,IF(NOT(ISERROR(MATCH(RES_TYPE,RankingSelection,0))),RES_TD_A,0)))</f>
        <v>0</v>
      </c>
      <c r="D21" s="14">
        <f t="array" aca="1" ref="D21" ca="1">SUM(IF(RES_H=$B21,IF(NOT(ISERROR(MATCH(RES_TYPE,RankingSelection,0))),RES_TD_A,0)),IF(RES_A=$B21,IF(NOT(ISERROR(MATCH(RES_TYPE,RankingSelection,0))),RES_TD_H,0)))</f>
        <v>0</v>
      </c>
      <c r="E21" s="14">
        <f t="array" aca="1" ref="E21" ca="1">SUM(IF(RES_H=$B21,IF(NOT(ISERROR(MATCH(RES_TYPE,RankingSelection,0))),RES_CAS_H,0)),IF(RES_A=$B21,IF(NOT(ISERROR(MATCH(RES_TYPE,RankingSelection,0))),RES_CAS_A,0)))</f>
        <v>0</v>
      </c>
      <c r="F21" s="14">
        <f t="array" aca="1" ref="F21" ca="1">SUM(IF(RES_H=$B21,IF(NOT(ISERROR(MATCH(RES_TYPE,RankingSelection,0))),RES_CAS_A,0)),IF(RES_A=$B21,IF(NOT(ISERROR(MATCH(RES_TYPE,RankingSelection,0))),RES_CAS_H,0)))</f>
        <v>0</v>
      </c>
      <c r="G21" s="14">
        <f t="array" aca="1" ref="G21" ca="1">SUM(IF(NOT(ISERROR(MATCH(RES_TYPE,RankingSelection,0))),IF(RES_H=$B21,1,IF(RES_A=$B21,1,0))))</f>
        <v>0</v>
      </c>
      <c r="H21" s="14">
        <f t="array" aca="1" ref="H21" ca="1">SUM(IF(NOT(ISERROR(MATCH(RES_TYPE,RankingSelection,0))),IF(RES_H=$B21,RES_WIN_H,(IF(RES_A=$B21,RES_WIN_A,0)))),0)</f>
        <v>0</v>
      </c>
      <c r="I21" s="14">
        <f t="shared" ca="1" si="1"/>
        <v>0</v>
      </c>
      <c r="J21" s="14">
        <f t="array" aca="1" ref="J21" ca="1">SUM(IF(NOT(ISERROR(MATCH(RES_TYPE,RankingSelection,0))),IF(RES_H=$B21,RES_WIN_A,(IF(RES_A=$B21,RES_WIN_H,0)))),0)</f>
        <v>0</v>
      </c>
      <c r="K21" s="14">
        <f t="array" aca="1" ref="K21" ca="1">SUM(IF(NOT(ISERROR(MATCH(RES_TYPE,RankingSelection,0))),IF(RES_H=$B21,RES_PTS_H,(IF(RES_A=$B21,RES_PTS_A,0)))),0)/IF(PTS_WINRATIO=1,MAX(1,G21),1)</f>
        <v>0</v>
      </c>
      <c r="L21" s="19">
        <f t="shared" ca="1" si="2"/>
        <v>-1</v>
      </c>
      <c r="M21" s="20"/>
      <c r="N21" s="34">
        <v>19</v>
      </c>
      <c r="O21" s="48" t="e">
        <f t="shared" si="8"/>
        <v>#REF!</v>
      </c>
      <c r="P21" s="28" t="e">
        <f t="shared" si="3"/>
        <v>#REF!</v>
      </c>
      <c r="Q21" s="28" t="e">
        <f t="shared" si="4"/>
        <v>#REF!</v>
      </c>
      <c r="R21" s="28" t="e">
        <f t="shared" si="5"/>
        <v>#REF!</v>
      </c>
      <c r="S21" s="28" t="e">
        <f t="shared" si="6"/>
        <v>#REF!</v>
      </c>
      <c r="T21" s="52" t="e">
        <f t="shared" si="7"/>
        <v>#REF!</v>
      </c>
      <c r="U21" s="31">
        <v>19</v>
      </c>
      <c r="V21" s="32"/>
      <c r="W21" s="37"/>
      <c r="X21" s="10"/>
      <c r="Y21" s="12"/>
      <c r="Z21" s="12"/>
    </row>
    <row r="22" spans="1:26" ht="12.75" customHeight="1">
      <c r="A22" s="4">
        <f t="shared" ca="1" si="0"/>
        <v>11</v>
      </c>
      <c r="B22" s="3" t="str">
        <f ca="1">IF('Team Stats'!$N22&lt;&gt;"",'Team Stats'!$N22,"")</f>
        <v/>
      </c>
      <c r="C22" s="14">
        <f t="array" aca="1" ref="C22" ca="1">SUM(IF(RES_H=$B22,IF(NOT(ISERROR(MATCH(RES_TYPE,RankingSelection,0))),RES_TD_H,0)),IF(RES_A=$B22,IF(NOT(ISERROR(MATCH(RES_TYPE,RankingSelection,0))),RES_TD_A,0)))</f>
        <v>0</v>
      </c>
      <c r="D22" s="14">
        <f t="array" aca="1" ref="D22" ca="1">SUM(IF(RES_H=$B22,IF(NOT(ISERROR(MATCH(RES_TYPE,RankingSelection,0))),RES_TD_A,0)),IF(RES_A=$B22,IF(NOT(ISERROR(MATCH(RES_TYPE,RankingSelection,0))),RES_TD_H,0)))</f>
        <v>0</v>
      </c>
      <c r="E22" s="14">
        <f t="array" aca="1" ref="E22" ca="1">SUM(IF(RES_H=$B22,IF(NOT(ISERROR(MATCH(RES_TYPE,RankingSelection,0))),RES_CAS_H,0)),IF(RES_A=$B22,IF(NOT(ISERROR(MATCH(RES_TYPE,RankingSelection,0))),RES_CAS_A,0)))</f>
        <v>0</v>
      </c>
      <c r="F22" s="14">
        <f t="array" aca="1" ref="F22" ca="1">SUM(IF(RES_H=$B22,IF(NOT(ISERROR(MATCH(RES_TYPE,RankingSelection,0))),RES_CAS_A,0)),IF(RES_A=$B22,IF(NOT(ISERROR(MATCH(RES_TYPE,RankingSelection,0))),RES_CAS_H,0)))</f>
        <v>0</v>
      </c>
      <c r="G22" s="14">
        <f t="array" aca="1" ref="G22" ca="1">SUM(IF(NOT(ISERROR(MATCH(RES_TYPE,RankingSelection,0))),IF(RES_H=$B22,1,IF(RES_A=$B22,1,0))))</f>
        <v>0</v>
      </c>
      <c r="H22" s="14">
        <f t="array" aca="1" ref="H22" ca="1">SUM(IF(NOT(ISERROR(MATCH(RES_TYPE,RankingSelection,0))),IF(RES_H=$B22,RES_WIN_H,(IF(RES_A=$B22,RES_WIN_A,0)))),0)</f>
        <v>0</v>
      </c>
      <c r="I22" s="14">
        <f t="shared" ca="1" si="1"/>
        <v>0</v>
      </c>
      <c r="J22" s="14">
        <f t="array" aca="1" ref="J22" ca="1">SUM(IF(NOT(ISERROR(MATCH(RES_TYPE,RankingSelection,0))),IF(RES_H=$B22,RES_WIN_A,(IF(RES_A=$B22,RES_WIN_H,0)))),0)</f>
        <v>0</v>
      </c>
      <c r="K22" s="14">
        <f t="array" aca="1" ref="K22" ca="1">SUM(IF(NOT(ISERROR(MATCH(RES_TYPE,RankingSelection,0))),IF(RES_H=$B22,RES_PTS_H,(IF(RES_A=$B22,RES_PTS_A,0)))),0)/IF(PTS_WINRATIO=1,MAX(1,G22),1)</f>
        <v>0</v>
      </c>
      <c r="L22" s="19">
        <f t="shared" ca="1" si="2"/>
        <v>-1</v>
      </c>
      <c r="M22" s="1"/>
      <c r="N22" s="34">
        <v>20</v>
      </c>
      <c r="O22" s="48" t="e">
        <f t="shared" si="8"/>
        <v>#REF!</v>
      </c>
      <c r="P22" s="28" t="e">
        <f t="shared" si="3"/>
        <v>#REF!</v>
      </c>
      <c r="Q22" s="28" t="e">
        <f t="shared" si="4"/>
        <v>#REF!</v>
      </c>
      <c r="R22" s="28" t="e">
        <f t="shared" si="5"/>
        <v>#REF!</v>
      </c>
      <c r="S22" s="28" t="e">
        <f t="shared" si="6"/>
        <v>#REF!</v>
      </c>
      <c r="T22" s="52" t="e">
        <f t="shared" si="7"/>
        <v>#REF!</v>
      </c>
      <c r="U22" s="31">
        <v>20</v>
      </c>
      <c r="V22" s="32"/>
      <c r="W22" s="37"/>
      <c r="X22" s="10"/>
      <c r="Y22" s="12"/>
      <c r="Z22" s="12"/>
    </row>
    <row r="23" spans="1:26" ht="12.75" customHeight="1">
      <c r="A23" s="4">
        <f t="shared" ca="1" si="0"/>
        <v>11</v>
      </c>
      <c r="B23" s="3" t="str">
        <f ca="1">IF('Team Stats'!$N23&lt;&gt;"",'Team Stats'!$N23,"")</f>
        <v/>
      </c>
      <c r="C23" s="14">
        <f t="array" aca="1" ref="C23" ca="1">SUM(IF(RES_H=$B23,IF(NOT(ISERROR(MATCH(RES_TYPE,RankingSelection,0))),RES_TD_H,0)),IF(RES_A=$B23,IF(NOT(ISERROR(MATCH(RES_TYPE,RankingSelection,0))),RES_TD_A,0)))</f>
        <v>0</v>
      </c>
      <c r="D23" s="14">
        <f t="array" aca="1" ref="D23" ca="1">SUM(IF(RES_H=$B23,IF(NOT(ISERROR(MATCH(RES_TYPE,RankingSelection,0))),RES_TD_A,0)),IF(RES_A=$B23,IF(NOT(ISERROR(MATCH(RES_TYPE,RankingSelection,0))),RES_TD_H,0)))</f>
        <v>0</v>
      </c>
      <c r="E23" s="14">
        <f t="array" aca="1" ref="E23" ca="1">SUM(IF(RES_H=$B23,IF(NOT(ISERROR(MATCH(RES_TYPE,RankingSelection,0))),RES_CAS_H,0)),IF(RES_A=$B23,IF(NOT(ISERROR(MATCH(RES_TYPE,RankingSelection,0))),RES_CAS_A,0)))</f>
        <v>0</v>
      </c>
      <c r="F23" s="14">
        <f t="array" aca="1" ref="F23" ca="1">SUM(IF(RES_H=$B23,IF(NOT(ISERROR(MATCH(RES_TYPE,RankingSelection,0))),RES_CAS_A,0)),IF(RES_A=$B23,IF(NOT(ISERROR(MATCH(RES_TYPE,RankingSelection,0))),RES_CAS_H,0)))</f>
        <v>0</v>
      </c>
      <c r="G23" s="14">
        <f t="array" aca="1" ref="G23" ca="1">SUM(IF(NOT(ISERROR(MATCH(RES_TYPE,RankingSelection,0))),IF(RES_H=$B23,1,IF(RES_A=$B23,1,0))))</f>
        <v>0</v>
      </c>
      <c r="H23" s="14">
        <f t="array" aca="1" ref="H23" ca="1">SUM(IF(NOT(ISERROR(MATCH(RES_TYPE,RankingSelection,0))),IF(RES_H=$B23,RES_WIN_H,(IF(RES_A=$B23,RES_WIN_A,0)))),0)</f>
        <v>0</v>
      </c>
      <c r="I23" s="14">
        <f t="shared" ca="1" si="1"/>
        <v>0</v>
      </c>
      <c r="J23" s="14">
        <f t="array" aca="1" ref="J23" ca="1">SUM(IF(NOT(ISERROR(MATCH(RES_TYPE,RankingSelection,0))),IF(RES_H=$B23,RES_WIN_A,(IF(RES_A=$B23,RES_WIN_H,0)))),0)</f>
        <v>0</v>
      </c>
      <c r="K23" s="14">
        <f t="array" aca="1" ref="K23" ca="1">SUM(IF(NOT(ISERROR(MATCH(RES_TYPE,RankingSelection,0))),IF(RES_H=$B23,RES_PTS_H,(IF(RES_A=$B23,RES_PTS_A,0)))),0)/IF(PTS_WINRATIO=1,MAX(1,G23),1)</f>
        <v>0</v>
      </c>
      <c r="L23" s="19">
        <f t="shared" ca="1" si="2"/>
        <v>-1</v>
      </c>
      <c r="M23" s="95"/>
      <c r="N23" s="34">
        <v>21</v>
      </c>
      <c r="O23" s="48" t="e">
        <f t="shared" si="8"/>
        <v>#REF!</v>
      </c>
      <c r="P23" s="28" t="e">
        <f t="shared" si="3"/>
        <v>#REF!</v>
      </c>
      <c r="Q23" s="28" t="e">
        <f t="shared" si="4"/>
        <v>#REF!</v>
      </c>
      <c r="R23" s="28" t="e">
        <f t="shared" si="5"/>
        <v>#REF!</v>
      </c>
      <c r="S23" s="28" t="e">
        <f t="shared" si="6"/>
        <v>#REF!</v>
      </c>
      <c r="T23" s="52" t="e">
        <f t="shared" si="7"/>
        <v>#REF!</v>
      </c>
      <c r="U23" s="95"/>
      <c r="V23" s="96"/>
      <c r="W23" s="37"/>
      <c r="X23" s="10"/>
      <c r="Y23" s="12"/>
      <c r="Z23" s="12"/>
    </row>
    <row r="24" spans="1:26" ht="12.75" customHeight="1">
      <c r="A24" s="4">
        <f t="shared" ca="1" si="0"/>
        <v>11</v>
      </c>
      <c r="B24" s="3" t="str">
        <f ca="1">IF('Team Stats'!$N24&lt;&gt;"",'Team Stats'!$N24,"")</f>
        <v/>
      </c>
      <c r="C24" s="14">
        <f t="array" aca="1" ref="C24" ca="1">SUM(IF(RES_H=$B24,IF(NOT(ISERROR(MATCH(RES_TYPE,RankingSelection,0))),RES_TD_H,0)),IF(RES_A=$B24,IF(NOT(ISERROR(MATCH(RES_TYPE,RankingSelection,0))),RES_TD_A,0)))</f>
        <v>0</v>
      </c>
      <c r="D24" s="14">
        <f t="array" aca="1" ref="D24" ca="1">SUM(IF(RES_H=$B24,IF(NOT(ISERROR(MATCH(RES_TYPE,RankingSelection,0))),RES_TD_A,0)),IF(RES_A=$B24,IF(NOT(ISERROR(MATCH(RES_TYPE,RankingSelection,0))),RES_TD_H,0)))</f>
        <v>0</v>
      </c>
      <c r="E24" s="14">
        <f t="array" aca="1" ref="E24" ca="1">SUM(IF(RES_H=$B24,IF(NOT(ISERROR(MATCH(RES_TYPE,RankingSelection,0))),RES_CAS_H,0)),IF(RES_A=$B24,IF(NOT(ISERROR(MATCH(RES_TYPE,RankingSelection,0))),RES_CAS_A,0)))</f>
        <v>0</v>
      </c>
      <c r="F24" s="14">
        <f t="array" aca="1" ref="F24" ca="1">SUM(IF(RES_H=$B24,IF(NOT(ISERROR(MATCH(RES_TYPE,RankingSelection,0))),RES_CAS_A,0)),IF(RES_A=$B24,IF(NOT(ISERROR(MATCH(RES_TYPE,RankingSelection,0))),RES_CAS_H,0)))</f>
        <v>0</v>
      </c>
      <c r="G24" s="14">
        <f t="array" aca="1" ref="G24" ca="1">SUM(IF(NOT(ISERROR(MATCH(RES_TYPE,RankingSelection,0))),IF(RES_H=$B24,1,IF(RES_A=$B24,1,0))))</f>
        <v>0</v>
      </c>
      <c r="H24" s="14">
        <f t="array" aca="1" ref="H24" ca="1">SUM(IF(NOT(ISERROR(MATCH(RES_TYPE,RankingSelection,0))),IF(RES_H=$B24,RES_WIN_H,(IF(RES_A=$B24,RES_WIN_A,0)))),0)</f>
        <v>0</v>
      </c>
      <c r="I24" s="14">
        <f t="shared" ca="1" si="1"/>
        <v>0</v>
      </c>
      <c r="J24" s="14">
        <f t="array" aca="1" ref="J24" ca="1">SUM(IF(NOT(ISERROR(MATCH(RES_TYPE,RankingSelection,0))),IF(RES_H=$B24,RES_WIN_A,(IF(RES_A=$B24,RES_WIN_H,0)))),0)</f>
        <v>0</v>
      </c>
      <c r="K24" s="14">
        <f t="array" aca="1" ref="K24" ca="1">SUM(IF(NOT(ISERROR(MATCH(RES_TYPE,RankingSelection,0))),IF(RES_H=$B24,RES_PTS_H,(IF(RES_A=$B24,RES_PTS_A,0)))),0)/IF(PTS_WINRATIO=1,MAX(1,G24),1)</f>
        <v>0</v>
      </c>
      <c r="L24" s="19">
        <f t="shared" ca="1" si="2"/>
        <v>-1</v>
      </c>
      <c r="M24" s="12"/>
      <c r="N24" s="34">
        <v>22</v>
      </c>
      <c r="O24" s="48" t="e">
        <f t="shared" si="8"/>
        <v>#REF!</v>
      </c>
      <c r="P24" s="28" t="e">
        <f t="shared" si="3"/>
        <v>#REF!</v>
      </c>
      <c r="Q24" s="28" t="e">
        <f t="shared" si="4"/>
        <v>#REF!</v>
      </c>
      <c r="R24" s="28" t="e">
        <f t="shared" si="5"/>
        <v>#REF!</v>
      </c>
      <c r="S24" s="28" t="e">
        <f t="shared" si="6"/>
        <v>#REF!</v>
      </c>
      <c r="T24" s="52" t="e">
        <f t="shared" si="7"/>
        <v>#REF!</v>
      </c>
      <c r="U24" s="12"/>
      <c r="V24" s="96"/>
      <c r="W24" s="37"/>
      <c r="X24" s="10"/>
      <c r="Y24" s="12"/>
      <c r="Z24" s="12"/>
    </row>
    <row r="25" spans="1:26" ht="12.75" customHeight="1">
      <c r="A25" s="4">
        <f t="shared" ca="1" si="0"/>
        <v>11</v>
      </c>
      <c r="B25" s="3" t="str">
        <f ca="1">IF('Team Stats'!$N25&lt;&gt;"",'Team Stats'!$N25,"")</f>
        <v/>
      </c>
      <c r="C25" s="14">
        <f t="array" aca="1" ref="C25" ca="1">SUM(IF(RES_H=$B25,IF(NOT(ISERROR(MATCH(RES_TYPE,RankingSelection,0))),RES_TD_H,0)),IF(RES_A=$B25,IF(NOT(ISERROR(MATCH(RES_TYPE,RankingSelection,0))),RES_TD_A,0)))</f>
        <v>0</v>
      </c>
      <c r="D25" s="14">
        <f t="array" aca="1" ref="D25" ca="1">SUM(IF(RES_H=$B25,IF(NOT(ISERROR(MATCH(RES_TYPE,RankingSelection,0))),RES_TD_A,0)),IF(RES_A=$B25,IF(NOT(ISERROR(MATCH(RES_TYPE,RankingSelection,0))),RES_TD_H,0)))</f>
        <v>0</v>
      </c>
      <c r="E25" s="14">
        <f t="array" aca="1" ref="E25" ca="1">SUM(IF(RES_H=$B25,IF(NOT(ISERROR(MATCH(RES_TYPE,RankingSelection,0))),RES_CAS_H,0)),IF(RES_A=$B25,IF(NOT(ISERROR(MATCH(RES_TYPE,RankingSelection,0))),RES_CAS_A,0)))</f>
        <v>0</v>
      </c>
      <c r="F25" s="14">
        <f t="array" aca="1" ref="F25" ca="1">SUM(IF(RES_H=$B25,IF(NOT(ISERROR(MATCH(RES_TYPE,RankingSelection,0))),RES_CAS_A,0)),IF(RES_A=$B25,IF(NOT(ISERROR(MATCH(RES_TYPE,RankingSelection,0))),RES_CAS_H,0)))</f>
        <v>0</v>
      </c>
      <c r="G25" s="14">
        <f t="array" aca="1" ref="G25" ca="1">SUM(IF(NOT(ISERROR(MATCH(RES_TYPE,RankingSelection,0))),IF(RES_H=$B25,1,IF(RES_A=$B25,1,0))))</f>
        <v>0</v>
      </c>
      <c r="H25" s="14">
        <f t="array" aca="1" ref="H25" ca="1">SUM(IF(NOT(ISERROR(MATCH(RES_TYPE,RankingSelection,0))),IF(RES_H=$B25,RES_WIN_H,(IF(RES_A=$B25,RES_WIN_A,0)))),0)</f>
        <v>0</v>
      </c>
      <c r="I25" s="14">
        <f t="shared" ca="1" si="1"/>
        <v>0</v>
      </c>
      <c r="J25" s="14">
        <f t="array" aca="1" ref="J25" ca="1">SUM(IF(NOT(ISERROR(MATCH(RES_TYPE,RankingSelection,0))),IF(RES_H=$B25,RES_WIN_A,(IF(RES_A=$B25,RES_WIN_H,0)))),0)</f>
        <v>0</v>
      </c>
      <c r="K25" s="14">
        <f t="array" aca="1" ref="K25" ca="1">SUM(IF(NOT(ISERROR(MATCH(RES_TYPE,RankingSelection,0))),IF(RES_H=$B25,RES_PTS_H,(IF(RES_A=$B25,RES_PTS_A,0)))),0)/IF(PTS_WINRATIO=1,MAX(1,G25),1)</f>
        <v>0</v>
      </c>
      <c r="L25" s="19">
        <f t="shared" ca="1" si="2"/>
        <v>-1</v>
      </c>
      <c r="M25" s="12"/>
      <c r="N25" s="34">
        <v>23</v>
      </c>
      <c r="O25" s="48" t="e">
        <f t="shared" si="8"/>
        <v>#REF!</v>
      </c>
      <c r="P25" s="28" t="e">
        <f t="shared" si="3"/>
        <v>#REF!</v>
      </c>
      <c r="Q25" s="28" t="e">
        <f t="shared" si="4"/>
        <v>#REF!</v>
      </c>
      <c r="R25" s="28" t="e">
        <f t="shared" si="5"/>
        <v>#REF!</v>
      </c>
      <c r="S25" s="28" t="e">
        <f t="shared" si="6"/>
        <v>#REF!</v>
      </c>
      <c r="T25" s="52" t="e">
        <f t="shared" si="7"/>
        <v>#REF!</v>
      </c>
      <c r="U25" s="12"/>
      <c r="V25" s="96"/>
      <c r="W25" s="37"/>
      <c r="X25" s="10"/>
      <c r="Y25" s="12"/>
      <c r="Z25" s="12"/>
    </row>
    <row r="26" spans="1:26" ht="12.75" customHeight="1">
      <c r="A26" s="4">
        <f t="shared" ca="1" si="0"/>
        <v>11</v>
      </c>
      <c r="B26" s="3" t="str">
        <f ca="1">IF('Team Stats'!$N26&lt;&gt;"",'Team Stats'!$N26,"")</f>
        <v/>
      </c>
      <c r="C26" s="14">
        <f t="array" aca="1" ref="C26" ca="1">SUM(IF(RES_H=$B26,IF(NOT(ISERROR(MATCH(RES_TYPE,RankingSelection,0))),RES_TD_H,0)),IF(RES_A=$B26,IF(NOT(ISERROR(MATCH(RES_TYPE,RankingSelection,0))),RES_TD_A,0)))</f>
        <v>0</v>
      </c>
      <c r="D26" s="14">
        <f t="array" aca="1" ref="D26" ca="1">SUM(IF(RES_H=$B26,IF(NOT(ISERROR(MATCH(RES_TYPE,RankingSelection,0))),RES_TD_A,0)),IF(RES_A=$B26,IF(NOT(ISERROR(MATCH(RES_TYPE,RankingSelection,0))),RES_TD_H,0)))</f>
        <v>0</v>
      </c>
      <c r="E26" s="14">
        <f t="array" aca="1" ref="E26" ca="1">SUM(IF(RES_H=$B26,IF(NOT(ISERROR(MATCH(RES_TYPE,RankingSelection,0))),RES_CAS_H,0)),IF(RES_A=$B26,IF(NOT(ISERROR(MATCH(RES_TYPE,RankingSelection,0))),RES_CAS_A,0)))</f>
        <v>0</v>
      </c>
      <c r="F26" s="14">
        <f t="array" aca="1" ref="F26" ca="1">SUM(IF(RES_H=$B26,IF(NOT(ISERROR(MATCH(RES_TYPE,RankingSelection,0))),RES_CAS_A,0)),IF(RES_A=$B26,IF(NOT(ISERROR(MATCH(RES_TYPE,RankingSelection,0))),RES_CAS_H,0)))</f>
        <v>0</v>
      </c>
      <c r="G26" s="14">
        <f t="array" aca="1" ref="G26" ca="1">SUM(IF(NOT(ISERROR(MATCH(RES_TYPE,RankingSelection,0))),IF(RES_H=$B26,1,IF(RES_A=$B26,1,0))))</f>
        <v>0</v>
      </c>
      <c r="H26" s="14">
        <f t="array" aca="1" ref="H26" ca="1">SUM(IF(NOT(ISERROR(MATCH(RES_TYPE,RankingSelection,0))),IF(RES_H=$B26,RES_WIN_H,(IF(RES_A=$B26,RES_WIN_A,0)))),0)</f>
        <v>0</v>
      </c>
      <c r="I26" s="14">
        <f t="shared" ca="1" si="1"/>
        <v>0</v>
      </c>
      <c r="J26" s="14">
        <f t="array" aca="1" ref="J26" ca="1">SUM(IF(NOT(ISERROR(MATCH(RES_TYPE,RankingSelection,0))),IF(RES_H=$B26,RES_WIN_A,(IF(RES_A=$B26,RES_WIN_H,0)))),0)</f>
        <v>0</v>
      </c>
      <c r="K26" s="14">
        <f t="array" aca="1" ref="K26" ca="1">SUM(IF(NOT(ISERROR(MATCH(RES_TYPE,RankingSelection,0))),IF(RES_H=$B26,RES_PTS_H,(IF(RES_A=$B26,RES_PTS_A,0)))),0)/IF(PTS_WINRATIO=1,MAX(1,G26),1)</f>
        <v>0</v>
      </c>
      <c r="L26" s="19">
        <f t="shared" ca="1" si="2"/>
        <v>-1</v>
      </c>
      <c r="M26" s="12"/>
      <c r="N26" s="34">
        <v>24</v>
      </c>
      <c r="O26" s="48" t="e">
        <f t="shared" si="8"/>
        <v>#REF!</v>
      </c>
      <c r="P26" s="28" t="e">
        <f t="shared" si="3"/>
        <v>#REF!</v>
      </c>
      <c r="Q26" s="28" t="e">
        <f t="shared" si="4"/>
        <v>#REF!</v>
      </c>
      <c r="R26" s="28" t="e">
        <f t="shared" si="5"/>
        <v>#REF!</v>
      </c>
      <c r="S26" s="28" t="e">
        <f t="shared" si="6"/>
        <v>#REF!</v>
      </c>
      <c r="T26" s="52" t="e">
        <f t="shared" si="7"/>
        <v>#REF!</v>
      </c>
      <c r="U26" s="12"/>
      <c r="V26" s="96"/>
      <c r="W26" s="37"/>
      <c r="X26" s="10"/>
      <c r="Y26" s="12"/>
      <c r="Z26" s="12"/>
    </row>
    <row r="27" spans="1:26" ht="13.5" customHeight="1">
      <c r="A27" s="4">
        <f t="shared" ca="1" si="0"/>
        <v>11</v>
      </c>
      <c r="B27" s="3" t="str">
        <f ca="1">IF('Team Stats'!$N27&lt;&gt;"",'Team Stats'!$N27,"")</f>
        <v/>
      </c>
      <c r="C27" s="14">
        <f t="array" aca="1" ref="C27" ca="1">SUM(IF(RES_H=$B27,IF(NOT(ISERROR(MATCH(RES_TYPE,RankingSelection,0))),RES_TD_H,0)),IF(RES_A=$B27,IF(NOT(ISERROR(MATCH(RES_TYPE,RankingSelection,0))),RES_TD_A,0)))</f>
        <v>0</v>
      </c>
      <c r="D27" s="14">
        <f t="array" aca="1" ref="D27" ca="1">SUM(IF(RES_H=$B27,IF(NOT(ISERROR(MATCH(RES_TYPE,RankingSelection,0))),RES_TD_A,0)),IF(RES_A=$B27,IF(NOT(ISERROR(MATCH(RES_TYPE,RankingSelection,0))),RES_TD_H,0)))</f>
        <v>0</v>
      </c>
      <c r="E27" s="14">
        <f t="array" aca="1" ref="E27" ca="1">SUM(IF(RES_H=$B27,IF(NOT(ISERROR(MATCH(RES_TYPE,RankingSelection,0))),RES_CAS_H,0)),IF(RES_A=$B27,IF(NOT(ISERROR(MATCH(RES_TYPE,RankingSelection,0))),RES_CAS_A,0)))</f>
        <v>0</v>
      </c>
      <c r="F27" s="14">
        <f t="array" aca="1" ref="F27" ca="1">SUM(IF(RES_H=$B27,IF(NOT(ISERROR(MATCH(RES_TYPE,RankingSelection,0))),RES_CAS_A,0)),IF(RES_A=$B27,IF(NOT(ISERROR(MATCH(RES_TYPE,RankingSelection,0))),RES_CAS_H,0)))</f>
        <v>0</v>
      </c>
      <c r="G27" s="14">
        <f t="array" aca="1" ref="G27" ca="1">SUM(IF(NOT(ISERROR(MATCH(RES_TYPE,RankingSelection,0))),IF(RES_H=$B27,1,IF(RES_A=$B27,1,0))))</f>
        <v>0</v>
      </c>
      <c r="H27" s="14">
        <f t="array" aca="1" ref="H27" ca="1">SUM(IF(NOT(ISERROR(MATCH(RES_TYPE,RankingSelection,0))),IF(RES_H=$B27,RES_WIN_H,(IF(RES_A=$B27,RES_WIN_A,0)))),0)</f>
        <v>0</v>
      </c>
      <c r="I27" s="14">
        <f t="shared" ca="1" si="1"/>
        <v>0</v>
      </c>
      <c r="J27" s="14">
        <f t="array" aca="1" ref="J27" ca="1">SUM(IF(NOT(ISERROR(MATCH(RES_TYPE,RankingSelection,0))),IF(RES_H=$B27,RES_WIN_A,(IF(RES_A=$B27,RES_WIN_H,0)))),0)</f>
        <v>0</v>
      </c>
      <c r="K27" s="14">
        <f t="array" aca="1" ref="K27" ca="1">SUM(IF(NOT(ISERROR(MATCH(RES_TYPE,RankingSelection,0))),IF(RES_H=$B27,RES_PTS_H,(IF(RES_A=$B27,RES_PTS_A,0)))),0)/IF(PTS_WINRATIO=1,MAX(1,G27),1)</f>
        <v>0</v>
      </c>
      <c r="L27" s="19">
        <f t="shared" ca="1" si="2"/>
        <v>-1</v>
      </c>
      <c r="M27" s="12"/>
      <c r="N27" s="83">
        <v>25</v>
      </c>
      <c r="O27" s="99" t="e">
        <f t="shared" si="8"/>
        <v>#REF!</v>
      </c>
      <c r="P27" s="100" t="e">
        <f t="shared" si="3"/>
        <v>#REF!</v>
      </c>
      <c r="Q27" s="100" t="e">
        <f t="shared" si="4"/>
        <v>#REF!</v>
      </c>
      <c r="R27" s="100" t="e">
        <f t="shared" si="5"/>
        <v>#REF!</v>
      </c>
      <c r="S27" s="100" t="e">
        <f t="shared" si="6"/>
        <v>#REF!</v>
      </c>
      <c r="T27" s="101" t="e">
        <f t="shared" si="7"/>
        <v>#REF!</v>
      </c>
      <c r="U27" s="12"/>
      <c r="V27" s="96"/>
      <c r="W27" s="64"/>
      <c r="X27" s="10"/>
      <c r="Y27" s="12"/>
      <c r="Z27" s="12"/>
    </row>
  </sheetData>
  <mergeCells count="1">
    <mergeCell ref="N1:T1"/>
  </mergeCells>
  <dataValidations count="1">
    <dataValidation type="list" allowBlank="1" showErrorMessage="1" sqref="W3:W27">
      <formula1>GameTypes</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P83"/>
  <sheetViews>
    <sheetView topLeftCell="AC1" workbookViewId="0"/>
  </sheetViews>
  <sheetFormatPr defaultColWidth="14.42578125" defaultRowHeight="15" customHeight="1"/>
  <cols>
    <col min="1" max="13" width="8.28515625" hidden="1" customWidth="1"/>
    <col min="14" max="28" width="14.140625" hidden="1" customWidth="1"/>
    <col min="29" max="29" width="1.42578125" customWidth="1"/>
    <col min="30" max="30" width="3.140625" customWidth="1"/>
    <col min="31" max="31" width="21" customWidth="1"/>
    <col min="32" max="32" width="10.7109375" customWidth="1"/>
    <col min="33" max="33" width="21.28515625" customWidth="1"/>
    <col min="34" max="34" width="10.7109375" customWidth="1"/>
    <col min="35" max="35" width="21.28515625" customWidth="1"/>
    <col min="36" max="36" width="10.7109375" customWidth="1"/>
    <col min="37" max="37" width="21.28515625" customWidth="1"/>
    <col min="38" max="38" width="10.7109375" customWidth="1"/>
    <col min="39" max="39" width="21.28515625" customWidth="1"/>
    <col min="40" max="40" width="10.7109375" customWidth="1"/>
    <col min="41" max="41" width="5.140625" customWidth="1"/>
    <col min="42" max="42" width="11.42578125" customWidth="1"/>
  </cols>
  <sheetData>
    <row r="1" spans="1:42" ht="27.75" customHeight="1">
      <c r="A1" s="38">
        <v>1</v>
      </c>
      <c r="B1" s="38">
        <v>2</v>
      </c>
      <c r="C1" s="38">
        <v>3</v>
      </c>
      <c r="D1" s="38">
        <v>4</v>
      </c>
      <c r="E1" s="38">
        <v>5</v>
      </c>
      <c r="F1" s="38">
        <v>6</v>
      </c>
      <c r="G1" s="38">
        <v>7</v>
      </c>
      <c r="H1" s="38">
        <v>8</v>
      </c>
      <c r="I1" s="38">
        <v>9</v>
      </c>
      <c r="J1" s="38">
        <v>10</v>
      </c>
      <c r="K1" s="38">
        <v>11</v>
      </c>
      <c r="L1" s="38">
        <v>12</v>
      </c>
      <c r="M1" s="38">
        <v>13</v>
      </c>
      <c r="N1" s="38">
        <v>14</v>
      </c>
      <c r="O1" s="38">
        <v>15</v>
      </c>
      <c r="P1" s="38">
        <v>16</v>
      </c>
      <c r="Q1" s="38">
        <v>17</v>
      </c>
      <c r="R1" s="38">
        <v>18</v>
      </c>
      <c r="S1" s="38">
        <v>19</v>
      </c>
      <c r="T1" s="38">
        <v>20</v>
      </c>
      <c r="U1" s="38">
        <v>21</v>
      </c>
      <c r="V1" s="38">
        <v>22</v>
      </c>
      <c r="W1" s="38">
        <v>23</v>
      </c>
      <c r="X1" s="38">
        <v>24</v>
      </c>
      <c r="Y1" s="38">
        <v>25</v>
      </c>
      <c r="Z1" s="38">
        <v>26</v>
      </c>
      <c r="AA1" s="38">
        <v>27</v>
      </c>
      <c r="AB1" s="38">
        <v>28</v>
      </c>
      <c r="AC1" s="2"/>
      <c r="AD1" s="20"/>
      <c r="AE1" s="325" t="s">
        <v>75</v>
      </c>
      <c r="AF1" s="316"/>
      <c r="AG1" s="316"/>
      <c r="AH1" s="316"/>
      <c r="AI1" s="1"/>
      <c r="AJ1" s="1"/>
      <c r="AK1" s="1"/>
      <c r="AL1" s="1"/>
      <c r="AM1" s="1"/>
      <c r="AN1" s="1"/>
      <c r="AO1" s="1"/>
      <c r="AP1" s="10"/>
    </row>
    <row r="2" spans="1:42" ht="15.75" customHeight="1">
      <c r="A2" s="39" t="s">
        <v>76</v>
      </c>
      <c r="B2" s="39" t="s">
        <v>77</v>
      </c>
      <c r="C2" s="39" t="s">
        <v>78</v>
      </c>
      <c r="D2" s="39" t="s">
        <v>79</v>
      </c>
      <c r="E2" s="39" t="s">
        <v>80</v>
      </c>
      <c r="F2" s="39" t="s">
        <v>81</v>
      </c>
      <c r="G2" s="39" t="s">
        <v>82</v>
      </c>
      <c r="H2" s="39" t="s">
        <v>83</v>
      </c>
      <c r="I2" s="39" t="s">
        <v>84</v>
      </c>
      <c r="J2" s="39" t="s">
        <v>85</v>
      </c>
      <c r="K2" s="39" t="s">
        <v>86</v>
      </c>
      <c r="L2" s="39" t="s">
        <v>87</v>
      </c>
      <c r="M2" s="39" t="s">
        <v>88</v>
      </c>
      <c r="N2" s="40" t="s">
        <v>4</v>
      </c>
      <c r="O2" s="41" t="s">
        <v>6</v>
      </c>
      <c r="P2" s="41" t="s">
        <v>7</v>
      </c>
      <c r="Q2" s="41" t="s">
        <v>89</v>
      </c>
      <c r="R2" s="41" t="s">
        <v>90</v>
      </c>
      <c r="S2" s="41" t="s">
        <v>91</v>
      </c>
      <c r="T2" s="41" t="s">
        <v>8</v>
      </c>
      <c r="U2" s="41" t="s">
        <v>9</v>
      </c>
      <c r="V2" s="41" t="s">
        <v>92</v>
      </c>
      <c r="W2" s="41" t="s">
        <v>93</v>
      </c>
      <c r="X2" s="41" t="s">
        <v>94</v>
      </c>
      <c r="Y2" s="41" t="s">
        <v>36</v>
      </c>
      <c r="Z2" s="41" t="s">
        <v>95</v>
      </c>
      <c r="AA2" s="41" t="s">
        <v>96</v>
      </c>
      <c r="AB2" s="41" t="s">
        <v>97</v>
      </c>
      <c r="AC2" s="42"/>
      <c r="AD2" s="43"/>
      <c r="AE2" s="326" t="s">
        <v>98</v>
      </c>
      <c r="AF2" s="327"/>
      <c r="AG2" s="323" t="s">
        <v>99</v>
      </c>
      <c r="AH2" s="327"/>
      <c r="AI2" s="323" t="s">
        <v>100</v>
      </c>
      <c r="AJ2" s="327"/>
      <c r="AK2" s="323" t="s">
        <v>101</v>
      </c>
      <c r="AL2" s="327"/>
      <c r="AM2" s="323" t="s">
        <v>102</v>
      </c>
      <c r="AN2" s="324"/>
      <c r="AO2" s="44"/>
      <c r="AP2" s="33" t="s">
        <v>41</v>
      </c>
    </row>
    <row r="3" spans="1:42" ht="12" customHeight="1">
      <c r="A3" s="45">
        <f t="shared" ref="A3:A27" ca="1" si="0">RANK($O3,$O$3:$O$27)</f>
        <v>4</v>
      </c>
      <c r="B3" s="45">
        <f t="shared" ref="B3:B27" ca="1" si="1">RANK($P3,$P$3:$P$27)</f>
        <v>7</v>
      </c>
      <c r="C3" s="45">
        <f t="shared" ref="C3:C27" ca="1" si="2">RANK($Q3,$Q$3:$Q$27)</f>
        <v>3</v>
      </c>
      <c r="D3" s="45">
        <f t="shared" ref="D3:D27" ca="1" si="3">RANK($R3,$R$3:$R$27)</f>
        <v>5</v>
      </c>
      <c r="E3" s="45">
        <f t="shared" ref="E3:E27" ca="1" si="4">RANK($S3,$S$3:$S$27)</f>
        <v>3</v>
      </c>
      <c r="F3" s="45">
        <f t="shared" ref="F3:F27" ca="1" si="5">RANK($T3,$T$3:$T$27)</f>
        <v>4</v>
      </c>
      <c r="G3" s="45">
        <f t="shared" ref="G3:G27" ca="1" si="6">RANK($U3,$U$3:$U$27)</f>
        <v>9</v>
      </c>
      <c r="H3" s="45">
        <f t="shared" ref="H3:H27" ca="1" si="7">RANK($V3,$V$3:$V$27)</f>
        <v>6</v>
      </c>
      <c r="I3" s="45">
        <f t="shared" ref="I3:I27" ca="1" si="8">RANK($W3,$W$3:$W$27)</f>
        <v>9</v>
      </c>
      <c r="J3" s="45">
        <f t="shared" ref="J3:J27" ca="1" si="9">RANK($X3,$X$3:$X$27)</f>
        <v>9</v>
      </c>
      <c r="K3" s="45">
        <f t="shared" ref="K3:K27" ca="1" si="10">RANK($Z3,$Z$3:$Z$27)</f>
        <v>6</v>
      </c>
      <c r="L3" s="45">
        <f t="shared" ref="L3:L27" ca="1" si="11">RANK($AA3,$AA$3:$AA$27)</f>
        <v>2</v>
      </c>
      <c r="M3" s="45">
        <f t="shared" ref="M3:M27" ca="1" si="12">RANK($AB3,$AB$3:$AB$27)</f>
        <v>2</v>
      </c>
      <c r="N3" s="46" t="str">
        <f t="shared" ref="N3:N27" ca="1" si="13">IF(ISERROR(INDIRECT("T"&amp;TEXT(ROW()-ROW($AB$2),0)&amp;"!$J$3",TRUE)),"",IF(INDIRECT("T"&amp;TEXT(ROW()-ROW($AB$2),0)&amp;"!$E$3",TRUE)&gt;0,INDIRECT("T"&amp;TEXT(ROW()-ROW($AB$2),0)&amp;"!$J$3",TRUE),""))</f>
        <v>Sylvania Suckhawks</v>
      </c>
      <c r="O3" s="47">
        <f t="array" aca="1" ref="O3" ca="1">SUM(IF(NOT(ISERROR(MATCH(RES_TYPE,Team_Stat_Sel,0))),IF(RES_H=$N3,RES_TD_H,0)+IF(RES_A=$N3,RES_TD_A,0)))+ROW()/777777777+IF($Y3&lt;0.5,-1,0)</f>
        <v>7.000000003857143</v>
      </c>
      <c r="P3" s="47">
        <f t="array" aca="1" ref="P3" ca="1">SUM(IF(NOT(ISERROR(MATCH(RES_TYPE,Team_Stat_Sel,0))),IF(RES_H=$N3,RES_TD_A,0)+IF(RES_A=$N3,RES_TD_H,0))*-1)+ROW()/77777777+IF($Y3&lt;0.5,-9999999,0)</f>
        <v>-3.9999999614285708</v>
      </c>
      <c r="Q3" s="47">
        <f t="shared" ref="Q3:Q27" ca="1" si="14">IF($Y3&gt;0.5,$O3+$P3,-999999)+ROW()/777777777</f>
        <v>3.0000000462857153</v>
      </c>
      <c r="R3" s="47">
        <f t="shared" ref="R3:R27" ca="1" si="15">IF($Y3&gt;0.5,$O3/$Y3,-999999)+ROW()/777777777</f>
        <v>1.1666666711666667</v>
      </c>
      <c r="S3" s="47">
        <f t="shared" ref="S3:S27" ca="1" si="16">IF($Y3&gt;0.5,$P3/$Y3,-999999)+ROW()/777777777</f>
        <v>-0.66666665638095235</v>
      </c>
      <c r="T3" s="47">
        <f t="array" aca="1" ref="T3" ca="1">SUM(IF(NOT(ISERROR(MATCH(RES_TYPE,Team_Stat_Sel,0))),IF(RES_H=$N3,RES_CAS_H,0)+IF(RES_A=$N3,RES_CAS_A,0)))+ROW()/7777777777+IF(Y3&lt;0.5,-999999,0)</f>
        <v>8.0000000003857146</v>
      </c>
      <c r="U3" s="47">
        <f t="array" aca="1" ref="U3" ca="1">SUM(IF(NOT(ISERROR(MATCH(RES_TYPE,Team_Stat_Sel,0))),IF(RES_H=$N3,RES_CAS_A,0)+IF(RES_A=$N3,RES_CAS_H,0))*-1)+ROW()/7777777777+IF(Y3&lt;0.5,-999999,0)</f>
        <v>-12.999999999614285</v>
      </c>
      <c r="V3" s="47">
        <f t="shared" ref="V3:V27" ca="1" si="17">IF($Y3&gt;0.5,$T3/$Y3,-999999)+ROW()/777777777</f>
        <v>1.333333337254762</v>
      </c>
      <c r="W3" s="47">
        <f t="shared" ref="W3:W27" ca="1" si="18">IF($Y3&gt;0.5,$U3/$Y3,-999999)+ROW()/777777777</f>
        <v>-2.166666662745238</v>
      </c>
      <c r="X3" s="47">
        <f t="shared" ref="X3:X27" ca="1" si="19">IF($Y3&gt;0.5,T3+U3,-999999)+ROW()/777777777</f>
        <v>-4.9999999953714278</v>
      </c>
      <c r="Y3" s="47">
        <f t="array" aca="1" ref="Y3" ca="1">IF(N3&lt;&gt;"",SUM(IF(NOT(ISERROR(MATCH(RES_TYPE,Team_Stat_Sel,0))),IF(RES_H=$N3,1,0)+IF(RES_A=$N3,1,0),0)),0)</f>
        <v>6</v>
      </c>
      <c r="Z3" s="47">
        <f t="array" aca="1" ref="Z3" ca="1">IF(Y3&gt;0.5,(SUM(IF(NOT(ISERROR(MATCH(RES_TYPE,Team_Stat_Sel,0))),IF(RES_H=$N3,RES_GATE_H,0)+IF(RES_A=$N3,RES_GATE_A,0),0))/Y3),-1)+ROW()/777777777</f>
        <v>6333.3333333371902</v>
      </c>
      <c r="AA3" s="47">
        <f t="shared" ref="AA3:AA27" ca="1" si="20">IF(OR($N3="",Y3&lt;0.5),-1,INDIRECT("T"&amp;TEXT(ROW()-ROW($AB$2),0)&amp;"!$R$40",TRUE)+ROW()/1000000000)</f>
        <v>1330000.000000003</v>
      </c>
      <c r="AB3" s="47">
        <f t="shared" ref="AB3:AB27" ca="1" si="21">IF(OR(N3="",Y3&lt;0.5),-1,INDIRECT("T"&amp;TEXT(ROW()-ROW($AB$2),0)&amp;"!$M$35",TRUE)+ROW()/1000000000)</f>
        <v>5.0000000030000002</v>
      </c>
      <c r="AC3" s="4"/>
      <c r="AD3" s="34">
        <v>1</v>
      </c>
      <c r="AE3" s="49" t="str">
        <f t="shared" ref="AE3:AE27" ca="1" si="22">IF($Y$29&gt;=$AD3,VLOOKUP($AD3,$A$3:$Y$34,14,FALSE),"")</f>
        <v>Skyhaven Silverfoxes</v>
      </c>
      <c r="AF3" s="50">
        <f t="shared" ref="AF3:AF27" ca="1" si="23">IF($Y$29&gt;=$AD3,VLOOKUP($AD3,$A$3:$Y$34,15,FALSE),"")</f>
        <v>10.000000011571428</v>
      </c>
      <c r="AG3" s="51" t="str">
        <f t="shared" ref="AG3:AG27" ca="1" si="24">IF($Y$29&gt;=$AD3,VLOOKUP($AD3,$D$3:$AB$34,11,FALSE),"")</f>
        <v>Aedra &amp; Daedra</v>
      </c>
      <c r="AH3" s="53">
        <f t="shared" ref="AH3:AH27" ca="1" si="25">IF($Y$29&gt;=$AD3,VLOOKUP($AD3,$D$3:$AB$34,15,FALSE),"")</f>
        <v>1.7500000176785715</v>
      </c>
      <c r="AI3" s="51" t="str">
        <f t="shared" ref="AI3:AI27" ca="1" si="26">IF($Y$29&gt;=$AD3,VLOOKUP($AD3,$B$3:$P$34,13,FALSE),"")</f>
        <v>Jacksonville Thrillers</v>
      </c>
      <c r="AJ3" s="50">
        <f t="shared" ref="AJ3:AJ27" ca="1" si="27">IF($Y$29&gt;=$AD3,VLOOKUP($AD3,$B$3:$P$34,15,FALSE)*-1,"")</f>
        <v>0.99999994857142804</v>
      </c>
      <c r="AK3" s="51" t="str">
        <f t="shared" ref="AK3:AK27" ca="1" si="28">IF($Y$29&gt;=$AD3,VLOOKUP($AD3,$E$3:$AB$34,10,FALSE),"")</f>
        <v>Guardians of the Nile</v>
      </c>
      <c r="AL3" s="53">
        <f t="shared" ref="AL3:AL27" ca="1" si="29">IF($Y$29&gt;=$AD3,VLOOKUP($AD3,$E$3:$AB$34,15,FALSE)*-1,"")</f>
        <v>0.33333330590476173</v>
      </c>
      <c r="AM3" s="51" t="str">
        <f t="shared" ref="AM3:AM27" ca="1" si="30">IF($Y$29&gt;=$AD3,VLOOKUP($AD3,$C$3:$AB$34,12,FALSE),"")</f>
        <v>Guardians of the Nile</v>
      </c>
      <c r="AN3" s="54">
        <f t="shared" ref="AN3:AN27" ca="1" si="31">IF(COUNTIF($Y$3:$Y$27,"&gt;0")&gt;=$AD3,VLOOKUP($AD3,$C$3:$AB$34,15,FALSE),"")</f>
        <v>7.0000001234285723</v>
      </c>
      <c r="AO3" s="1"/>
      <c r="AP3" s="37" t="s">
        <v>103</v>
      </c>
    </row>
    <row r="4" spans="1:42" ht="12" customHeight="1">
      <c r="A4" s="45">
        <f t="shared" ca="1" si="0"/>
        <v>7</v>
      </c>
      <c r="B4" s="45">
        <f t="shared" ca="1" si="1"/>
        <v>1</v>
      </c>
      <c r="C4" s="45">
        <f t="shared" ca="1" si="2"/>
        <v>5</v>
      </c>
      <c r="D4" s="45">
        <f t="shared" ca="1" si="3"/>
        <v>4</v>
      </c>
      <c r="E4" s="45">
        <f t="shared" ca="1" si="4"/>
        <v>2</v>
      </c>
      <c r="F4" s="45">
        <f t="shared" ca="1" si="5"/>
        <v>10</v>
      </c>
      <c r="G4" s="45">
        <f t="shared" ca="1" si="6"/>
        <v>5</v>
      </c>
      <c r="H4" s="45">
        <f t="shared" ca="1" si="7"/>
        <v>9</v>
      </c>
      <c r="I4" s="45">
        <f t="shared" ca="1" si="8"/>
        <v>8</v>
      </c>
      <c r="J4" s="45">
        <f t="shared" ca="1" si="9"/>
        <v>8</v>
      </c>
      <c r="K4" s="45">
        <f t="shared" ca="1" si="10"/>
        <v>3</v>
      </c>
      <c r="L4" s="45">
        <f t="shared" ca="1" si="11"/>
        <v>7</v>
      </c>
      <c r="M4" s="45">
        <f t="shared" ca="1" si="12"/>
        <v>4</v>
      </c>
      <c r="N4" s="46" t="str">
        <f t="shared" ca="1" si="13"/>
        <v>Jacksonville Thrillers</v>
      </c>
      <c r="O4" s="47">
        <f t="array" aca="1" ref="O4" ca="1">SUM(IF(NOT(ISERROR(MATCH(RES_TYPE,Team_Stat_Sel,0))),IF(RES_H=$N4,RES_TD_H,0)+IF(RES_A=$N4,RES_TD_A,0)))+ROW()/777777777+IF($Y4&lt;0.5,-1,0)</f>
        <v>3.0000000051428573</v>
      </c>
      <c r="P4" s="47">
        <f t="array" aca="1" ref="P4" ca="1">SUM(IF(NOT(ISERROR(MATCH(RES_TYPE,Team_Stat_Sel,0))),IF(RES_H=$N4,RES_TD_A,0)+IF(RES_A=$N4,RES_TD_H,0))*-1)+ROW()/77777777+IF($Y4&lt;0.5,-9999999,0)</f>
        <v>-0.99999994857142804</v>
      </c>
      <c r="Q4" s="47">
        <f t="shared" ca="1" si="14"/>
        <v>2.0000000617142866</v>
      </c>
      <c r="R4" s="47">
        <f t="shared" ca="1" si="15"/>
        <v>1.5000000077142859</v>
      </c>
      <c r="S4" s="47">
        <f t="shared" ca="1" si="16"/>
        <v>-0.49999996914285688</v>
      </c>
      <c r="T4" s="47">
        <f t="array" aca="1" ref="T4" ca="1">SUM(IF(NOT(ISERROR(MATCH(RES_TYPE,Team_Stat_Sel,0))),IF(RES_H=$N4,RES_CAS_H,0)+IF(RES_A=$N4,RES_CAS_A,0)))+ROW()/7777777777+IF(Y4&lt;0.5,-999999,0)</f>
        <v>2.0000000005142855</v>
      </c>
      <c r="U4" s="47">
        <f t="array" aca="1" ref="U4" ca="1">SUM(IF(NOT(ISERROR(MATCH(RES_TYPE,Team_Stat_Sel,0))),IF(RES_H=$N4,RES_CAS_A,0)+IF(RES_A=$N4,RES_CAS_H,0))*-1)+ROW()/7777777777+IF(Y4&lt;0.5,-999999,0)</f>
        <v>-3.9999999994857145</v>
      </c>
      <c r="V4" s="47">
        <f t="shared" ca="1" si="17"/>
        <v>1.0000000054</v>
      </c>
      <c r="W4" s="47">
        <f t="shared" ca="1" si="18"/>
        <v>-1.9999999946</v>
      </c>
      <c r="X4" s="47">
        <f t="shared" ca="1" si="19"/>
        <v>-1.9999999938285717</v>
      </c>
      <c r="Y4" s="47">
        <f t="array" aca="1" ref="Y4" ca="1">IF(N4&lt;&gt;"",SUM(IF(NOT(ISERROR(MATCH(RES_TYPE,Team_Stat_Sel,0))),IF(RES_H=$N4,1,0)+IF(RES_A=$N4,1,0),0)),0)</f>
        <v>2</v>
      </c>
      <c r="Z4" s="47">
        <f t="array" aca="1" ref="Z4" ca="1">IF(Y4&gt;0.5,(SUM(IF(NOT(ISERROR(MATCH(RES_TYPE,Team_Stat_Sel,0))),IF(RES_H=$N4,RES_GATE_H,0)+IF(RES_A=$N4,RES_GATE_A,0),0))/Y4),-1)+ROW()/777777777</f>
        <v>10500.000000005142</v>
      </c>
      <c r="AA4" s="47">
        <f t="shared" ca="1" si="20"/>
        <v>1120000.000000004</v>
      </c>
      <c r="AB4" s="47">
        <f t="shared" ca="1" si="21"/>
        <v>4.0000000040000003</v>
      </c>
      <c r="AC4" s="4"/>
      <c r="AD4" s="34">
        <v>2</v>
      </c>
      <c r="AE4" s="55" t="str">
        <f t="shared" ca="1" si="22"/>
        <v>Guardians of the Nile</v>
      </c>
      <c r="AF4" s="56">
        <f t="shared" ca="1" si="23"/>
        <v>9.0000000102857136</v>
      </c>
      <c r="AG4" s="57" t="str">
        <f t="shared" ca="1" si="24"/>
        <v>Skyhaven Silverfoxes</v>
      </c>
      <c r="AH4" s="58">
        <f t="shared" ca="1" si="25"/>
        <v>1.6666666801666665</v>
      </c>
      <c r="AI4" s="57" t="str">
        <f t="shared" ca="1" si="26"/>
        <v>Guardians of the Nile</v>
      </c>
      <c r="AJ4" s="56">
        <f t="shared" ca="1" si="27"/>
        <v>1.9999998971428561</v>
      </c>
      <c r="AK4" s="57" t="str">
        <f t="shared" ca="1" si="28"/>
        <v>Jacksonville Thrillers</v>
      </c>
      <c r="AL4" s="58">
        <f t="shared" ca="1" si="29"/>
        <v>0.49999996914285688</v>
      </c>
      <c r="AM4" s="57" t="str">
        <f t="shared" ca="1" si="30"/>
        <v>Aedra &amp; Daedra</v>
      </c>
      <c r="AN4" s="59">
        <f t="shared" ca="1" si="31"/>
        <v>4.000000169714288</v>
      </c>
      <c r="AO4" s="1"/>
      <c r="AP4" s="37" t="s">
        <v>40</v>
      </c>
    </row>
    <row r="5" spans="1:42" ht="12" customHeight="1">
      <c r="A5" s="45">
        <f t="shared" ca="1" si="0"/>
        <v>6</v>
      </c>
      <c r="B5" s="45">
        <f t="shared" ca="1" si="1"/>
        <v>10</v>
      </c>
      <c r="C5" s="45">
        <f t="shared" ca="1" si="2"/>
        <v>10</v>
      </c>
      <c r="D5" s="45">
        <f t="shared" ca="1" si="3"/>
        <v>10</v>
      </c>
      <c r="E5" s="45">
        <f t="shared" ca="1" si="4"/>
        <v>9</v>
      </c>
      <c r="F5" s="45">
        <f t="shared" ca="1" si="5"/>
        <v>1</v>
      </c>
      <c r="G5" s="45">
        <f t="shared" ca="1" si="6"/>
        <v>8</v>
      </c>
      <c r="H5" s="45">
        <f t="shared" ca="1" si="7"/>
        <v>4</v>
      </c>
      <c r="I5" s="45">
        <f t="shared" ca="1" si="8"/>
        <v>6</v>
      </c>
      <c r="J5" s="45">
        <f t="shared" ca="1" si="9"/>
        <v>6</v>
      </c>
      <c r="K5" s="45">
        <f t="shared" ca="1" si="10"/>
        <v>4</v>
      </c>
      <c r="L5" s="45">
        <f t="shared" ca="1" si="11"/>
        <v>6</v>
      </c>
      <c r="M5" s="45">
        <f t="shared" ca="1" si="12"/>
        <v>7</v>
      </c>
      <c r="N5" s="46" t="str">
        <f t="shared" ca="1" si="13"/>
        <v>Population: Orc</v>
      </c>
      <c r="O5" s="47">
        <f t="array" aca="1" ref="O5" ca="1">SUM(IF(NOT(ISERROR(MATCH(RES_TYPE,Team_Stat_Sel,0))),IF(RES_H=$N5,RES_TD_H,0)+IF(RES_A=$N5,RES_TD_A,0)))+ROW()/777777777+IF($Y5&lt;0.5,-1,0)</f>
        <v>3.0000000064285715</v>
      </c>
      <c r="P5" s="47">
        <f t="array" aca="1" ref="P5" ca="1">SUM(IF(NOT(ISERROR(MATCH(RES_TYPE,Team_Stat_Sel,0))),IF(RES_H=$N5,RES_TD_A,0)+IF(RES_A=$N5,RES_TD_H,0))*-1)+ROW()/77777777+IF($Y5&lt;0.5,-9999999,0)</f>
        <v>-11.999999935714285</v>
      </c>
      <c r="Q5" s="47">
        <f t="shared" ca="1" si="14"/>
        <v>-8.9999999228571426</v>
      </c>
      <c r="R5" s="47">
        <f t="shared" ca="1" si="15"/>
        <v>0.42857143591836738</v>
      </c>
      <c r="S5" s="47">
        <f t="shared" ca="1" si="16"/>
        <v>-1.7142856986734694</v>
      </c>
      <c r="T5" s="47">
        <f t="array" aca="1" ref="T5" ca="1">SUM(IF(NOT(ISERROR(MATCH(RES_TYPE,Team_Stat_Sel,0))),IF(RES_H=$N5,RES_CAS_H,0)+IF(RES_A=$N5,RES_CAS_A,0)))+ROW()/7777777777+IF(Y5&lt;0.5,-999999,0)</f>
        <v>13.000000000642856</v>
      </c>
      <c r="U5" s="47">
        <f t="array" aca="1" ref="U5" ca="1">SUM(IF(NOT(ISERROR(MATCH(RES_TYPE,Team_Stat_Sel,0))),IF(RES_H=$N5,RES_CAS_A,0)+IF(RES_A=$N5,RES_CAS_H,0))*-1)+ROW()/7777777777+IF(Y5&lt;0.5,-999999,0)</f>
        <v>-11.999999999357144</v>
      </c>
      <c r="V5" s="47">
        <f t="shared" ca="1" si="17"/>
        <v>1.8571428636632652</v>
      </c>
      <c r="W5" s="47">
        <f t="shared" ca="1" si="18"/>
        <v>-1.7142857077653062</v>
      </c>
      <c r="X5" s="47">
        <f t="shared" ca="1" si="19"/>
        <v>1.0000000077142843</v>
      </c>
      <c r="Y5" s="47">
        <f t="array" aca="1" ref="Y5" ca="1">IF(N5&lt;&gt;"",SUM(IF(NOT(ISERROR(MATCH(RES_TYPE,Team_Stat_Sel,0))),IF(RES_H=$N5,1,0)+IF(RES_A=$N5,1,0),0)),0)</f>
        <v>7</v>
      </c>
      <c r="Z5" s="47">
        <f t="array" aca="1" ref="Z5" ca="1">IF(Y5&gt;0.5,(SUM(IF(NOT(ISERROR(MATCH(RES_TYPE,Team_Stat_Sel,0))),IF(RES_H=$N5,RES_GATE_H,0)+IF(RES_A=$N5,RES_GATE_A,0),0))/Y5),-1)+ROW()/777777777</f>
        <v>8857.1428571492852</v>
      </c>
      <c r="AA5" s="47">
        <f t="shared" ca="1" si="20"/>
        <v>1200000.0000000049</v>
      </c>
      <c r="AB5" s="47">
        <f t="shared" ca="1" si="21"/>
        <v>2.000000005</v>
      </c>
      <c r="AC5" s="4"/>
      <c r="AD5" s="34">
        <v>3</v>
      </c>
      <c r="AE5" s="55" t="str">
        <f t="shared" ca="1" si="22"/>
        <v>Aedra &amp; Daedra</v>
      </c>
      <c r="AF5" s="56">
        <f t="shared" ca="1" si="23"/>
        <v>7.0000000141428576</v>
      </c>
      <c r="AG5" s="57" t="str">
        <f t="shared" ca="1" si="24"/>
        <v>Guardians of the Nile</v>
      </c>
      <c r="AH5" s="58">
        <f t="shared" ca="1" si="25"/>
        <v>1.5000000119999999</v>
      </c>
      <c r="AI5" s="57" t="str">
        <f t="shared" ca="1" si="26"/>
        <v>Hellions of Troy</v>
      </c>
      <c r="AJ5" s="56">
        <f t="shared" ca="1" si="27"/>
        <v>2.9999998457142842</v>
      </c>
      <c r="AK5" s="57" t="str">
        <f t="shared" ca="1" si="28"/>
        <v>Sylvania Suckhawks</v>
      </c>
      <c r="AL5" s="58">
        <f t="shared" ca="1" si="29"/>
        <v>0.66666665638095235</v>
      </c>
      <c r="AM5" s="57" t="str">
        <f t="shared" ca="1" si="30"/>
        <v>Sylvania Suckhawks</v>
      </c>
      <c r="AN5" s="59">
        <f t="shared" ca="1" si="31"/>
        <v>3.0000000462857153</v>
      </c>
      <c r="AO5" s="1"/>
      <c r="AP5" s="37" t="s">
        <v>70</v>
      </c>
    </row>
    <row r="6" spans="1:42" ht="12" customHeight="1">
      <c r="A6" s="45">
        <f t="shared" ca="1" si="0"/>
        <v>9</v>
      </c>
      <c r="B6" s="45">
        <f t="shared" ca="1" si="1"/>
        <v>6</v>
      </c>
      <c r="C6" s="45">
        <f t="shared" ca="1" si="2"/>
        <v>8</v>
      </c>
      <c r="D6" s="45">
        <f t="shared" ca="1" si="3"/>
        <v>7</v>
      </c>
      <c r="E6" s="45">
        <f t="shared" ca="1" si="4"/>
        <v>6</v>
      </c>
      <c r="F6" s="45">
        <f t="shared" ca="1" si="5"/>
        <v>7</v>
      </c>
      <c r="G6" s="45">
        <f t="shared" ca="1" si="6"/>
        <v>4</v>
      </c>
      <c r="H6" s="45">
        <f t="shared" ca="1" si="7"/>
        <v>5</v>
      </c>
      <c r="I6" s="45">
        <f t="shared" ca="1" si="8"/>
        <v>4</v>
      </c>
      <c r="J6" s="45">
        <f t="shared" ca="1" si="9"/>
        <v>5</v>
      </c>
      <c r="K6" s="45">
        <f t="shared" ca="1" si="10"/>
        <v>8</v>
      </c>
      <c r="L6" s="45">
        <f t="shared" ca="1" si="11"/>
        <v>8</v>
      </c>
      <c r="M6" s="45">
        <f t="shared" ca="1" si="12"/>
        <v>10</v>
      </c>
      <c r="N6" s="46" t="str">
        <f t="shared" ca="1" si="13"/>
        <v>Wrath of the Month</v>
      </c>
      <c r="O6" s="47">
        <f t="array" aca="1" ref="O6" ca="1">SUM(IF(NOT(ISERROR(MATCH(RES_TYPE,Team_Stat_Sel,0))),IF(RES_H=$N6,RES_TD_H,0)+IF(RES_A=$N6,RES_TD_A,0)))+ROW()/777777777+IF($Y6&lt;0.5,-1,0)</f>
        <v>2.0000000077142857</v>
      </c>
      <c r="P6" s="47">
        <f t="array" aca="1" ref="P6" ca="1">SUM(IF(NOT(ISERROR(MATCH(RES_TYPE,Team_Stat_Sel,0))),IF(RES_H=$N6,RES_TD_A,0)+IF(RES_A=$N6,RES_TD_H,0))*-1)+ROW()/77777777+IF($Y6&lt;0.5,-9999999,0)</f>
        <v>-3.9999999228571421</v>
      </c>
      <c r="Q6" s="47">
        <f t="shared" ca="1" si="14"/>
        <v>-1.9999999074285708</v>
      </c>
      <c r="R6" s="47">
        <f t="shared" ca="1" si="15"/>
        <v>0.66666667695238102</v>
      </c>
      <c r="S6" s="47">
        <f t="shared" ca="1" si="16"/>
        <v>-1.3333332999047618</v>
      </c>
      <c r="T6" s="47">
        <f t="array" aca="1" ref="T6" ca="1">SUM(IF(NOT(ISERROR(MATCH(RES_TYPE,Team_Stat_Sel,0))),IF(RES_H=$N6,RES_CAS_H,0)+IF(RES_A=$N6,RES_CAS_A,0)))+ROW()/7777777777+IF(Y6&lt;0.5,-999999,0)</f>
        <v>5.0000000007714283</v>
      </c>
      <c r="U6" s="47">
        <f t="array" aca="1" ref="U6" ca="1">SUM(IF(NOT(ISERROR(MATCH(RES_TYPE,Team_Stat_Sel,0))),IF(RES_H=$N6,RES_CAS_A,0)+IF(RES_A=$N6,RES_CAS_H,0))*-1)+ROW()/7777777777+IF(Y6&lt;0.5,-999999,0)</f>
        <v>-3.9999999992285713</v>
      </c>
      <c r="V6" s="47">
        <f t="shared" ca="1" si="17"/>
        <v>1.6666666746380951</v>
      </c>
      <c r="W6" s="47">
        <f t="shared" ca="1" si="18"/>
        <v>-1.3333333253619049</v>
      </c>
      <c r="X6" s="47">
        <f t="shared" ca="1" si="19"/>
        <v>1.0000000092571426</v>
      </c>
      <c r="Y6" s="47">
        <f t="array" aca="1" ref="Y6" ca="1">IF(N6&lt;&gt;"",SUM(IF(NOT(ISERROR(MATCH(RES_TYPE,Team_Stat_Sel,0))),IF(RES_H=$N6,1,0)+IF(RES_A=$N6,1,0),0)),0)</f>
        <v>3</v>
      </c>
      <c r="Z6" s="47">
        <f t="array" aca="1" ref="Z6" ca="1">IF(Y6&gt;0.5,(SUM(IF(NOT(ISERROR(MATCH(RES_TYPE,Team_Stat_Sel,0))),IF(RES_H=$N6,RES_GATE_H,0)+IF(RES_A=$N6,RES_GATE_A,0),0))/Y6),-1)+ROW()/777777777</f>
        <v>5000.0000000077143</v>
      </c>
      <c r="AA6" s="47">
        <f t="shared" ca="1" si="20"/>
        <v>1110000.0000000061</v>
      </c>
      <c r="AB6" s="47">
        <f t="shared" ca="1" si="21"/>
        <v>6E-9</v>
      </c>
      <c r="AC6" s="4"/>
      <c r="AD6" s="34">
        <v>4</v>
      </c>
      <c r="AE6" s="55" t="str">
        <f t="shared" ca="1" si="22"/>
        <v>Sylvania Suckhawks</v>
      </c>
      <c r="AF6" s="56">
        <f t="shared" ca="1" si="23"/>
        <v>7.000000003857143</v>
      </c>
      <c r="AG6" s="57" t="str">
        <f t="shared" ca="1" si="24"/>
        <v>Jacksonville Thrillers</v>
      </c>
      <c r="AH6" s="58">
        <f t="shared" ca="1" si="25"/>
        <v>1.5000000077142859</v>
      </c>
      <c r="AI6" s="57" t="str">
        <f t="shared" ca="1" si="26"/>
        <v>Aedra &amp; Daedra</v>
      </c>
      <c r="AJ6" s="56">
        <f t="shared" ca="1" si="27"/>
        <v>2.9999998585714271</v>
      </c>
      <c r="AK6" s="57" t="str">
        <f t="shared" ca="1" si="28"/>
        <v>Aedra &amp; Daedra</v>
      </c>
      <c r="AL6" s="58">
        <f t="shared" ca="1" si="29"/>
        <v>0.74999995049999968</v>
      </c>
      <c r="AM6" s="57" t="str">
        <f t="shared" ca="1" si="30"/>
        <v>Skyhaven Silverfoxes</v>
      </c>
      <c r="AN6" s="59">
        <f t="shared" ca="1" si="31"/>
        <v>2.000000138857144</v>
      </c>
      <c r="AO6" s="1"/>
      <c r="AP6" s="37"/>
    </row>
    <row r="7" spans="1:42" ht="12" customHeight="1">
      <c r="A7" s="45">
        <f t="shared" ca="1" si="0"/>
        <v>8</v>
      </c>
      <c r="B7" s="45">
        <f t="shared" ca="1" si="1"/>
        <v>5</v>
      </c>
      <c r="C7" s="45">
        <f t="shared" ca="1" si="2"/>
        <v>7</v>
      </c>
      <c r="D7" s="45">
        <f t="shared" ca="1" si="3"/>
        <v>9</v>
      </c>
      <c r="E7" s="45">
        <f t="shared" ca="1" si="4"/>
        <v>5</v>
      </c>
      <c r="F7" s="45">
        <f t="shared" ca="1" si="5"/>
        <v>3</v>
      </c>
      <c r="G7" s="45">
        <f t="shared" ca="1" si="6"/>
        <v>1</v>
      </c>
      <c r="H7" s="45">
        <f t="shared" ca="1" si="7"/>
        <v>3</v>
      </c>
      <c r="I7" s="45">
        <f t="shared" ca="1" si="8"/>
        <v>1</v>
      </c>
      <c r="J7" s="45">
        <f t="shared" ca="1" si="9"/>
        <v>2</v>
      </c>
      <c r="K7" s="45">
        <f t="shared" ca="1" si="10"/>
        <v>2</v>
      </c>
      <c r="L7" s="45">
        <f t="shared" ca="1" si="11"/>
        <v>1</v>
      </c>
      <c r="M7" s="45">
        <f t="shared" ca="1" si="12"/>
        <v>3</v>
      </c>
      <c r="N7" s="46" t="str">
        <f t="shared" ca="1" si="13"/>
        <v>OrCares</v>
      </c>
      <c r="O7" s="47">
        <f t="array" aca="1" ref="O7" ca="1">SUM(IF(NOT(ISERROR(MATCH(RES_TYPE,Team_Stat_Sel,0))),IF(RES_H=$N7,RES_TD_H,0)+IF(RES_A=$N7,RES_TD_A,0)))+ROW()/777777777+IF($Y7&lt;0.5,-1,0)</f>
        <v>2.0000000089999999</v>
      </c>
      <c r="P7" s="47">
        <f t="array" aca="1" ref="P7" ca="1">SUM(IF(NOT(ISERROR(MATCH(RES_TYPE,Team_Stat_Sel,0))),IF(RES_H=$N7,RES_TD_A,0)+IF(RES_A=$N7,RES_TD_H,0))*-1)+ROW()/77777777+IF($Y7&lt;0.5,-9999999,0)</f>
        <v>-3.9999999099999992</v>
      </c>
      <c r="Q7" s="47">
        <f t="shared" ca="1" si="14"/>
        <v>-1.9999998919999993</v>
      </c>
      <c r="R7" s="47">
        <f t="shared" ca="1" si="15"/>
        <v>0.50000001124999993</v>
      </c>
      <c r="S7" s="47">
        <f t="shared" ca="1" si="16"/>
        <v>-0.99999996849999984</v>
      </c>
      <c r="T7" s="47">
        <f t="array" aca="1" ref="T7" ca="1">SUM(IF(NOT(ISERROR(MATCH(RES_TYPE,Team_Stat_Sel,0))),IF(RES_H=$N7,RES_CAS_H,0)+IF(RES_A=$N7,RES_CAS_A,0)))+ROW()/7777777777+IF(Y7&lt;0.5,-999999,0)</f>
        <v>8.0000000009000001</v>
      </c>
      <c r="U7" s="47">
        <f t="array" aca="1" ref="U7" ca="1">SUM(IF(NOT(ISERROR(MATCH(RES_TYPE,Team_Stat_Sel,0))),IF(RES_H=$N7,RES_CAS_A,0)+IF(RES_A=$N7,RES_CAS_H,0))*-1)+ROW()/7777777777+IF(Y7&lt;0.5,-999999,0)</f>
        <v>-0.99999999910000004</v>
      </c>
      <c r="V7" s="47">
        <f t="shared" ca="1" si="17"/>
        <v>2.0000000092249999</v>
      </c>
      <c r="W7" s="47">
        <f t="shared" ca="1" si="18"/>
        <v>-0.24999999077500001</v>
      </c>
      <c r="X7" s="47">
        <f t="shared" ca="1" si="19"/>
        <v>7.0000000108</v>
      </c>
      <c r="Y7" s="47">
        <f t="array" aca="1" ref="Y7" ca="1">IF(N7&lt;&gt;"",SUM(IF(NOT(ISERROR(MATCH(RES_TYPE,Team_Stat_Sel,0))),IF(RES_H=$N7,1,0)+IF(RES_A=$N7,1,0),0)),0)</f>
        <v>4</v>
      </c>
      <c r="Z7" s="47">
        <f t="array" aca="1" ref="Z7" ca="1">IF(Y7&gt;0.5,(SUM(IF(NOT(ISERROR(MATCH(RES_TYPE,Team_Stat_Sel,0))),IF(RES_H=$N7,RES_GATE_H,0)+IF(RES_A=$N7,RES_GATE_A,0),0))/Y7),-1)+ROW()/777777777</f>
        <v>11250.000000009</v>
      </c>
      <c r="AA7" s="47">
        <f t="shared" ca="1" si="20"/>
        <v>1450000.000000007</v>
      </c>
      <c r="AB7" s="47">
        <f t="shared" ca="1" si="21"/>
        <v>4.0000000069999997</v>
      </c>
      <c r="AC7" s="4"/>
      <c r="AD7" s="34">
        <v>5</v>
      </c>
      <c r="AE7" s="55" t="str">
        <f t="shared" ca="1" si="22"/>
        <v>Ashtown Villains</v>
      </c>
      <c r="AF7" s="56">
        <f t="shared" ca="1" si="23"/>
        <v>4.0000000128571429</v>
      </c>
      <c r="AG7" s="57" t="str">
        <f t="shared" ca="1" si="24"/>
        <v>Sylvania Suckhawks</v>
      </c>
      <c r="AH7" s="58">
        <f t="shared" ca="1" si="25"/>
        <v>1.1666666711666667</v>
      </c>
      <c r="AI7" s="57" t="str">
        <f t="shared" ca="1" si="26"/>
        <v>OrCares</v>
      </c>
      <c r="AJ7" s="56">
        <f t="shared" ca="1" si="27"/>
        <v>3.9999999099999992</v>
      </c>
      <c r="AK7" s="57" t="str">
        <f t="shared" ca="1" si="28"/>
        <v>OrCares</v>
      </c>
      <c r="AL7" s="58">
        <f t="shared" ca="1" si="29"/>
        <v>0.99999996849999984</v>
      </c>
      <c r="AM7" s="57" t="str">
        <f t="shared" ca="1" si="30"/>
        <v>Jacksonville Thrillers</v>
      </c>
      <c r="AN7" s="59">
        <f t="shared" ca="1" si="31"/>
        <v>2.0000000617142866</v>
      </c>
      <c r="AO7" s="1"/>
      <c r="AP7" s="37"/>
    </row>
    <row r="8" spans="1:42" ht="12" customHeight="1">
      <c r="A8" s="45">
        <f t="shared" ca="1" si="0"/>
        <v>2</v>
      </c>
      <c r="B8" s="45">
        <f t="shared" ca="1" si="1"/>
        <v>2</v>
      </c>
      <c r="C8" s="45">
        <f t="shared" ca="1" si="2"/>
        <v>1</v>
      </c>
      <c r="D8" s="45">
        <f t="shared" ca="1" si="3"/>
        <v>3</v>
      </c>
      <c r="E8" s="45">
        <f t="shared" ca="1" si="4"/>
        <v>1</v>
      </c>
      <c r="F8" s="45">
        <f t="shared" ca="1" si="5"/>
        <v>5</v>
      </c>
      <c r="G8" s="45">
        <f t="shared" ca="1" si="6"/>
        <v>6</v>
      </c>
      <c r="H8" s="45">
        <f t="shared" ca="1" si="7"/>
        <v>8</v>
      </c>
      <c r="I8" s="45">
        <f t="shared" ca="1" si="8"/>
        <v>3</v>
      </c>
      <c r="J8" s="45">
        <f t="shared" ca="1" si="9"/>
        <v>3</v>
      </c>
      <c r="K8" s="45">
        <f t="shared" ca="1" si="10"/>
        <v>7</v>
      </c>
      <c r="L8" s="45">
        <f t="shared" ca="1" si="11"/>
        <v>4</v>
      </c>
      <c r="M8" s="45">
        <f t="shared" ca="1" si="12"/>
        <v>1</v>
      </c>
      <c r="N8" s="46" t="str">
        <f t="shared" ca="1" si="13"/>
        <v>Guardians of the Nile</v>
      </c>
      <c r="O8" s="47">
        <f t="array" aca="1" ref="O8" ca="1">SUM(IF(NOT(ISERROR(MATCH(RES_TYPE,Team_Stat_Sel,0))),IF(RES_H=$N8,RES_TD_H,0)+IF(RES_A=$N8,RES_TD_A,0)))+ROW()/777777777+IF($Y8&lt;0.5,-1,0)</f>
        <v>9.0000000102857136</v>
      </c>
      <c r="P8" s="47">
        <f t="array" aca="1" ref="P8" ca="1">SUM(IF(NOT(ISERROR(MATCH(RES_TYPE,Team_Stat_Sel,0))),IF(RES_H=$N8,RES_TD_A,0)+IF(RES_A=$N8,RES_TD_H,0))*-1)+ROW()/77777777+IF($Y8&lt;0.5,-9999999,0)</f>
        <v>-1.9999998971428561</v>
      </c>
      <c r="Q8" s="47">
        <f t="shared" ca="1" si="14"/>
        <v>7.0000001234285723</v>
      </c>
      <c r="R8" s="47">
        <f t="shared" ca="1" si="15"/>
        <v>1.5000000119999999</v>
      </c>
      <c r="S8" s="47">
        <f t="shared" ca="1" si="16"/>
        <v>-0.33333330590476173</v>
      </c>
      <c r="T8" s="47">
        <f t="array" aca="1" ref="T8" ca="1">SUM(IF(NOT(ISERROR(MATCH(RES_TYPE,Team_Stat_Sel,0))),IF(RES_H=$N8,RES_CAS_H,0)+IF(RES_A=$N8,RES_CAS_A,0)))+ROW()/7777777777+IF(Y8&lt;0.5,-999999,0)</f>
        <v>7.000000001028571</v>
      </c>
      <c r="U8" s="47">
        <f t="array" aca="1" ref="U8" ca="1">SUM(IF(NOT(ISERROR(MATCH(RES_TYPE,Team_Stat_Sel,0))),IF(RES_H=$N8,RES_CAS_A,0)+IF(RES_A=$N8,RES_CAS_H,0))*-1)+ROW()/7777777777+IF(Y8&lt;0.5,-999999,0)</f>
        <v>-4.999999998971429</v>
      </c>
      <c r="V8" s="47">
        <f t="shared" ca="1" si="17"/>
        <v>1.1666666771238094</v>
      </c>
      <c r="W8" s="47">
        <f t="shared" ca="1" si="18"/>
        <v>-0.83333332287619055</v>
      </c>
      <c r="X8" s="47">
        <f t="shared" ca="1" si="19"/>
        <v>2.0000000123428565</v>
      </c>
      <c r="Y8" s="47">
        <f t="array" aca="1" ref="Y8" ca="1">IF(N8&lt;&gt;"",SUM(IF(NOT(ISERROR(MATCH(RES_TYPE,Team_Stat_Sel,0))),IF(RES_H=$N8,1,0)+IF(RES_A=$N8,1,0),0)),0)</f>
        <v>6</v>
      </c>
      <c r="Z8" s="47">
        <f t="array" aca="1" ref="Z8" ca="1">IF(Y8&gt;0.5,(SUM(IF(NOT(ISERROR(MATCH(RES_TYPE,Team_Stat_Sel,0))),IF(RES_H=$N8,RES_GATE_H,0)+IF(RES_A=$N8,RES_GATE_A,0),0))/Y8),-1)+ROW()/777777777</f>
        <v>5166.6666666769524</v>
      </c>
      <c r="AA8" s="47">
        <f t="shared" ca="1" si="20"/>
        <v>1280000.0000000079</v>
      </c>
      <c r="AB8" s="47">
        <f t="shared" ca="1" si="21"/>
        <v>7.0000000079999998</v>
      </c>
      <c r="AC8" s="4"/>
      <c r="AD8" s="34">
        <v>6</v>
      </c>
      <c r="AE8" s="55" t="str">
        <f t="shared" ca="1" si="22"/>
        <v>Population: Orc</v>
      </c>
      <c r="AF8" s="56">
        <f t="shared" ca="1" si="23"/>
        <v>3.0000000064285715</v>
      </c>
      <c r="AG8" s="57" t="str">
        <f t="shared" ca="1" si="24"/>
        <v>Ashtown Villains</v>
      </c>
      <c r="AH8" s="58">
        <f t="shared" ca="1" si="25"/>
        <v>1.0000000160714286</v>
      </c>
      <c r="AI8" s="57" t="str">
        <f t="shared" ca="1" si="26"/>
        <v>Wrath of the Month</v>
      </c>
      <c r="AJ8" s="56">
        <f t="shared" ca="1" si="27"/>
        <v>3.9999999228571421</v>
      </c>
      <c r="AK8" s="57" t="str">
        <f t="shared" ca="1" si="28"/>
        <v>Wrath of the Month</v>
      </c>
      <c r="AL8" s="58">
        <f t="shared" ca="1" si="29"/>
        <v>1.3333332999047618</v>
      </c>
      <c r="AM8" s="57" t="str">
        <f t="shared" ca="1" si="30"/>
        <v>Hellions of Troy</v>
      </c>
      <c r="AN8" s="59">
        <f t="shared" ca="1" si="31"/>
        <v>-1.9999998148571412</v>
      </c>
      <c r="AO8" s="1"/>
      <c r="AP8" s="37"/>
    </row>
    <row r="9" spans="1:42" ht="12" customHeight="1">
      <c r="A9" s="45">
        <f t="shared" ca="1" si="0"/>
        <v>1</v>
      </c>
      <c r="B9" s="45">
        <f t="shared" ca="1" si="1"/>
        <v>9</v>
      </c>
      <c r="C9" s="45">
        <f t="shared" ca="1" si="2"/>
        <v>4</v>
      </c>
      <c r="D9" s="45">
        <f t="shared" ca="1" si="3"/>
        <v>2</v>
      </c>
      <c r="E9" s="45">
        <f t="shared" ca="1" si="4"/>
        <v>7</v>
      </c>
      <c r="F9" s="45">
        <f t="shared" ca="1" si="5"/>
        <v>9</v>
      </c>
      <c r="G9" s="45">
        <f t="shared" ca="1" si="6"/>
        <v>10</v>
      </c>
      <c r="H9" s="45">
        <f t="shared" ca="1" si="7"/>
        <v>10</v>
      </c>
      <c r="I9" s="45">
        <f t="shared" ca="1" si="8"/>
        <v>10</v>
      </c>
      <c r="J9" s="45">
        <f t="shared" ca="1" si="9"/>
        <v>10</v>
      </c>
      <c r="K9" s="45">
        <f t="shared" ca="1" si="10"/>
        <v>1</v>
      </c>
      <c r="L9" s="45">
        <f t="shared" ca="1" si="11"/>
        <v>3</v>
      </c>
      <c r="M9" s="45">
        <f t="shared" ca="1" si="12"/>
        <v>6</v>
      </c>
      <c r="N9" s="46" t="str">
        <f t="shared" ca="1" si="13"/>
        <v>Skyhaven Silverfoxes</v>
      </c>
      <c r="O9" s="47">
        <f t="array" aca="1" ref="O9" ca="1">SUM(IF(NOT(ISERROR(MATCH(RES_TYPE,Team_Stat_Sel,0))),IF(RES_H=$N9,RES_TD_H,0)+IF(RES_A=$N9,RES_TD_A,0)))+ROW()/777777777+IF($Y9&lt;0.5,-1,0)</f>
        <v>10.000000011571428</v>
      </c>
      <c r="P9" s="47">
        <f t="array" aca="1" ref="P9" ca="1">SUM(IF(NOT(ISERROR(MATCH(RES_TYPE,Team_Stat_Sel,0))),IF(RES_H=$N9,RES_TD_A,0)+IF(RES_A=$N9,RES_TD_H,0))*-1)+ROW()/77777777+IF($Y9&lt;0.5,-9999999,0)</f>
        <v>-7.999999884285713</v>
      </c>
      <c r="Q9" s="47">
        <f t="shared" ca="1" si="14"/>
        <v>2.000000138857144</v>
      </c>
      <c r="R9" s="47">
        <f t="shared" ca="1" si="15"/>
        <v>1.6666666801666665</v>
      </c>
      <c r="S9" s="47">
        <f t="shared" ca="1" si="16"/>
        <v>-1.3333333024761904</v>
      </c>
      <c r="T9" s="47">
        <f t="array" aca="1" ref="T9" ca="1">SUM(IF(NOT(ISERROR(MATCH(RES_TYPE,Team_Stat_Sel,0))),IF(RES_H=$N9,RES_CAS_H,0)+IF(RES_A=$N9,RES_CAS_A,0)))+ROW()/7777777777+IF(Y9&lt;0.5,-999999,0)</f>
        <v>3.0000000011571428</v>
      </c>
      <c r="U9" s="47">
        <f t="array" aca="1" ref="U9" ca="1">SUM(IF(NOT(ISERROR(MATCH(RES_TYPE,Team_Stat_Sel,0))),IF(RES_H=$N9,RES_CAS_A,0)+IF(RES_A=$N9,RES_CAS_H,0))*-1)+ROW()/7777777777+IF(Y9&lt;0.5,-999999,0)</f>
        <v>-13.999999998842856</v>
      </c>
      <c r="V9" s="47">
        <f t="shared" ca="1" si="17"/>
        <v>0.50000001176428577</v>
      </c>
      <c r="W9" s="47">
        <f t="shared" ca="1" si="18"/>
        <v>-2.3333333215690475</v>
      </c>
      <c r="X9" s="47">
        <f t="shared" ca="1" si="19"/>
        <v>-10.999999986114284</v>
      </c>
      <c r="Y9" s="47">
        <f t="array" aca="1" ref="Y9" ca="1">IF(N9&lt;&gt;"",SUM(IF(NOT(ISERROR(MATCH(RES_TYPE,Team_Stat_Sel,0))),IF(RES_H=$N9,1,0)+IF(RES_A=$N9,1,0),0)),0)</f>
        <v>6</v>
      </c>
      <c r="Z9" s="47">
        <f t="array" aca="1" ref="Z9" ca="1">IF(Y9&gt;0.5,(SUM(IF(NOT(ISERROR(MATCH(RES_TYPE,Team_Stat_Sel,0))),IF(RES_H=$N9,RES_GATE_H,0)+IF(RES_A=$N9,RES_GATE_A,0),0))/Y9),-1)+ROW()/777777777</f>
        <v>11500.000000011571</v>
      </c>
      <c r="AA9" s="47">
        <f t="shared" ca="1" si="20"/>
        <v>1290000.0000000091</v>
      </c>
      <c r="AB9" s="47">
        <f t="shared" ca="1" si="21"/>
        <v>2.0000000089999999</v>
      </c>
      <c r="AC9" s="4"/>
      <c r="AD9" s="34">
        <v>7</v>
      </c>
      <c r="AE9" s="55" t="str">
        <f t="shared" ca="1" si="22"/>
        <v>Jacksonville Thrillers</v>
      </c>
      <c r="AF9" s="56">
        <f t="shared" ca="1" si="23"/>
        <v>3.0000000051428573</v>
      </c>
      <c r="AG9" s="57" t="str">
        <f t="shared" ca="1" si="24"/>
        <v>Wrath of the Month</v>
      </c>
      <c r="AH9" s="58">
        <f t="shared" ca="1" si="25"/>
        <v>0.66666667695238102</v>
      </c>
      <c r="AI9" s="57" t="str">
        <f t="shared" ca="1" si="26"/>
        <v>Sylvania Suckhawks</v>
      </c>
      <c r="AJ9" s="56">
        <f t="shared" ca="1" si="27"/>
        <v>3.9999999614285708</v>
      </c>
      <c r="AK9" s="57" t="str">
        <f t="shared" ca="1" si="28"/>
        <v>Skyhaven Silverfoxes</v>
      </c>
      <c r="AL9" s="58">
        <f t="shared" ca="1" si="29"/>
        <v>1.3333333024761904</v>
      </c>
      <c r="AM9" s="57" t="str">
        <f t="shared" ca="1" si="30"/>
        <v>OrCares</v>
      </c>
      <c r="AN9" s="59">
        <f t="shared" ca="1" si="31"/>
        <v>-1.9999998919999993</v>
      </c>
      <c r="AO9" s="1"/>
      <c r="AP9" s="37"/>
    </row>
    <row r="10" spans="1:42" ht="12" customHeight="1">
      <c r="A10" s="45">
        <f t="shared" ca="1" si="0"/>
        <v>5</v>
      </c>
      <c r="B10" s="45">
        <f t="shared" ca="1" si="1"/>
        <v>8</v>
      </c>
      <c r="C10" s="45">
        <f t="shared" ca="1" si="2"/>
        <v>9</v>
      </c>
      <c r="D10" s="45">
        <f t="shared" ca="1" si="3"/>
        <v>6</v>
      </c>
      <c r="E10" s="45">
        <f t="shared" ca="1" si="4"/>
        <v>10</v>
      </c>
      <c r="F10" s="45">
        <f t="shared" ca="1" si="5"/>
        <v>2</v>
      </c>
      <c r="G10" s="45">
        <f t="shared" ca="1" si="6"/>
        <v>2</v>
      </c>
      <c r="H10" s="45">
        <f t="shared" ca="1" si="7"/>
        <v>1</v>
      </c>
      <c r="I10" s="45">
        <f t="shared" ca="1" si="8"/>
        <v>2</v>
      </c>
      <c r="J10" s="45">
        <f t="shared" ca="1" si="9"/>
        <v>1</v>
      </c>
      <c r="K10" s="45">
        <f t="shared" ca="1" si="10"/>
        <v>5</v>
      </c>
      <c r="L10" s="45">
        <f t="shared" ca="1" si="11"/>
        <v>5</v>
      </c>
      <c r="M10" s="45">
        <f t="shared" ca="1" si="12"/>
        <v>5</v>
      </c>
      <c r="N10" s="46" t="str">
        <f t="shared" ca="1" si="13"/>
        <v>Ashtown Villains</v>
      </c>
      <c r="O10" s="47">
        <f t="array" aca="1" ref="O10" ca="1">SUM(IF(NOT(ISERROR(MATCH(RES_TYPE,Team_Stat_Sel,0))),IF(RES_H=$N10,RES_TD_H,0)+IF(RES_A=$N10,RES_TD_A,0)))+ROW()/777777777+IF($Y10&lt;0.5,-1,0)</f>
        <v>4.0000000128571429</v>
      </c>
      <c r="P10" s="47">
        <f t="array" aca="1" ref="P10" ca="1">SUM(IF(NOT(ISERROR(MATCH(RES_TYPE,Team_Stat_Sel,0))),IF(RES_H=$N10,RES_TD_A,0)+IF(RES_A=$N10,RES_TD_H,0))*-1)+ROW()/77777777+IF($Y10&lt;0.5,-9999999,0)</f>
        <v>-6.9999998714285701</v>
      </c>
      <c r="Q10" s="47">
        <f t="shared" ca="1" si="14"/>
        <v>-2.9999998457142842</v>
      </c>
      <c r="R10" s="47">
        <f t="shared" ca="1" si="15"/>
        <v>1.0000000160714286</v>
      </c>
      <c r="S10" s="47">
        <f t="shared" ca="1" si="16"/>
        <v>-1.7499999549999996</v>
      </c>
      <c r="T10" s="47">
        <f t="array" aca="1" ref="T10" ca="1">SUM(IF(NOT(ISERROR(MATCH(RES_TYPE,Team_Stat_Sel,0))),IF(RES_H=$N10,RES_CAS_H,0)+IF(RES_A=$N10,RES_CAS_A,0)))+ROW()/7777777777+IF(Y10&lt;0.5,-999999,0)</f>
        <v>10.000000001285715</v>
      </c>
      <c r="U10" s="47">
        <f t="array" aca="1" ref="U10" ca="1">SUM(IF(NOT(ISERROR(MATCH(RES_TYPE,Team_Stat_Sel,0))),IF(RES_H=$N10,RES_CAS_A,0)+IF(RES_A=$N10,RES_CAS_H,0))*-1)+ROW()/7777777777+IF(Y10&lt;0.5,-999999,0)</f>
        <v>-1.9999999987142858</v>
      </c>
      <c r="V10" s="47">
        <f t="shared" ca="1" si="17"/>
        <v>2.5000000131785716</v>
      </c>
      <c r="W10" s="47">
        <f t="shared" ca="1" si="18"/>
        <v>-0.4999999868214286</v>
      </c>
      <c r="X10" s="47">
        <f t="shared" ca="1" si="19"/>
        <v>8.0000000154285722</v>
      </c>
      <c r="Y10" s="47">
        <f t="array" aca="1" ref="Y10" ca="1">IF(N10&lt;&gt;"",SUM(IF(NOT(ISERROR(MATCH(RES_TYPE,Team_Stat_Sel,0))),IF(RES_H=$N10,1,0)+IF(RES_A=$N10,1,0),0)),0)</f>
        <v>4</v>
      </c>
      <c r="Z10" s="47">
        <f t="array" aca="1" ref="Z10" ca="1">IF(Y10&gt;0.5,(SUM(IF(NOT(ISERROR(MATCH(RES_TYPE,Team_Stat_Sel,0))),IF(RES_H=$N10,RES_GATE_H,0)+IF(RES_A=$N10,RES_GATE_A,0),0))/Y10),-1)+ROW()/777777777</f>
        <v>8750.0000000128566</v>
      </c>
      <c r="AA10" s="47">
        <f t="shared" ca="1" si="20"/>
        <v>1230000.00000001</v>
      </c>
      <c r="AB10" s="47">
        <f t="shared" ca="1" si="21"/>
        <v>2.0000000099999999</v>
      </c>
      <c r="AC10" s="4"/>
      <c r="AD10" s="34">
        <v>8</v>
      </c>
      <c r="AE10" s="55" t="str">
        <f t="shared" ca="1" si="22"/>
        <v>OrCares</v>
      </c>
      <c r="AF10" s="56">
        <f t="shared" ca="1" si="23"/>
        <v>2.0000000089999999</v>
      </c>
      <c r="AG10" s="57" t="str">
        <f t="shared" ca="1" si="24"/>
        <v>Hellions of Troy</v>
      </c>
      <c r="AH10" s="58">
        <f t="shared" ca="1" si="25"/>
        <v>0.50000002314285719</v>
      </c>
      <c r="AI10" s="57" t="str">
        <f t="shared" ca="1" si="26"/>
        <v>Ashtown Villains</v>
      </c>
      <c r="AJ10" s="56">
        <f t="shared" ca="1" si="27"/>
        <v>6.9999998714285701</v>
      </c>
      <c r="AK10" s="57" t="str">
        <f t="shared" ca="1" si="28"/>
        <v>Hellions of Troy</v>
      </c>
      <c r="AL10" s="58">
        <f t="shared" ca="1" si="29"/>
        <v>1.4999999074285706</v>
      </c>
      <c r="AM10" s="57" t="str">
        <f t="shared" ca="1" si="30"/>
        <v>Wrath of the Month</v>
      </c>
      <c r="AN10" s="59">
        <f t="shared" ca="1" si="31"/>
        <v>-1.9999999074285708</v>
      </c>
      <c r="AO10" s="1"/>
      <c r="AP10" s="37"/>
    </row>
    <row r="11" spans="1:42" ht="12" customHeight="1">
      <c r="A11" s="45">
        <f t="shared" ca="1" si="0"/>
        <v>3</v>
      </c>
      <c r="B11" s="45">
        <f t="shared" ca="1" si="1"/>
        <v>4</v>
      </c>
      <c r="C11" s="45">
        <f t="shared" ca="1" si="2"/>
        <v>2</v>
      </c>
      <c r="D11" s="45">
        <f t="shared" ca="1" si="3"/>
        <v>1</v>
      </c>
      <c r="E11" s="45">
        <f t="shared" ca="1" si="4"/>
        <v>4</v>
      </c>
      <c r="F11" s="45">
        <f t="shared" ca="1" si="5"/>
        <v>6</v>
      </c>
      <c r="G11" s="45">
        <f t="shared" ca="1" si="6"/>
        <v>7</v>
      </c>
      <c r="H11" s="45">
        <f t="shared" ca="1" si="7"/>
        <v>7</v>
      </c>
      <c r="I11" s="45">
        <f t="shared" ca="1" si="8"/>
        <v>7</v>
      </c>
      <c r="J11" s="45">
        <f t="shared" ca="1" si="9"/>
        <v>7</v>
      </c>
      <c r="K11" s="45">
        <f t="shared" ca="1" si="10"/>
        <v>9</v>
      </c>
      <c r="L11" s="45">
        <f t="shared" ca="1" si="11"/>
        <v>9</v>
      </c>
      <c r="M11" s="45">
        <f t="shared" ca="1" si="12"/>
        <v>8</v>
      </c>
      <c r="N11" s="46" t="str">
        <f t="shared" ca="1" si="13"/>
        <v>Aedra &amp; Daedra</v>
      </c>
      <c r="O11" s="47">
        <f t="array" aca="1" ref="O11" ca="1">SUM(IF(NOT(ISERROR(MATCH(RES_TYPE,Team_Stat_Sel,0))),IF(RES_H=$N11,RES_TD_H,0)+IF(RES_A=$N11,RES_TD_A,0)))+ROW()/777777777+IF($Y11&lt;0.5,-1,0)</f>
        <v>7.0000000141428576</v>
      </c>
      <c r="P11" s="47">
        <f t="array" aca="1" ref="P11" ca="1">SUM(IF(NOT(ISERROR(MATCH(RES_TYPE,Team_Stat_Sel,0))),IF(RES_H=$N11,RES_TD_A,0)+IF(RES_A=$N11,RES_TD_H,0))*-1)+ROW()/77777777+IF($Y11&lt;0.5,-9999999,0)</f>
        <v>-2.9999998585714271</v>
      </c>
      <c r="Q11" s="47">
        <f t="shared" ca="1" si="14"/>
        <v>4.000000169714288</v>
      </c>
      <c r="R11" s="47">
        <f t="shared" ca="1" si="15"/>
        <v>1.7500000176785715</v>
      </c>
      <c r="S11" s="47">
        <f t="shared" ca="1" si="16"/>
        <v>-0.74999995049999968</v>
      </c>
      <c r="T11" s="47">
        <f t="array" aca="1" ref="T11" ca="1">SUM(IF(NOT(ISERROR(MATCH(RES_TYPE,Team_Stat_Sel,0))),IF(RES_H=$N11,RES_CAS_H,0)+IF(RES_A=$N11,RES_CAS_A,0)))+ROW()/7777777777+IF(Y11&lt;0.5,-999999,0)</f>
        <v>5.0000000014142856</v>
      </c>
      <c r="U11" s="47">
        <f t="array" aca="1" ref="U11" ca="1">SUM(IF(NOT(ISERROR(MATCH(RES_TYPE,Team_Stat_Sel,0))),IF(RES_H=$N11,RES_CAS_A,0)+IF(RES_A=$N11,RES_CAS_H,0))*-1)+ROW()/7777777777+IF(Y11&lt;0.5,-999999,0)</f>
        <v>-6.9999999985857144</v>
      </c>
      <c r="V11" s="47">
        <f t="shared" ca="1" si="17"/>
        <v>1.2500000144964285</v>
      </c>
      <c r="W11" s="47">
        <f t="shared" ca="1" si="18"/>
        <v>-1.7499999855035715</v>
      </c>
      <c r="X11" s="47">
        <f t="shared" ca="1" si="19"/>
        <v>-1.9999999830285717</v>
      </c>
      <c r="Y11" s="47">
        <f t="array" aca="1" ref="Y11" ca="1">IF(N11&lt;&gt;"",SUM(IF(NOT(ISERROR(MATCH(RES_TYPE,Team_Stat_Sel,0))),IF(RES_H=$N11,1,0)+IF(RES_A=$N11,1,0),0)),0)</f>
        <v>4</v>
      </c>
      <c r="Z11" s="47">
        <f t="array" aca="1" ref="Z11" ca="1">IF(Y11&gt;0.5,(SUM(IF(NOT(ISERROR(MATCH(RES_TYPE,Team_Stat_Sel,0))),IF(RES_H=$N11,RES_GATE_H,0)+IF(RES_A=$N11,RES_GATE_A,0),0))/Y11),-1)+ROW()/777777777</f>
        <v>4500.0000000141426</v>
      </c>
      <c r="AA11" s="47">
        <f t="shared" ca="1" si="20"/>
        <v>60000.000000011001</v>
      </c>
      <c r="AB11" s="47">
        <f t="shared" ca="1" si="21"/>
        <v>1.000000011</v>
      </c>
      <c r="AC11" s="4"/>
      <c r="AD11" s="34">
        <v>9</v>
      </c>
      <c r="AE11" s="55" t="str">
        <f t="shared" ca="1" si="22"/>
        <v>Wrath of the Month</v>
      </c>
      <c r="AF11" s="56">
        <f t="shared" ca="1" si="23"/>
        <v>2.0000000077142857</v>
      </c>
      <c r="AG11" s="57" t="str">
        <f t="shared" ca="1" si="24"/>
        <v>OrCares</v>
      </c>
      <c r="AH11" s="58">
        <f t="shared" ca="1" si="25"/>
        <v>0.50000001124999993</v>
      </c>
      <c r="AI11" s="57" t="str">
        <f t="shared" ca="1" si="26"/>
        <v>Skyhaven Silverfoxes</v>
      </c>
      <c r="AJ11" s="56">
        <f t="shared" ca="1" si="27"/>
        <v>7.999999884285713</v>
      </c>
      <c r="AK11" s="57" t="str">
        <f t="shared" ca="1" si="28"/>
        <v>Population: Orc</v>
      </c>
      <c r="AL11" s="58">
        <f t="shared" ca="1" si="29"/>
        <v>1.7142856986734694</v>
      </c>
      <c r="AM11" s="57" t="str">
        <f t="shared" ca="1" si="30"/>
        <v>Ashtown Villains</v>
      </c>
      <c r="AN11" s="59">
        <f t="shared" ca="1" si="31"/>
        <v>-2.9999998457142842</v>
      </c>
      <c r="AO11" s="1"/>
      <c r="AP11" s="37"/>
    </row>
    <row r="12" spans="1:42" ht="12" customHeight="1">
      <c r="A12" s="45">
        <f t="shared" ca="1" si="0"/>
        <v>10</v>
      </c>
      <c r="B12" s="45">
        <f t="shared" ca="1" si="1"/>
        <v>3</v>
      </c>
      <c r="C12" s="45">
        <f t="shared" ca="1" si="2"/>
        <v>6</v>
      </c>
      <c r="D12" s="45">
        <f t="shared" ca="1" si="3"/>
        <v>8</v>
      </c>
      <c r="E12" s="45">
        <f t="shared" ca="1" si="4"/>
        <v>8</v>
      </c>
      <c r="F12" s="45">
        <f t="shared" ca="1" si="5"/>
        <v>8</v>
      </c>
      <c r="G12" s="45">
        <f t="shared" ca="1" si="6"/>
        <v>3</v>
      </c>
      <c r="H12" s="45">
        <f t="shared" ca="1" si="7"/>
        <v>2</v>
      </c>
      <c r="I12" s="45">
        <f t="shared" ca="1" si="8"/>
        <v>5</v>
      </c>
      <c r="J12" s="45">
        <f t="shared" ca="1" si="9"/>
        <v>4</v>
      </c>
      <c r="K12" s="45">
        <f t="shared" ca="1" si="10"/>
        <v>10</v>
      </c>
      <c r="L12" s="45">
        <f t="shared" ca="1" si="11"/>
        <v>10</v>
      </c>
      <c r="M12" s="45">
        <f t="shared" ca="1" si="12"/>
        <v>9</v>
      </c>
      <c r="N12" s="46" t="str">
        <f t="shared" ca="1" si="13"/>
        <v>Hellions of Troy</v>
      </c>
      <c r="O12" s="47">
        <f t="array" aca="1" ref="O12" ca="1">SUM(IF(NOT(ISERROR(MATCH(RES_TYPE,Team_Stat_Sel,0))),IF(RES_H=$N12,RES_TD_H,0)+IF(RES_A=$N12,RES_TD_A,0)))+ROW()/777777777+IF($Y12&lt;0.5,-1,0)</f>
        <v>1.0000000154285715</v>
      </c>
      <c r="P12" s="47">
        <f t="array" aca="1" ref="P12" ca="1">SUM(IF(NOT(ISERROR(MATCH(RES_TYPE,Team_Stat_Sel,0))),IF(RES_H=$N12,RES_TD_A,0)+IF(RES_A=$N12,RES_TD_H,0))*-1)+ROW()/77777777+IF($Y12&lt;0.5,-9999999,0)</f>
        <v>-2.9999998457142842</v>
      </c>
      <c r="Q12" s="47">
        <f t="shared" ca="1" si="14"/>
        <v>-1.9999998148571412</v>
      </c>
      <c r="R12" s="47">
        <f t="shared" ca="1" si="15"/>
        <v>0.50000002314285719</v>
      </c>
      <c r="S12" s="47">
        <f t="shared" ca="1" si="16"/>
        <v>-1.4999999074285706</v>
      </c>
      <c r="T12" s="47">
        <f t="array" aca="1" ref="T12" ca="1">SUM(IF(NOT(ISERROR(MATCH(RES_TYPE,Team_Stat_Sel,0))),IF(RES_H=$N12,RES_CAS_H,0)+IF(RES_A=$N12,RES_CAS_A,0)))+ROW()/7777777777+IF(Y12&lt;0.5,-999999,0)</f>
        <v>4.0000000015428574</v>
      </c>
      <c r="U12" s="47">
        <f t="array" aca="1" ref="U12" ca="1">SUM(IF(NOT(ISERROR(MATCH(RES_TYPE,Team_Stat_Sel,0))),IF(RES_H=$N12,RES_CAS_A,0)+IF(RES_A=$N12,RES_CAS_H,0))*-1)+ROW()/7777777777+IF(Y12&lt;0.5,-999999,0)</f>
        <v>-2.999999998457143</v>
      </c>
      <c r="V12" s="47">
        <f t="shared" ca="1" si="17"/>
        <v>2.0000000162</v>
      </c>
      <c r="W12" s="47">
        <f t="shared" ca="1" si="18"/>
        <v>-1.4999999838</v>
      </c>
      <c r="X12" s="47">
        <f t="shared" ca="1" si="19"/>
        <v>1.0000000185142859</v>
      </c>
      <c r="Y12" s="47">
        <f t="array" aca="1" ref="Y12" ca="1">IF(N12&lt;&gt;"",SUM(IF(NOT(ISERROR(MATCH(RES_TYPE,Team_Stat_Sel,0))),IF(RES_H=$N12,1,0)+IF(RES_A=$N12,1,0),0)),0)</f>
        <v>2</v>
      </c>
      <c r="Z12" s="47">
        <f t="array" aca="1" ref="Z12" ca="1">IF(Y12&gt;0.5,(SUM(IF(NOT(ISERROR(MATCH(RES_TYPE,Team_Stat_Sel,0))),IF(RES_H=$N12,RES_GATE_H,0)+IF(RES_A=$N12,RES_GATE_A,0),0))/Y12),-1)+ROW()/777777777</f>
        <v>1.5428571444000001E-8</v>
      </c>
      <c r="AA12" s="47">
        <f t="shared" ca="1" si="20"/>
        <v>1.2E-8</v>
      </c>
      <c r="AB12" s="47">
        <f t="shared" ca="1" si="21"/>
        <v>1.2E-8</v>
      </c>
      <c r="AC12" s="4"/>
      <c r="AD12" s="34">
        <v>10</v>
      </c>
      <c r="AE12" s="55" t="str">
        <f t="shared" ca="1" si="22"/>
        <v>Hellions of Troy</v>
      </c>
      <c r="AF12" s="56">
        <f t="shared" ca="1" si="23"/>
        <v>1.0000000154285715</v>
      </c>
      <c r="AG12" s="57" t="str">
        <f t="shared" ca="1" si="24"/>
        <v>Population: Orc</v>
      </c>
      <c r="AH12" s="58">
        <f t="shared" ca="1" si="25"/>
        <v>0.42857143591836738</v>
      </c>
      <c r="AI12" s="57" t="str">
        <f t="shared" ca="1" si="26"/>
        <v>Population: Orc</v>
      </c>
      <c r="AJ12" s="56">
        <f t="shared" ca="1" si="27"/>
        <v>11.999999935714285</v>
      </c>
      <c r="AK12" s="57" t="str">
        <f t="shared" ca="1" si="28"/>
        <v>Ashtown Villains</v>
      </c>
      <c r="AL12" s="58">
        <f t="shared" ca="1" si="29"/>
        <v>1.7499999549999996</v>
      </c>
      <c r="AM12" s="57" t="str">
        <f t="shared" ca="1" si="30"/>
        <v>Population: Orc</v>
      </c>
      <c r="AN12" s="59">
        <f t="shared" ca="1" si="31"/>
        <v>-8.9999999228571426</v>
      </c>
      <c r="AO12" s="1"/>
      <c r="AP12" s="37"/>
    </row>
    <row r="13" spans="1:42" ht="12" customHeight="1">
      <c r="A13" s="45">
        <f t="shared" ca="1" si="0"/>
        <v>25</v>
      </c>
      <c r="B13" s="45">
        <f t="shared" ca="1" si="1"/>
        <v>25</v>
      </c>
      <c r="C13" s="45">
        <f t="shared" ca="1" si="2"/>
        <v>25</v>
      </c>
      <c r="D13" s="45">
        <f t="shared" ca="1" si="3"/>
        <v>25</v>
      </c>
      <c r="E13" s="45">
        <f t="shared" ca="1" si="4"/>
        <v>25</v>
      </c>
      <c r="F13" s="45">
        <f t="shared" ca="1" si="5"/>
        <v>25</v>
      </c>
      <c r="G13" s="45">
        <f t="shared" ca="1" si="6"/>
        <v>25</v>
      </c>
      <c r="H13" s="45">
        <f t="shared" ca="1" si="7"/>
        <v>25</v>
      </c>
      <c r="I13" s="45">
        <f t="shared" ca="1" si="8"/>
        <v>25</v>
      </c>
      <c r="J13" s="45">
        <f t="shared" ca="1" si="9"/>
        <v>25</v>
      </c>
      <c r="K13" s="45">
        <f t="shared" ca="1" si="10"/>
        <v>25</v>
      </c>
      <c r="L13" s="45">
        <f t="shared" ca="1" si="11"/>
        <v>11</v>
      </c>
      <c r="M13" s="45">
        <f t="shared" ca="1" si="12"/>
        <v>11</v>
      </c>
      <c r="N13" s="46" t="str">
        <f t="shared" ca="1" si="13"/>
        <v/>
      </c>
      <c r="O13" s="47">
        <f t="array" aca="1" ref="O13" ca="1">SUM(IF(NOT(ISERROR(MATCH(RES_TYPE,Team_Stat_Sel,0))),IF(RES_H=$N13,RES_TD_H,0)+IF(RES_A=$N13,RES_TD_A,0)))+ROW()/777777777+IF($Y13&lt;0.5,-1,0)</f>
        <v>-0.99999998328571427</v>
      </c>
      <c r="P13" s="47">
        <f t="array" aca="1" ref="P13" ca="1">SUM(IF(NOT(ISERROR(MATCH(RES_TYPE,Team_Stat_Sel,0))),IF(RES_H=$N13,RES_TD_A,0)+IF(RES_A=$N13,RES_TD_H,0))*-1)+ROW()/77777777+IF($Y13&lt;0.5,-9999999,0)</f>
        <v>-9999998.9999998324</v>
      </c>
      <c r="Q13" s="47">
        <f t="shared" ca="1" si="14"/>
        <v>-999998.99999998324</v>
      </c>
      <c r="R13" s="47">
        <f t="shared" ca="1" si="15"/>
        <v>-999998.99999998324</v>
      </c>
      <c r="S13" s="47">
        <f t="shared" ca="1" si="16"/>
        <v>-999998.99999998324</v>
      </c>
      <c r="T13" s="47">
        <f t="array" aca="1" ref="T13" ca="1">SUM(IF(NOT(ISERROR(MATCH(RES_TYPE,Team_Stat_Sel,0))),IF(RES_H=$N13,RES_CAS_H,0)+IF(RES_A=$N13,RES_CAS_A,0)))+ROW()/7777777777+IF(Y13&lt;0.5,-999999,0)</f>
        <v>-999998.99999999837</v>
      </c>
      <c r="U13" s="47">
        <f t="array" aca="1" ref="U13" ca="1">SUM(IF(NOT(ISERROR(MATCH(RES_TYPE,Team_Stat_Sel,0))),IF(RES_H=$N13,RES_CAS_A,0)+IF(RES_A=$N13,RES_CAS_H,0))*-1)+ROW()/7777777777+IF(Y13&lt;0.5,-999999,0)</f>
        <v>-999998.99999999837</v>
      </c>
      <c r="V13" s="47">
        <f t="shared" ca="1" si="17"/>
        <v>-999998.99999998324</v>
      </c>
      <c r="W13" s="47">
        <f t="shared" ca="1" si="18"/>
        <v>-999998.99999998324</v>
      </c>
      <c r="X13" s="47">
        <f t="shared" ca="1" si="19"/>
        <v>-999998.99999998324</v>
      </c>
      <c r="Y13" s="47">
        <f t="array" aca="1" ref="Y13" ca="1">IF(N13&lt;&gt;"",SUM(IF(NOT(ISERROR(MATCH(RES_TYPE,Team_Stat_Sel,0))),IF(RES_H=$N13,1,0)+IF(RES_A=$N13,1,0),0)),0)</f>
        <v>0</v>
      </c>
      <c r="Z13" s="47">
        <f t="array" aca="1" ref="Z13" ca="1">IF(Y13&gt;0.5,(SUM(IF(NOT(ISERROR(MATCH(RES_TYPE,Team_Stat_Sel,0))),IF(RES_H=$N13,RES_GATE_H,0)+IF(RES_A=$N13,RES_GATE_A,0),0))/Y13),-1)+ROW()/777777777</f>
        <v>-0.99999998328571427</v>
      </c>
      <c r="AA13" s="47">
        <f t="shared" ca="1" si="20"/>
        <v>-1</v>
      </c>
      <c r="AB13" s="47">
        <f t="shared" ca="1" si="21"/>
        <v>-1</v>
      </c>
      <c r="AC13" s="4"/>
      <c r="AD13" s="34">
        <v>11</v>
      </c>
      <c r="AE13" s="55" t="str">
        <f t="shared" ca="1" si="22"/>
        <v/>
      </c>
      <c r="AF13" s="56" t="str">
        <f t="shared" ca="1" si="23"/>
        <v/>
      </c>
      <c r="AG13" s="57" t="str">
        <f t="shared" ca="1" si="24"/>
        <v/>
      </c>
      <c r="AH13" s="58" t="str">
        <f t="shared" ca="1" si="25"/>
        <v/>
      </c>
      <c r="AI13" s="57" t="str">
        <f t="shared" ca="1" si="26"/>
        <v/>
      </c>
      <c r="AJ13" s="56" t="str">
        <f t="shared" ca="1" si="27"/>
        <v/>
      </c>
      <c r="AK13" s="57" t="str">
        <f t="shared" ca="1" si="28"/>
        <v/>
      </c>
      <c r="AL13" s="58" t="str">
        <f t="shared" ca="1" si="29"/>
        <v/>
      </c>
      <c r="AM13" s="57" t="str">
        <f t="shared" ca="1" si="30"/>
        <v/>
      </c>
      <c r="AN13" s="59" t="str">
        <f t="shared" ca="1" si="31"/>
        <v/>
      </c>
      <c r="AO13" s="1"/>
      <c r="AP13" s="37"/>
    </row>
    <row r="14" spans="1:42" ht="12" customHeight="1">
      <c r="A14" s="45">
        <f t="shared" ca="1" si="0"/>
        <v>24</v>
      </c>
      <c r="B14" s="45">
        <f t="shared" ca="1" si="1"/>
        <v>24</v>
      </c>
      <c r="C14" s="45">
        <f t="shared" ca="1" si="2"/>
        <v>24</v>
      </c>
      <c r="D14" s="45">
        <f t="shared" ca="1" si="3"/>
        <v>24</v>
      </c>
      <c r="E14" s="45">
        <f t="shared" ca="1" si="4"/>
        <v>24</v>
      </c>
      <c r="F14" s="45">
        <f t="shared" ca="1" si="5"/>
        <v>24</v>
      </c>
      <c r="G14" s="45">
        <f t="shared" ca="1" si="6"/>
        <v>24</v>
      </c>
      <c r="H14" s="45">
        <f t="shared" ca="1" si="7"/>
        <v>24</v>
      </c>
      <c r="I14" s="45">
        <f t="shared" ca="1" si="8"/>
        <v>24</v>
      </c>
      <c r="J14" s="45">
        <f t="shared" ca="1" si="9"/>
        <v>24</v>
      </c>
      <c r="K14" s="45">
        <f t="shared" ca="1" si="10"/>
        <v>24</v>
      </c>
      <c r="L14" s="45">
        <f t="shared" ca="1" si="11"/>
        <v>11</v>
      </c>
      <c r="M14" s="45">
        <f t="shared" ca="1" si="12"/>
        <v>11</v>
      </c>
      <c r="N14" s="46" t="str">
        <f t="shared" ca="1" si="13"/>
        <v/>
      </c>
      <c r="O14" s="47">
        <f t="array" aca="1" ref="O14" ca="1">SUM(IF(NOT(ISERROR(MATCH(RES_TYPE,Team_Stat_Sel,0))),IF(RES_H=$N14,RES_TD_H,0)+IF(RES_A=$N14,RES_TD_A,0)))+ROW()/777777777+IF($Y14&lt;0.5,-1,0)</f>
        <v>-0.99999998199999995</v>
      </c>
      <c r="P14" s="47">
        <f t="array" aca="1" ref="P14" ca="1">SUM(IF(NOT(ISERROR(MATCH(RES_TYPE,Team_Stat_Sel,0))),IF(RES_H=$N14,RES_TD_A,0)+IF(RES_A=$N14,RES_TD_H,0))*-1)+ROW()/77777777+IF($Y14&lt;0.5,-9999999,0)</f>
        <v>-9999998.9999998193</v>
      </c>
      <c r="Q14" s="47">
        <f t="shared" ca="1" si="14"/>
        <v>-999998.99999998196</v>
      </c>
      <c r="R14" s="47">
        <f t="shared" ca="1" si="15"/>
        <v>-999998.99999998196</v>
      </c>
      <c r="S14" s="47">
        <f t="shared" ca="1" si="16"/>
        <v>-999998.99999998196</v>
      </c>
      <c r="T14" s="47">
        <f t="array" aca="1" ref="T14" ca="1">SUM(IF(NOT(ISERROR(MATCH(RES_TYPE,Team_Stat_Sel,0))),IF(RES_H=$N14,RES_CAS_H,0)+IF(RES_A=$N14,RES_CAS_A,0)))+ROW()/7777777777+IF(Y14&lt;0.5,-999999,0)</f>
        <v>-999998.99999999825</v>
      </c>
      <c r="U14" s="47">
        <f t="array" aca="1" ref="U14" ca="1">SUM(IF(NOT(ISERROR(MATCH(RES_TYPE,Team_Stat_Sel,0))),IF(RES_H=$N14,RES_CAS_A,0)+IF(RES_A=$N14,RES_CAS_H,0))*-1)+ROW()/7777777777+IF(Y14&lt;0.5,-999999,0)</f>
        <v>-999998.99999999825</v>
      </c>
      <c r="V14" s="47">
        <f t="shared" ca="1" si="17"/>
        <v>-999998.99999998196</v>
      </c>
      <c r="W14" s="47">
        <f t="shared" ca="1" si="18"/>
        <v>-999998.99999998196</v>
      </c>
      <c r="X14" s="47">
        <f t="shared" ca="1" si="19"/>
        <v>-999998.99999998196</v>
      </c>
      <c r="Y14" s="47">
        <f t="array" aca="1" ref="Y14" ca="1">IF(N14&lt;&gt;"",SUM(IF(NOT(ISERROR(MATCH(RES_TYPE,Team_Stat_Sel,0))),IF(RES_H=$N14,1,0)+IF(RES_A=$N14,1,0),0)),0)</f>
        <v>0</v>
      </c>
      <c r="Z14" s="47">
        <f t="array" aca="1" ref="Z14" ca="1">IF(Y14&gt;0.5,(SUM(IF(NOT(ISERROR(MATCH(RES_TYPE,Team_Stat_Sel,0))),IF(RES_H=$N14,RES_GATE_H,0)+IF(RES_A=$N14,RES_GATE_A,0),0))/Y14),-1)+ROW()/777777777</f>
        <v>-0.99999998199999995</v>
      </c>
      <c r="AA14" s="47">
        <f t="shared" ca="1" si="20"/>
        <v>-1</v>
      </c>
      <c r="AB14" s="47">
        <f t="shared" ca="1" si="21"/>
        <v>-1</v>
      </c>
      <c r="AC14" s="4"/>
      <c r="AD14" s="34">
        <v>12</v>
      </c>
      <c r="AE14" s="55" t="str">
        <f t="shared" ca="1" si="22"/>
        <v/>
      </c>
      <c r="AF14" s="56" t="str">
        <f t="shared" ca="1" si="23"/>
        <v/>
      </c>
      <c r="AG14" s="57" t="str">
        <f t="shared" ca="1" si="24"/>
        <v/>
      </c>
      <c r="AH14" s="58" t="str">
        <f t="shared" ca="1" si="25"/>
        <v/>
      </c>
      <c r="AI14" s="57" t="str">
        <f t="shared" ca="1" si="26"/>
        <v/>
      </c>
      <c r="AJ14" s="56" t="str">
        <f t="shared" ca="1" si="27"/>
        <v/>
      </c>
      <c r="AK14" s="57" t="str">
        <f t="shared" ca="1" si="28"/>
        <v/>
      </c>
      <c r="AL14" s="58" t="str">
        <f t="shared" ca="1" si="29"/>
        <v/>
      </c>
      <c r="AM14" s="57" t="str">
        <f t="shared" ca="1" si="30"/>
        <v/>
      </c>
      <c r="AN14" s="59" t="str">
        <f t="shared" ca="1" si="31"/>
        <v/>
      </c>
      <c r="AO14" s="1"/>
      <c r="AP14" s="37"/>
    </row>
    <row r="15" spans="1:42" ht="12" customHeight="1">
      <c r="A15" s="45">
        <f t="shared" ca="1" si="0"/>
        <v>23</v>
      </c>
      <c r="B15" s="45">
        <f t="shared" ca="1" si="1"/>
        <v>23</v>
      </c>
      <c r="C15" s="45">
        <f t="shared" ca="1" si="2"/>
        <v>23</v>
      </c>
      <c r="D15" s="45">
        <f t="shared" ca="1" si="3"/>
        <v>23</v>
      </c>
      <c r="E15" s="45">
        <f t="shared" ca="1" si="4"/>
        <v>23</v>
      </c>
      <c r="F15" s="45">
        <f t="shared" ca="1" si="5"/>
        <v>23</v>
      </c>
      <c r="G15" s="45">
        <f t="shared" ca="1" si="6"/>
        <v>23</v>
      </c>
      <c r="H15" s="45">
        <f t="shared" ca="1" si="7"/>
        <v>23</v>
      </c>
      <c r="I15" s="45">
        <f t="shared" ca="1" si="8"/>
        <v>23</v>
      </c>
      <c r="J15" s="45">
        <f t="shared" ca="1" si="9"/>
        <v>23</v>
      </c>
      <c r="K15" s="45">
        <f t="shared" ca="1" si="10"/>
        <v>23</v>
      </c>
      <c r="L15" s="45">
        <f t="shared" ca="1" si="11"/>
        <v>11</v>
      </c>
      <c r="M15" s="45">
        <f t="shared" ca="1" si="12"/>
        <v>11</v>
      </c>
      <c r="N15" s="46" t="str">
        <f t="shared" ca="1" si="13"/>
        <v/>
      </c>
      <c r="O15" s="47">
        <f t="array" aca="1" ref="O15" ca="1">SUM(IF(NOT(ISERROR(MATCH(RES_TYPE,Team_Stat_Sel,0))),IF(RES_H=$N15,RES_TD_H,0)+IF(RES_A=$N15,RES_TD_A,0)))+ROW()/777777777+IF($Y15&lt;0.5,-1,0)</f>
        <v>-0.99999998071428564</v>
      </c>
      <c r="P15" s="47">
        <f t="array" aca="1" ref="P15" ca="1">SUM(IF(NOT(ISERROR(MATCH(RES_TYPE,Team_Stat_Sel,0))),IF(RES_H=$N15,RES_TD_A,0)+IF(RES_A=$N15,RES_TD_H,0))*-1)+ROW()/77777777+IF($Y15&lt;0.5,-9999999,0)</f>
        <v>-9999998.9999998063</v>
      </c>
      <c r="Q15" s="47">
        <f t="shared" ca="1" si="14"/>
        <v>-999998.99999998068</v>
      </c>
      <c r="R15" s="47">
        <f t="shared" ca="1" si="15"/>
        <v>-999998.99999998068</v>
      </c>
      <c r="S15" s="47">
        <f t="shared" ca="1" si="16"/>
        <v>-999998.99999998068</v>
      </c>
      <c r="T15" s="47">
        <f t="array" aca="1" ref="T15" ca="1">SUM(IF(NOT(ISERROR(MATCH(RES_TYPE,Team_Stat_Sel,0))),IF(RES_H=$N15,RES_CAS_H,0)+IF(RES_A=$N15,RES_CAS_A,0)))+ROW()/7777777777+IF(Y15&lt;0.5,-999999,0)</f>
        <v>-999998.99999999802</v>
      </c>
      <c r="U15" s="47">
        <f t="array" aca="1" ref="U15" ca="1">SUM(IF(NOT(ISERROR(MATCH(RES_TYPE,Team_Stat_Sel,0))),IF(RES_H=$N15,RES_CAS_A,0)+IF(RES_A=$N15,RES_CAS_H,0))*-1)+ROW()/7777777777+IF(Y15&lt;0.5,-999999,0)</f>
        <v>-999998.99999999802</v>
      </c>
      <c r="V15" s="47">
        <f t="shared" ca="1" si="17"/>
        <v>-999998.99999998068</v>
      </c>
      <c r="W15" s="47">
        <f t="shared" ca="1" si="18"/>
        <v>-999998.99999998068</v>
      </c>
      <c r="X15" s="47">
        <f t="shared" ca="1" si="19"/>
        <v>-999998.99999998068</v>
      </c>
      <c r="Y15" s="47">
        <f t="array" aca="1" ref="Y15" ca="1">IF(N15&lt;&gt;"",SUM(IF(NOT(ISERROR(MATCH(RES_TYPE,Team_Stat_Sel,0))),IF(RES_H=$N15,1,0)+IF(RES_A=$N15,1,0),0)),0)</f>
        <v>0</v>
      </c>
      <c r="Z15" s="47">
        <f t="array" aca="1" ref="Z15" ca="1">IF(Y15&gt;0.5,(SUM(IF(NOT(ISERROR(MATCH(RES_TYPE,Team_Stat_Sel,0))),IF(RES_H=$N15,RES_GATE_H,0)+IF(RES_A=$N15,RES_GATE_A,0),0))/Y15),-1)+ROW()/777777777</f>
        <v>-0.99999998071428564</v>
      </c>
      <c r="AA15" s="47">
        <f t="shared" ca="1" si="20"/>
        <v>-1</v>
      </c>
      <c r="AB15" s="47">
        <f t="shared" ca="1" si="21"/>
        <v>-1</v>
      </c>
      <c r="AC15" s="4"/>
      <c r="AD15" s="34">
        <v>13</v>
      </c>
      <c r="AE15" s="55" t="str">
        <f t="shared" ca="1" si="22"/>
        <v/>
      </c>
      <c r="AF15" s="56" t="str">
        <f t="shared" ca="1" si="23"/>
        <v/>
      </c>
      <c r="AG15" s="57" t="str">
        <f t="shared" ca="1" si="24"/>
        <v/>
      </c>
      <c r="AH15" s="58" t="str">
        <f t="shared" ca="1" si="25"/>
        <v/>
      </c>
      <c r="AI15" s="57" t="str">
        <f t="shared" ca="1" si="26"/>
        <v/>
      </c>
      <c r="AJ15" s="56" t="str">
        <f t="shared" ca="1" si="27"/>
        <v/>
      </c>
      <c r="AK15" s="57" t="str">
        <f t="shared" ca="1" si="28"/>
        <v/>
      </c>
      <c r="AL15" s="58" t="str">
        <f t="shared" ca="1" si="29"/>
        <v/>
      </c>
      <c r="AM15" s="57" t="str">
        <f t="shared" ca="1" si="30"/>
        <v/>
      </c>
      <c r="AN15" s="59" t="str">
        <f t="shared" ca="1" si="31"/>
        <v/>
      </c>
      <c r="AO15" s="1"/>
      <c r="AP15" s="37"/>
    </row>
    <row r="16" spans="1:42" ht="12" customHeight="1">
      <c r="A16" s="45">
        <f t="shared" ca="1" si="0"/>
        <v>22</v>
      </c>
      <c r="B16" s="45">
        <f t="shared" ca="1" si="1"/>
        <v>22</v>
      </c>
      <c r="C16" s="45">
        <f t="shared" ca="1" si="2"/>
        <v>22</v>
      </c>
      <c r="D16" s="45">
        <f t="shared" ca="1" si="3"/>
        <v>22</v>
      </c>
      <c r="E16" s="45">
        <f t="shared" ca="1" si="4"/>
        <v>22</v>
      </c>
      <c r="F16" s="45">
        <f t="shared" ca="1" si="5"/>
        <v>22</v>
      </c>
      <c r="G16" s="45">
        <f t="shared" ca="1" si="6"/>
        <v>22</v>
      </c>
      <c r="H16" s="45">
        <f t="shared" ca="1" si="7"/>
        <v>22</v>
      </c>
      <c r="I16" s="45">
        <f t="shared" ca="1" si="8"/>
        <v>22</v>
      </c>
      <c r="J16" s="45">
        <f t="shared" ca="1" si="9"/>
        <v>22</v>
      </c>
      <c r="K16" s="45">
        <f t="shared" ca="1" si="10"/>
        <v>22</v>
      </c>
      <c r="L16" s="45">
        <f t="shared" ca="1" si="11"/>
        <v>11</v>
      </c>
      <c r="M16" s="45">
        <f t="shared" ca="1" si="12"/>
        <v>11</v>
      </c>
      <c r="N16" s="46" t="str">
        <f t="shared" ca="1" si="13"/>
        <v/>
      </c>
      <c r="O16" s="47">
        <f t="array" aca="1" ref="O16" ca="1">SUM(IF(NOT(ISERROR(MATCH(RES_TYPE,Team_Stat_Sel,0))),IF(RES_H=$N16,RES_TD_H,0)+IF(RES_A=$N16,RES_TD_A,0)))+ROW()/777777777+IF($Y16&lt;0.5,-1,0)</f>
        <v>-0.99999997942857144</v>
      </c>
      <c r="P16" s="47">
        <f t="array" aca="1" ref="P16" ca="1">SUM(IF(NOT(ISERROR(MATCH(RES_TYPE,Team_Stat_Sel,0))),IF(RES_H=$N16,RES_TD_A,0)+IF(RES_A=$N16,RES_TD_H,0))*-1)+ROW()/77777777+IF($Y16&lt;0.5,-9999999,0)</f>
        <v>-9999998.9999997951</v>
      </c>
      <c r="Q16" s="47">
        <f t="shared" ca="1" si="14"/>
        <v>-999998.99999997939</v>
      </c>
      <c r="R16" s="47">
        <f t="shared" ca="1" si="15"/>
        <v>-999998.99999997939</v>
      </c>
      <c r="S16" s="47">
        <f t="shared" ca="1" si="16"/>
        <v>-999998.99999997939</v>
      </c>
      <c r="T16" s="47">
        <f t="array" aca="1" ref="T16" ca="1">SUM(IF(NOT(ISERROR(MATCH(RES_TYPE,Team_Stat_Sel,0))),IF(RES_H=$N16,RES_CAS_H,0)+IF(RES_A=$N16,RES_CAS_A,0)))+ROW()/7777777777+IF(Y16&lt;0.5,-999999,0)</f>
        <v>-999998.9999999979</v>
      </c>
      <c r="U16" s="47">
        <f t="array" aca="1" ref="U16" ca="1">SUM(IF(NOT(ISERROR(MATCH(RES_TYPE,Team_Stat_Sel,0))),IF(RES_H=$N16,RES_CAS_A,0)+IF(RES_A=$N16,RES_CAS_H,0))*-1)+ROW()/7777777777+IF(Y16&lt;0.5,-999999,0)</f>
        <v>-999998.9999999979</v>
      </c>
      <c r="V16" s="47">
        <f t="shared" ca="1" si="17"/>
        <v>-999998.99999997939</v>
      </c>
      <c r="W16" s="47">
        <f t="shared" ca="1" si="18"/>
        <v>-999998.99999997939</v>
      </c>
      <c r="X16" s="47">
        <f t="shared" ca="1" si="19"/>
        <v>-999998.99999997939</v>
      </c>
      <c r="Y16" s="47">
        <f t="array" aca="1" ref="Y16" ca="1">IF(N16&lt;&gt;"",SUM(IF(NOT(ISERROR(MATCH(RES_TYPE,Team_Stat_Sel,0))),IF(RES_H=$N16,1,0)+IF(RES_A=$N16,1,0),0)),0)</f>
        <v>0</v>
      </c>
      <c r="Z16" s="47">
        <f t="array" aca="1" ref="Z16" ca="1">IF(Y16&gt;0.5,(SUM(IF(NOT(ISERROR(MATCH(RES_TYPE,Team_Stat_Sel,0))),IF(RES_H=$N16,RES_GATE_H,0)+IF(RES_A=$N16,RES_GATE_A,0),0))/Y16),-1)+ROW()/777777777</f>
        <v>-0.99999997942857144</v>
      </c>
      <c r="AA16" s="47">
        <f t="shared" ca="1" si="20"/>
        <v>-1</v>
      </c>
      <c r="AB16" s="47">
        <f t="shared" ca="1" si="21"/>
        <v>-1</v>
      </c>
      <c r="AC16" s="4"/>
      <c r="AD16" s="34">
        <v>14</v>
      </c>
      <c r="AE16" s="55" t="str">
        <f t="shared" ca="1" si="22"/>
        <v/>
      </c>
      <c r="AF16" s="56" t="str">
        <f t="shared" ca="1" si="23"/>
        <v/>
      </c>
      <c r="AG16" s="57" t="str">
        <f t="shared" ca="1" si="24"/>
        <v/>
      </c>
      <c r="AH16" s="58" t="str">
        <f t="shared" ca="1" si="25"/>
        <v/>
      </c>
      <c r="AI16" s="57" t="str">
        <f t="shared" ca="1" si="26"/>
        <v/>
      </c>
      <c r="AJ16" s="56" t="str">
        <f t="shared" ca="1" si="27"/>
        <v/>
      </c>
      <c r="AK16" s="57" t="str">
        <f t="shared" ca="1" si="28"/>
        <v/>
      </c>
      <c r="AL16" s="58" t="str">
        <f t="shared" ca="1" si="29"/>
        <v/>
      </c>
      <c r="AM16" s="57" t="str">
        <f t="shared" ca="1" si="30"/>
        <v/>
      </c>
      <c r="AN16" s="59" t="str">
        <f t="shared" ca="1" si="31"/>
        <v/>
      </c>
      <c r="AO16" s="1"/>
      <c r="AP16" s="37"/>
    </row>
    <row r="17" spans="1:42" ht="12" customHeight="1">
      <c r="A17" s="45">
        <f t="shared" ca="1" si="0"/>
        <v>21</v>
      </c>
      <c r="B17" s="45">
        <f t="shared" ca="1" si="1"/>
        <v>21</v>
      </c>
      <c r="C17" s="45">
        <f t="shared" ca="1" si="2"/>
        <v>21</v>
      </c>
      <c r="D17" s="45">
        <f t="shared" ca="1" si="3"/>
        <v>21</v>
      </c>
      <c r="E17" s="45">
        <f t="shared" ca="1" si="4"/>
        <v>21</v>
      </c>
      <c r="F17" s="45">
        <f t="shared" ca="1" si="5"/>
        <v>21</v>
      </c>
      <c r="G17" s="45">
        <f t="shared" ca="1" si="6"/>
        <v>21</v>
      </c>
      <c r="H17" s="45">
        <f t="shared" ca="1" si="7"/>
        <v>21</v>
      </c>
      <c r="I17" s="45">
        <f t="shared" ca="1" si="8"/>
        <v>21</v>
      </c>
      <c r="J17" s="45">
        <f t="shared" ca="1" si="9"/>
        <v>21</v>
      </c>
      <c r="K17" s="45">
        <f t="shared" ca="1" si="10"/>
        <v>21</v>
      </c>
      <c r="L17" s="45">
        <f t="shared" ca="1" si="11"/>
        <v>11</v>
      </c>
      <c r="M17" s="45">
        <f t="shared" ca="1" si="12"/>
        <v>11</v>
      </c>
      <c r="N17" s="46" t="str">
        <f t="shared" ca="1" si="13"/>
        <v/>
      </c>
      <c r="O17" s="47">
        <f t="array" aca="1" ref="O17" ca="1">SUM(IF(NOT(ISERROR(MATCH(RES_TYPE,Team_Stat_Sel,0))),IF(RES_H=$N17,RES_TD_H,0)+IF(RES_A=$N17,RES_TD_A,0)))+ROW()/777777777+IF($Y17&lt;0.5,-1,0)</f>
        <v>-0.99999997814285713</v>
      </c>
      <c r="P17" s="47">
        <f t="array" aca="1" ref="P17" ca="1">SUM(IF(NOT(ISERROR(MATCH(RES_TYPE,Team_Stat_Sel,0))),IF(RES_H=$N17,RES_TD_A,0)+IF(RES_A=$N17,RES_TD_H,0))*-1)+ROW()/77777777+IF($Y17&lt;0.5,-9999999,0)</f>
        <v>-9999998.9999997821</v>
      </c>
      <c r="Q17" s="47">
        <f t="shared" ca="1" si="14"/>
        <v>-999998.99999997811</v>
      </c>
      <c r="R17" s="47">
        <f t="shared" ca="1" si="15"/>
        <v>-999998.99999997811</v>
      </c>
      <c r="S17" s="47">
        <f t="shared" ca="1" si="16"/>
        <v>-999998.99999997811</v>
      </c>
      <c r="T17" s="47">
        <f t="array" aca="1" ref="T17" ca="1">SUM(IF(NOT(ISERROR(MATCH(RES_TYPE,Team_Stat_Sel,0))),IF(RES_H=$N17,RES_CAS_H,0)+IF(RES_A=$N17,RES_CAS_A,0)))+ROW()/7777777777+IF(Y17&lt;0.5,-999999,0)</f>
        <v>-999998.99999999779</v>
      </c>
      <c r="U17" s="47">
        <f t="array" aca="1" ref="U17" ca="1">SUM(IF(NOT(ISERROR(MATCH(RES_TYPE,Team_Stat_Sel,0))),IF(RES_H=$N17,RES_CAS_A,0)+IF(RES_A=$N17,RES_CAS_H,0))*-1)+ROW()/7777777777+IF(Y17&lt;0.5,-999999,0)</f>
        <v>-999998.99999999779</v>
      </c>
      <c r="V17" s="47">
        <f t="shared" ca="1" si="17"/>
        <v>-999998.99999997811</v>
      </c>
      <c r="W17" s="47">
        <f t="shared" ca="1" si="18"/>
        <v>-999998.99999997811</v>
      </c>
      <c r="X17" s="47">
        <f t="shared" ca="1" si="19"/>
        <v>-999998.99999997811</v>
      </c>
      <c r="Y17" s="47">
        <f t="array" aca="1" ref="Y17" ca="1">IF(N17&lt;&gt;"",SUM(IF(NOT(ISERROR(MATCH(RES_TYPE,Team_Stat_Sel,0))),IF(RES_H=$N17,1,0)+IF(RES_A=$N17,1,0),0)),0)</f>
        <v>0</v>
      </c>
      <c r="Z17" s="47">
        <f t="array" aca="1" ref="Z17" ca="1">IF(Y17&gt;0.5,(SUM(IF(NOT(ISERROR(MATCH(RES_TYPE,Team_Stat_Sel,0))),IF(RES_H=$N17,RES_GATE_H,0)+IF(RES_A=$N17,RES_GATE_A,0),0))/Y17),-1)+ROW()/777777777</f>
        <v>-0.99999997814285713</v>
      </c>
      <c r="AA17" s="47">
        <f t="shared" ca="1" si="20"/>
        <v>-1</v>
      </c>
      <c r="AB17" s="47">
        <f t="shared" ca="1" si="21"/>
        <v>-1</v>
      </c>
      <c r="AC17" s="4"/>
      <c r="AD17" s="34">
        <v>15</v>
      </c>
      <c r="AE17" s="55" t="str">
        <f t="shared" ca="1" si="22"/>
        <v/>
      </c>
      <c r="AF17" s="56" t="str">
        <f t="shared" ca="1" si="23"/>
        <v/>
      </c>
      <c r="AG17" s="57" t="str">
        <f t="shared" ca="1" si="24"/>
        <v/>
      </c>
      <c r="AH17" s="58" t="str">
        <f t="shared" ca="1" si="25"/>
        <v/>
      </c>
      <c r="AI17" s="57" t="str">
        <f t="shared" ca="1" si="26"/>
        <v/>
      </c>
      <c r="AJ17" s="56" t="str">
        <f t="shared" ca="1" si="27"/>
        <v/>
      </c>
      <c r="AK17" s="57" t="str">
        <f t="shared" ca="1" si="28"/>
        <v/>
      </c>
      <c r="AL17" s="58" t="str">
        <f t="shared" ca="1" si="29"/>
        <v/>
      </c>
      <c r="AM17" s="57" t="str">
        <f t="shared" ca="1" si="30"/>
        <v/>
      </c>
      <c r="AN17" s="59" t="str">
        <f t="shared" ca="1" si="31"/>
        <v/>
      </c>
      <c r="AO17" s="1"/>
      <c r="AP17" s="37"/>
    </row>
    <row r="18" spans="1:42" ht="12" customHeight="1">
      <c r="A18" s="45">
        <f t="shared" ca="1" si="0"/>
        <v>20</v>
      </c>
      <c r="B18" s="45">
        <f t="shared" ca="1" si="1"/>
        <v>20</v>
      </c>
      <c r="C18" s="45">
        <f t="shared" ca="1" si="2"/>
        <v>20</v>
      </c>
      <c r="D18" s="45">
        <f t="shared" ca="1" si="3"/>
        <v>20</v>
      </c>
      <c r="E18" s="45">
        <f t="shared" ca="1" si="4"/>
        <v>20</v>
      </c>
      <c r="F18" s="45">
        <f t="shared" ca="1" si="5"/>
        <v>20</v>
      </c>
      <c r="G18" s="45">
        <f t="shared" ca="1" si="6"/>
        <v>20</v>
      </c>
      <c r="H18" s="45">
        <f t="shared" ca="1" si="7"/>
        <v>20</v>
      </c>
      <c r="I18" s="45">
        <f t="shared" ca="1" si="8"/>
        <v>20</v>
      </c>
      <c r="J18" s="45">
        <f t="shared" ca="1" si="9"/>
        <v>20</v>
      </c>
      <c r="K18" s="45">
        <f t="shared" ca="1" si="10"/>
        <v>20</v>
      </c>
      <c r="L18" s="45">
        <f t="shared" ca="1" si="11"/>
        <v>11</v>
      </c>
      <c r="M18" s="45">
        <f t="shared" ca="1" si="12"/>
        <v>11</v>
      </c>
      <c r="N18" s="46" t="str">
        <f t="shared" ca="1" si="13"/>
        <v/>
      </c>
      <c r="O18" s="47">
        <f t="array" aca="1" ref="O18" ca="1">SUM(IF(NOT(ISERROR(MATCH(RES_TYPE,Team_Stat_Sel,0))),IF(RES_H=$N18,RES_TD_H,0)+IF(RES_A=$N18,RES_TD_A,0)))+ROW()/777777777+IF($Y18&lt;0.5,-1,0)</f>
        <v>-0.99999997685714281</v>
      </c>
      <c r="P18" s="47">
        <f t="array" aca="1" ref="P18" ca="1">SUM(IF(NOT(ISERROR(MATCH(RES_TYPE,Team_Stat_Sel,0))),IF(RES_H=$N18,RES_TD_A,0)+IF(RES_A=$N18,RES_TD_H,0))*-1)+ROW()/77777777+IF($Y18&lt;0.5,-9999999,0)</f>
        <v>-9999998.999999769</v>
      </c>
      <c r="Q18" s="47">
        <f t="shared" ca="1" si="14"/>
        <v>-999998.99999997683</v>
      </c>
      <c r="R18" s="47">
        <f t="shared" ca="1" si="15"/>
        <v>-999998.99999997683</v>
      </c>
      <c r="S18" s="47">
        <f t="shared" ca="1" si="16"/>
        <v>-999998.99999997683</v>
      </c>
      <c r="T18" s="47">
        <f t="array" aca="1" ref="T18" ca="1">SUM(IF(NOT(ISERROR(MATCH(RES_TYPE,Team_Stat_Sel,0))),IF(RES_H=$N18,RES_CAS_H,0)+IF(RES_A=$N18,RES_CAS_A,0)))+ROW()/7777777777+IF(Y18&lt;0.5,-999999,0)</f>
        <v>-999998.99999999767</v>
      </c>
      <c r="U18" s="47">
        <f t="array" aca="1" ref="U18" ca="1">SUM(IF(NOT(ISERROR(MATCH(RES_TYPE,Team_Stat_Sel,0))),IF(RES_H=$N18,RES_CAS_A,0)+IF(RES_A=$N18,RES_CAS_H,0))*-1)+ROW()/7777777777+IF(Y18&lt;0.5,-999999,0)</f>
        <v>-999998.99999999767</v>
      </c>
      <c r="V18" s="47">
        <f t="shared" ca="1" si="17"/>
        <v>-999998.99999997683</v>
      </c>
      <c r="W18" s="47">
        <f t="shared" ca="1" si="18"/>
        <v>-999998.99999997683</v>
      </c>
      <c r="X18" s="47">
        <f t="shared" ca="1" si="19"/>
        <v>-999998.99999997683</v>
      </c>
      <c r="Y18" s="47">
        <f t="array" aca="1" ref="Y18" ca="1">IF(N18&lt;&gt;"",SUM(IF(NOT(ISERROR(MATCH(RES_TYPE,Team_Stat_Sel,0))),IF(RES_H=$N18,1,0)+IF(RES_A=$N18,1,0),0)),0)</f>
        <v>0</v>
      </c>
      <c r="Z18" s="47">
        <f t="array" aca="1" ref="Z18" ca="1">IF(Y18&gt;0.5,(SUM(IF(NOT(ISERROR(MATCH(RES_TYPE,Team_Stat_Sel,0))),IF(RES_H=$N18,RES_GATE_H,0)+IF(RES_A=$N18,RES_GATE_A,0),0))/Y18),-1)+ROW()/777777777</f>
        <v>-0.99999997685714281</v>
      </c>
      <c r="AA18" s="47">
        <f t="shared" ca="1" si="20"/>
        <v>-1</v>
      </c>
      <c r="AB18" s="47">
        <f t="shared" ca="1" si="21"/>
        <v>-1</v>
      </c>
      <c r="AC18" s="4"/>
      <c r="AD18" s="34">
        <v>16</v>
      </c>
      <c r="AE18" s="55" t="str">
        <f t="shared" ca="1" si="22"/>
        <v/>
      </c>
      <c r="AF18" s="56" t="str">
        <f t="shared" ca="1" si="23"/>
        <v/>
      </c>
      <c r="AG18" s="57" t="str">
        <f t="shared" ca="1" si="24"/>
        <v/>
      </c>
      <c r="AH18" s="58" t="str">
        <f t="shared" ca="1" si="25"/>
        <v/>
      </c>
      <c r="AI18" s="57" t="str">
        <f t="shared" ca="1" si="26"/>
        <v/>
      </c>
      <c r="AJ18" s="56" t="str">
        <f t="shared" ca="1" si="27"/>
        <v/>
      </c>
      <c r="AK18" s="57" t="str">
        <f t="shared" ca="1" si="28"/>
        <v/>
      </c>
      <c r="AL18" s="58" t="str">
        <f t="shared" ca="1" si="29"/>
        <v/>
      </c>
      <c r="AM18" s="57" t="str">
        <f t="shared" ca="1" si="30"/>
        <v/>
      </c>
      <c r="AN18" s="59" t="str">
        <f t="shared" ca="1" si="31"/>
        <v/>
      </c>
      <c r="AO18" s="1"/>
      <c r="AP18" s="37"/>
    </row>
    <row r="19" spans="1:42" ht="12" customHeight="1">
      <c r="A19" s="45">
        <f t="shared" ca="1" si="0"/>
        <v>19</v>
      </c>
      <c r="B19" s="45">
        <f t="shared" ca="1" si="1"/>
        <v>19</v>
      </c>
      <c r="C19" s="45">
        <f t="shared" ca="1" si="2"/>
        <v>19</v>
      </c>
      <c r="D19" s="45">
        <f t="shared" ca="1" si="3"/>
        <v>19</v>
      </c>
      <c r="E19" s="45">
        <f t="shared" ca="1" si="4"/>
        <v>19</v>
      </c>
      <c r="F19" s="45">
        <f t="shared" ca="1" si="5"/>
        <v>19</v>
      </c>
      <c r="G19" s="45">
        <f t="shared" ca="1" si="6"/>
        <v>19</v>
      </c>
      <c r="H19" s="45">
        <f t="shared" ca="1" si="7"/>
        <v>19</v>
      </c>
      <c r="I19" s="45">
        <f t="shared" ca="1" si="8"/>
        <v>19</v>
      </c>
      <c r="J19" s="45">
        <f t="shared" ca="1" si="9"/>
        <v>19</v>
      </c>
      <c r="K19" s="45">
        <f t="shared" ca="1" si="10"/>
        <v>19</v>
      </c>
      <c r="L19" s="45">
        <f t="shared" ca="1" si="11"/>
        <v>11</v>
      </c>
      <c r="M19" s="45">
        <f t="shared" ca="1" si="12"/>
        <v>11</v>
      </c>
      <c r="N19" s="46" t="str">
        <f t="shared" ca="1" si="13"/>
        <v/>
      </c>
      <c r="O19" s="47">
        <f t="array" aca="1" ref="O19" ca="1">SUM(IF(NOT(ISERROR(MATCH(RES_TYPE,Team_Stat_Sel,0))),IF(RES_H=$N19,RES_TD_H,0)+IF(RES_A=$N19,RES_TD_A,0)))+ROW()/777777777+IF($Y19&lt;0.5,-1,0)</f>
        <v>-0.9999999755714285</v>
      </c>
      <c r="P19" s="47">
        <f t="array" aca="1" ref="P19" ca="1">SUM(IF(NOT(ISERROR(MATCH(RES_TYPE,Team_Stat_Sel,0))),IF(RES_H=$N19,RES_TD_A,0)+IF(RES_A=$N19,RES_TD_H,0))*-1)+ROW()/77777777+IF($Y19&lt;0.5,-9999999,0)</f>
        <v>-9999998.999999756</v>
      </c>
      <c r="Q19" s="47">
        <f t="shared" ca="1" si="14"/>
        <v>-999998.99999997555</v>
      </c>
      <c r="R19" s="47">
        <f t="shared" ca="1" si="15"/>
        <v>-999998.99999997555</v>
      </c>
      <c r="S19" s="47">
        <f t="shared" ca="1" si="16"/>
        <v>-999998.99999997555</v>
      </c>
      <c r="T19" s="47">
        <f t="array" aca="1" ref="T19" ca="1">SUM(IF(NOT(ISERROR(MATCH(RES_TYPE,Team_Stat_Sel,0))),IF(RES_H=$N19,RES_CAS_H,0)+IF(RES_A=$N19,RES_CAS_A,0)))+ROW()/7777777777+IF(Y19&lt;0.5,-999999,0)</f>
        <v>-999998.99999999756</v>
      </c>
      <c r="U19" s="47">
        <f t="array" aca="1" ref="U19" ca="1">SUM(IF(NOT(ISERROR(MATCH(RES_TYPE,Team_Stat_Sel,0))),IF(RES_H=$N19,RES_CAS_A,0)+IF(RES_A=$N19,RES_CAS_H,0))*-1)+ROW()/7777777777+IF(Y19&lt;0.5,-999999,0)</f>
        <v>-999998.99999999756</v>
      </c>
      <c r="V19" s="47">
        <f t="shared" ca="1" si="17"/>
        <v>-999998.99999997555</v>
      </c>
      <c r="W19" s="47">
        <f t="shared" ca="1" si="18"/>
        <v>-999998.99999997555</v>
      </c>
      <c r="X19" s="47">
        <f t="shared" ca="1" si="19"/>
        <v>-999998.99999997555</v>
      </c>
      <c r="Y19" s="47">
        <f t="array" aca="1" ref="Y19" ca="1">IF(N19&lt;&gt;"",SUM(IF(NOT(ISERROR(MATCH(RES_TYPE,Team_Stat_Sel,0))),IF(RES_H=$N19,1,0)+IF(RES_A=$N19,1,0),0)),0)</f>
        <v>0</v>
      </c>
      <c r="Z19" s="47">
        <f t="array" aca="1" ref="Z19" ca="1">IF(Y19&gt;0.5,(SUM(IF(NOT(ISERROR(MATCH(RES_TYPE,Team_Stat_Sel,0))),IF(RES_H=$N19,RES_GATE_H,0)+IF(RES_A=$N19,RES_GATE_A,0),0))/Y19),-1)+ROW()/777777777</f>
        <v>-0.9999999755714285</v>
      </c>
      <c r="AA19" s="47">
        <f t="shared" ca="1" si="20"/>
        <v>-1</v>
      </c>
      <c r="AB19" s="47">
        <f t="shared" ca="1" si="21"/>
        <v>-1</v>
      </c>
      <c r="AC19" s="4"/>
      <c r="AD19" s="34">
        <v>17</v>
      </c>
      <c r="AE19" s="55" t="str">
        <f t="shared" ca="1" si="22"/>
        <v/>
      </c>
      <c r="AF19" s="56" t="str">
        <f t="shared" ca="1" si="23"/>
        <v/>
      </c>
      <c r="AG19" s="57" t="str">
        <f t="shared" ca="1" si="24"/>
        <v/>
      </c>
      <c r="AH19" s="58" t="str">
        <f t="shared" ca="1" si="25"/>
        <v/>
      </c>
      <c r="AI19" s="57" t="str">
        <f t="shared" ca="1" si="26"/>
        <v/>
      </c>
      <c r="AJ19" s="56" t="str">
        <f t="shared" ca="1" si="27"/>
        <v/>
      </c>
      <c r="AK19" s="57" t="str">
        <f t="shared" ca="1" si="28"/>
        <v/>
      </c>
      <c r="AL19" s="58" t="str">
        <f t="shared" ca="1" si="29"/>
        <v/>
      </c>
      <c r="AM19" s="57" t="str">
        <f t="shared" ca="1" si="30"/>
        <v/>
      </c>
      <c r="AN19" s="59" t="str">
        <f t="shared" ca="1" si="31"/>
        <v/>
      </c>
      <c r="AO19" s="1"/>
      <c r="AP19" s="37"/>
    </row>
    <row r="20" spans="1:42" ht="12" customHeight="1">
      <c r="A20" s="45">
        <f t="shared" ca="1" si="0"/>
        <v>18</v>
      </c>
      <c r="B20" s="45">
        <f t="shared" ca="1" si="1"/>
        <v>18</v>
      </c>
      <c r="C20" s="45">
        <f t="shared" ca="1" si="2"/>
        <v>18</v>
      </c>
      <c r="D20" s="45">
        <f t="shared" ca="1" si="3"/>
        <v>18</v>
      </c>
      <c r="E20" s="45">
        <f t="shared" ca="1" si="4"/>
        <v>18</v>
      </c>
      <c r="F20" s="45">
        <f t="shared" ca="1" si="5"/>
        <v>18</v>
      </c>
      <c r="G20" s="45">
        <f t="shared" ca="1" si="6"/>
        <v>18</v>
      </c>
      <c r="H20" s="45">
        <f t="shared" ca="1" si="7"/>
        <v>18</v>
      </c>
      <c r="I20" s="45">
        <f t="shared" ca="1" si="8"/>
        <v>18</v>
      </c>
      <c r="J20" s="45">
        <f t="shared" ca="1" si="9"/>
        <v>18</v>
      </c>
      <c r="K20" s="45">
        <f t="shared" ca="1" si="10"/>
        <v>18</v>
      </c>
      <c r="L20" s="45">
        <f t="shared" ca="1" si="11"/>
        <v>11</v>
      </c>
      <c r="M20" s="45">
        <f t="shared" ca="1" si="12"/>
        <v>11</v>
      </c>
      <c r="N20" s="46" t="str">
        <f t="shared" ca="1" si="13"/>
        <v/>
      </c>
      <c r="O20" s="47">
        <f t="array" aca="1" ref="O20" ca="1">SUM(IF(NOT(ISERROR(MATCH(RES_TYPE,Team_Stat_Sel,0))),IF(RES_H=$N20,RES_TD_H,0)+IF(RES_A=$N20,RES_TD_A,0)))+ROW()/777777777+IF($Y20&lt;0.5,-1,0)</f>
        <v>-0.9999999742857143</v>
      </c>
      <c r="P20" s="47">
        <f t="array" aca="1" ref="P20" ca="1">SUM(IF(NOT(ISERROR(MATCH(RES_TYPE,Team_Stat_Sel,0))),IF(RES_H=$N20,RES_TD_A,0)+IF(RES_A=$N20,RES_TD_H,0))*-1)+ROW()/77777777+IF($Y20&lt;0.5,-9999999,0)</f>
        <v>-9999998.999999743</v>
      </c>
      <c r="Q20" s="47">
        <f t="shared" ca="1" si="14"/>
        <v>-999998.99999997427</v>
      </c>
      <c r="R20" s="47">
        <f t="shared" ca="1" si="15"/>
        <v>-999998.99999997427</v>
      </c>
      <c r="S20" s="47">
        <f t="shared" ca="1" si="16"/>
        <v>-999998.99999997427</v>
      </c>
      <c r="T20" s="47">
        <f t="array" aca="1" ref="T20" ca="1">SUM(IF(NOT(ISERROR(MATCH(RES_TYPE,Team_Stat_Sel,0))),IF(RES_H=$N20,RES_CAS_H,0)+IF(RES_A=$N20,RES_CAS_A,0)))+ROW()/7777777777+IF(Y20&lt;0.5,-999999,0)</f>
        <v>-999998.99999999744</v>
      </c>
      <c r="U20" s="47">
        <f t="array" aca="1" ref="U20" ca="1">SUM(IF(NOT(ISERROR(MATCH(RES_TYPE,Team_Stat_Sel,0))),IF(RES_H=$N20,RES_CAS_A,0)+IF(RES_A=$N20,RES_CAS_H,0))*-1)+ROW()/7777777777+IF(Y20&lt;0.5,-999999,0)</f>
        <v>-999998.99999999744</v>
      </c>
      <c r="V20" s="47">
        <f t="shared" ca="1" si="17"/>
        <v>-999998.99999997427</v>
      </c>
      <c r="W20" s="47">
        <f t="shared" ca="1" si="18"/>
        <v>-999998.99999997427</v>
      </c>
      <c r="X20" s="47">
        <f t="shared" ca="1" si="19"/>
        <v>-999998.99999997427</v>
      </c>
      <c r="Y20" s="47">
        <f t="array" aca="1" ref="Y20" ca="1">IF(N20&lt;&gt;"",SUM(IF(NOT(ISERROR(MATCH(RES_TYPE,Team_Stat_Sel,0))),IF(RES_H=$N20,1,0)+IF(RES_A=$N20,1,0),0)),0)</f>
        <v>0</v>
      </c>
      <c r="Z20" s="47">
        <f t="array" aca="1" ref="Z20" ca="1">IF(Y20&gt;0.5,(SUM(IF(NOT(ISERROR(MATCH(RES_TYPE,Team_Stat_Sel,0))),IF(RES_H=$N20,RES_GATE_H,0)+IF(RES_A=$N20,RES_GATE_A,0),0))/Y20),-1)+ROW()/777777777</f>
        <v>-0.9999999742857143</v>
      </c>
      <c r="AA20" s="47">
        <f t="shared" ca="1" si="20"/>
        <v>-1</v>
      </c>
      <c r="AB20" s="47">
        <f t="shared" ca="1" si="21"/>
        <v>-1</v>
      </c>
      <c r="AC20" s="4"/>
      <c r="AD20" s="34">
        <v>18</v>
      </c>
      <c r="AE20" s="55" t="str">
        <f t="shared" ca="1" si="22"/>
        <v/>
      </c>
      <c r="AF20" s="56" t="str">
        <f t="shared" ca="1" si="23"/>
        <v/>
      </c>
      <c r="AG20" s="57" t="str">
        <f t="shared" ca="1" si="24"/>
        <v/>
      </c>
      <c r="AH20" s="58" t="str">
        <f t="shared" ca="1" si="25"/>
        <v/>
      </c>
      <c r="AI20" s="57" t="str">
        <f t="shared" ca="1" si="26"/>
        <v/>
      </c>
      <c r="AJ20" s="56" t="str">
        <f t="shared" ca="1" si="27"/>
        <v/>
      </c>
      <c r="AK20" s="57" t="str">
        <f t="shared" ca="1" si="28"/>
        <v/>
      </c>
      <c r="AL20" s="58" t="str">
        <f t="shared" ca="1" si="29"/>
        <v/>
      </c>
      <c r="AM20" s="57" t="str">
        <f t="shared" ca="1" si="30"/>
        <v/>
      </c>
      <c r="AN20" s="59" t="str">
        <f t="shared" ca="1" si="31"/>
        <v/>
      </c>
      <c r="AO20" s="1"/>
      <c r="AP20" s="37"/>
    </row>
    <row r="21" spans="1:42" ht="12" customHeight="1">
      <c r="A21" s="45">
        <f t="shared" ca="1" si="0"/>
        <v>17</v>
      </c>
      <c r="B21" s="45">
        <f t="shared" ca="1" si="1"/>
        <v>17</v>
      </c>
      <c r="C21" s="45">
        <f t="shared" ca="1" si="2"/>
        <v>17</v>
      </c>
      <c r="D21" s="45">
        <f t="shared" ca="1" si="3"/>
        <v>17</v>
      </c>
      <c r="E21" s="45">
        <f t="shared" ca="1" si="4"/>
        <v>17</v>
      </c>
      <c r="F21" s="45">
        <f t="shared" ca="1" si="5"/>
        <v>17</v>
      </c>
      <c r="G21" s="45">
        <f t="shared" ca="1" si="6"/>
        <v>17</v>
      </c>
      <c r="H21" s="45">
        <f t="shared" ca="1" si="7"/>
        <v>17</v>
      </c>
      <c r="I21" s="45">
        <f t="shared" ca="1" si="8"/>
        <v>17</v>
      </c>
      <c r="J21" s="45">
        <f t="shared" ca="1" si="9"/>
        <v>17</v>
      </c>
      <c r="K21" s="45">
        <f t="shared" ca="1" si="10"/>
        <v>17</v>
      </c>
      <c r="L21" s="45">
        <f t="shared" ca="1" si="11"/>
        <v>11</v>
      </c>
      <c r="M21" s="45">
        <f t="shared" ca="1" si="12"/>
        <v>11</v>
      </c>
      <c r="N21" s="46" t="str">
        <f t="shared" ca="1" si="13"/>
        <v/>
      </c>
      <c r="O21" s="47">
        <f t="array" aca="1" ref="O21" ca="1">SUM(IF(NOT(ISERROR(MATCH(RES_TYPE,Team_Stat_Sel,0))),IF(RES_H=$N21,RES_TD_H,0)+IF(RES_A=$N21,RES_TD_A,0)))+ROW()/777777777+IF($Y21&lt;0.5,-1,0)</f>
        <v>-0.99999997299999999</v>
      </c>
      <c r="P21" s="47">
        <f t="array" aca="1" ref="P21" ca="1">SUM(IF(NOT(ISERROR(MATCH(RES_TYPE,Team_Stat_Sel,0))),IF(RES_H=$N21,RES_TD_A,0)+IF(RES_A=$N21,RES_TD_H,0))*-1)+ROW()/77777777+IF($Y21&lt;0.5,-9999999,0)</f>
        <v>-9999998.9999997299</v>
      </c>
      <c r="Q21" s="47">
        <f t="shared" ca="1" si="14"/>
        <v>-999998.99999997299</v>
      </c>
      <c r="R21" s="47">
        <f t="shared" ca="1" si="15"/>
        <v>-999998.99999997299</v>
      </c>
      <c r="S21" s="47">
        <f t="shared" ca="1" si="16"/>
        <v>-999998.99999997299</v>
      </c>
      <c r="T21" s="47">
        <f t="array" aca="1" ref="T21" ca="1">SUM(IF(NOT(ISERROR(MATCH(RES_TYPE,Team_Stat_Sel,0))),IF(RES_H=$N21,RES_CAS_H,0)+IF(RES_A=$N21,RES_CAS_A,0)))+ROW()/7777777777+IF(Y21&lt;0.5,-999999,0)</f>
        <v>-999998.99999999732</v>
      </c>
      <c r="U21" s="47">
        <f t="array" aca="1" ref="U21" ca="1">SUM(IF(NOT(ISERROR(MATCH(RES_TYPE,Team_Stat_Sel,0))),IF(RES_H=$N21,RES_CAS_A,0)+IF(RES_A=$N21,RES_CAS_H,0))*-1)+ROW()/7777777777+IF(Y21&lt;0.5,-999999,0)</f>
        <v>-999998.99999999732</v>
      </c>
      <c r="V21" s="47">
        <f t="shared" ca="1" si="17"/>
        <v>-999998.99999997299</v>
      </c>
      <c r="W21" s="47">
        <f t="shared" ca="1" si="18"/>
        <v>-999998.99999997299</v>
      </c>
      <c r="X21" s="47">
        <f t="shared" ca="1" si="19"/>
        <v>-999998.99999997299</v>
      </c>
      <c r="Y21" s="47">
        <f t="array" aca="1" ref="Y21" ca="1">IF(N21&lt;&gt;"",SUM(IF(NOT(ISERROR(MATCH(RES_TYPE,Team_Stat_Sel,0))),IF(RES_H=$N21,1,0)+IF(RES_A=$N21,1,0),0)),0)</f>
        <v>0</v>
      </c>
      <c r="Z21" s="47">
        <f t="array" aca="1" ref="Z21" ca="1">IF(Y21&gt;0.5,(SUM(IF(NOT(ISERROR(MATCH(RES_TYPE,Team_Stat_Sel,0))),IF(RES_H=$N21,RES_GATE_H,0)+IF(RES_A=$N21,RES_GATE_A,0),0))/Y21),-1)+ROW()/777777777</f>
        <v>-0.99999997299999999</v>
      </c>
      <c r="AA21" s="47">
        <f t="shared" ca="1" si="20"/>
        <v>-1</v>
      </c>
      <c r="AB21" s="47">
        <f t="shared" ca="1" si="21"/>
        <v>-1</v>
      </c>
      <c r="AC21" s="4"/>
      <c r="AD21" s="34">
        <v>19</v>
      </c>
      <c r="AE21" s="55" t="str">
        <f t="shared" ca="1" si="22"/>
        <v/>
      </c>
      <c r="AF21" s="56" t="str">
        <f t="shared" ca="1" si="23"/>
        <v/>
      </c>
      <c r="AG21" s="57" t="str">
        <f t="shared" ca="1" si="24"/>
        <v/>
      </c>
      <c r="AH21" s="58" t="str">
        <f t="shared" ca="1" si="25"/>
        <v/>
      </c>
      <c r="AI21" s="57" t="str">
        <f t="shared" ca="1" si="26"/>
        <v/>
      </c>
      <c r="AJ21" s="56" t="str">
        <f t="shared" ca="1" si="27"/>
        <v/>
      </c>
      <c r="AK21" s="57" t="str">
        <f t="shared" ca="1" si="28"/>
        <v/>
      </c>
      <c r="AL21" s="58" t="str">
        <f t="shared" ca="1" si="29"/>
        <v/>
      </c>
      <c r="AM21" s="57" t="str">
        <f t="shared" ca="1" si="30"/>
        <v/>
      </c>
      <c r="AN21" s="59" t="str">
        <f t="shared" ca="1" si="31"/>
        <v/>
      </c>
      <c r="AO21" s="1"/>
      <c r="AP21" s="37"/>
    </row>
    <row r="22" spans="1:42" ht="12" customHeight="1">
      <c r="A22" s="45">
        <f t="shared" ca="1" si="0"/>
        <v>16</v>
      </c>
      <c r="B22" s="45">
        <f t="shared" ca="1" si="1"/>
        <v>16</v>
      </c>
      <c r="C22" s="45">
        <f t="shared" ca="1" si="2"/>
        <v>16</v>
      </c>
      <c r="D22" s="45">
        <f t="shared" ca="1" si="3"/>
        <v>16</v>
      </c>
      <c r="E22" s="45">
        <f t="shared" ca="1" si="4"/>
        <v>16</v>
      </c>
      <c r="F22" s="45">
        <f t="shared" ca="1" si="5"/>
        <v>16</v>
      </c>
      <c r="G22" s="45">
        <f t="shared" ca="1" si="6"/>
        <v>16</v>
      </c>
      <c r="H22" s="45">
        <f t="shared" ca="1" si="7"/>
        <v>16</v>
      </c>
      <c r="I22" s="45">
        <f t="shared" ca="1" si="8"/>
        <v>16</v>
      </c>
      <c r="J22" s="45">
        <f t="shared" ca="1" si="9"/>
        <v>16</v>
      </c>
      <c r="K22" s="45">
        <f t="shared" ca="1" si="10"/>
        <v>16</v>
      </c>
      <c r="L22" s="45">
        <f t="shared" ca="1" si="11"/>
        <v>11</v>
      </c>
      <c r="M22" s="45">
        <f t="shared" ca="1" si="12"/>
        <v>11</v>
      </c>
      <c r="N22" s="46" t="str">
        <f t="shared" ca="1" si="13"/>
        <v/>
      </c>
      <c r="O22" s="47">
        <f t="array" aca="1" ref="O22" ca="1">SUM(IF(NOT(ISERROR(MATCH(RES_TYPE,Team_Stat_Sel,0))),IF(RES_H=$N22,RES_TD_H,0)+IF(RES_A=$N22,RES_TD_A,0)))+ROW()/777777777+IF($Y22&lt;0.5,-1,0)</f>
        <v>-0.99999997171428567</v>
      </c>
      <c r="P22" s="47">
        <f t="array" aca="1" ref="P22" ca="1">SUM(IF(NOT(ISERROR(MATCH(RES_TYPE,Team_Stat_Sel,0))),IF(RES_H=$N22,RES_TD_A,0)+IF(RES_A=$N22,RES_TD_H,0))*-1)+ROW()/77777777+IF($Y22&lt;0.5,-9999999,0)</f>
        <v>-9999998.9999997169</v>
      </c>
      <c r="Q22" s="47">
        <f t="shared" ca="1" si="14"/>
        <v>-999998.99999997171</v>
      </c>
      <c r="R22" s="47">
        <f t="shared" ca="1" si="15"/>
        <v>-999998.99999997171</v>
      </c>
      <c r="S22" s="47">
        <f t="shared" ca="1" si="16"/>
        <v>-999998.99999997171</v>
      </c>
      <c r="T22" s="47">
        <f t="array" aca="1" ref="T22" ca="1">SUM(IF(NOT(ISERROR(MATCH(RES_TYPE,Team_Stat_Sel,0))),IF(RES_H=$N22,RES_CAS_H,0)+IF(RES_A=$N22,RES_CAS_A,0)))+ROW()/7777777777+IF(Y22&lt;0.5,-999999,0)</f>
        <v>-999998.99999999721</v>
      </c>
      <c r="U22" s="47">
        <f t="array" aca="1" ref="U22" ca="1">SUM(IF(NOT(ISERROR(MATCH(RES_TYPE,Team_Stat_Sel,0))),IF(RES_H=$N22,RES_CAS_A,0)+IF(RES_A=$N22,RES_CAS_H,0))*-1)+ROW()/7777777777+IF(Y22&lt;0.5,-999999,0)</f>
        <v>-999998.99999999721</v>
      </c>
      <c r="V22" s="47">
        <f t="shared" ca="1" si="17"/>
        <v>-999998.99999997171</v>
      </c>
      <c r="W22" s="47">
        <f t="shared" ca="1" si="18"/>
        <v>-999998.99999997171</v>
      </c>
      <c r="X22" s="47">
        <f t="shared" ca="1" si="19"/>
        <v>-999998.99999997171</v>
      </c>
      <c r="Y22" s="47">
        <f t="array" aca="1" ref="Y22" ca="1">IF(N22&lt;&gt;"",SUM(IF(NOT(ISERROR(MATCH(RES_TYPE,Team_Stat_Sel,0))),IF(RES_H=$N22,1,0)+IF(RES_A=$N22,1,0),0)),0)</f>
        <v>0</v>
      </c>
      <c r="Z22" s="47">
        <f t="array" aca="1" ref="Z22" ca="1">IF(Y22&gt;0.5,(SUM(IF(NOT(ISERROR(MATCH(RES_TYPE,Team_Stat_Sel,0))),IF(RES_H=$N22,RES_GATE_H,0)+IF(RES_A=$N22,RES_GATE_A,0),0))/Y22),-1)+ROW()/777777777</f>
        <v>-0.99999997171428567</v>
      </c>
      <c r="AA22" s="47">
        <f t="shared" ca="1" si="20"/>
        <v>-1</v>
      </c>
      <c r="AB22" s="47">
        <f t="shared" ca="1" si="21"/>
        <v>-1</v>
      </c>
      <c r="AC22" s="4"/>
      <c r="AD22" s="34">
        <v>20</v>
      </c>
      <c r="AE22" s="55" t="str">
        <f t="shared" ca="1" si="22"/>
        <v/>
      </c>
      <c r="AF22" s="56" t="str">
        <f t="shared" ca="1" si="23"/>
        <v/>
      </c>
      <c r="AG22" s="57" t="str">
        <f t="shared" ca="1" si="24"/>
        <v/>
      </c>
      <c r="AH22" s="58" t="str">
        <f t="shared" ca="1" si="25"/>
        <v/>
      </c>
      <c r="AI22" s="57" t="str">
        <f t="shared" ca="1" si="26"/>
        <v/>
      </c>
      <c r="AJ22" s="56" t="str">
        <f t="shared" ca="1" si="27"/>
        <v/>
      </c>
      <c r="AK22" s="57" t="str">
        <f t="shared" ca="1" si="28"/>
        <v/>
      </c>
      <c r="AL22" s="58" t="str">
        <f t="shared" ca="1" si="29"/>
        <v/>
      </c>
      <c r="AM22" s="57" t="str">
        <f t="shared" ca="1" si="30"/>
        <v/>
      </c>
      <c r="AN22" s="59" t="str">
        <f t="shared" ca="1" si="31"/>
        <v/>
      </c>
      <c r="AO22" s="1"/>
      <c r="AP22" s="37"/>
    </row>
    <row r="23" spans="1:42" ht="12" customHeight="1">
      <c r="A23" s="45">
        <f t="shared" ca="1" si="0"/>
        <v>15</v>
      </c>
      <c r="B23" s="45">
        <f t="shared" ca="1" si="1"/>
        <v>15</v>
      </c>
      <c r="C23" s="45">
        <f t="shared" ca="1" si="2"/>
        <v>15</v>
      </c>
      <c r="D23" s="45">
        <f t="shared" ca="1" si="3"/>
        <v>15</v>
      </c>
      <c r="E23" s="45">
        <f t="shared" ca="1" si="4"/>
        <v>15</v>
      </c>
      <c r="F23" s="45">
        <f t="shared" ca="1" si="5"/>
        <v>15</v>
      </c>
      <c r="G23" s="45">
        <f t="shared" ca="1" si="6"/>
        <v>15</v>
      </c>
      <c r="H23" s="45">
        <f t="shared" ca="1" si="7"/>
        <v>15</v>
      </c>
      <c r="I23" s="45">
        <f t="shared" ca="1" si="8"/>
        <v>15</v>
      </c>
      <c r="J23" s="45">
        <f t="shared" ca="1" si="9"/>
        <v>15</v>
      </c>
      <c r="K23" s="45">
        <f t="shared" ca="1" si="10"/>
        <v>15</v>
      </c>
      <c r="L23" s="45">
        <f t="shared" ca="1" si="11"/>
        <v>11</v>
      </c>
      <c r="M23" s="45">
        <f t="shared" ca="1" si="12"/>
        <v>11</v>
      </c>
      <c r="N23" s="46" t="str">
        <f t="shared" ca="1" si="13"/>
        <v/>
      </c>
      <c r="O23" s="47">
        <f t="array" aca="1" ref="O23" ca="1">SUM(IF(NOT(ISERROR(MATCH(RES_TYPE,Team_Stat_Sel,0))),IF(RES_H=$N23,RES_TD_H,0)+IF(RES_A=$N23,RES_TD_A,0)))+ROW()/777777777+IF($Y23&lt;0.5,-1,0)</f>
        <v>-0.99999997042857136</v>
      </c>
      <c r="P23" s="47">
        <f t="array" aca="1" ref="P23" ca="1">SUM(IF(NOT(ISERROR(MATCH(RES_TYPE,Team_Stat_Sel,0))),IF(RES_H=$N23,RES_TD_A,0)+IF(RES_A=$N23,RES_TD_H,0))*-1)+ROW()/77777777+IF($Y23&lt;0.5,-9999999,0)</f>
        <v>-9999998.9999997038</v>
      </c>
      <c r="Q23" s="47">
        <f t="shared" ca="1" si="14"/>
        <v>-999998.99999997043</v>
      </c>
      <c r="R23" s="47">
        <f t="shared" ca="1" si="15"/>
        <v>-999998.99999997043</v>
      </c>
      <c r="S23" s="47">
        <f t="shared" ca="1" si="16"/>
        <v>-999998.99999997043</v>
      </c>
      <c r="T23" s="47">
        <f t="array" aca="1" ref="T23" ca="1">SUM(IF(NOT(ISERROR(MATCH(RES_TYPE,Team_Stat_Sel,0))),IF(RES_H=$N23,RES_CAS_H,0)+IF(RES_A=$N23,RES_CAS_A,0)))+ROW()/7777777777+IF(Y23&lt;0.5,-999999,0)</f>
        <v>-999998.99999999709</v>
      </c>
      <c r="U23" s="47">
        <f t="array" aca="1" ref="U23" ca="1">SUM(IF(NOT(ISERROR(MATCH(RES_TYPE,Team_Stat_Sel,0))),IF(RES_H=$N23,RES_CAS_A,0)+IF(RES_A=$N23,RES_CAS_H,0))*-1)+ROW()/7777777777+IF(Y23&lt;0.5,-999999,0)</f>
        <v>-999998.99999999709</v>
      </c>
      <c r="V23" s="47">
        <f t="shared" ca="1" si="17"/>
        <v>-999998.99999997043</v>
      </c>
      <c r="W23" s="47">
        <f t="shared" ca="1" si="18"/>
        <v>-999998.99999997043</v>
      </c>
      <c r="X23" s="47">
        <f t="shared" ca="1" si="19"/>
        <v>-999998.99999997043</v>
      </c>
      <c r="Y23" s="47">
        <f t="array" aca="1" ref="Y23" ca="1">IF(N23&lt;&gt;"",SUM(IF(NOT(ISERROR(MATCH(RES_TYPE,Team_Stat_Sel,0))),IF(RES_H=$N23,1,0)+IF(RES_A=$N23,1,0),0)),0)</f>
        <v>0</v>
      </c>
      <c r="Z23" s="47">
        <f t="array" aca="1" ref="Z23" ca="1">IF(Y23&gt;0.5,(SUM(IF(NOT(ISERROR(MATCH(RES_TYPE,Team_Stat_Sel,0))),IF(RES_H=$N23,RES_GATE_H,0)+IF(RES_A=$N23,RES_GATE_A,0),0))/Y23),-1)+ROW()/777777777</f>
        <v>-0.99999997042857136</v>
      </c>
      <c r="AA23" s="47">
        <f t="shared" ca="1" si="20"/>
        <v>-1</v>
      </c>
      <c r="AB23" s="47">
        <f t="shared" ca="1" si="21"/>
        <v>-1</v>
      </c>
      <c r="AC23" s="2"/>
      <c r="AD23" s="34">
        <v>21</v>
      </c>
      <c r="AE23" s="55" t="str">
        <f t="shared" ca="1" si="22"/>
        <v/>
      </c>
      <c r="AF23" s="56" t="str">
        <f t="shared" ca="1" si="23"/>
        <v/>
      </c>
      <c r="AG23" s="57" t="str">
        <f t="shared" ca="1" si="24"/>
        <v/>
      </c>
      <c r="AH23" s="58" t="str">
        <f t="shared" ca="1" si="25"/>
        <v/>
      </c>
      <c r="AI23" s="57" t="str">
        <f t="shared" ca="1" si="26"/>
        <v/>
      </c>
      <c r="AJ23" s="56" t="str">
        <f t="shared" ca="1" si="27"/>
        <v/>
      </c>
      <c r="AK23" s="57" t="str">
        <f t="shared" ca="1" si="28"/>
        <v/>
      </c>
      <c r="AL23" s="58" t="str">
        <f t="shared" ca="1" si="29"/>
        <v/>
      </c>
      <c r="AM23" s="57" t="str">
        <f t="shared" ca="1" si="30"/>
        <v/>
      </c>
      <c r="AN23" s="59" t="str">
        <f t="shared" ca="1" si="31"/>
        <v/>
      </c>
      <c r="AO23" s="60"/>
      <c r="AP23" s="37"/>
    </row>
    <row r="24" spans="1:42" ht="12" customHeight="1">
      <c r="A24" s="45">
        <f t="shared" ca="1" si="0"/>
        <v>14</v>
      </c>
      <c r="B24" s="45">
        <f t="shared" ca="1" si="1"/>
        <v>14</v>
      </c>
      <c r="C24" s="45">
        <f t="shared" ca="1" si="2"/>
        <v>14</v>
      </c>
      <c r="D24" s="45">
        <f t="shared" ca="1" si="3"/>
        <v>14</v>
      </c>
      <c r="E24" s="45">
        <f t="shared" ca="1" si="4"/>
        <v>14</v>
      </c>
      <c r="F24" s="45">
        <f t="shared" ca="1" si="5"/>
        <v>14</v>
      </c>
      <c r="G24" s="45">
        <f t="shared" ca="1" si="6"/>
        <v>14</v>
      </c>
      <c r="H24" s="45">
        <f t="shared" ca="1" si="7"/>
        <v>14</v>
      </c>
      <c r="I24" s="45">
        <f t="shared" ca="1" si="8"/>
        <v>14</v>
      </c>
      <c r="J24" s="45">
        <f t="shared" ca="1" si="9"/>
        <v>14</v>
      </c>
      <c r="K24" s="45">
        <f t="shared" ca="1" si="10"/>
        <v>14</v>
      </c>
      <c r="L24" s="45">
        <f t="shared" ca="1" si="11"/>
        <v>11</v>
      </c>
      <c r="M24" s="45">
        <f t="shared" ca="1" si="12"/>
        <v>11</v>
      </c>
      <c r="N24" s="46" t="str">
        <f t="shared" ca="1" si="13"/>
        <v/>
      </c>
      <c r="O24" s="47">
        <f t="array" aca="1" ref="O24" ca="1">SUM(IF(NOT(ISERROR(MATCH(RES_TYPE,Team_Stat_Sel,0))),IF(RES_H=$N24,RES_TD_H,0)+IF(RES_A=$N24,RES_TD_A,0)))+ROW()/777777777+IF($Y24&lt;0.5,-1,0)</f>
        <v>-0.99999996914285716</v>
      </c>
      <c r="P24" s="47">
        <f t="array" aca="1" ref="P24" ca="1">SUM(IF(NOT(ISERROR(MATCH(RES_TYPE,Team_Stat_Sel,0))),IF(RES_H=$N24,RES_TD_A,0)+IF(RES_A=$N24,RES_TD_H,0))*-1)+ROW()/77777777+IF($Y24&lt;0.5,-9999999,0)</f>
        <v>-9999998.9999996908</v>
      </c>
      <c r="Q24" s="47">
        <f t="shared" ca="1" si="14"/>
        <v>-999998.99999996915</v>
      </c>
      <c r="R24" s="47">
        <f t="shared" ca="1" si="15"/>
        <v>-999998.99999996915</v>
      </c>
      <c r="S24" s="47">
        <f t="shared" ca="1" si="16"/>
        <v>-999998.99999996915</v>
      </c>
      <c r="T24" s="47">
        <f t="array" aca="1" ref="T24" ca="1">SUM(IF(NOT(ISERROR(MATCH(RES_TYPE,Team_Stat_Sel,0))),IF(RES_H=$N24,RES_CAS_H,0)+IF(RES_A=$N24,RES_CAS_A,0)))+ROW()/7777777777+IF(Y24&lt;0.5,-999999,0)</f>
        <v>-999998.99999999686</v>
      </c>
      <c r="U24" s="47">
        <f t="array" aca="1" ref="U24" ca="1">SUM(IF(NOT(ISERROR(MATCH(RES_TYPE,Team_Stat_Sel,0))),IF(RES_H=$N24,RES_CAS_A,0)+IF(RES_A=$N24,RES_CAS_H,0))*-1)+ROW()/7777777777+IF(Y24&lt;0.5,-999999,0)</f>
        <v>-999998.99999999686</v>
      </c>
      <c r="V24" s="47">
        <f t="shared" ca="1" si="17"/>
        <v>-999998.99999996915</v>
      </c>
      <c r="W24" s="47">
        <f t="shared" ca="1" si="18"/>
        <v>-999998.99999996915</v>
      </c>
      <c r="X24" s="47">
        <f t="shared" ca="1" si="19"/>
        <v>-999998.99999996915</v>
      </c>
      <c r="Y24" s="47">
        <f t="array" aca="1" ref="Y24" ca="1">IF(N24&lt;&gt;"",SUM(IF(NOT(ISERROR(MATCH(RES_TYPE,Team_Stat_Sel,0))),IF(RES_H=$N24,1,0)+IF(RES_A=$N24,1,0),0)),0)</f>
        <v>0</v>
      </c>
      <c r="Z24" s="47">
        <f t="array" aca="1" ref="Z24" ca="1">IF(Y24&gt;0.5,(SUM(IF(NOT(ISERROR(MATCH(RES_TYPE,Team_Stat_Sel,0))),IF(RES_H=$N24,RES_GATE_H,0)+IF(RES_A=$N24,RES_GATE_A,0),0))/Y24),-1)+ROW()/777777777</f>
        <v>-0.99999996914285716</v>
      </c>
      <c r="AA24" s="47">
        <f t="shared" ca="1" si="20"/>
        <v>-1</v>
      </c>
      <c r="AB24" s="47">
        <f t="shared" ca="1" si="21"/>
        <v>-1</v>
      </c>
      <c r="AC24" s="2"/>
      <c r="AD24" s="34">
        <v>22</v>
      </c>
      <c r="AE24" s="55" t="str">
        <f t="shared" ca="1" si="22"/>
        <v/>
      </c>
      <c r="AF24" s="56" t="str">
        <f t="shared" ca="1" si="23"/>
        <v/>
      </c>
      <c r="AG24" s="57" t="str">
        <f t="shared" ca="1" si="24"/>
        <v/>
      </c>
      <c r="AH24" s="58" t="str">
        <f t="shared" ca="1" si="25"/>
        <v/>
      </c>
      <c r="AI24" s="57" t="str">
        <f t="shared" ca="1" si="26"/>
        <v/>
      </c>
      <c r="AJ24" s="56" t="str">
        <f t="shared" ca="1" si="27"/>
        <v/>
      </c>
      <c r="AK24" s="57" t="str">
        <f t="shared" ca="1" si="28"/>
        <v/>
      </c>
      <c r="AL24" s="58" t="str">
        <f t="shared" ca="1" si="29"/>
        <v/>
      </c>
      <c r="AM24" s="57" t="str">
        <f t="shared" ca="1" si="30"/>
        <v/>
      </c>
      <c r="AN24" s="59" t="str">
        <f t="shared" ca="1" si="31"/>
        <v/>
      </c>
      <c r="AO24" s="61"/>
      <c r="AP24" s="37"/>
    </row>
    <row r="25" spans="1:42" ht="12" customHeight="1">
      <c r="A25" s="45">
        <f t="shared" ca="1" si="0"/>
        <v>13</v>
      </c>
      <c r="B25" s="45">
        <f t="shared" ca="1" si="1"/>
        <v>13</v>
      </c>
      <c r="C25" s="45">
        <f t="shared" ca="1" si="2"/>
        <v>13</v>
      </c>
      <c r="D25" s="45">
        <f t="shared" ca="1" si="3"/>
        <v>13</v>
      </c>
      <c r="E25" s="45">
        <f t="shared" ca="1" si="4"/>
        <v>13</v>
      </c>
      <c r="F25" s="45">
        <f t="shared" ca="1" si="5"/>
        <v>13</v>
      </c>
      <c r="G25" s="45">
        <f t="shared" ca="1" si="6"/>
        <v>13</v>
      </c>
      <c r="H25" s="45">
        <f t="shared" ca="1" si="7"/>
        <v>13</v>
      </c>
      <c r="I25" s="45">
        <f t="shared" ca="1" si="8"/>
        <v>13</v>
      </c>
      <c r="J25" s="45">
        <f t="shared" ca="1" si="9"/>
        <v>13</v>
      </c>
      <c r="K25" s="45">
        <f t="shared" ca="1" si="10"/>
        <v>13</v>
      </c>
      <c r="L25" s="45">
        <f t="shared" ca="1" si="11"/>
        <v>11</v>
      </c>
      <c r="M25" s="45">
        <f t="shared" ca="1" si="12"/>
        <v>11</v>
      </c>
      <c r="N25" s="46" t="str">
        <f t="shared" ca="1" si="13"/>
        <v/>
      </c>
      <c r="O25" s="47">
        <f t="array" aca="1" ref="O25" ca="1">SUM(IF(NOT(ISERROR(MATCH(RES_TYPE,Team_Stat_Sel,0))),IF(RES_H=$N25,RES_TD_H,0)+IF(RES_A=$N25,RES_TD_A,0)))+ROW()/777777777+IF($Y25&lt;0.5,-1,0)</f>
        <v>-0.99999996785714285</v>
      </c>
      <c r="P25" s="47">
        <f t="array" aca="1" ref="P25" ca="1">SUM(IF(NOT(ISERROR(MATCH(RES_TYPE,Team_Stat_Sel,0))),IF(RES_H=$N25,RES_TD_A,0)+IF(RES_A=$N25,RES_TD_H,0))*-1)+ROW()/77777777+IF($Y25&lt;0.5,-9999999,0)</f>
        <v>-9999998.9999996778</v>
      </c>
      <c r="Q25" s="47">
        <f t="shared" ca="1" si="14"/>
        <v>-999998.99999996787</v>
      </c>
      <c r="R25" s="47">
        <f t="shared" ca="1" si="15"/>
        <v>-999998.99999996787</v>
      </c>
      <c r="S25" s="47">
        <f t="shared" ca="1" si="16"/>
        <v>-999998.99999996787</v>
      </c>
      <c r="T25" s="47">
        <f t="array" aca="1" ref="T25" ca="1">SUM(IF(NOT(ISERROR(MATCH(RES_TYPE,Team_Stat_Sel,0))),IF(RES_H=$N25,RES_CAS_H,0)+IF(RES_A=$N25,RES_CAS_A,0)))+ROW()/7777777777+IF(Y25&lt;0.5,-999999,0)</f>
        <v>-999998.99999999674</v>
      </c>
      <c r="U25" s="47">
        <f t="array" aca="1" ref="U25" ca="1">SUM(IF(NOT(ISERROR(MATCH(RES_TYPE,Team_Stat_Sel,0))),IF(RES_H=$N25,RES_CAS_A,0)+IF(RES_A=$N25,RES_CAS_H,0))*-1)+ROW()/7777777777+IF(Y25&lt;0.5,-999999,0)</f>
        <v>-999998.99999999674</v>
      </c>
      <c r="V25" s="47">
        <f t="shared" ca="1" si="17"/>
        <v>-999998.99999996787</v>
      </c>
      <c r="W25" s="47">
        <f t="shared" ca="1" si="18"/>
        <v>-999998.99999996787</v>
      </c>
      <c r="X25" s="47">
        <f t="shared" ca="1" si="19"/>
        <v>-999998.99999996787</v>
      </c>
      <c r="Y25" s="47">
        <f t="array" aca="1" ref="Y25" ca="1">IF(N25&lt;&gt;"",SUM(IF(NOT(ISERROR(MATCH(RES_TYPE,Team_Stat_Sel,0))),IF(RES_H=$N25,1,0)+IF(RES_A=$N25,1,0),0)),0)</f>
        <v>0</v>
      </c>
      <c r="Z25" s="47">
        <f t="array" aca="1" ref="Z25" ca="1">IF(Y25&gt;0.5,(SUM(IF(NOT(ISERROR(MATCH(RES_TYPE,Team_Stat_Sel,0))),IF(RES_H=$N25,RES_GATE_H,0)+IF(RES_A=$N25,RES_GATE_A,0),0))/Y25),-1)+ROW()/777777777</f>
        <v>-0.99999996785714285</v>
      </c>
      <c r="AA25" s="47">
        <f t="shared" ca="1" si="20"/>
        <v>-1</v>
      </c>
      <c r="AB25" s="47">
        <f t="shared" ca="1" si="21"/>
        <v>-1</v>
      </c>
      <c r="AC25" s="2"/>
      <c r="AD25" s="34">
        <v>23</v>
      </c>
      <c r="AE25" s="55" t="str">
        <f t="shared" ca="1" si="22"/>
        <v/>
      </c>
      <c r="AF25" s="56" t="str">
        <f t="shared" ca="1" si="23"/>
        <v/>
      </c>
      <c r="AG25" s="57" t="str">
        <f t="shared" ca="1" si="24"/>
        <v/>
      </c>
      <c r="AH25" s="58" t="str">
        <f t="shared" ca="1" si="25"/>
        <v/>
      </c>
      <c r="AI25" s="57" t="str">
        <f t="shared" ca="1" si="26"/>
        <v/>
      </c>
      <c r="AJ25" s="56" t="str">
        <f t="shared" ca="1" si="27"/>
        <v/>
      </c>
      <c r="AK25" s="57" t="str">
        <f t="shared" ca="1" si="28"/>
        <v/>
      </c>
      <c r="AL25" s="58" t="str">
        <f t="shared" ca="1" si="29"/>
        <v/>
      </c>
      <c r="AM25" s="57" t="str">
        <f t="shared" ca="1" si="30"/>
        <v/>
      </c>
      <c r="AN25" s="59" t="str">
        <f t="shared" ca="1" si="31"/>
        <v/>
      </c>
      <c r="AO25" s="12"/>
      <c r="AP25" s="37"/>
    </row>
    <row r="26" spans="1:42" ht="12" customHeight="1">
      <c r="A26" s="45">
        <f t="shared" ca="1" si="0"/>
        <v>12</v>
      </c>
      <c r="B26" s="45">
        <f t="shared" ca="1" si="1"/>
        <v>12</v>
      </c>
      <c r="C26" s="45">
        <f t="shared" ca="1" si="2"/>
        <v>12</v>
      </c>
      <c r="D26" s="45">
        <f t="shared" ca="1" si="3"/>
        <v>12</v>
      </c>
      <c r="E26" s="45">
        <f t="shared" ca="1" si="4"/>
        <v>12</v>
      </c>
      <c r="F26" s="45">
        <f t="shared" ca="1" si="5"/>
        <v>12</v>
      </c>
      <c r="G26" s="45">
        <f t="shared" ca="1" si="6"/>
        <v>12</v>
      </c>
      <c r="H26" s="45">
        <f t="shared" ca="1" si="7"/>
        <v>12</v>
      </c>
      <c r="I26" s="45">
        <f t="shared" ca="1" si="8"/>
        <v>12</v>
      </c>
      <c r="J26" s="45">
        <f t="shared" ca="1" si="9"/>
        <v>12</v>
      </c>
      <c r="K26" s="45">
        <f t="shared" ca="1" si="10"/>
        <v>12</v>
      </c>
      <c r="L26" s="45">
        <f t="shared" ca="1" si="11"/>
        <v>11</v>
      </c>
      <c r="M26" s="45">
        <f t="shared" ca="1" si="12"/>
        <v>11</v>
      </c>
      <c r="N26" s="46" t="str">
        <f t="shared" ca="1" si="13"/>
        <v/>
      </c>
      <c r="O26" s="47">
        <f t="array" aca="1" ref="O26" ca="1">SUM(IF(NOT(ISERROR(MATCH(RES_TYPE,Team_Stat_Sel,0))),IF(RES_H=$N26,RES_TD_H,0)+IF(RES_A=$N26,RES_TD_A,0)))+ROW()/777777777+IF($Y26&lt;0.5,-1,0)</f>
        <v>-0.99999996657142853</v>
      </c>
      <c r="P26" s="47">
        <f t="array" aca="1" ref="P26" ca="1">SUM(IF(NOT(ISERROR(MATCH(RES_TYPE,Team_Stat_Sel,0))),IF(RES_H=$N26,RES_TD_A,0)+IF(RES_A=$N26,RES_TD_H,0))*-1)+ROW()/77777777+IF($Y26&lt;0.5,-9999999,0)</f>
        <v>-9999998.9999996666</v>
      </c>
      <c r="Q26" s="47">
        <f t="shared" ca="1" si="14"/>
        <v>-999998.99999996659</v>
      </c>
      <c r="R26" s="47">
        <f t="shared" ca="1" si="15"/>
        <v>-999998.99999996659</v>
      </c>
      <c r="S26" s="47">
        <f t="shared" ca="1" si="16"/>
        <v>-999998.99999996659</v>
      </c>
      <c r="T26" s="47">
        <f t="array" aca="1" ref="T26" ca="1">SUM(IF(NOT(ISERROR(MATCH(RES_TYPE,Team_Stat_Sel,0))),IF(RES_H=$N26,RES_CAS_H,0)+IF(RES_A=$N26,RES_CAS_A,0)))+ROW()/7777777777+IF(Y26&lt;0.5,-999999,0)</f>
        <v>-999998.99999999662</v>
      </c>
      <c r="U26" s="47">
        <f t="array" aca="1" ref="U26" ca="1">SUM(IF(NOT(ISERROR(MATCH(RES_TYPE,Team_Stat_Sel,0))),IF(RES_H=$N26,RES_CAS_A,0)+IF(RES_A=$N26,RES_CAS_H,0))*-1)+ROW()/7777777777+IF(Y26&lt;0.5,-999999,0)</f>
        <v>-999998.99999999662</v>
      </c>
      <c r="V26" s="47">
        <f t="shared" ca="1" si="17"/>
        <v>-999998.99999996659</v>
      </c>
      <c r="W26" s="47">
        <f t="shared" ca="1" si="18"/>
        <v>-999998.99999996659</v>
      </c>
      <c r="X26" s="47">
        <f t="shared" ca="1" si="19"/>
        <v>-999998.99999996659</v>
      </c>
      <c r="Y26" s="47">
        <f t="array" aca="1" ref="Y26" ca="1">IF(N26&lt;&gt;"",SUM(IF(NOT(ISERROR(MATCH(RES_TYPE,Team_Stat_Sel,0))),IF(RES_H=$N26,1,0)+IF(RES_A=$N26,1,0),0)),0)</f>
        <v>0</v>
      </c>
      <c r="Z26" s="47">
        <f t="array" aca="1" ref="Z26" ca="1">IF(Y26&gt;0.5,(SUM(IF(NOT(ISERROR(MATCH(RES_TYPE,Team_Stat_Sel,0))),IF(RES_H=$N26,RES_GATE_H,0)+IF(RES_A=$N26,RES_GATE_A,0),0))/Y26),-1)+ROW()/777777777</f>
        <v>-0.99999996657142853</v>
      </c>
      <c r="AA26" s="47">
        <f t="shared" ca="1" si="20"/>
        <v>-1</v>
      </c>
      <c r="AB26" s="47">
        <f t="shared" ca="1" si="21"/>
        <v>-1</v>
      </c>
      <c r="AC26" s="62"/>
      <c r="AD26" s="34">
        <v>24</v>
      </c>
      <c r="AE26" s="55" t="str">
        <f t="shared" ca="1" si="22"/>
        <v/>
      </c>
      <c r="AF26" s="56" t="str">
        <f t="shared" ca="1" si="23"/>
        <v/>
      </c>
      <c r="AG26" s="57" t="str">
        <f t="shared" ca="1" si="24"/>
        <v/>
      </c>
      <c r="AH26" s="58" t="str">
        <f t="shared" ca="1" si="25"/>
        <v/>
      </c>
      <c r="AI26" s="57" t="str">
        <f t="shared" ca="1" si="26"/>
        <v/>
      </c>
      <c r="AJ26" s="56" t="str">
        <f t="shared" ca="1" si="27"/>
        <v/>
      </c>
      <c r="AK26" s="57" t="str">
        <f t="shared" ca="1" si="28"/>
        <v/>
      </c>
      <c r="AL26" s="58" t="str">
        <f t="shared" ca="1" si="29"/>
        <v/>
      </c>
      <c r="AM26" s="57" t="str">
        <f t="shared" ca="1" si="30"/>
        <v/>
      </c>
      <c r="AN26" s="59" t="str">
        <f t="shared" ca="1" si="31"/>
        <v/>
      </c>
      <c r="AO26" s="63"/>
      <c r="AP26" s="37"/>
    </row>
    <row r="27" spans="1:42" ht="12" customHeight="1">
      <c r="A27" s="45">
        <f t="shared" ca="1" si="0"/>
        <v>11</v>
      </c>
      <c r="B27" s="45">
        <f t="shared" ca="1" si="1"/>
        <v>11</v>
      </c>
      <c r="C27" s="45">
        <f t="shared" ca="1" si="2"/>
        <v>11</v>
      </c>
      <c r="D27" s="45">
        <f t="shared" ca="1" si="3"/>
        <v>11</v>
      </c>
      <c r="E27" s="45">
        <f t="shared" ca="1" si="4"/>
        <v>11</v>
      </c>
      <c r="F27" s="45">
        <f t="shared" ca="1" si="5"/>
        <v>11</v>
      </c>
      <c r="G27" s="45">
        <f t="shared" ca="1" si="6"/>
        <v>11</v>
      </c>
      <c r="H27" s="45">
        <f t="shared" ca="1" si="7"/>
        <v>11</v>
      </c>
      <c r="I27" s="45">
        <f t="shared" ca="1" si="8"/>
        <v>11</v>
      </c>
      <c r="J27" s="45">
        <f t="shared" ca="1" si="9"/>
        <v>11</v>
      </c>
      <c r="K27" s="45">
        <f t="shared" ca="1" si="10"/>
        <v>11</v>
      </c>
      <c r="L27" s="45">
        <f t="shared" ca="1" si="11"/>
        <v>11</v>
      </c>
      <c r="M27" s="45">
        <f t="shared" ca="1" si="12"/>
        <v>11</v>
      </c>
      <c r="N27" s="46" t="str">
        <f t="shared" ca="1" si="13"/>
        <v/>
      </c>
      <c r="O27" s="47">
        <f t="array" aca="1" ref="O27" ca="1">SUM(IF(NOT(ISERROR(MATCH(RES_TYPE,Team_Stat_Sel,0))),IF(RES_H=$N27,RES_TD_H,0)+IF(RES_A=$N27,RES_TD_A,0)))+ROW()/777777777+IF($Y27&lt;0.5,-1,0)</f>
        <v>-0.99999996528571422</v>
      </c>
      <c r="P27" s="47">
        <f t="array" aca="1" ref="P27" ca="1">SUM(IF(NOT(ISERROR(MATCH(RES_TYPE,Team_Stat_Sel,0))),IF(RES_H=$N27,RES_TD_A,0)+IF(RES_A=$N27,RES_TD_H,0))*-1)+ROW()/77777777+IF($Y27&lt;0.5,-9999999,0)</f>
        <v>-9999998.9999996535</v>
      </c>
      <c r="Q27" s="47">
        <f t="shared" ca="1" si="14"/>
        <v>-999998.99999996531</v>
      </c>
      <c r="R27" s="47">
        <f t="shared" ca="1" si="15"/>
        <v>-999998.99999996531</v>
      </c>
      <c r="S27" s="47">
        <f t="shared" ca="1" si="16"/>
        <v>-999998.99999996531</v>
      </c>
      <c r="T27" s="47">
        <f t="array" aca="1" ref="T27" ca="1">SUM(IF(NOT(ISERROR(MATCH(RES_TYPE,Team_Stat_Sel,0))),IF(RES_H=$N27,RES_CAS_H,0)+IF(RES_A=$N27,RES_CAS_A,0)))+ROW()/7777777777+IF(Y27&lt;0.5,-999999,0)</f>
        <v>-999998.99999999651</v>
      </c>
      <c r="U27" s="47">
        <f t="array" aca="1" ref="U27" ca="1">SUM(IF(NOT(ISERROR(MATCH(RES_TYPE,Team_Stat_Sel,0))),IF(RES_H=$N27,RES_CAS_A,0)+IF(RES_A=$N27,RES_CAS_H,0))*-1)+ROW()/7777777777+IF(Y27&lt;0.5,-999999,0)</f>
        <v>-999998.99999999651</v>
      </c>
      <c r="V27" s="47">
        <f t="shared" ca="1" si="17"/>
        <v>-999998.99999996531</v>
      </c>
      <c r="W27" s="47">
        <f t="shared" ca="1" si="18"/>
        <v>-999998.99999996531</v>
      </c>
      <c r="X27" s="47">
        <f t="shared" ca="1" si="19"/>
        <v>-999998.99999996531</v>
      </c>
      <c r="Y27" s="47">
        <f t="array" aca="1" ref="Y27" ca="1">IF(N27&lt;&gt;"",SUM(IF(NOT(ISERROR(MATCH(RES_TYPE,Team_Stat_Sel,0))),IF(RES_H=$N27,1,0)+IF(RES_A=$N27,1,0),0)),0)</f>
        <v>0</v>
      </c>
      <c r="Z27" s="47">
        <f t="array" aca="1" ref="Z27" ca="1">IF(Y27&gt;0.5,(SUM(IF(NOT(ISERROR(MATCH(RES_TYPE,Team_Stat_Sel,0))),IF(RES_H=$N27,RES_GATE_H,0)+IF(RES_A=$N27,RES_GATE_A,0),0))/Y27),-1)+ROW()/777777777</f>
        <v>-0.99999996528571422</v>
      </c>
      <c r="AA27" s="47">
        <f t="shared" ca="1" si="20"/>
        <v>-1</v>
      </c>
      <c r="AB27" s="47">
        <f t="shared" ca="1" si="21"/>
        <v>-1</v>
      </c>
      <c r="AC27" s="2"/>
      <c r="AD27" s="34">
        <v>25</v>
      </c>
      <c r="AE27" s="55" t="str">
        <f t="shared" ca="1" si="22"/>
        <v/>
      </c>
      <c r="AF27" s="56" t="str">
        <f t="shared" ca="1" si="23"/>
        <v/>
      </c>
      <c r="AG27" s="57" t="str">
        <f t="shared" ca="1" si="24"/>
        <v/>
      </c>
      <c r="AH27" s="58" t="str">
        <f t="shared" ca="1" si="25"/>
        <v/>
      </c>
      <c r="AI27" s="57" t="str">
        <f t="shared" ca="1" si="26"/>
        <v/>
      </c>
      <c r="AJ27" s="56" t="str">
        <f t="shared" ca="1" si="27"/>
        <v/>
      </c>
      <c r="AK27" s="57" t="str">
        <f t="shared" ca="1" si="28"/>
        <v/>
      </c>
      <c r="AL27" s="58" t="str">
        <f t="shared" ca="1" si="29"/>
        <v/>
      </c>
      <c r="AM27" s="57" t="str">
        <f t="shared" ca="1" si="30"/>
        <v/>
      </c>
      <c r="AN27" s="59" t="str">
        <f t="shared" ca="1" si="31"/>
        <v/>
      </c>
      <c r="AO27" s="12"/>
      <c r="AP27" s="64"/>
    </row>
    <row r="28" spans="1:42" ht="13.5" customHeight="1">
      <c r="A28" s="321" t="s">
        <v>104</v>
      </c>
      <c r="B28" s="322"/>
      <c r="C28" s="322"/>
      <c r="D28" s="322"/>
      <c r="E28" s="322"/>
      <c r="F28" s="322"/>
      <c r="G28" s="322"/>
      <c r="H28" s="322"/>
      <c r="I28" s="322"/>
      <c r="J28" s="322"/>
      <c r="K28" s="322"/>
      <c r="L28" s="322"/>
      <c r="M28" s="322"/>
      <c r="N28" s="322"/>
      <c r="O28" s="322"/>
      <c r="P28" s="322"/>
      <c r="Q28" s="322"/>
      <c r="R28" s="322"/>
      <c r="S28" s="322"/>
      <c r="T28" s="322"/>
      <c r="U28" s="322"/>
      <c r="V28" s="322"/>
      <c r="W28" s="322"/>
      <c r="X28" s="322"/>
      <c r="Y28" s="322"/>
      <c r="Z28" s="322"/>
      <c r="AA28" s="322"/>
      <c r="AB28" s="322"/>
      <c r="AC28" s="2"/>
      <c r="AD28" s="65"/>
      <c r="AE28" s="66"/>
      <c r="AF28" s="66"/>
      <c r="AG28" s="67"/>
      <c r="AH28" s="68"/>
      <c r="AI28" s="68"/>
      <c r="AJ28" s="68"/>
      <c r="AK28" s="69"/>
      <c r="AL28" s="70"/>
      <c r="AM28" s="71"/>
      <c r="AN28" s="70"/>
      <c r="AO28" s="12"/>
      <c r="AP28" s="12"/>
    </row>
    <row r="29" spans="1:42" ht="21" customHeight="1">
      <c r="A29" s="72"/>
      <c r="B29" s="72"/>
      <c r="C29" s="72"/>
      <c r="D29" s="72"/>
      <c r="E29" s="72"/>
      <c r="F29" s="72"/>
      <c r="G29" s="72"/>
      <c r="H29" s="72"/>
      <c r="I29" s="72"/>
      <c r="J29" s="72"/>
      <c r="K29" s="72"/>
      <c r="L29" s="72"/>
      <c r="M29" s="72"/>
      <c r="N29" s="72"/>
      <c r="O29" s="73"/>
      <c r="P29" s="73"/>
      <c r="Q29" s="73"/>
      <c r="R29" s="73"/>
      <c r="S29" s="73"/>
      <c r="T29" s="73"/>
      <c r="U29" s="73"/>
      <c r="V29" s="73"/>
      <c r="W29" s="73"/>
      <c r="X29" s="73"/>
      <c r="Y29" s="74">
        <f ca="1">COUNTIF($Y$3:$Y$27,"&gt;0")</f>
        <v>10</v>
      </c>
      <c r="Z29" s="73"/>
      <c r="AA29" s="73">
        <f ca="1">COUNTIF($AA$3:$AA$27,"&gt;0")</f>
        <v>10</v>
      </c>
      <c r="AB29" s="75"/>
      <c r="AC29" s="2"/>
      <c r="AD29" s="20"/>
      <c r="AE29" s="325" t="s">
        <v>105</v>
      </c>
      <c r="AF29" s="316"/>
      <c r="AG29" s="316"/>
      <c r="AH29" s="316"/>
      <c r="AI29" s="76"/>
      <c r="AJ29" s="77"/>
      <c r="AK29" s="61"/>
      <c r="AL29" s="77"/>
      <c r="AM29" s="61"/>
      <c r="AN29" s="77"/>
      <c r="AO29" s="12"/>
      <c r="AP29" s="12"/>
    </row>
    <row r="30" spans="1:42" ht="13.5" customHeight="1">
      <c r="A30" s="72"/>
      <c r="B30" s="72"/>
      <c r="C30" s="72"/>
      <c r="D30" s="72"/>
      <c r="E30" s="72"/>
      <c r="F30" s="72"/>
      <c r="G30" s="72"/>
      <c r="H30" s="72"/>
      <c r="I30" s="72"/>
      <c r="J30" s="72"/>
      <c r="K30" s="72"/>
      <c r="L30" s="72"/>
      <c r="M30" s="72"/>
      <c r="N30" s="72"/>
      <c r="O30" s="73"/>
      <c r="P30" s="73"/>
      <c r="Q30" s="73"/>
      <c r="R30" s="73"/>
      <c r="S30" s="73"/>
      <c r="T30" s="73"/>
      <c r="U30" s="73"/>
      <c r="V30" s="73"/>
      <c r="W30" s="73"/>
      <c r="X30" s="73"/>
      <c r="Y30" s="73"/>
      <c r="Z30" s="73"/>
      <c r="AA30" s="73"/>
      <c r="AB30" s="75"/>
      <c r="AC30" s="2"/>
      <c r="AD30" s="43"/>
      <c r="AE30" s="326" t="s">
        <v>106</v>
      </c>
      <c r="AF30" s="327"/>
      <c r="AG30" s="326" t="s">
        <v>107</v>
      </c>
      <c r="AH30" s="327"/>
      <c r="AI30" s="326" t="s">
        <v>108</v>
      </c>
      <c r="AJ30" s="327"/>
      <c r="AK30" s="323" t="s">
        <v>109</v>
      </c>
      <c r="AL30" s="324"/>
      <c r="AM30" s="323" t="s">
        <v>110</v>
      </c>
      <c r="AN30" s="324"/>
      <c r="AO30" s="12"/>
      <c r="AP30" s="12"/>
    </row>
    <row r="31" spans="1:42" ht="12" customHeight="1">
      <c r="A31" s="72"/>
      <c r="B31" s="72"/>
      <c r="C31" s="72"/>
      <c r="D31" s="72"/>
      <c r="E31" s="72"/>
      <c r="F31" s="72"/>
      <c r="G31" s="72"/>
      <c r="H31" s="72"/>
      <c r="I31" s="72"/>
      <c r="J31" s="72"/>
      <c r="K31" s="72"/>
      <c r="L31" s="72"/>
      <c r="M31" s="72"/>
      <c r="N31" s="72"/>
      <c r="O31" s="73"/>
      <c r="P31" s="73"/>
      <c r="Q31" s="73"/>
      <c r="R31" s="73"/>
      <c r="S31" s="73"/>
      <c r="T31" s="73"/>
      <c r="U31" s="73"/>
      <c r="V31" s="73"/>
      <c r="W31" s="73"/>
      <c r="X31" s="73"/>
      <c r="Y31" s="73"/>
      <c r="Z31" s="73"/>
      <c r="AA31" s="73"/>
      <c r="AB31" s="75"/>
      <c r="AC31" s="2"/>
      <c r="AD31" s="34">
        <v>1</v>
      </c>
      <c r="AE31" s="49" t="str">
        <f t="shared" ref="AE31:AE55" ca="1" si="32">IF($Y$29&gt;=$AD31,VLOOKUP($AD31,$F$2:$T$34,9,FALSE),"")</f>
        <v>Population: Orc</v>
      </c>
      <c r="AF31" s="78">
        <f t="shared" ref="AF31:AF55" ca="1" si="33">IF($Y$29&gt;=$AD31,VLOOKUP($AD31,$F$2:$T$34,15,FALSE),"")</f>
        <v>13.000000000642856</v>
      </c>
      <c r="AG31" s="51" t="str">
        <f t="shared" ref="AG31:AG55" ca="1" si="34">IF($Y$29&gt;=$AD31,VLOOKUP($AD31,$H$2:$V$34,7,FALSE),"")</f>
        <v>Ashtown Villains</v>
      </c>
      <c r="AH31" s="53">
        <f t="shared" ref="AH31:AH55" ca="1" si="35">IF($Y$29&gt;=$AD31,VLOOKUP($AD31,$H$2:$V$34,15,FALSE),"")</f>
        <v>2.5000000131785716</v>
      </c>
      <c r="AI31" s="49" t="str">
        <f t="shared" ref="AI31:AI55" ca="1" si="36">IF($Y$29&gt;=$AD31,VLOOKUP($AD31,$G$2:$U$34,8,FALSE),"")</f>
        <v>OrCares</v>
      </c>
      <c r="AJ31" s="78">
        <f t="shared" ref="AJ31:AJ55" ca="1" si="37">IF($Y$29&gt;=$AD31,ABS(VLOOKUP($AD31,$G$2:$U$34,15,FALSE)*-1),"")</f>
        <v>0.99999999910000004</v>
      </c>
      <c r="AK31" s="51" t="str">
        <f t="shared" ref="AK31:AK55" ca="1" si="38">IF($Y$29&gt;=$AD31,VLOOKUP($AD31,$I$2:$W$27,6,FALSE),"")</f>
        <v>OrCares</v>
      </c>
      <c r="AL31" s="79">
        <f t="shared" ref="AL31:AL55" ca="1" si="39">IF($Y$29&gt;=$AD31,VLOOKUP($AD31,$I$2:$W$27,15,FALSE)*-1,"")</f>
        <v>0.24999999077500001</v>
      </c>
      <c r="AM31" s="51" t="str">
        <f t="shared" ref="AM31:AM55" ca="1" si="40">IF($Y$29&gt;=$AD31,VLOOKUP($AD31,$J$2:$W$27:$Y$27,5,FALSE),"")</f>
        <v>Ashtown Villains</v>
      </c>
      <c r="AN31" s="54">
        <f t="shared" ref="AN31:AN55" ca="1" si="41">IF($Y$29&gt;=$AD31,VLOOKUP($AD31,$J$2:$Y$27,15,FALSE),"")</f>
        <v>8.0000000154285722</v>
      </c>
      <c r="AO31" s="12"/>
      <c r="AP31" s="12"/>
    </row>
    <row r="32" spans="1:42" ht="12" customHeight="1">
      <c r="A32" s="72"/>
      <c r="B32" s="72"/>
      <c r="C32" s="72"/>
      <c r="D32" s="72"/>
      <c r="E32" s="72"/>
      <c r="F32" s="72"/>
      <c r="G32" s="72"/>
      <c r="H32" s="72"/>
      <c r="I32" s="72"/>
      <c r="J32" s="72"/>
      <c r="K32" s="72"/>
      <c r="L32" s="72"/>
      <c r="M32" s="72"/>
      <c r="N32" s="72"/>
      <c r="O32" s="73"/>
      <c r="P32" s="73"/>
      <c r="Q32" s="73"/>
      <c r="R32" s="73"/>
      <c r="S32" s="73"/>
      <c r="T32" s="73"/>
      <c r="U32" s="73"/>
      <c r="V32" s="73"/>
      <c r="W32" s="73"/>
      <c r="X32" s="73"/>
      <c r="Y32" s="73"/>
      <c r="Z32" s="73"/>
      <c r="AA32" s="73"/>
      <c r="AB32" s="75"/>
      <c r="AC32" s="2"/>
      <c r="AD32" s="34">
        <v>2</v>
      </c>
      <c r="AE32" s="55" t="str">
        <f t="shared" ca="1" si="32"/>
        <v>Ashtown Villains</v>
      </c>
      <c r="AF32" s="80">
        <f t="shared" ca="1" si="33"/>
        <v>10.000000001285715</v>
      </c>
      <c r="AG32" s="57" t="str">
        <f t="shared" ca="1" si="34"/>
        <v>Hellions of Troy</v>
      </c>
      <c r="AH32" s="58">
        <f t="shared" ca="1" si="35"/>
        <v>2.0000000162</v>
      </c>
      <c r="AI32" s="55" t="str">
        <f t="shared" ca="1" si="36"/>
        <v>Ashtown Villains</v>
      </c>
      <c r="AJ32" s="80">
        <f t="shared" ca="1" si="37"/>
        <v>1.9999999987142858</v>
      </c>
      <c r="AK32" s="57" t="str">
        <f t="shared" ca="1" si="38"/>
        <v>Ashtown Villains</v>
      </c>
      <c r="AL32" s="81">
        <f t="shared" ca="1" si="39"/>
        <v>0.4999999868214286</v>
      </c>
      <c r="AM32" s="57" t="str">
        <f t="shared" ca="1" si="40"/>
        <v>OrCares</v>
      </c>
      <c r="AN32" s="59">
        <f t="shared" ca="1" si="41"/>
        <v>7.0000000108</v>
      </c>
      <c r="AO32" s="12"/>
      <c r="AP32" s="12"/>
    </row>
    <row r="33" spans="1:42" ht="12" customHeight="1">
      <c r="A33" s="72"/>
      <c r="B33" s="72"/>
      <c r="C33" s="72"/>
      <c r="D33" s="72"/>
      <c r="E33" s="72"/>
      <c r="F33" s="72"/>
      <c r="G33" s="72"/>
      <c r="H33" s="72"/>
      <c r="I33" s="72"/>
      <c r="J33" s="72"/>
      <c r="K33" s="72"/>
      <c r="L33" s="72"/>
      <c r="M33" s="72"/>
      <c r="N33" s="72"/>
      <c r="O33" s="73"/>
      <c r="P33" s="73"/>
      <c r="Q33" s="73"/>
      <c r="R33" s="73"/>
      <c r="S33" s="73"/>
      <c r="T33" s="73"/>
      <c r="U33" s="73"/>
      <c r="V33" s="73"/>
      <c r="W33" s="73"/>
      <c r="X33" s="73"/>
      <c r="Y33" s="73"/>
      <c r="Z33" s="73"/>
      <c r="AA33" s="73"/>
      <c r="AB33" s="75"/>
      <c r="AC33" s="2"/>
      <c r="AD33" s="34">
        <v>3</v>
      </c>
      <c r="AE33" s="55" t="str">
        <f t="shared" ca="1" si="32"/>
        <v>OrCares</v>
      </c>
      <c r="AF33" s="80">
        <f t="shared" ca="1" si="33"/>
        <v>8.0000000009000001</v>
      </c>
      <c r="AG33" s="57" t="str">
        <f t="shared" ca="1" si="34"/>
        <v>OrCares</v>
      </c>
      <c r="AH33" s="58">
        <f t="shared" ca="1" si="35"/>
        <v>2.0000000092249999</v>
      </c>
      <c r="AI33" s="55" t="str">
        <f t="shared" ca="1" si="36"/>
        <v>Hellions of Troy</v>
      </c>
      <c r="AJ33" s="80">
        <f t="shared" ca="1" si="37"/>
        <v>2.999999998457143</v>
      </c>
      <c r="AK33" s="57" t="str">
        <f t="shared" ca="1" si="38"/>
        <v>Guardians of the Nile</v>
      </c>
      <c r="AL33" s="81">
        <f t="shared" ca="1" si="39"/>
        <v>0.83333332287619055</v>
      </c>
      <c r="AM33" s="57" t="str">
        <f t="shared" ca="1" si="40"/>
        <v>Guardians of the Nile</v>
      </c>
      <c r="AN33" s="59">
        <f t="shared" ca="1" si="41"/>
        <v>2.0000000123428565</v>
      </c>
      <c r="AO33" s="12"/>
      <c r="AP33" s="12"/>
    </row>
    <row r="34" spans="1:42" ht="12" customHeight="1">
      <c r="A34" s="72"/>
      <c r="B34" s="72"/>
      <c r="C34" s="72"/>
      <c r="D34" s="72"/>
      <c r="E34" s="72"/>
      <c r="F34" s="72"/>
      <c r="G34" s="72"/>
      <c r="H34" s="72"/>
      <c r="I34" s="72"/>
      <c r="J34" s="72"/>
      <c r="K34" s="72"/>
      <c r="L34" s="72"/>
      <c r="M34" s="72"/>
      <c r="N34" s="72"/>
      <c r="O34" s="73"/>
      <c r="P34" s="73"/>
      <c r="Q34" s="73"/>
      <c r="R34" s="73"/>
      <c r="S34" s="73"/>
      <c r="T34" s="73"/>
      <c r="U34" s="73"/>
      <c r="V34" s="73"/>
      <c r="W34" s="73"/>
      <c r="X34" s="73"/>
      <c r="Y34" s="73"/>
      <c r="Z34" s="73"/>
      <c r="AA34" s="73"/>
      <c r="AB34" s="75"/>
      <c r="AC34" s="2"/>
      <c r="AD34" s="34">
        <v>4</v>
      </c>
      <c r="AE34" s="55" t="str">
        <f t="shared" ca="1" si="32"/>
        <v>Sylvania Suckhawks</v>
      </c>
      <c r="AF34" s="80">
        <f t="shared" ca="1" si="33"/>
        <v>8.0000000003857146</v>
      </c>
      <c r="AG34" s="57" t="str">
        <f t="shared" ca="1" si="34"/>
        <v>Population: Orc</v>
      </c>
      <c r="AH34" s="58">
        <f t="shared" ca="1" si="35"/>
        <v>1.8571428636632652</v>
      </c>
      <c r="AI34" s="55" t="str">
        <f t="shared" ca="1" si="36"/>
        <v>Wrath of the Month</v>
      </c>
      <c r="AJ34" s="80">
        <f t="shared" ca="1" si="37"/>
        <v>3.9999999992285713</v>
      </c>
      <c r="AK34" s="57" t="str">
        <f t="shared" ca="1" si="38"/>
        <v>Wrath of the Month</v>
      </c>
      <c r="AL34" s="81">
        <f t="shared" ca="1" si="39"/>
        <v>1.3333333253619049</v>
      </c>
      <c r="AM34" s="57" t="str">
        <f t="shared" ca="1" si="40"/>
        <v>Hellions of Troy</v>
      </c>
      <c r="AN34" s="59">
        <f t="shared" ca="1" si="41"/>
        <v>1.0000000185142859</v>
      </c>
      <c r="AO34" s="12"/>
      <c r="AP34" s="12"/>
    </row>
    <row r="35" spans="1:42" ht="12" customHeight="1">
      <c r="A35" s="72"/>
      <c r="B35" s="72"/>
      <c r="C35" s="72"/>
      <c r="D35" s="72"/>
      <c r="E35" s="72"/>
      <c r="F35" s="72"/>
      <c r="G35" s="72"/>
      <c r="H35" s="72"/>
      <c r="I35" s="72"/>
      <c r="J35" s="72"/>
      <c r="K35" s="72"/>
      <c r="L35" s="72"/>
      <c r="M35" s="72"/>
      <c r="N35" s="72"/>
      <c r="O35" s="73"/>
      <c r="P35" s="73"/>
      <c r="Q35" s="73"/>
      <c r="R35" s="73"/>
      <c r="S35" s="73"/>
      <c r="T35" s="73"/>
      <c r="U35" s="73"/>
      <c r="V35" s="73"/>
      <c r="W35" s="73"/>
      <c r="X35" s="73"/>
      <c r="Y35" s="73"/>
      <c r="Z35" s="73"/>
      <c r="AA35" s="73"/>
      <c r="AB35" s="75"/>
      <c r="AC35" s="2"/>
      <c r="AD35" s="34">
        <v>5</v>
      </c>
      <c r="AE35" s="55" t="str">
        <f t="shared" ca="1" si="32"/>
        <v>Guardians of the Nile</v>
      </c>
      <c r="AF35" s="80">
        <f t="shared" ca="1" si="33"/>
        <v>7.000000001028571</v>
      </c>
      <c r="AG35" s="57" t="str">
        <f t="shared" ca="1" si="34"/>
        <v>Wrath of the Month</v>
      </c>
      <c r="AH35" s="58">
        <f t="shared" ca="1" si="35"/>
        <v>1.6666666746380951</v>
      </c>
      <c r="AI35" s="55" t="str">
        <f t="shared" ca="1" si="36"/>
        <v>Jacksonville Thrillers</v>
      </c>
      <c r="AJ35" s="80">
        <f t="shared" ca="1" si="37"/>
        <v>3.9999999994857145</v>
      </c>
      <c r="AK35" s="57" t="str">
        <f t="shared" ca="1" si="38"/>
        <v>Hellions of Troy</v>
      </c>
      <c r="AL35" s="81">
        <f t="shared" ca="1" si="39"/>
        <v>1.4999999838</v>
      </c>
      <c r="AM35" s="57" t="str">
        <f t="shared" ca="1" si="40"/>
        <v>Wrath of the Month</v>
      </c>
      <c r="AN35" s="59">
        <f t="shared" ca="1" si="41"/>
        <v>1.0000000092571426</v>
      </c>
      <c r="AO35" s="12"/>
      <c r="AP35" s="12"/>
    </row>
    <row r="36" spans="1:42" ht="12" customHeight="1">
      <c r="A36" s="72"/>
      <c r="B36" s="72"/>
      <c r="C36" s="72"/>
      <c r="D36" s="72"/>
      <c r="E36" s="72"/>
      <c r="F36" s="72"/>
      <c r="G36" s="72"/>
      <c r="H36" s="72"/>
      <c r="I36" s="72"/>
      <c r="J36" s="72"/>
      <c r="K36" s="72"/>
      <c r="L36" s="72"/>
      <c r="M36" s="72"/>
      <c r="N36" s="72"/>
      <c r="O36" s="73"/>
      <c r="P36" s="73"/>
      <c r="Q36" s="73"/>
      <c r="R36" s="73"/>
      <c r="S36" s="73"/>
      <c r="T36" s="73"/>
      <c r="U36" s="73"/>
      <c r="V36" s="73"/>
      <c r="W36" s="73"/>
      <c r="X36" s="73"/>
      <c r="Y36" s="73"/>
      <c r="Z36" s="73"/>
      <c r="AA36" s="73"/>
      <c r="AB36" s="75"/>
      <c r="AC36" s="2"/>
      <c r="AD36" s="34">
        <v>6</v>
      </c>
      <c r="AE36" s="55" t="str">
        <f t="shared" ca="1" si="32"/>
        <v>Aedra &amp; Daedra</v>
      </c>
      <c r="AF36" s="80">
        <f t="shared" ca="1" si="33"/>
        <v>5.0000000014142856</v>
      </c>
      <c r="AG36" s="57" t="str">
        <f t="shared" ca="1" si="34"/>
        <v>Sylvania Suckhawks</v>
      </c>
      <c r="AH36" s="58">
        <f t="shared" ca="1" si="35"/>
        <v>1.333333337254762</v>
      </c>
      <c r="AI36" s="55" t="str">
        <f t="shared" ca="1" si="36"/>
        <v>Guardians of the Nile</v>
      </c>
      <c r="AJ36" s="80">
        <f t="shared" ca="1" si="37"/>
        <v>4.999999998971429</v>
      </c>
      <c r="AK36" s="57" t="str">
        <f t="shared" ca="1" si="38"/>
        <v>Population: Orc</v>
      </c>
      <c r="AL36" s="81">
        <f t="shared" ca="1" si="39"/>
        <v>1.7142857077653062</v>
      </c>
      <c r="AM36" s="57" t="str">
        <f t="shared" ca="1" si="40"/>
        <v>Population: Orc</v>
      </c>
      <c r="AN36" s="59">
        <f t="shared" ca="1" si="41"/>
        <v>1.0000000077142843</v>
      </c>
      <c r="AO36" s="12"/>
      <c r="AP36" s="12"/>
    </row>
    <row r="37" spans="1:42" ht="12" customHeight="1">
      <c r="A37" s="72"/>
      <c r="B37" s="72"/>
      <c r="C37" s="72"/>
      <c r="D37" s="72"/>
      <c r="E37" s="72"/>
      <c r="F37" s="72"/>
      <c r="G37" s="72"/>
      <c r="H37" s="72"/>
      <c r="I37" s="72"/>
      <c r="J37" s="72"/>
      <c r="K37" s="72"/>
      <c r="L37" s="72"/>
      <c r="M37" s="72"/>
      <c r="N37" s="72"/>
      <c r="O37" s="73"/>
      <c r="P37" s="73"/>
      <c r="Q37" s="73"/>
      <c r="R37" s="73"/>
      <c r="S37" s="73"/>
      <c r="T37" s="73"/>
      <c r="U37" s="73"/>
      <c r="V37" s="73"/>
      <c r="W37" s="73"/>
      <c r="X37" s="73"/>
      <c r="Y37" s="73"/>
      <c r="Z37" s="73"/>
      <c r="AA37" s="73"/>
      <c r="AB37" s="75"/>
      <c r="AC37" s="2"/>
      <c r="AD37" s="34">
        <v>7</v>
      </c>
      <c r="AE37" s="55" t="str">
        <f t="shared" ca="1" si="32"/>
        <v>Wrath of the Month</v>
      </c>
      <c r="AF37" s="80">
        <f t="shared" ca="1" si="33"/>
        <v>5.0000000007714283</v>
      </c>
      <c r="AG37" s="57" t="str">
        <f t="shared" ca="1" si="34"/>
        <v>Aedra &amp; Daedra</v>
      </c>
      <c r="AH37" s="58">
        <f t="shared" ca="1" si="35"/>
        <v>1.2500000144964285</v>
      </c>
      <c r="AI37" s="55" t="str">
        <f t="shared" ca="1" si="36"/>
        <v>Aedra &amp; Daedra</v>
      </c>
      <c r="AJ37" s="80">
        <f t="shared" ca="1" si="37"/>
        <v>6.9999999985857144</v>
      </c>
      <c r="AK37" s="57" t="str">
        <f t="shared" ca="1" si="38"/>
        <v>Aedra &amp; Daedra</v>
      </c>
      <c r="AL37" s="81">
        <f t="shared" ca="1" si="39"/>
        <v>1.7499999855035715</v>
      </c>
      <c r="AM37" s="57" t="str">
        <f t="shared" ca="1" si="40"/>
        <v>Aedra &amp; Daedra</v>
      </c>
      <c r="AN37" s="59">
        <f t="shared" ca="1" si="41"/>
        <v>-1.9999999830285717</v>
      </c>
      <c r="AO37" s="12"/>
      <c r="AP37" s="12"/>
    </row>
    <row r="38" spans="1:42" ht="12" customHeight="1">
      <c r="A38" s="72"/>
      <c r="B38" s="72"/>
      <c r="C38" s="72"/>
      <c r="D38" s="72"/>
      <c r="E38" s="72"/>
      <c r="F38" s="72"/>
      <c r="G38" s="72"/>
      <c r="H38" s="72"/>
      <c r="I38" s="72"/>
      <c r="J38" s="72"/>
      <c r="K38" s="72"/>
      <c r="L38" s="72"/>
      <c r="M38" s="72"/>
      <c r="N38" s="72"/>
      <c r="O38" s="73"/>
      <c r="P38" s="73"/>
      <c r="Q38" s="73"/>
      <c r="R38" s="73"/>
      <c r="S38" s="73"/>
      <c r="T38" s="73"/>
      <c r="U38" s="73"/>
      <c r="V38" s="73"/>
      <c r="W38" s="73"/>
      <c r="X38" s="73"/>
      <c r="Y38" s="73"/>
      <c r="Z38" s="73"/>
      <c r="AA38" s="73"/>
      <c r="AB38" s="75"/>
      <c r="AC38" s="2"/>
      <c r="AD38" s="34">
        <v>8</v>
      </c>
      <c r="AE38" s="55" t="str">
        <f t="shared" ca="1" si="32"/>
        <v>Hellions of Troy</v>
      </c>
      <c r="AF38" s="80">
        <f t="shared" ca="1" si="33"/>
        <v>4.0000000015428574</v>
      </c>
      <c r="AG38" s="57" t="str">
        <f t="shared" ca="1" si="34"/>
        <v>Guardians of the Nile</v>
      </c>
      <c r="AH38" s="58">
        <f t="shared" ca="1" si="35"/>
        <v>1.1666666771238094</v>
      </c>
      <c r="AI38" s="55" t="str">
        <f t="shared" ca="1" si="36"/>
        <v>Population: Orc</v>
      </c>
      <c r="AJ38" s="80">
        <f t="shared" ca="1" si="37"/>
        <v>11.999999999357144</v>
      </c>
      <c r="AK38" s="57" t="str">
        <f t="shared" ca="1" si="38"/>
        <v>Jacksonville Thrillers</v>
      </c>
      <c r="AL38" s="81">
        <f t="shared" ca="1" si="39"/>
        <v>1.9999999946</v>
      </c>
      <c r="AM38" s="57" t="str">
        <f t="shared" ca="1" si="40"/>
        <v>Jacksonville Thrillers</v>
      </c>
      <c r="AN38" s="59">
        <f t="shared" ca="1" si="41"/>
        <v>-1.9999999938285717</v>
      </c>
      <c r="AO38" s="12"/>
      <c r="AP38" s="12"/>
    </row>
    <row r="39" spans="1:42" ht="12" customHeight="1">
      <c r="A39" s="72"/>
      <c r="B39" s="72"/>
      <c r="C39" s="72"/>
      <c r="D39" s="72"/>
      <c r="E39" s="72"/>
      <c r="F39" s="72"/>
      <c r="G39" s="72"/>
      <c r="H39" s="72"/>
      <c r="I39" s="72"/>
      <c r="J39" s="72"/>
      <c r="K39" s="72"/>
      <c r="L39" s="72"/>
      <c r="M39" s="72"/>
      <c r="N39" s="72"/>
      <c r="O39" s="73"/>
      <c r="P39" s="73"/>
      <c r="Q39" s="73"/>
      <c r="R39" s="73"/>
      <c r="S39" s="73"/>
      <c r="T39" s="73"/>
      <c r="U39" s="73"/>
      <c r="V39" s="73"/>
      <c r="W39" s="73"/>
      <c r="X39" s="73"/>
      <c r="Y39" s="73"/>
      <c r="Z39" s="73"/>
      <c r="AA39" s="73"/>
      <c r="AB39" s="73"/>
      <c r="AC39" s="2"/>
      <c r="AD39" s="34">
        <v>9</v>
      </c>
      <c r="AE39" s="55" t="str">
        <f t="shared" ca="1" si="32"/>
        <v>Skyhaven Silverfoxes</v>
      </c>
      <c r="AF39" s="80">
        <f t="shared" ca="1" si="33"/>
        <v>3.0000000011571428</v>
      </c>
      <c r="AG39" s="57" t="str">
        <f t="shared" ca="1" si="34"/>
        <v>Jacksonville Thrillers</v>
      </c>
      <c r="AH39" s="58">
        <f t="shared" ca="1" si="35"/>
        <v>1.0000000054</v>
      </c>
      <c r="AI39" s="55" t="str">
        <f t="shared" ca="1" si="36"/>
        <v>Sylvania Suckhawks</v>
      </c>
      <c r="AJ39" s="80">
        <f t="shared" ca="1" si="37"/>
        <v>12.999999999614285</v>
      </c>
      <c r="AK39" s="57" t="str">
        <f t="shared" ca="1" si="38"/>
        <v>Sylvania Suckhawks</v>
      </c>
      <c r="AL39" s="81">
        <f t="shared" ca="1" si="39"/>
        <v>2.166666662745238</v>
      </c>
      <c r="AM39" s="57" t="str">
        <f t="shared" ca="1" si="40"/>
        <v>Sylvania Suckhawks</v>
      </c>
      <c r="AN39" s="59">
        <f t="shared" ca="1" si="41"/>
        <v>-4.9999999953714278</v>
      </c>
      <c r="AO39" s="12"/>
      <c r="AP39" s="12"/>
    </row>
    <row r="40" spans="1:42" ht="12" customHeight="1">
      <c r="A40" s="72"/>
      <c r="B40" s="72"/>
      <c r="C40" s="72"/>
      <c r="D40" s="72"/>
      <c r="E40" s="72"/>
      <c r="F40" s="72"/>
      <c r="G40" s="72"/>
      <c r="H40" s="72"/>
      <c r="I40" s="72"/>
      <c r="J40" s="72"/>
      <c r="K40" s="72"/>
      <c r="L40" s="72"/>
      <c r="M40" s="72"/>
      <c r="N40" s="72"/>
      <c r="O40" s="73"/>
      <c r="P40" s="73"/>
      <c r="Q40" s="73"/>
      <c r="R40" s="73"/>
      <c r="S40" s="73"/>
      <c r="T40" s="73"/>
      <c r="U40" s="73"/>
      <c r="V40" s="73"/>
      <c r="W40" s="73"/>
      <c r="X40" s="73"/>
      <c r="Y40" s="73"/>
      <c r="Z40" s="73"/>
      <c r="AA40" s="73"/>
      <c r="AB40" s="73"/>
      <c r="AC40" s="2"/>
      <c r="AD40" s="34">
        <v>10</v>
      </c>
      <c r="AE40" s="55" t="str">
        <f t="shared" ca="1" si="32"/>
        <v>Jacksonville Thrillers</v>
      </c>
      <c r="AF40" s="80">
        <f t="shared" ca="1" si="33"/>
        <v>2.0000000005142855</v>
      </c>
      <c r="AG40" s="57" t="str">
        <f t="shared" ca="1" si="34"/>
        <v>Skyhaven Silverfoxes</v>
      </c>
      <c r="AH40" s="58">
        <f t="shared" ca="1" si="35"/>
        <v>0.50000001176428577</v>
      </c>
      <c r="AI40" s="55" t="str">
        <f t="shared" ca="1" si="36"/>
        <v>Skyhaven Silverfoxes</v>
      </c>
      <c r="AJ40" s="80">
        <f t="shared" ca="1" si="37"/>
        <v>13.999999998842856</v>
      </c>
      <c r="AK40" s="57" t="str">
        <f t="shared" ca="1" si="38"/>
        <v>Skyhaven Silverfoxes</v>
      </c>
      <c r="AL40" s="81">
        <f t="shared" ca="1" si="39"/>
        <v>2.3333333215690475</v>
      </c>
      <c r="AM40" s="57" t="str">
        <f t="shared" ca="1" si="40"/>
        <v>Skyhaven Silverfoxes</v>
      </c>
      <c r="AN40" s="59">
        <f t="shared" ca="1" si="41"/>
        <v>-10.999999986114284</v>
      </c>
      <c r="AO40" s="12"/>
      <c r="AP40" s="12"/>
    </row>
    <row r="41" spans="1:42" ht="12" customHeight="1">
      <c r="A41" s="72"/>
      <c r="B41" s="72"/>
      <c r="C41" s="72"/>
      <c r="D41" s="72"/>
      <c r="E41" s="72"/>
      <c r="F41" s="72"/>
      <c r="G41" s="72"/>
      <c r="H41" s="72"/>
      <c r="I41" s="72"/>
      <c r="J41" s="72"/>
      <c r="K41" s="72"/>
      <c r="L41" s="72"/>
      <c r="M41" s="72"/>
      <c r="N41" s="72"/>
      <c r="O41" s="73"/>
      <c r="P41" s="73"/>
      <c r="Q41" s="73"/>
      <c r="R41" s="73"/>
      <c r="S41" s="73"/>
      <c r="T41" s="73"/>
      <c r="U41" s="73"/>
      <c r="V41" s="73"/>
      <c r="W41" s="73"/>
      <c r="X41" s="73"/>
      <c r="Y41" s="73"/>
      <c r="Z41" s="73"/>
      <c r="AA41" s="73"/>
      <c r="AB41" s="73"/>
      <c r="AC41" s="2"/>
      <c r="AD41" s="34">
        <v>11</v>
      </c>
      <c r="AE41" s="55" t="str">
        <f t="shared" ca="1" si="32"/>
        <v/>
      </c>
      <c r="AF41" s="80" t="str">
        <f t="shared" ca="1" si="33"/>
        <v/>
      </c>
      <c r="AG41" s="57" t="str">
        <f t="shared" ca="1" si="34"/>
        <v/>
      </c>
      <c r="AH41" s="58" t="str">
        <f t="shared" ca="1" si="35"/>
        <v/>
      </c>
      <c r="AI41" s="55" t="str">
        <f t="shared" ca="1" si="36"/>
        <v/>
      </c>
      <c r="AJ41" s="80" t="str">
        <f t="shared" ca="1" si="37"/>
        <v/>
      </c>
      <c r="AK41" s="57" t="str">
        <f t="shared" ca="1" si="38"/>
        <v/>
      </c>
      <c r="AL41" s="81" t="str">
        <f t="shared" ca="1" si="39"/>
        <v/>
      </c>
      <c r="AM41" s="57" t="str">
        <f t="shared" ca="1" si="40"/>
        <v/>
      </c>
      <c r="AN41" s="59" t="str">
        <f t="shared" ca="1" si="41"/>
        <v/>
      </c>
      <c r="AO41" s="12"/>
      <c r="AP41" s="12"/>
    </row>
    <row r="42" spans="1:42" ht="12" customHeight="1">
      <c r="A42" s="72"/>
      <c r="B42" s="72"/>
      <c r="C42" s="72"/>
      <c r="D42" s="72"/>
      <c r="E42" s="72"/>
      <c r="F42" s="72"/>
      <c r="G42" s="72"/>
      <c r="H42" s="72"/>
      <c r="I42" s="72"/>
      <c r="J42" s="72"/>
      <c r="K42" s="72"/>
      <c r="L42" s="72"/>
      <c r="M42" s="72"/>
      <c r="N42" s="72"/>
      <c r="O42" s="73"/>
      <c r="P42" s="73"/>
      <c r="Q42" s="73"/>
      <c r="R42" s="73"/>
      <c r="S42" s="73"/>
      <c r="T42" s="73"/>
      <c r="U42" s="73"/>
      <c r="V42" s="73"/>
      <c r="W42" s="73"/>
      <c r="X42" s="73"/>
      <c r="Y42" s="73"/>
      <c r="Z42" s="73"/>
      <c r="AA42" s="73"/>
      <c r="AB42" s="73"/>
      <c r="AC42" s="2"/>
      <c r="AD42" s="34">
        <v>12</v>
      </c>
      <c r="AE42" s="55" t="str">
        <f t="shared" ca="1" si="32"/>
        <v/>
      </c>
      <c r="AF42" s="80" t="str">
        <f t="shared" ca="1" si="33"/>
        <v/>
      </c>
      <c r="AG42" s="57" t="str">
        <f t="shared" ca="1" si="34"/>
        <v/>
      </c>
      <c r="AH42" s="58" t="str">
        <f t="shared" ca="1" si="35"/>
        <v/>
      </c>
      <c r="AI42" s="55" t="str">
        <f t="shared" ca="1" si="36"/>
        <v/>
      </c>
      <c r="AJ42" s="80" t="str">
        <f t="shared" ca="1" si="37"/>
        <v/>
      </c>
      <c r="AK42" s="57" t="str">
        <f t="shared" ca="1" si="38"/>
        <v/>
      </c>
      <c r="AL42" s="81" t="str">
        <f t="shared" ca="1" si="39"/>
        <v/>
      </c>
      <c r="AM42" s="57" t="str">
        <f t="shared" ca="1" si="40"/>
        <v/>
      </c>
      <c r="AN42" s="59" t="str">
        <f t="shared" ca="1" si="41"/>
        <v/>
      </c>
      <c r="AO42" s="12"/>
      <c r="AP42" s="12"/>
    </row>
    <row r="43" spans="1:42" ht="12" customHeight="1">
      <c r="A43" s="72"/>
      <c r="B43" s="72"/>
      <c r="C43" s="72"/>
      <c r="D43" s="72"/>
      <c r="E43" s="72"/>
      <c r="F43" s="72"/>
      <c r="G43" s="72"/>
      <c r="H43" s="72"/>
      <c r="I43" s="72"/>
      <c r="J43" s="72"/>
      <c r="K43" s="72"/>
      <c r="L43" s="72"/>
      <c r="M43" s="72"/>
      <c r="N43" s="72"/>
      <c r="O43" s="73"/>
      <c r="P43" s="73"/>
      <c r="Q43" s="73"/>
      <c r="R43" s="73"/>
      <c r="S43" s="73"/>
      <c r="T43" s="73"/>
      <c r="U43" s="73"/>
      <c r="V43" s="73"/>
      <c r="W43" s="73"/>
      <c r="X43" s="73"/>
      <c r="Y43" s="73"/>
      <c r="Z43" s="73"/>
      <c r="AA43" s="73"/>
      <c r="AB43" s="73"/>
      <c r="AC43" s="2"/>
      <c r="AD43" s="34">
        <v>13</v>
      </c>
      <c r="AE43" s="55" t="str">
        <f t="shared" ca="1" si="32"/>
        <v/>
      </c>
      <c r="AF43" s="80" t="str">
        <f t="shared" ca="1" si="33"/>
        <v/>
      </c>
      <c r="AG43" s="57" t="str">
        <f t="shared" ca="1" si="34"/>
        <v/>
      </c>
      <c r="AH43" s="58" t="str">
        <f t="shared" ca="1" si="35"/>
        <v/>
      </c>
      <c r="AI43" s="55" t="str">
        <f t="shared" ca="1" si="36"/>
        <v/>
      </c>
      <c r="AJ43" s="80" t="str">
        <f t="shared" ca="1" si="37"/>
        <v/>
      </c>
      <c r="AK43" s="57" t="str">
        <f t="shared" ca="1" si="38"/>
        <v/>
      </c>
      <c r="AL43" s="81" t="str">
        <f t="shared" ca="1" si="39"/>
        <v/>
      </c>
      <c r="AM43" s="57" t="str">
        <f t="shared" ca="1" si="40"/>
        <v/>
      </c>
      <c r="AN43" s="59" t="str">
        <f t="shared" ca="1" si="41"/>
        <v/>
      </c>
      <c r="AO43" s="12"/>
      <c r="AP43" s="12"/>
    </row>
    <row r="44" spans="1:42" ht="12" customHeight="1">
      <c r="A44" s="72"/>
      <c r="B44" s="72"/>
      <c r="C44" s="72"/>
      <c r="D44" s="72"/>
      <c r="E44" s="72"/>
      <c r="F44" s="72"/>
      <c r="G44" s="72"/>
      <c r="H44" s="72"/>
      <c r="I44" s="72"/>
      <c r="J44" s="72"/>
      <c r="K44" s="72"/>
      <c r="L44" s="72"/>
      <c r="M44" s="72"/>
      <c r="N44" s="72"/>
      <c r="O44" s="73"/>
      <c r="P44" s="73"/>
      <c r="Q44" s="73"/>
      <c r="R44" s="73"/>
      <c r="S44" s="73"/>
      <c r="T44" s="73"/>
      <c r="U44" s="73"/>
      <c r="V44" s="73"/>
      <c r="W44" s="73"/>
      <c r="X44" s="73"/>
      <c r="Y44" s="73"/>
      <c r="Z44" s="73"/>
      <c r="AA44" s="73"/>
      <c r="AB44" s="73"/>
      <c r="AC44" s="2"/>
      <c r="AD44" s="34">
        <v>14</v>
      </c>
      <c r="AE44" s="55" t="str">
        <f t="shared" ca="1" si="32"/>
        <v/>
      </c>
      <c r="AF44" s="80" t="str">
        <f t="shared" ca="1" si="33"/>
        <v/>
      </c>
      <c r="AG44" s="57" t="str">
        <f t="shared" ca="1" si="34"/>
        <v/>
      </c>
      <c r="AH44" s="58" t="str">
        <f t="shared" ca="1" si="35"/>
        <v/>
      </c>
      <c r="AI44" s="55" t="str">
        <f t="shared" ca="1" si="36"/>
        <v/>
      </c>
      <c r="AJ44" s="80" t="str">
        <f t="shared" ca="1" si="37"/>
        <v/>
      </c>
      <c r="AK44" s="57" t="str">
        <f t="shared" ca="1" si="38"/>
        <v/>
      </c>
      <c r="AL44" s="81" t="str">
        <f t="shared" ca="1" si="39"/>
        <v/>
      </c>
      <c r="AM44" s="57" t="str">
        <f t="shared" ca="1" si="40"/>
        <v/>
      </c>
      <c r="AN44" s="59" t="str">
        <f t="shared" ca="1" si="41"/>
        <v/>
      </c>
      <c r="AO44" s="12"/>
      <c r="AP44" s="12"/>
    </row>
    <row r="45" spans="1:42" ht="12" customHeight="1">
      <c r="A45" s="72"/>
      <c r="B45" s="72"/>
      <c r="C45" s="72"/>
      <c r="D45" s="72"/>
      <c r="E45" s="72"/>
      <c r="F45" s="72"/>
      <c r="G45" s="72"/>
      <c r="H45" s="72"/>
      <c r="I45" s="72"/>
      <c r="J45" s="72"/>
      <c r="K45" s="72"/>
      <c r="L45" s="72"/>
      <c r="M45" s="72"/>
      <c r="N45" s="72"/>
      <c r="O45" s="73"/>
      <c r="P45" s="73"/>
      <c r="Q45" s="73"/>
      <c r="R45" s="73"/>
      <c r="S45" s="73"/>
      <c r="T45" s="73"/>
      <c r="U45" s="73"/>
      <c r="V45" s="73"/>
      <c r="W45" s="73"/>
      <c r="X45" s="73"/>
      <c r="Y45" s="73"/>
      <c r="Z45" s="73"/>
      <c r="AA45" s="73"/>
      <c r="AB45" s="73"/>
      <c r="AC45" s="2"/>
      <c r="AD45" s="34">
        <v>15</v>
      </c>
      <c r="AE45" s="55" t="str">
        <f t="shared" ca="1" si="32"/>
        <v/>
      </c>
      <c r="AF45" s="80" t="str">
        <f t="shared" ca="1" si="33"/>
        <v/>
      </c>
      <c r="AG45" s="57" t="str">
        <f t="shared" ca="1" si="34"/>
        <v/>
      </c>
      <c r="AH45" s="58" t="str">
        <f t="shared" ca="1" si="35"/>
        <v/>
      </c>
      <c r="AI45" s="55" t="str">
        <f t="shared" ca="1" si="36"/>
        <v/>
      </c>
      <c r="AJ45" s="80" t="str">
        <f t="shared" ca="1" si="37"/>
        <v/>
      </c>
      <c r="AK45" s="57" t="str">
        <f t="shared" ca="1" si="38"/>
        <v/>
      </c>
      <c r="AL45" s="81" t="str">
        <f t="shared" ca="1" si="39"/>
        <v/>
      </c>
      <c r="AM45" s="57" t="str">
        <f t="shared" ca="1" si="40"/>
        <v/>
      </c>
      <c r="AN45" s="59" t="str">
        <f t="shared" ca="1" si="41"/>
        <v/>
      </c>
      <c r="AO45" s="12"/>
      <c r="AP45" s="12"/>
    </row>
    <row r="46" spans="1:42" ht="12" customHeight="1">
      <c r="A46" s="72"/>
      <c r="B46" s="72"/>
      <c r="C46" s="72"/>
      <c r="D46" s="72"/>
      <c r="E46" s="72"/>
      <c r="F46" s="72"/>
      <c r="G46" s="72"/>
      <c r="H46" s="72"/>
      <c r="I46" s="72"/>
      <c r="J46" s="72"/>
      <c r="K46" s="72"/>
      <c r="L46" s="72"/>
      <c r="M46" s="72"/>
      <c r="N46" s="72"/>
      <c r="O46" s="73"/>
      <c r="P46" s="73"/>
      <c r="Q46" s="73"/>
      <c r="R46" s="73"/>
      <c r="S46" s="73"/>
      <c r="T46" s="73"/>
      <c r="U46" s="73"/>
      <c r="V46" s="73"/>
      <c r="W46" s="73"/>
      <c r="X46" s="73"/>
      <c r="Y46" s="73"/>
      <c r="Z46" s="73"/>
      <c r="AA46" s="73"/>
      <c r="AB46" s="73"/>
      <c r="AC46" s="82"/>
      <c r="AD46" s="34">
        <v>16</v>
      </c>
      <c r="AE46" s="55" t="str">
        <f t="shared" ca="1" si="32"/>
        <v/>
      </c>
      <c r="AF46" s="80" t="str">
        <f t="shared" ca="1" si="33"/>
        <v/>
      </c>
      <c r="AG46" s="57" t="str">
        <f t="shared" ca="1" si="34"/>
        <v/>
      </c>
      <c r="AH46" s="58" t="str">
        <f t="shared" ca="1" si="35"/>
        <v/>
      </c>
      <c r="AI46" s="55" t="str">
        <f t="shared" ca="1" si="36"/>
        <v/>
      </c>
      <c r="AJ46" s="80" t="str">
        <f t="shared" ca="1" si="37"/>
        <v/>
      </c>
      <c r="AK46" s="57" t="str">
        <f t="shared" ca="1" si="38"/>
        <v/>
      </c>
      <c r="AL46" s="81" t="str">
        <f t="shared" ca="1" si="39"/>
        <v/>
      </c>
      <c r="AM46" s="57" t="str">
        <f t="shared" ca="1" si="40"/>
        <v/>
      </c>
      <c r="AN46" s="59" t="str">
        <f t="shared" ca="1" si="41"/>
        <v/>
      </c>
      <c r="AO46" s="12"/>
      <c r="AP46" s="12"/>
    </row>
    <row r="47" spans="1:42" ht="12" customHeight="1">
      <c r="A47" s="72"/>
      <c r="B47" s="72"/>
      <c r="C47" s="72"/>
      <c r="D47" s="72"/>
      <c r="E47" s="72"/>
      <c r="F47" s="72"/>
      <c r="G47" s="72"/>
      <c r="H47" s="72"/>
      <c r="I47" s="72"/>
      <c r="J47" s="72"/>
      <c r="K47" s="72"/>
      <c r="L47" s="72"/>
      <c r="M47" s="72"/>
      <c r="N47" s="72"/>
      <c r="O47" s="73"/>
      <c r="P47" s="73"/>
      <c r="Q47" s="73"/>
      <c r="R47" s="73"/>
      <c r="S47" s="73"/>
      <c r="T47" s="73"/>
      <c r="U47" s="73"/>
      <c r="V47" s="73"/>
      <c r="W47" s="73"/>
      <c r="X47" s="73"/>
      <c r="Y47" s="73"/>
      <c r="Z47" s="73"/>
      <c r="AA47" s="73"/>
      <c r="AB47" s="73"/>
      <c r="AC47" s="3"/>
      <c r="AD47" s="34">
        <v>17</v>
      </c>
      <c r="AE47" s="55" t="str">
        <f t="shared" ca="1" si="32"/>
        <v/>
      </c>
      <c r="AF47" s="80" t="str">
        <f t="shared" ca="1" si="33"/>
        <v/>
      </c>
      <c r="AG47" s="57" t="str">
        <f t="shared" ca="1" si="34"/>
        <v/>
      </c>
      <c r="AH47" s="58" t="str">
        <f t="shared" ca="1" si="35"/>
        <v/>
      </c>
      <c r="AI47" s="55" t="str">
        <f t="shared" ca="1" si="36"/>
        <v/>
      </c>
      <c r="AJ47" s="80" t="str">
        <f t="shared" ca="1" si="37"/>
        <v/>
      </c>
      <c r="AK47" s="57" t="str">
        <f t="shared" ca="1" si="38"/>
        <v/>
      </c>
      <c r="AL47" s="81" t="str">
        <f t="shared" ca="1" si="39"/>
        <v/>
      </c>
      <c r="AM47" s="57" t="str">
        <f t="shared" ca="1" si="40"/>
        <v/>
      </c>
      <c r="AN47" s="59" t="str">
        <f t="shared" ca="1" si="41"/>
        <v/>
      </c>
      <c r="AO47" s="12"/>
      <c r="AP47" s="12"/>
    </row>
    <row r="48" spans="1:42" ht="12" customHeight="1">
      <c r="A48" s="72"/>
      <c r="B48" s="72"/>
      <c r="C48" s="72"/>
      <c r="D48" s="72"/>
      <c r="E48" s="72"/>
      <c r="F48" s="72"/>
      <c r="G48" s="72"/>
      <c r="H48" s="72"/>
      <c r="I48" s="72"/>
      <c r="J48" s="72"/>
      <c r="K48" s="72"/>
      <c r="L48" s="72"/>
      <c r="M48" s="72"/>
      <c r="N48" s="72"/>
      <c r="O48" s="73"/>
      <c r="P48" s="73"/>
      <c r="Q48" s="73"/>
      <c r="R48" s="73"/>
      <c r="S48" s="73"/>
      <c r="T48" s="73"/>
      <c r="U48" s="73"/>
      <c r="V48" s="73"/>
      <c r="W48" s="73"/>
      <c r="X48" s="73"/>
      <c r="Y48" s="73"/>
      <c r="Z48" s="73"/>
      <c r="AA48" s="73"/>
      <c r="AB48" s="73"/>
      <c r="AC48" s="3"/>
      <c r="AD48" s="34">
        <v>18</v>
      </c>
      <c r="AE48" s="55" t="str">
        <f t="shared" ca="1" si="32"/>
        <v/>
      </c>
      <c r="AF48" s="80" t="str">
        <f t="shared" ca="1" si="33"/>
        <v/>
      </c>
      <c r="AG48" s="57" t="str">
        <f t="shared" ca="1" si="34"/>
        <v/>
      </c>
      <c r="AH48" s="58" t="str">
        <f t="shared" ca="1" si="35"/>
        <v/>
      </c>
      <c r="AI48" s="55" t="str">
        <f t="shared" ca="1" si="36"/>
        <v/>
      </c>
      <c r="AJ48" s="80" t="str">
        <f t="shared" ca="1" si="37"/>
        <v/>
      </c>
      <c r="AK48" s="57" t="str">
        <f t="shared" ca="1" si="38"/>
        <v/>
      </c>
      <c r="AL48" s="81" t="str">
        <f t="shared" ca="1" si="39"/>
        <v/>
      </c>
      <c r="AM48" s="57" t="str">
        <f t="shared" ca="1" si="40"/>
        <v/>
      </c>
      <c r="AN48" s="59" t="str">
        <f t="shared" ca="1" si="41"/>
        <v/>
      </c>
      <c r="AO48" s="12"/>
      <c r="AP48" s="12"/>
    </row>
    <row r="49" spans="1:42" ht="12" customHeight="1">
      <c r="A49" s="72"/>
      <c r="B49" s="72"/>
      <c r="C49" s="72"/>
      <c r="D49" s="72"/>
      <c r="E49" s="72"/>
      <c r="F49" s="72"/>
      <c r="G49" s="72"/>
      <c r="H49" s="72"/>
      <c r="I49" s="72"/>
      <c r="J49" s="72"/>
      <c r="K49" s="72"/>
      <c r="L49" s="72"/>
      <c r="M49" s="72"/>
      <c r="N49" s="72"/>
      <c r="O49" s="73"/>
      <c r="P49" s="73"/>
      <c r="Q49" s="73"/>
      <c r="R49" s="73"/>
      <c r="S49" s="73"/>
      <c r="T49" s="73"/>
      <c r="U49" s="73"/>
      <c r="V49" s="73"/>
      <c r="W49" s="73"/>
      <c r="X49" s="73"/>
      <c r="Y49" s="73"/>
      <c r="Z49" s="73"/>
      <c r="AA49" s="73"/>
      <c r="AB49" s="73"/>
      <c r="AC49" s="3"/>
      <c r="AD49" s="34">
        <v>19</v>
      </c>
      <c r="AE49" s="55" t="str">
        <f t="shared" ca="1" si="32"/>
        <v/>
      </c>
      <c r="AF49" s="80" t="str">
        <f t="shared" ca="1" si="33"/>
        <v/>
      </c>
      <c r="AG49" s="57" t="str">
        <f t="shared" ca="1" si="34"/>
        <v/>
      </c>
      <c r="AH49" s="58" t="str">
        <f t="shared" ca="1" si="35"/>
        <v/>
      </c>
      <c r="AI49" s="55" t="str">
        <f t="shared" ca="1" si="36"/>
        <v/>
      </c>
      <c r="AJ49" s="80" t="str">
        <f t="shared" ca="1" si="37"/>
        <v/>
      </c>
      <c r="AK49" s="57" t="str">
        <f t="shared" ca="1" si="38"/>
        <v/>
      </c>
      <c r="AL49" s="81" t="str">
        <f t="shared" ca="1" si="39"/>
        <v/>
      </c>
      <c r="AM49" s="57" t="str">
        <f t="shared" ca="1" si="40"/>
        <v/>
      </c>
      <c r="AN49" s="59" t="str">
        <f t="shared" ca="1" si="41"/>
        <v/>
      </c>
      <c r="AO49" s="12"/>
      <c r="AP49" s="12"/>
    </row>
    <row r="50" spans="1:42" ht="12" customHeight="1">
      <c r="A50" s="72"/>
      <c r="B50" s="72"/>
      <c r="C50" s="72"/>
      <c r="D50" s="72"/>
      <c r="E50" s="72"/>
      <c r="F50" s="72"/>
      <c r="G50" s="72"/>
      <c r="H50" s="72"/>
      <c r="I50" s="72"/>
      <c r="J50" s="72"/>
      <c r="K50" s="72"/>
      <c r="L50" s="72"/>
      <c r="M50" s="72"/>
      <c r="N50" s="72"/>
      <c r="O50" s="73"/>
      <c r="P50" s="73"/>
      <c r="Q50" s="73"/>
      <c r="R50" s="73"/>
      <c r="S50" s="73"/>
      <c r="T50" s="73"/>
      <c r="U50" s="73"/>
      <c r="V50" s="73"/>
      <c r="W50" s="73"/>
      <c r="X50" s="73"/>
      <c r="Y50" s="73"/>
      <c r="Z50" s="73"/>
      <c r="AA50" s="73"/>
      <c r="AB50" s="73"/>
      <c r="AC50" s="3"/>
      <c r="AD50" s="34">
        <v>20</v>
      </c>
      <c r="AE50" s="55" t="str">
        <f t="shared" ca="1" si="32"/>
        <v/>
      </c>
      <c r="AF50" s="80" t="str">
        <f t="shared" ca="1" si="33"/>
        <v/>
      </c>
      <c r="AG50" s="57" t="str">
        <f t="shared" ca="1" si="34"/>
        <v/>
      </c>
      <c r="AH50" s="58" t="str">
        <f t="shared" ca="1" si="35"/>
        <v/>
      </c>
      <c r="AI50" s="55" t="str">
        <f t="shared" ca="1" si="36"/>
        <v/>
      </c>
      <c r="AJ50" s="80" t="str">
        <f t="shared" ca="1" si="37"/>
        <v/>
      </c>
      <c r="AK50" s="57" t="str">
        <f t="shared" ca="1" si="38"/>
        <v/>
      </c>
      <c r="AL50" s="81" t="str">
        <f t="shared" ca="1" si="39"/>
        <v/>
      </c>
      <c r="AM50" s="57" t="str">
        <f t="shared" ca="1" si="40"/>
        <v/>
      </c>
      <c r="AN50" s="59" t="str">
        <f t="shared" ca="1" si="41"/>
        <v/>
      </c>
      <c r="AO50" s="12"/>
      <c r="AP50" s="12"/>
    </row>
    <row r="51" spans="1:42" ht="12" customHeight="1">
      <c r="A51" s="72"/>
      <c r="B51" s="72"/>
      <c r="C51" s="72"/>
      <c r="D51" s="72"/>
      <c r="E51" s="72"/>
      <c r="F51" s="72"/>
      <c r="G51" s="72"/>
      <c r="H51" s="72"/>
      <c r="I51" s="72"/>
      <c r="J51" s="72"/>
      <c r="K51" s="72"/>
      <c r="L51" s="72"/>
      <c r="M51" s="72"/>
      <c r="N51" s="72"/>
      <c r="O51" s="73"/>
      <c r="P51" s="73"/>
      <c r="Q51" s="73"/>
      <c r="R51" s="73"/>
      <c r="S51" s="73"/>
      <c r="T51" s="73"/>
      <c r="U51" s="73"/>
      <c r="V51" s="73"/>
      <c r="W51" s="73"/>
      <c r="X51" s="73"/>
      <c r="Y51" s="73"/>
      <c r="Z51" s="73"/>
      <c r="AA51" s="73"/>
      <c r="AB51" s="73"/>
      <c r="AC51" s="3"/>
      <c r="AD51" s="34">
        <v>21</v>
      </c>
      <c r="AE51" s="55" t="str">
        <f t="shared" ca="1" si="32"/>
        <v/>
      </c>
      <c r="AF51" s="80" t="str">
        <f t="shared" ca="1" si="33"/>
        <v/>
      </c>
      <c r="AG51" s="57" t="str">
        <f t="shared" ca="1" si="34"/>
        <v/>
      </c>
      <c r="AH51" s="58" t="str">
        <f t="shared" ca="1" si="35"/>
        <v/>
      </c>
      <c r="AI51" s="55" t="str">
        <f t="shared" ca="1" si="36"/>
        <v/>
      </c>
      <c r="AJ51" s="80" t="str">
        <f t="shared" ca="1" si="37"/>
        <v/>
      </c>
      <c r="AK51" s="57" t="str">
        <f t="shared" ca="1" si="38"/>
        <v/>
      </c>
      <c r="AL51" s="81" t="str">
        <f t="shared" ca="1" si="39"/>
        <v/>
      </c>
      <c r="AM51" s="57" t="str">
        <f t="shared" ca="1" si="40"/>
        <v/>
      </c>
      <c r="AN51" s="59" t="str">
        <f t="shared" ca="1" si="41"/>
        <v/>
      </c>
      <c r="AO51" s="12"/>
      <c r="AP51" s="12"/>
    </row>
    <row r="52" spans="1:42" ht="12" customHeight="1">
      <c r="A52" s="72"/>
      <c r="B52" s="72"/>
      <c r="C52" s="72"/>
      <c r="D52" s="72"/>
      <c r="E52" s="72"/>
      <c r="F52" s="72"/>
      <c r="G52" s="72"/>
      <c r="H52" s="72"/>
      <c r="I52" s="72"/>
      <c r="J52" s="72"/>
      <c r="K52" s="72"/>
      <c r="L52" s="72"/>
      <c r="M52" s="72"/>
      <c r="N52" s="72"/>
      <c r="O52" s="73"/>
      <c r="P52" s="73"/>
      <c r="Q52" s="73"/>
      <c r="R52" s="73"/>
      <c r="S52" s="73"/>
      <c r="T52" s="73"/>
      <c r="U52" s="73"/>
      <c r="V52" s="73"/>
      <c r="W52" s="73"/>
      <c r="X52" s="73"/>
      <c r="Y52" s="73"/>
      <c r="Z52" s="73"/>
      <c r="AA52" s="73"/>
      <c r="AB52" s="73"/>
      <c r="AC52" s="3"/>
      <c r="AD52" s="34">
        <v>22</v>
      </c>
      <c r="AE52" s="55" t="str">
        <f t="shared" ca="1" si="32"/>
        <v/>
      </c>
      <c r="AF52" s="80" t="str">
        <f t="shared" ca="1" si="33"/>
        <v/>
      </c>
      <c r="AG52" s="57" t="str">
        <f t="shared" ca="1" si="34"/>
        <v/>
      </c>
      <c r="AH52" s="58" t="str">
        <f t="shared" ca="1" si="35"/>
        <v/>
      </c>
      <c r="AI52" s="55" t="str">
        <f t="shared" ca="1" si="36"/>
        <v/>
      </c>
      <c r="AJ52" s="80" t="str">
        <f t="shared" ca="1" si="37"/>
        <v/>
      </c>
      <c r="AK52" s="57" t="str">
        <f t="shared" ca="1" si="38"/>
        <v/>
      </c>
      <c r="AL52" s="81" t="str">
        <f t="shared" ca="1" si="39"/>
        <v/>
      </c>
      <c r="AM52" s="57" t="str">
        <f t="shared" ca="1" si="40"/>
        <v/>
      </c>
      <c r="AN52" s="59" t="str">
        <f t="shared" ca="1" si="41"/>
        <v/>
      </c>
      <c r="AO52" s="12"/>
      <c r="AP52" s="12"/>
    </row>
    <row r="53" spans="1:42" ht="12" customHeight="1">
      <c r="A53" s="72"/>
      <c r="B53" s="72"/>
      <c r="C53" s="72"/>
      <c r="D53" s="72"/>
      <c r="E53" s="72"/>
      <c r="F53" s="72"/>
      <c r="G53" s="72"/>
      <c r="H53" s="72"/>
      <c r="I53" s="72"/>
      <c r="J53" s="72"/>
      <c r="K53" s="72"/>
      <c r="L53" s="72"/>
      <c r="M53" s="72"/>
      <c r="N53" s="72"/>
      <c r="O53" s="73"/>
      <c r="P53" s="73"/>
      <c r="Q53" s="73"/>
      <c r="R53" s="73"/>
      <c r="S53" s="73"/>
      <c r="T53" s="73"/>
      <c r="U53" s="73"/>
      <c r="V53" s="73"/>
      <c r="W53" s="73"/>
      <c r="X53" s="73"/>
      <c r="Y53" s="73"/>
      <c r="Z53" s="73"/>
      <c r="AA53" s="73"/>
      <c r="AB53" s="73"/>
      <c r="AC53" s="3"/>
      <c r="AD53" s="34">
        <v>23</v>
      </c>
      <c r="AE53" s="55" t="str">
        <f t="shared" ca="1" si="32"/>
        <v/>
      </c>
      <c r="AF53" s="80" t="str">
        <f t="shared" ca="1" si="33"/>
        <v/>
      </c>
      <c r="AG53" s="57" t="str">
        <f t="shared" ca="1" si="34"/>
        <v/>
      </c>
      <c r="AH53" s="58" t="str">
        <f t="shared" ca="1" si="35"/>
        <v/>
      </c>
      <c r="AI53" s="55" t="str">
        <f t="shared" ca="1" si="36"/>
        <v/>
      </c>
      <c r="AJ53" s="80" t="str">
        <f t="shared" ca="1" si="37"/>
        <v/>
      </c>
      <c r="AK53" s="57" t="str">
        <f t="shared" ca="1" si="38"/>
        <v/>
      </c>
      <c r="AL53" s="81" t="str">
        <f t="shared" ca="1" si="39"/>
        <v/>
      </c>
      <c r="AM53" s="57" t="str">
        <f t="shared" ca="1" si="40"/>
        <v/>
      </c>
      <c r="AN53" s="59" t="str">
        <f t="shared" ca="1" si="41"/>
        <v/>
      </c>
      <c r="AO53" s="12"/>
      <c r="AP53" s="12"/>
    </row>
    <row r="54" spans="1:42" ht="12" customHeight="1">
      <c r="A54" s="72"/>
      <c r="B54" s="72"/>
      <c r="C54" s="72"/>
      <c r="D54" s="72"/>
      <c r="E54" s="72"/>
      <c r="F54" s="72"/>
      <c r="G54" s="72"/>
      <c r="H54" s="72"/>
      <c r="I54" s="72"/>
      <c r="J54" s="72"/>
      <c r="K54" s="72"/>
      <c r="L54" s="72"/>
      <c r="M54" s="72"/>
      <c r="N54" s="72"/>
      <c r="O54" s="73"/>
      <c r="P54" s="73"/>
      <c r="Q54" s="73"/>
      <c r="R54" s="73"/>
      <c r="S54" s="73"/>
      <c r="T54" s="73"/>
      <c r="U54" s="73"/>
      <c r="V54" s="73"/>
      <c r="W54" s="73"/>
      <c r="X54" s="73"/>
      <c r="Y54" s="73"/>
      <c r="Z54" s="73"/>
      <c r="AA54" s="73"/>
      <c r="AB54" s="73"/>
      <c r="AC54" s="3"/>
      <c r="AD54" s="34">
        <v>24</v>
      </c>
      <c r="AE54" s="55" t="str">
        <f t="shared" ca="1" si="32"/>
        <v/>
      </c>
      <c r="AF54" s="80" t="str">
        <f t="shared" ca="1" si="33"/>
        <v/>
      </c>
      <c r="AG54" s="57" t="str">
        <f t="shared" ca="1" si="34"/>
        <v/>
      </c>
      <c r="AH54" s="58" t="str">
        <f t="shared" ca="1" si="35"/>
        <v/>
      </c>
      <c r="AI54" s="55" t="str">
        <f t="shared" ca="1" si="36"/>
        <v/>
      </c>
      <c r="AJ54" s="80" t="str">
        <f t="shared" ca="1" si="37"/>
        <v/>
      </c>
      <c r="AK54" s="57" t="str">
        <f t="shared" ca="1" si="38"/>
        <v/>
      </c>
      <c r="AL54" s="81" t="str">
        <f t="shared" ca="1" si="39"/>
        <v/>
      </c>
      <c r="AM54" s="57" t="str">
        <f t="shared" ca="1" si="40"/>
        <v/>
      </c>
      <c r="AN54" s="59" t="str">
        <f t="shared" ca="1" si="41"/>
        <v/>
      </c>
      <c r="AO54" s="12"/>
      <c r="AP54" s="12"/>
    </row>
    <row r="55" spans="1:42" ht="12" customHeight="1">
      <c r="A55" s="72"/>
      <c r="B55" s="72"/>
      <c r="C55" s="72"/>
      <c r="D55" s="72"/>
      <c r="E55" s="72"/>
      <c r="F55" s="72"/>
      <c r="G55" s="72"/>
      <c r="H55" s="72"/>
      <c r="I55" s="72"/>
      <c r="J55" s="72"/>
      <c r="K55" s="72"/>
      <c r="L55" s="72"/>
      <c r="M55" s="72"/>
      <c r="N55" s="72"/>
      <c r="O55" s="73"/>
      <c r="P55" s="73"/>
      <c r="Q55" s="73"/>
      <c r="R55" s="73"/>
      <c r="S55" s="73"/>
      <c r="T55" s="73"/>
      <c r="U55" s="73"/>
      <c r="V55" s="73"/>
      <c r="W55" s="73"/>
      <c r="X55" s="73"/>
      <c r="Y55" s="73"/>
      <c r="Z55" s="73"/>
      <c r="AA55" s="73"/>
      <c r="AB55" s="73"/>
      <c r="AC55" s="3"/>
      <c r="AD55" s="83">
        <v>25</v>
      </c>
      <c r="AE55" s="55" t="str">
        <f t="shared" ca="1" si="32"/>
        <v/>
      </c>
      <c r="AF55" s="80" t="str">
        <f t="shared" ca="1" si="33"/>
        <v/>
      </c>
      <c r="AG55" s="57" t="str">
        <f t="shared" ca="1" si="34"/>
        <v/>
      </c>
      <c r="AH55" s="58" t="str">
        <f t="shared" ca="1" si="35"/>
        <v/>
      </c>
      <c r="AI55" s="55" t="str">
        <f t="shared" ca="1" si="36"/>
        <v/>
      </c>
      <c r="AJ55" s="80" t="str">
        <f t="shared" ca="1" si="37"/>
        <v/>
      </c>
      <c r="AK55" s="57" t="str">
        <f t="shared" ca="1" si="38"/>
        <v/>
      </c>
      <c r="AL55" s="81" t="str">
        <f t="shared" ca="1" si="39"/>
        <v/>
      </c>
      <c r="AM55" s="57" t="str">
        <f t="shared" ca="1" si="40"/>
        <v/>
      </c>
      <c r="AN55" s="59" t="str">
        <f t="shared" ca="1" si="41"/>
        <v/>
      </c>
      <c r="AO55" s="12"/>
      <c r="AP55" s="12"/>
    </row>
    <row r="56" spans="1:42" ht="13.5" customHeight="1">
      <c r="A56" s="72"/>
      <c r="B56" s="72"/>
      <c r="C56" s="72"/>
      <c r="D56" s="72"/>
      <c r="E56" s="72"/>
      <c r="F56" s="72"/>
      <c r="G56" s="72"/>
      <c r="H56" s="72"/>
      <c r="I56" s="72"/>
      <c r="J56" s="72"/>
      <c r="K56" s="72"/>
      <c r="L56" s="72"/>
      <c r="M56" s="72"/>
      <c r="N56" s="72"/>
      <c r="O56" s="73"/>
      <c r="P56" s="73"/>
      <c r="Q56" s="73"/>
      <c r="R56" s="73"/>
      <c r="S56" s="73"/>
      <c r="T56" s="73"/>
      <c r="U56" s="73"/>
      <c r="V56" s="73"/>
      <c r="W56" s="73"/>
      <c r="X56" s="73"/>
      <c r="Y56" s="73"/>
      <c r="Z56" s="73"/>
      <c r="AA56" s="73"/>
      <c r="AB56" s="73"/>
      <c r="AC56" s="3"/>
      <c r="AD56" s="65"/>
      <c r="AE56" s="66"/>
      <c r="AF56" s="66"/>
      <c r="AG56" s="67"/>
      <c r="AH56" s="68"/>
      <c r="AI56" s="68"/>
      <c r="AJ56" s="68"/>
      <c r="AK56" s="69"/>
      <c r="AL56" s="70"/>
      <c r="AM56" s="71"/>
      <c r="AN56" s="70"/>
      <c r="AO56" s="12"/>
      <c r="AP56" s="12"/>
    </row>
    <row r="57" spans="1:42" ht="21" customHeight="1">
      <c r="A57" s="72"/>
      <c r="B57" s="72"/>
      <c r="C57" s="72"/>
      <c r="D57" s="72"/>
      <c r="E57" s="72"/>
      <c r="F57" s="72"/>
      <c r="G57" s="72"/>
      <c r="H57" s="72"/>
      <c r="I57" s="72"/>
      <c r="J57" s="72"/>
      <c r="K57" s="72"/>
      <c r="L57" s="72"/>
      <c r="M57" s="72"/>
      <c r="N57" s="72"/>
      <c r="O57" s="73"/>
      <c r="P57" s="73"/>
      <c r="Q57" s="73"/>
      <c r="R57" s="73"/>
      <c r="S57" s="73"/>
      <c r="T57" s="73"/>
      <c r="U57" s="73"/>
      <c r="V57" s="73"/>
      <c r="W57" s="73"/>
      <c r="X57" s="73"/>
      <c r="Y57" s="73"/>
      <c r="Z57" s="73"/>
      <c r="AA57" s="73"/>
      <c r="AB57" s="73"/>
      <c r="AC57" s="3"/>
      <c r="AD57" s="20"/>
      <c r="AE57" s="325" t="s">
        <v>111</v>
      </c>
      <c r="AF57" s="316"/>
      <c r="AG57" s="316"/>
      <c r="AH57" s="316"/>
      <c r="AI57" s="61"/>
      <c r="AJ57" s="77"/>
      <c r="AK57" s="12"/>
      <c r="AL57" s="12"/>
      <c r="AM57" s="12"/>
      <c r="AN57" s="12"/>
      <c r="AO57" s="12"/>
      <c r="AP57" s="12"/>
    </row>
    <row r="58" spans="1:42" ht="13.5" customHeight="1">
      <c r="A58" s="72"/>
      <c r="B58" s="72"/>
      <c r="C58" s="72"/>
      <c r="D58" s="72"/>
      <c r="E58" s="72"/>
      <c r="F58" s="72"/>
      <c r="G58" s="72"/>
      <c r="H58" s="72"/>
      <c r="I58" s="72"/>
      <c r="J58" s="72"/>
      <c r="K58" s="72"/>
      <c r="L58" s="72"/>
      <c r="M58" s="72"/>
      <c r="N58" s="72"/>
      <c r="O58" s="73"/>
      <c r="P58" s="73"/>
      <c r="Q58" s="73"/>
      <c r="R58" s="73"/>
      <c r="S58" s="73"/>
      <c r="T58" s="73"/>
      <c r="U58" s="73"/>
      <c r="V58" s="73"/>
      <c r="W58" s="73"/>
      <c r="X58" s="73"/>
      <c r="Y58" s="73"/>
      <c r="Z58" s="73"/>
      <c r="AA58" s="73"/>
      <c r="AB58" s="73"/>
      <c r="AC58" s="3"/>
      <c r="AD58" s="43"/>
      <c r="AE58" s="326" t="s">
        <v>112</v>
      </c>
      <c r="AF58" s="327"/>
      <c r="AG58" s="326" t="s">
        <v>113</v>
      </c>
      <c r="AH58" s="327"/>
      <c r="AI58" s="323" t="s">
        <v>114</v>
      </c>
      <c r="AJ58" s="324"/>
      <c r="AK58" s="328" t="s">
        <v>115</v>
      </c>
      <c r="AL58" s="329"/>
      <c r="AM58" s="329"/>
      <c r="AN58" s="324"/>
      <c r="AO58" s="12"/>
      <c r="AP58" s="12"/>
    </row>
    <row r="59" spans="1:42" ht="12" customHeight="1">
      <c r="A59" s="72"/>
      <c r="B59" s="72"/>
      <c r="C59" s="72"/>
      <c r="D59" s="72"/>
      <c r="E59" s="72"/>
      <c r="F59" s="72"/>
      <c r="G59" s="72"/>
      <c r="H59" s="72"/>
      <c r="I59" s="72"/>
      <c r="J59" s="72"/>
      <c r="K59" s="72"/>
      <c r="L59" s="72"/>
      <c r="M59" s="72"/>
      <c r="N59" s="72"/>
      <c r="O59" s="73"/>
      <c r="P59" s="73"/>
      <c r="Q59" s="73"/>
      <c r="R59" s="73"/>
      <c r="S59" s="73"/>
      <c r="T59" s="73"/>
      <c r="U59" s="73"/>
      <c r="V59" s="73"/>
      <c r="W59" s="73"/>
      <c r="X59" s="73"/>
      <c r="Y59" s="73"/>
      <c r="Z59" s="73"/>
      <c r="AA59" s="73"/>
      <c r="AB59" s="73"/>
      <c r="AC59" s="3"/>
      <c r="AD59" s="34">
        <v>1</v>
      </c>
      <c r="AE59" s="49" t="str">
        <f t="shared" ref="AE59:AE83" ca="1" si="42">IF($AA$29&gt;=$AD59,VLOOKUP($AD59,$L$3:$AA$27,3,FALSE),"")</f>
        <v>OrCares</v>
      </c>
      <c r="AF59" s="84">
        <f t="shared" ref="AF59:AF83" ca="1" si="43">IF($AA$29&gt;=$AD59,VLOOKUP($AD59,$L$3:$AA$27,16,FALSE),"")</f>
        <v>1450000.000000007</v>
      </c>
      <c r="AG59" s="51" t="str">
        <f t="shared" ref="AG59:AG83" ca="1" si="44">IF($AA$29&gt;=$AD59,VLOOKUP($AD59,$M$3:$AB$27,2,FALSE),"")</f>
        <v>Guardians of the Nile</v>
      </c>
      <c r="AH59" s="50">
        <f t="shared" ref="AH59:AH83" ca="1" si="45">IF($AA$29&gt;=$AD59,VLOOKUP($AD59,$M$3:$AB$27,16,FALSE),"")</f>
        <v>7.0000000079999998</v>
      </c>
      <c r="AI59" s="51" t="str">
        <f t="shared" ref="AI59:AI83" ca="1" si="46">IF($Y$29&gt;=$AD59,VLOOKUP($AD59,$K$3:$Z$27,4,FALSE),"")</f>
        <v>Skyhaven Silverfoxes</v>
      </c>
      <c r="AJ59" s="85">
        <f t="shared" ref="AJ59:AJ83" ca="1" si="47">IF($Y$29&gt;=$AD59,VLOOKUP($AD59,$K$3:$Z$27,16,FALSE),"")</f>
        <v>11500.000000011571</v>
      </c>
      <c r="AK59" s="330" t="str">
        <f t="shared" ref="AK59:AK83" si="48">IF(ISERROR(MATCH(AD59,RES_RANK_GATE,0)),"",VLOOKUP($AD59,RES_GATE_DATA,3,FALSE))</f>
        <v>Population: Orc - OrCares (42808)</v>
      </c>
      <c r="AL59" s="316"/>
      <c r="AM59" s="316"/>
      <c r="AN59" s="85">
        <f t="shared" ref="AN59:AN83" si="49">IF(AK59&lt;&gt;"",VLOOKUP($AD59,RES_GATE_DATA,2,FALSE),"")</f>
        <v>42000.000000001288</v>
      </c>
      <c r="AO59" s="12"/>
      <c r="AP59" s="12"/>
    </row>
    <row r="60" spans="1:42" ht="12" customHeight="1">
      <c r="A60" s="72"/>
      <c r="B60" s="72"/>
      <c r="C60" s="72"/>
      <c r="D60" s="72"/>
      <c r="E60" s="72"/>
      <c r="F60" s="72"/>
      <c r="G60" s="72"/>
      <c r="H60" s="72"/>
      <c r="I60" s="72"/>
      <c r="J60" s="72"/>
      <c r="K60" s="72"/>
      <c r="L60" s="72"/>
      <c r="M60" s="72"/>
      <c r="N60" s="72"/>
      <c r="O60" s="73"/>
      <c r="P60" s="73"/>
      <c r="Q60" s="73"/>
      <c r="R60" s="73"/>
      <c r="S60" s="73"/>
      <c r="T60" s="73"/>
      <c r="U60" s="73"/>
      <c r="V60" s="73"/>
      <c r="W60" s="73"/>
      <c r="X60" s="73"/>
      <c r="Y60" s="73"/>
      <c r="Z60" s="73"/>
      <c r="AA60" s="73"/>
      <c r="AB60" s="73"/>
      <c r="AC60" s="3"/>
      <c r="AD60" s="34">
        <v>2</v>
      </c>
      <c r="AE60" s="55" t="str">
        <f t="shared" ca="1" si="42"/>
        <v>Sylvania Suckhawks</v>
      </c>
      <c r="AF60" s="86">
        <f t="shared" ca="1" si="43"/>
        <v>1330000.000000003</v>
      </c>
      <c r="AG60" s="57" t="str">
        <f t="shared" ca="1" si="44"/>
        <v>Sylvania Suckhawks</v>
      </c>
      <c r="AH60" s="56">
        <f t="shared" ca="1" si="45"/>
        <v>5.0000000030000002</v>
      </c>
      <c r="AI60" s="57" t="str">
        <f t="shared" ca="1" si="46"/>
        <v>OrCares</v>
      </c>
      <c r="AJ60" s="87">
        <f t="shared" ca="1" si="47"/>
        <v>11250.000000009</v>
      </c>
      <c r="AK60" s="320" t="str">
        <f t="shared" si="48"/>
        <v>Ashtown Villains - Skyhaven Silverfoxes (42815)</v>
      </c>
      <c r="AL60" s="316"/>
      <c r="AM60" s="316"/>
      <c r="AN60" s="87">
        <f t="shared" si="49"/>
        <v>38000.000000001288</v>
      </c>
      <c r="AO60" s="12"/>
      <c r="AP60" s="12"/>
    </row>
    <row r="61" spans="1:42" ht="12" customHeight="1">
      <c r="A61" s="72"/>
      <c r="B61" s="72"/>
      <c r="C61" s="72"/>
      <c r="D61" s="72"/>
      <c r="E61" s="72"/>
      <c r="F61" s="72"/>
      <c r="G61" s="72"/>
      <c r="H61" s="72"/>
      <c r="I61" s="72"/>
      <c r="J61" s="72"/>
      <c r="K61" s="72"/>
      <c r="L61" s="72"/>
      <c r="M61" s="72"/>
      <c r="N61" s="72"/>
      <c r="O61" s="73"/>
      <c r="P61" s="73"/>
      <c r="Q61" s="73"/>
      <c r="R61" s="73"/>
      <c r="S61" s="73"/>
      <c r="T61" s="73"/>
      <c r="U61" s="73"/>
      <c r="V61" s="73"/>
      <c r="W61" s="73"/>
      <c r="X61" s="73"/>
      <c r="Y61" s="73"/>
      <c r="Z61" s="73"/>
      <c r="AA61" s="73"/>
      <c r="AB61" s="73"/>
      <c r="AC61" s="3"/>
      <c r="AD61" s="34">
        <v>3</v>
      </c>
      <c r="AE61" s="55" t="str">
        <f t="shared" ca="1" si="42"/>
        <v>Skyhaven Silverfoxes</v>
      </c>
      <c r="AF61" s="86">
        <f t="shared" ca="1" si="43"/>
        <v>1290000.0000000091</v>
      </c>
      <c r="AG61" s="57" t="str">
        <f t="shared" ca="1" si="44"/>
        <v>OrCares</v>
      </c>
      <c r="AH61" s="56">
        <f t="shared" ca="1" si="45"/>
        <v>4.0000000069999997</v>
      </c>
      <c r="AI61" s="57" t="str">
        <f t="shared" ca="1" si="46"/>
        <v>Jacksonville Thrillers</v>
      </c>
      <c r="AJ61" s="87">
        <f t="shared" ca="1" si="47"/>
        <v>10500.000000005142</v>
      </c>
      <c r="AK61" s="320" t="str">
        <f t="shared" si="48"/>
        <v>Skyhaven Silverfoxes - Guardians of the Nile (42801)</v>
      </c>
      <c r="AL61" s="316"/>
      <c r="AM61" s="316"/>
      <c r="AN61" s="87">
        <f t="shared" si="49"/>
        <v>27000.000000001284</v>
      </c>
      <c r="AO61" s="12"/>
      <c r="AP61" s="12"/>
    </row>
    <row r="62" spans="1:42" ht="12" customHeight="1">
      <c r="A62" s="72"/>
      <c r="B62" s="72"/>
      <c r="C62" s="72"/>
      <c r="D62" s="72"/>
      <c r="E62" s="72"/>
      <c r="F62" s="72"/>
      <c r="G62" s="72"/>
      <c r="H62" s="72"/>
      <c r="I62" s="72"/>
      <c r="J62" s="72"/>
      <c r="K62" s="72"/>
      <c r="L62" s="72"/>
      <c r="M62" s="72"/>
      <c r="N62" s="72"/>
      <c r="O62" s="73"/>
      <c r="P62" s="73"/>
      <c r="Q62" s="73"/>
      <c r="R62" s="73"/>
      <c r="S62" s="73"/>
      <c r="T62" s="73"/>
      <c r="U62" s="73"/>
      <c r="V62" s="73"/>
      <c r="W62" s="73"/>
      <c r="X62" s="73"/>
      <c r="Y62" s="73"/>
      <c r="Z62" s="73"/>
      <c r="AA62" s="73"/>
      <c r="AB62" s="73"/>
      <c r="AC62" s="3"/>
      <c r="AD62" s="34">
        <v>4</v>
      </c>
      <c r="AE62" s="55" t="str">
        <f t="shared" ca="1" si="42"/>
        <v>Guardians of the Nile</v>
      </c>
      <c r="AF62" s="86">
        <f t="shared" ca="1" si="43"/>
        <v>1280000.0000000079</v>
      </c>
      <c r="AG62" s="57" t="str">
        <f t="shared" ca="1" si="44"/>
        <v>Jacksonville Thrillers</v>
      </c>
      <c r="AH62" s="56">
        <f t="shared" ca="1" si="45"/>
        <v>4.0000000040000003</v>
      </c>
      <c r="AI62" s="57" t="str">
        <f t="shared" ca="1" si="46"/>
        <v>Population: Orc</v>
      </c>
      <c r="AJ62" s="87">
        <f t="shared" ca="1" si="47"/>
        <v>8857.1428571492852</v>
      </c>
      <c r="AK62" s="320" t="str">
        <f t="shared" si="48"/>
        <v>Skyhaven Silverfoxes - Ashtown Villains (42736)</v>
      </c>
      <c r="AL62" s="316"/>
      <c r="AM62" s="316"/>
      <c r="AN62" s="87">
        <f t="shared" si="49"/>
        <v>20000.000000001284</v>
      </c>
      <c r="AO62" s="12"/>
      <c r="AP62" s="12"/>
    </row>
    <row r="63" spans="1:42" ht="12" customHeight="1">
      <c r="A63" s="72"/>
      <c r="B63" s="72"/>
      <c r="C63" s="72"/>
      <c r="D63" s="72"/>
      <c r="E63" s="72"/>
      <c r="F63" s="72"/>
      <c r="G63" s="72"/>
      <c r="H63" s="72"/>
      <c r="I63" s="72"/>
      <c r="J63" s="72"/>
      <c r="K63" s="72"/>
      <c r="L63" s="72"/>
      <c r="M63" s="72"/>
      <c r="N63" s="72"/>
      <c r="O63" s="73"/>
      <c r="P63" s="73"/>
      <c r="Q63" s="73"/>
      <c r="R63" s="73"/>
      <c r="S63" s="73"/>
      <c r="T63" s="73"/>
      <c r="U63" s="73"/>
      <c r="V63" s="73"/>
      <c r="W63" s="73"/>
      <c r="X63" s="73"/>
      <c r="Y63" s="73"/>
      <c r="Z63" s="73"/>
      <c r="AA63" s="73"/>
      <c r="AB63" s="73"/>
      <c r="AC63" s="3"/>
      <c r="AD63" s="34">
        <v>5</v>
      </c>
      <c r="AE63" s="55" t="str">
        <f t="shared" ca="1" si="42"/>
        <v>Ashtown Villains</v>
      </c>
      <c r="AF63" s="86">
        <f t="shared" ca="1" si="43"/>
        <v>1230000.00000001</v>
      </c>
      <c r="AG63" s="57" t="str">
        <f t="shared" ca="1" si="44"/>
        <v>Ashtown Villains</v>
      </c>
      <c r="AH63" s="56">
        <f t="shared" ca="1" si="45"/>
        <v>2.0000000099999999</v>
      </c>
      <c r="AI63" s="57" t="str">
        <f t="shared" ca="1" si="46"/>
        <v>Ashtown Villains</v>
      </c>
      <c r="AJ63" s="87">
        <f t="shared" ca="1" si="47"/>
        <v>8750.0000000128566</v>
      </c>
      <c r="AK63" s="320" t="str">
        <f t="shared" si="48"/>
        <v>Skyhaven Silverfoxes - Population: Orc (42736)</v>
      </c>
      <c r="AL63" s="316"/>
      <c r="AM63" s="316"/>
      <c r="AN63" s="87">
        <f t="shared" si="49"/>
        <v>19000.000000001284</v>
      </c>
      <c r="AO63" s="12"/>
      <c r="AP63" s="12"/>
    </row>
    <row r="64" spans="1:42" ht="12" customHeight="1">
      <c r="A64" s="72"/>
      <c r="B64" s="72"/>
      <c r="C64" s="72"/>
      <c r="D64" s="72"/>
      <c r="E64" s="72"/>
      <c r="F64" s="72"/>
      <c r="G64" s="72"/>
      <c r="H64" s="72"/>
      <c r="I64" s="72"/>
      <c r="J64" s="72"/>
      <c r="K64" s="72"/>
      <c r="L64" s="72"/>
      <c r="M64" s="72"/>
      <c r="N64" s="72"/>
      <c r="O64" s="73"/>
      <c r="P64" s="73"/>
      <c r="Q64" s="73"/>
      <c r="R64" s="73"/>
      <c r="S64" s="73"/>
      <c r="T64" s="73"/>
      <c r="U64" s="73"/>
      <c r="V64" s="73"/>
      <c r="W64" s="73"/>
      <c r="X64" s="73"/>
      <c r="Y64" s="73"/>
      <c r="Z64" s="73"/>
      <c r="AA64" s="73"/>
      <c r="AB64" s="73"/>
      <c r="AC64" s="3"/>
      <c r="AD64" s="34">
        <v>6</v>
      </c>
      <c r="AE64" s="55" t="str">
        <f t="shared" ca="1" si="42"/>
        <v>Population: Orc</v>
      </c>
      <c r="AF64" s="86">
        <f t="shared" ca="1" si="43"/>
        <v>1200000.0000000049</v>
      </c>
      <c r="AG64" s="57" t="str">
        <f t="shared" ca="1" si="44"/>
        <v>Skyhaven Silverfoxes</v>
      </c>
      <c r="AH64" s="56">
        <f t="shared" ca="1" si="45"/>
        <v>2.0000000089999999</v>
      </c>
      <c r="AI64" s="57" t="str">
        <f t="shared" ca="1" si="46"/>
        <v>Sylvania Suckhawks</v>
      </c>
      <c r="AJ64" s="87">
        <f t="shared" ca="1" si="47"/>
        <v>6333.3333333371902</v>
      </c>
      <c r="AK64" s="320" t="str">
        <f t="shared" si="48"/>
        <v>Jacksonville Thrillers - OrCares (42752)</v>
      </c>
      <c r="AL64" s="316"/>
      <c r="AM64" s="316"/>
      <c r="AN64" s="87">
        <f t="shared" si="49"/>
        <v>18000.000000001284</v>
      </c>
      <c r="AO64" s="12"/>
      <c r="AP64" s="12"/>
    </row>
    <row r="65" spans="1:42" ht="12" customHeight="1">
      <c r="A65" s="72"/>
      <c r="B65" s="72"/>
      <c r="C65" s="72"/>
      <c r="D65" s="72"/>
      <c r="E65" s="72"/>
      <c r="F65" s="72"/>
      <c r="G65" s="72"/>
      <c r="H65" s="72"/>
      <c r="I65" s="72"/>
      <c r="J65" s="72"/>
      <c r="K65" s="72"/>
      <c r="L65" s="72"/>
      <c r="M65" s="72"/>
      <c r="N65" s="72"/>
      <c r="O65" s="73"/>
      <c r="P65" s="73"/>
      <c r="Q65" s="73"/>
      <c r="R65" s="73"/>
      <c r="S65" s="73"/>
      <c r="T65" s="73"/>
      <c r="U65" s="73"/>
      <c r="V65" s="73"/>
      <c r="W65" s="73"/>
      <c r="X65" s="73"/>
      <c r="Y65" s="73"/>
      <c r="Z65" s="73"/>
      <c r="AA65" s="73"/>
      <c r="AB65" s="73"/>
      <c r="AC65" s="3"/>
      <c r="AD65" s="34">
        <v>7</v>
      </c>
      <c r="AE65" s="55" t="str">
        <f t="shared" ca="1" si="42"/>
        <v>Jacksonville Thrillers</v>
      </c>
      <c r="AF65" s="86">
        <f t="shared" ca="1" si="43"/>
        <v>1120000.000000004</v>
      </c>
      <c r="AG65" s="57" t="str">
        <f t="shared" ca="1" si="44"/>
        <v>Population: Orc</v>
      </c>
      <c r="AH65" s="56">
        <f t="shared" ca="1" si="45"/>
        <v>2.000000005</v>
      </c>
      <c r="AI65" s="57" t="str">
        <f t="shared" ca="1" si="46"/>
        <v>Guardians of the Nile</v>
      </c>
      <c r="AJ65" s="87">
        <f t="shared" ca="1" si="47"/>
        <v>5166.6666666769524</v>
      </c>
      <c r="AK65" s="320" t="str">
        <f t="shared" si="48"/>
        <v/>
      </c>
      <c r="AL65" s="316"/>
      <c r="AM65" s="316"/>
      <c r="AN65" s="87" t="str">
        <f t="shared" si="49"/>
        <v/>
      </c>
      <c r="AO65" s="12"/>
      <c r="AP65" s="12"/>
    </row>
    <row r="66" spans="1:42" ht="12" customHeight="1">
      <c r="A66" s="72"/>
      <c r="B66" s="72"/>
      <c r="C66" s="72"/>
      <c r="D66" s="72"/>
      <c r="E66" s="72"/>
      <c r="F66" s="72"/>
      <c r="G66" s="72"/>
      <c r="H66" s="72"/>
      <c r="I66" s="72"/>
      <c r="J66" s="72"/>
      <c r="K66" s="72"/>
      <c r="L66" s="72"/>
      <c r="M66" s="72"/>
      <c r="N66" s="72"/>
      <c r="O66" s="73"/>
      <c r="P66" s="73"/>
      <c r="Q66" s="73"/>
      <c r="R66" s="73"/>
      <c r="S66" s="73"/>
      <c r="T66" s="73"/>
      <c r="U66" s="73"/>
      <c r="V66" s="73"/>
      <c r="W66" s="73"/>
      <c r="X66" s="73"/>
      <c r="Y66" s="73"/>
      <c r="Z66" s="73"/>
      <c r="AA66" s="73"/>
      <c r="AB66" s="73"/>
      <c r="AC66" s="3"/>
      <c r="AD66" s="34">
        <v>8</v>
      </c>
      <c r="AE66" s="55" t="str">
        <f t="shared" ca="1" si="42"/>
        <v>Wrath of the Month</v>
      </c>
      <c r="AF66" s="86">
        <f t="shared" ca="1" si="43"/>
        <v>1110000.0000000061</v>
      </c>
      <c r="AG66" s="57" t="str">
        <f t="shared" ca="1" si="44"/>
        <v>Aedra &amp; Daedra</v>
      </c>
      <c r="AH66" s="56">
        <f t="shared" ca="1" si="45"/>
        <v>1.000000011</v>
      </c>
      <c r="AI66" s="57" t="str">
        <f t="shared" ca="1" si="46"/>
        <v>Wrath of the Month</v>
      </c>
      <c r="AJ66" s="87">
        <f t="shared" ca="1" si="47"/>
        <v>5000.0000000077143</v>
      </c>
      <c r="AK66" s="320" t="str">
        <f t="shared" si="48"/>
        <v/>
      </c>
      <c r="AL66" s="316"/>
      <c r="AM66" s="316"/>
      <c r="AN66" s="87" t="str">
        <f t="shared" si="49"/>
        <v/>
      </c>
      <c r="AO66" s="12"/>
      <c r="AP66" s="12"/>
    </row>
    <row r="67" spans="1:42" ht="12" customHeight="1">
      <c r="A67" s="72"/>
      <c r="B67" s="72"/>
      <c r="C67" s="72"/>
      <c r="D67" s="72"/>
      <c r="E67" s="72"/>
      <c r="F67" s="72"/>
      <c r="G67" s="72"/>
      <c r="H67" s="72"/>
      <c r="I67" s="72"/>
      <c r="J67" s="72"/>
      <c r="K67" s="72"/>
      <c r="L67" s="72"/>
      <c r="M67" s="72"/>
      <c r="N67" s="72"/>
      <c r="O67" s="73"/>
      <c r="P67" s="73"/>
      <c r="Q67" s="73"/>
      <c r="R67" s="73"/>
      <c r="S67" s="73"/>
      <c r="T67" s="73"/>
      <c r="U67" s="73"/>
      <c r="V67" s="73"/>
      <c r="W67" s="73"/>
      <c r="X67" s="73"/>
      <c r="Y67" s="73"/>
      <c r="Z67" s="73"/>
      <c r="AA67" s="73"/>
      <c r="AB67" s="73"/>
      <c r="AC67" s="3"/>
      <c r="AD67" s="34">
        <v>9</v>
      </c>
      <c r="AE67" s="55" t="str">
        <f t="shared" ca="1" si="42"/>
        <v>Aedra &amp; Daedra</v>
      </c>
      <c r="AF67" s="86">
        <f t="shared" ca="1" si="43"/>
        <v>60000.000000011001</v>
      </c>
      <c r="AG67" s="57" t="str">
        <f t="shared" ca="1" si="44"/>
        <v>Hellions of Troy</v>
      </c>
      <c r="AH67" s="56">
        <f t="shared" ca="1" si="45"/>
        <v>1.2E-8</v>
      </c>
      <c r="AI67" s="57" t="str">
        <f t="shared" ca="1" si="46"/>
        <v>Aedra &amp; Daedra</v>
      </c>
      <c r="AJ67" s="87">
        <f t="shared" ca="1" si="47"/>
        <v>4500.0000000141426</v>
      </c>
      <c r="AK67" s="320" t="str">
        <f t="shared" si="48"/>
        <v>Sylvania Suckhawks - Population: Orc (42801)</v>
      </c>
      <c r="AL67" s="316"/>
      <c r="AM67" s="316"/>
      <c r="AN67" s="87">
        <f t="shared" si="49"/>
        <v>17000.000000001284</v>
      </c>
      <c r="AO67" s="12"/>
      <c r="AP67" s="12"/>
    </row>
    <row r="68" spans="1:42" ht="12" customHeight="1">
      <c r="A68" s="72"/>
      <c r="B68" s="72"/>
      <c r="C68" s="72"/>
      <c r="D68" s="72"/>
      <c r="E68" s="72"/>
      <c r="F68" s="72"/>
      <c r="G68" s="72"/>
      <c r="H68" s="72"/>
      <c r="I68" s="72"/>
      <c r="J68" s="72"/>
      <c r="K68" s="72"/>
      <c r="L68" s="72"/>
      <c r="M68" s="72"/>
      <c r="N68" s="72"/>
      <c r="O68" s="73"/>
      <c r="P68" s="73"/>
      <c r="Q68" s="73"/>
      <c r="R68" s="73"/>
      <c r="S68" s="73"/>
      <c r="T68" s="73"/>
      <c r="U68" s="73"/>
      <c r="V68" s="73"/>
      <c r="W68" s="73"/>
      <c r="X68" s="73"/>
      <c r="Y68" s="73"/>
      <c r="Z68" s="73"/>
      <c r="AA68" s="73"/>
      <c r="AB68" s="73"/>
      <c r="AC68" s="3"/>
      <c r="AD68" s="34">
        <v>10</v>
      </c>
      <c r="AE68" s="55" t="str">
        <f t="shared" ca="1" si="42"/>
        <v>Hellions of Troy</v>
      </c>
      <c r="AF68" s="86">
        <f t="shared" ca="1" si="43"/>
        <v>1.2E-8</v>
      </c>
      <c r="AG68" s="57" t="str">
        <f t="shared" ca="1" si="44"/>
        <v>Wrath of the Month</v>
      </c>
      <c r="AH68" s="56">
        <f t="shared" ca="1" si="45"/>
        <v>6E-9</v>
      </c>
      <c r="AI68" s="57" t="str">
        <f t="shared" ca="1" si="46"/>
        <v>Hellions of Troy</v>
      </c>
      <c r="AJ68" s="87">
        <f t="shared" ca="1" si="47"/>
        <v>1.5428571444000001E-8</v>
      </c>
      <c r="AK68" s="320" t="str">
        <f t="shared" si="48"/>
        <v/>
      </c>
      <c r="AL68" s="316"/>
      <c r="AM68" s="316"/>
      <c r="AN68" s="87" t="str">
        <f t="shared" si="49"/>
        <v/>
      </c>
      <c r="AO68" s="12"/>
      <c r="AP68" s="12"/>
    </row>
    <row r="69" spans="1:42" ht="12" customHeight="1">
      <c r="A69" s="72"/>
      <c r="B69" s="72"/>
      <c r="C69" s="72"/>
      <c r="D69" s="72"/>
      <c r="E69" s="72"/>
      <c r="F69" s="72"/>
      <c r="G69" s="72"/>
      <c r="H69" s="72"/>
      <c r="I69" s="72"/>
      <c r="J69" s="72"/>
      <c r="K69" s="72"/>
      <c r="L69" s="72"/>
      <c r="M69" s="72"/>
      <c r="N69" s="72"/>
      <c r="O69" s="73"/>
      <c r="P69" s="73"/>
      <c r="Q69" s="73"/>
      <c r="R69" s="73"/>
      <c r="S69" s="73"/>
      <c r="T69" s="73"/>
      <c r="U69" s="73"/>
      <c r="V69" s="73"/>
      <c r="W69" s="73"/>
      <c r="X69" s="73"/>
      <c r="Y69" s="73"/>
      <c r="Z69" s="73"/>
      <c r="AA69" s="73"/>
      <c r="AB69" s="73"/>
      <c r="AC69" s="3"/>
      <c r="AD69" s="34">
        <v>11</v>
      </c>
      <c r="AE69" s="55" t="str">
        <f t="shared" ca="1" si="42"/>
        <v/>
      </c>
      <c r="AF69" s="86" t="str">
        <f t="shared" ca="1" si="43"/>
        <v/>
      </c>
      <c r="AG69" s="57" t="str">
        <f t="shared" ca="1" si="44"/>
        <v/>
      </c>
      <c r="AH69" s="56" t="str">
        <f t="shared" ca="1" si="45"/>
        <v/>
      </c>
      <c r="AI69" s="57" t="str">
        <f t="shared" ca="1" si="46"/>
        <v/>
      </c>
      <c r="AJ69" s="87" t="str">
        <f t="shared" ca="1" si="47"/>
        <v/>
      </c>
      <c r="AK69" s="320" t="str">
        <f t="shared" si="48"/>
        <v>Sylvania Suckhawks - Guardians of the Nile (42773)</v>
      </c>
      <c r="AL69" s="316"/>
      <c r="AM69" s="316"/>
      <c r="AN69" s="87">
        <f t="shared" si="49"/>
        <v>16000.000000001286</v>
      </c>
      <c r="AO69" s="12"/>
      <c r="AP69" s="12"/>
    </row>
    <row r="70" spans="1:42" ht="12" customHeight="1">
      <c r="A70" s="72"/>
      <c r="B70" s="72"/>
      <c r="C70" s="72"/>
      <c r="D70" s="72"/>
      <c r="E70" s="72"/>
      <c r="F70" s="72"/>
      <c r="G70" s="72"/>
      <c r="H70" s="72"/>
      <c r="I70" s="72"/>
      <c r="J70" s="72"/>
      <c r="K70" s="72"/>
      <c r="L70" s="72"/>
      <c r="M70" s="72"/>
      <c r="N70" s="72"/>
      <c r="O70" s="73"/>
      <c r="P70" s="73"/>
      <c r="Q70" s="73"/>
      <c r="R70" s="73"/>
      <c r="S70" s="73"/>
      <c r="T70" s="73"/>
      <c r="U70" s="73"/>
      <c r="V70" s="73"/>
      <c r="W70" s="73"/>
      <c r="X70" s="73"/>
      <c r="Y70" s="73"/>
      <c r="Z70" s="73"/>
      <c r="AA70" s="73"/>
      <c r="AB70" s="73"/>
      <c r="AC70" s="3"/>
      <c r="AD70" s="34">
        <v>12</v>
      </c>
      <c r="AE70" s="55" t="str">
        <f t="shared" ca="1" si="42"/>
        <v/>
      </c>
      <c r="AF70" s="86" t="str">
        <f t="shared" ca="1" si="43"/>
        <v/>
      </c>
      <c r="AG70" s="57" t="str">
        <f t="shared" ca="1" si="44"/>
        <v/>
      </c>
      <c r="AH70" s="56" t="str">
        <f t="shared" ca="1" si="45"/>
        <v/>
      </c>
      <c r="AI70" s="57" t="str">
        <f t="shared" ca="1" si="46"/>
        <v/>
      </c>
      <c r="AJ70" s="87" t="str">
        <f t="shared" ca="1" si="47"/>
        <v/>
      </c>
      <c r="AK70" s="320" t="str">
        <f t="shared" si="48"/>
        <v/>
      </c>
      <c r="AL70" s="316"/>
      <c r="AM70" s="316"/>
      <c r="AN70" s="87" t="str">
        <f t="shared" si="49"/>
        <v/>
      </c>
      <c r="AO70" s="12"/>
      <c r="AP70" s="12"/>
    </row>
    <row r="71" spans="1:42" ht="12" customHeight="1">
      <c r="A71" s="72"/>
      <c r="B71" s="72"/>
      <c r="C71" s="72"/>
      <c r="D71" s="72"/>
      <c r="E71" s="72"/>
      <c r="F71" s="72"/>
      <c r="G71" s="72"/>
      <c r="H71" s="72"/>
      <c r="I71" s="72"/>
      <c r="J71" s="72"/>
      <c r="K71" s="72"/>
      <c r="L71" s="72"/>
      <c r="M71" s="72"/>
      <c r="N71" s="72"/>
      <c r="O71" s="73"/>
      <c r="P71" s="73"/>
      <c r="Q71" s="73"/>
      <c r="R71" s="73"/>
      <c r="S71" s="73"/>
      <c r="T71" s="73"/>
      <c r="U71" s="73"/>
      <c r="V71" s="73"/>
      <c r="W71" s="73"/>
      <c r="X71" s="73"/>
      <c r="Y71" s="73"/>
      <c r="Z71" s="73"/>
      <c r="AA71" s="73"/>
      <c r="AB71" s="73"/>
      <c r="AC71" s="3"/>
      <c r="AD71" s="34">
        <v>13</v>
      </c>
      <c r="AE71" s="55" t="str">
        <f t="shared" ca="1" si="42"/>
        <v/>
      </c>
      <c r="AF71" s="86" t="str">
        <f t="shared" ca="1" si="43"/>
        <v/>
      </c>
      <c r="AG71" s="57" t="str">
        <f t="shared" ca="1" si="44"/>
        <v/>
      </c>
      <c r="AH71" s="56" t="str">
        <f t="shared" ca="1" si="45"/>
        <v/>
      </c>
      <c r="AI71" s="57" t="str">
        <f t="shared" ca="1" si="46"/>
        <v/>
      </c>
      <c r="AJ71" s="87" t="str">
        <f t="shared" ca="1" si="47"/>
        <v/>
      </c>
      <c r="AK71" s="320" t="str">
        <f t="shared" si="48"/>
        <v>Aedra &amp; Daedra - Ashtown Villains (42736)</v>
      </c>
      <c r="AL71" s="316"/>
      <c r="AM71" s="316"/>
      <c r="AN71" s="87">
        <f t="shared" si="49"/>
        <v>15000.000000001286</v>
      </c>
      <c r="AO71" s="12"/>
      <c r="AP71" s="12"/>
    </row>
    <row r="72" spans="1:42" ht="12" customHeight="1">
      <c r="A72" s="72"/>
      <c r="B72" s="72"/>
      <c r="C72" s="72"/>
      <c r="D72" s="72"/>
      <c r="E72" s="72"/>
      <c r="F72" s="72"/>
      <c r="G72" s="72"/>
      <c r="H72" s="72"/>
      <c r="I72" s="72"/>
      <c r="J72" s="72"/>
      <c r="K72" s="72"/>
      <c r="L72" s="72"/>
      <c r="M72" s="72"/>
      <c r="N72" s="72"/>
      <c r="O72" s="73"/>
      <c r="P72" s="73"/>
      <c r="Q72" s="73"/>
      <c r="R72" s="73"/>
      <c r="S72" s="73"/>
      <c r="T72" s="73"/>
      <c r="U72" s="73"/>
      <c r="V72" s="73"/>
      <c r="W72" s="73"/>
      <c r="X72" s="73"/>
      <c r="Y72" s="73"/>
      <c r="Z72" s="73"/>
      <c r="AA72" s="73"/>
      <c r="AB72" s="73"/>
      <c r="AC72" s="3"/>
      <c r="AD72" s="34">
        <v>14</v>
      </c>
      <c r="AE72" s="55" t="str">
        <f t="shared" ca="1" si="42"/>
        <v/>
      </c>
      <c r="AF72" s="86" t="str">
        <f t="shared" ca="1" si="43"/>
        <v/>
      </c>
      <c r="AG72" s="57" t="str">
        <f t="shared" ca="1" si="44"/>
        <v/>
      </c>
      <c r="AH72" s="56" t="str">
        <f t="shared" ca="1" si="45"/>
        <v/>
      </c>
      <c r="AI72" s="57" t="str">
        <f t="shared" ca="1" si="46"/>
        <v/>
      </c>
      <c r="AJ72" s="87" t="str">
        <f t="shared" ca="1" si="47"/>
        <v/>
      </c>
      <c r="AK72" s="320" t="str">
        <f t="shared" si="48"/>
        <v/>
      </c>
      <c r="AL72" s="316"/>
      <c r="AM72" s="316"/>
      <c r="AN72" s="87" t="str">
        <f t="shared" si="49"/>
        <v/>
      </c>
      <c r="AO72" s="12"/>
      <c r="AP72" s="12"/>
    </row>
    <row r="73" spans="1:42" ht="12" customHeight="1">
      <c r="A73" s="72"/>
      <c r="B73" s="72"/>
      <c r="C73" s="72"/>
      <c r="D73" s="72"/>
      <c r="E73" s="72"/>
      <c r="F73" s="72"/>
      <c r="G73" s="72"/>
      <c r="H73" s="72"/>
      <c r="I73" s="72"/>
      <c r="J73" s="72"/>
      <c r="K73" s="72"/>
      <c r="L73" s="72"/>
      <c r="M73" s="72"/>
      <c r="N73" s="72"/>
      <c r="O73" s="73"/>
      <c r="P73" s="73"/>
      <c r="Q73" s="73"/>
      <c r="R73" s="73"/>
      <c r="S73" s="73"/>
      <c r="T73" s="73"/>
      <c r="U73" s="73"/>
      <c r="V73" s="73"/>
      <c r="W73" s="73"/>
      <c r="X73" s="73"/>
      <c r="Y73" s="73"/>
      <c r="Z73" s="73"/>
      <c r="AA73" s="73"/>
      <c r="AB73" s="73"/>
      <c r="AC73" s="3"/>
      <c r="AD73" s="34">
        <v>15</v>
      </c>
      <c r="AE73" s="55" t="str">
        <f t="shared" ca="1" si="42"/>
        <v/>
      </c>
      <c r="AF73" s="86" t="str">
        <f t="shared" ca="1" si="43"/>
        <v/>
      </c>
      <c r="AG73" s="57" t="str">
        <f t="shared" ca="1" si="44"/>
        <v/>
      </c>
      <c r="AH73" s="56" t="str">
        <f t="shared" ca="1" si="45"/>
        <v/>
      </c>
      <c r="AI73" s="57" t="str">
        <f t="shared" ca="1" si="46"/>
        <v/>
      </c>
      <c r="AJ73" s="87" t="str">
        <f t="shared" ca="1" si="47"/>
        <v/>
      </c>
      <c r="AK73" s="320" t="str">
        <f t="shared" si="48"/>
        <v>Wrath of the Month - Aedra &amp; Daedra</v>
      </c>
      <c r="AL73" s="316"/>
      <c r="AM73" s="316"/>
      <c r="AN73" s="87">
        <f t="shared" si="49"/>
        <v>14000.000000001286</v>
      </c>
      <c r="AO73" s="12"/>
      <c r="AP73" s="12"/>
    </row>
    <row r="74" spans="1:42" ht="12" customHeight="1">
      <c r="A74" s="72"/>
      <c r="B74" s="72"/>
      <c r="C74" s="72"/>
      <c r="D74" s="72"/>
      <c r="E74" s="72"/>
      <c r="F74" s="72"/>
      <c r="G74" s="72"/>
      <c r="H74" s="72"/>
      <c r="I74" s="72"/>
      <c r="J74" s="72"/>
      <c r="K74" s="72"/>
      <c r="L74" s="72"/>
      <c r="M74" s="72"/>
      <c r="N74" s="72"/>
      <c r="O74" s="73"/>
      <c r="P74" s="73"/>
      <c r="Q74" s="73"/>
      <c r="R74" s="73"/>
      <c r="S74" s="73"/>
      <c r="T74" s="73"/>
      <c r="U74" s="73"/>
      <c r="V74" s="73"/>
      <c r="W74" s="73"/>
      <c r="X74" s="73"/>
      <c r="Y74" s="73"/>
      <c r="Z74" s="73"/>
      <c r="AA74" s="73"/>
      <c r="AB74" s="73"/>
      <c r="AC74" s="3"/>
      <c r="AD74" s="34">
        <v>16</v>
      </c>
      <c r="AE74" s="55" t="str">
        <f t="shared" ca="1" si="42"/>
        <v/>
      </c>
      <c r="AF74" s="86" t="str">
        <f t="shared" ca="1" si="43"/>
        <v/>
      </c>
      <c r="AG74" s="57" t="str">
        <f t="shared" ca="1" si="44"/>
        <v/>
      </c>
      <c r="AH74" s="56" t="str">
        <f t="shared" ca="1" si="45"/>
        <v/>
      </c>
      <c r="AI74" s="57" t="str">
        <f t="shared" ca="1" si="46"/>
        <v/>
      </c>
      <c r="AJ74" s="87" t="str">
        <f t="shared" ca="1" si="47"/>
        <v/>
      </c>
      <c r="AK74" s="320" t="str">
        <f t="shared" si="48"/>
        <v>Sylvania Suckhawks - Population: Orc (42747)</v>
      </c>
      <c r="AL74" s="316"/>
      <c r="AM74" s="316"/>
      <c r="AN74" s="87">
        <f t="shared" si="49"/>
        <v>12000.000000128572</v>
      </c>
      <c r="AO74" s="12"/>
      <c r="AP74" s="12"/>
    </row>
    <row r="75" spans="1:42" ht="12" customHeight="1">
      <c r="A75" s="72"/>
      <c r="B75" s="72"/>
      <c r="C75" s="72"/>
      <c r="D75" s="72"/>
      <c r="E75" s="72"/>
      <c r="F75" s="72"/>
      <c r="G75" s="72"/>
      <c r="H75" s="72"/>
      <c r="I75" s="72"/>
      <c r="J75" s="72"/>
      <c r="K75" s="72"/>
      <c r="L75" s="72"/>
      <c r="M75" s="72"/>
      <c r="N75" s="72"/>
      <c r="O75" s="73"/>
      <c r="P75" s="73"/>
      <c r="Q75" s="73"/>
      <c r="R75" s="73"/>
      <c r="S75" s="73"/>
      <c r="T75" s="73"/>
      <c r="U75" s="73"/>
      <c r="V75" s="73"/>
      <c r="W75" s="73"/>
      <c r="X75" s="73"/>
      <c r="Y75" s="73"/>
      <c r="Z75" s="73"/>
      <c r="AA75" s="73"/>
      <c r="AB75" s="73"/>
      <c r="AC75" s="3"/>
      <c r="AD75" s="34">
        <v>17</v>
      </c>
      <c r="AE75" s="55" t="str">
        <f t="shared" ca="1" si="42"/>
        <v/>
      </c>
      <c r="AF75" s="86" t="str">
        <f t="shared" ca="1" si="43"/>
        <v/>
      </c>
      <c r="AG75" s="57" t="str">
        <f t="shared" ca="1" si="44"/>
        <v/>
      </c>
      <c r="AH75" s="56" t="str">
        <f t="shared" ca="1" si="45"/>
        <v/>
      </c>
      <c r="AI75" s="57" t="str">
        <f t="shared" ca="1" si="46"/>
        <v/>
      </c>
      <c r="AJ75" s="87" t="str">
        <f t="shared" ca="1" si="47"/>
        <v/>
      </c>
      <c r="AK75" s="320" t="str">
        <f t="shared" si="48"/>
        <v>Wrath of the Month - Population: Orc (42742)</v>
      </c>
      <c r="AL75" s="316"/>
      <c r="AM75" s="316"/>
      <c r="AN75" s="87">
        <f t="shared" si="49"/>
        <v>12000.000000001286</v>
      </c>
      <c r="AO75" s="12"/>
      <c r="AP75" s="12"/>
    </row>
    <row r="76" spans="1:42" ht="12" customHeight="1">
      <c r="A76" s="72"/>
      <c r="B76" s="72"/>
      <c r="C76" s="72"/>
      <c r="D76" s="72"/>
      <c r="E76" s="72"/>
      <c r="F76" s="72"/>
      <c r="G76" s="72"/>
      <c r="H76" s="72"/>
      <c r="I76" s="72"/>
      <c r="J76" s="72"/>
      <c r="K76" s="72"/>
      <c r="L76" s="72"/>
      <c r="M76" s="72"/>
      <c r="N76" s="72"/>
      <c r="O76" s="73"/>
      <c r="P76" s="73"/>
      <c r="Q76" s="73"/>
      <c r="R76" s="73"/>
      <c r="S76" s="73"/>
      <c r="T76" s="73"/>
      <c r="U76" s="73"/>
      <c r="V76" s="73"/>
      <c r="W76" s="73"/>
      <c r="X76" s="73"/>
      <c r="Y76" s="73"/>
      <c r="Z76" s="73"/>
      <c r="AA76" s="73"/>
      <c r="AB76" s="73"/>
      <c r="AC76" s="3"/>
      <c r="AD76" s="34">
        <v>18</v>
      </c>
      <c r="AE76" s="55" t="str">
        <f t="shared" ca="1" si="42"/>
        <v/>
      </c>
      <c r="AF76" s="86" t="str">
        <f t="shared" ca="1" si="43"/>
        <v/>
      </c>
      <c r="AG76" s="57" t="str">
        <f t="shared" ca="1" si="44"/>
        <v/>
      </c>
      <c r="AH76" s="56" t="str">
        <f t="shared" ca="1" si="45"/>
        <v/>
      </c>
      <c r="AI76" s="57" t="str">
        <f t="shared" ca="1" si="46"/>
        <v/>
      </c>
      <c r="AJ76" s="87" t="str">
        <f t="shared" ca="1" si="47"/>
        <v/>
      </c>
      <c r="AK76" s="320" t="str">
        <f t="shared" si="48"/>
        <v>Guardians of the Nile - Wrath of the Month (42745)</v>
      </c>
      <c r="AL76" s="316"/>
      <c r="AM76" s="316"/>
      <c r="AN76" s="87">
        <f t="shared" si="49"/>
        <v>1.2857142770816327E-9</v>
      </c>
      <c r="AO76" s="12"/>
      <c r="AP76" s="12"/>
    </row>
    <row r="77" spans="1:42" ht="12" customHeight="1">
      <c r="A77" s="72"/>
      <c r="B77" s="72"/>
      <c r="C77" s="72"/>
      <c r="D77" s="72"/>
      <c r="E77" s="72"/>
      <c r="F77" s="72"/>
      <c r="G77" s="72"/>
      <c r="H77" s="72"/>
      <c r="I77" s="72"/>
      <c r="J77" s="72"/>
      <c r="K77" s="72"/>
      <c r="L77" s="72"/>
      <c r="M77" s="72"/>
      <c r="N77" s="72"/>
      <c r="O77" s="73"/>
      <c r="P77" s="73"/>
      <c r="Q77" s="73"/>
      <c r="R77" s="73"/>
      <c r="S77" s="73"/>
      <c r="T77" s="73"/>
      <c r="U77" s="73"/>
      <c r="V77" s="73"/>
      <c r="W77" s="73"/>
      <c r="X77" s="73"/>
      <c r="Y77" s="73"/>
      <c r="Z77" s="73"/>
      <c r="AA77" s="73"/>
      <c r="AB77" s="73"/>
      <c r="AC77" s="3"/>
      <c r="AD77" s="34">
        <v>19</v>
      </c>
      <c r="AE77" s="55" t="str">
        <f t="shared" ca="1" si="42"/>
        <v/>
      </c>
      <c r="AF77" s="86" t="str">
        <f t="shared" ca="1" si="43"/>
        <v/>
      </c>
      <c r="AG77" s="57" t="str">
        <f t="shared" ca="1" si="44"/>
        <v/>
      </c>
      <c r="AH77" s="56" t="str">
        <f t="shared" ca="1" si="45"/>
        <v/>
      </c>
      <c r="AI77" s="57" t="str">
        <f t="shared" ca="1" si="46"/>
        <v/>
      </c>
      <c r="AJ77" s="87" t="str">
        <f t="shared" ca="1" si="47"/>
        <v/>
      </c>
      <c r="AK77" s="320" t="str">
        <f t="shared" si="48"/>
        <v>Sylvania Suckhawks - Guardians of the Nile (42745)</v>
      </c>
      <c r="AL77" s="316"/>
      <c r="AM77" s="316"/>
      <c r="AN77" s="87">
        <f t="shared" si="49"/>
        <v>1.2857142721224492E-9</v>
      </c>
      <c r="AO77" s="12"/>
      <c r="AP77" s="12"/>
    </row>
    <row r="78" spans="1:42" ht="12" customHeight="1">
      <c r="A78" s="72"/>
      <c r="B78" s="72"/>
      <c r="C78" s="72"/>
      <c r="D78" s="72"/>
      <c r="E78" s="72"/>
      <c r="F78" s="72"/>
      <c r="G78" s="72"/>
      <c r="H78" s="72"/>
      <c r="I78" s="72"/>
      <c r="J78" s="72"/>
      <c r="K78" s="72"/>
      <c r="L78" s="72"/>
      <c r="M78" s="72"/>
      <c r="N78" s="72"/>
      <c r="O78" s="73"/>
      <c r="P78" s="73"/>
      <c r="Q78" s="73"/>
      <c r="R78" s="73"/>
      <c r="S78" s="73"/>
      <c r="T78" s="73"/>
      <c r="U78" s="73"/>
      <c r="V78" s="73"/>
      <c r="W78" s="73"/>
      <c r="X78" s="73"/>
      <c r="Y78" s="73"/>
      <c r="Z78" s="73"/>
      <c r="AA78" s="73"/>
      <c r="AB78" s="73"/>
      <c r="AC78" s="3"/>
      <c r="AD78" s="34">
        <v>20</v>
      </c>
      <c r="AE78" s="55" t="str">
        <f t="shared" ca="1" si="42"/>
        <v/>
      </c>
      <c r="AF78" s="86" t="str">
        <f t="shared" ca="1" si="43"/>
        <v/>
      </c>
      <c r="AG78" s="57" t="str">
        <f t="shared" ca="1" si="44"/>
        <v/>
      </c>
      <c r="AH78" s="56" t="str">
        <f t="shared" ca="1" si="45"/>
        <v/>
      </c>
      <c r="AI78" s="57" t="str">
        <f t="shared" ca="1" si="46"/>
        <v/>
      </c>
      <c r="AJ78" s="87" t="str">
        <f t="shared" ca="1" si="47"/>
        <v/>
      </c>
      <c r="AK78" s="320" t="str">
        <f t="shared" si="48"/>
        <v>Hellions of Troy - Aedra &amp; Daedra</v>
      </c>
      <c r="AL78" s="316"/>
      <c r="AM78" s="316"/>
      <c r="AN78" s="87">
        <f t="shared" si="49"/>
        <v>1.2857142555918375E-9</v>
      </c>
      <c r="AO78" s="12"/>
      <c r="AP78" s="12"/>
    </row>
    <row r="79" spans="1:42" ht="12" customHeight="1">
      <c r="A79" s="72"/>
      <c r="B79" s="72"/>
      <c r="C79" s="72"/>
      <c r="D79" s="72"/>
      <c r="E79" s="72"/>
      <c r="F79" s="72"/>
      <c r="G79" s="72"/>
      <c r="H79" s="72"/>
      <c r="I79" s="72"/>
      <c r="J79" s="72"/>
      <c r="K79" s="72"/>
      <c r="L79" s="72"/>
      <c r="M79" s="72"/>
      <c r="N79" s="72"/>
      <c r="O79" s="73"/>
      <c r="P79" s="73"/>
      <c r="Q79" s="73"/>
      <c r="R79" s="73"/>
      <c r="S79" s="73"/>
      <c r="T79" s="73"/>
      <c r="U79" s="73"/>
      <c r="V79" s="73"/>
      <c r="W79" s="73"/>
      <c r="X79" s="73"/>
      <c r="Y79" s="73"/>
      <c r="Z79" s="73"/>
      <c r="AA79" s="73"/>
      <c r="AB79" s="73"/>
      <c r="AC79" s="3"/>
      <c r="AD79" s="34">
        <v>21</v>
      </c>
      <c r="AE79" s="55" t="str">
        <f t="shared" ca="1" si="42"/>
        <v/>
      </c>
      <c r="AF79" s="86" t="str">
        <f t="shared" ca="1" si="43"/>
        <v/>
      </c>
      <c r="AG79" s="57" t="str">
        <f t="shared" ca="1" si="44"/>
        <v/>
      </c>
      <c r="AH79" s="56" t="str">
        <f t="shared" ca="1" si="45"/>
        <v/>
      </c>
      <c r="AI79" s="57" t="str">
        <f t="shared" ca="1" si="46"/>
        <v/>
      </c>
      <c r="AJ79" s="87" t="str">
        <f t="shared" ca="1" si="47"/>
        <v/>
      </c>
      <c r="AK79" s="320" t="str">
        <f t="shared" si="48"/>
        <v>Hellions of Troy - Population: Orc (42794)</v>
      </c>
      <c r="AL79" s="316"/>
      <c r="AM79" s="316"/>
      <c r="AN79" s="87">
        <f t="shared" si="49"/>
        <v>1.2857142539387762E-9</v>
      </c>
      <c r="AO79" s="12"/>
      <c r="AP79" s="12"/>
    </row>
    <row r="80" spans="1:42" ht="12" customHeight="1">
      <c r="A80" s="72"/>
      <c r="B80" s="72"/>
      <c r="C80" s="72"/>
      <c r="D80" s="72"/>
      <c r="E80" s="72"/>
      <c r="F80" s="72"/>
      <c r="G80" s="72"/>
      <c r="H80" s="72"/>
      <c r="I80" s="72"/>
      <c r="J80" s="72"/>
      <c r="K80" s="72"/>
      <c r="L80" s="72"/>
      <c r="M80" s="72"/>
      <c r="N80" s="72"/>
      <c r="O80" s="73"/>
      <c r="P80" s="73"/>
      <c r="Q80" s="73"/>
      <c r="R80" s="73"/>
      <c r="S80" s="73"/>
      <c r="T80" s="73"/>
      <c r="U80" s="73"/>
      <c r="V80" s="73"/>
      <c r="W80" s="73"/>
      <c r="X80" s="73"/>
      <c r="Y80" s="73"/>
      <c r="Z80" s="73"/>
      <c r="AA80" s="73"/>
      <c r="AB80" s="73"/>
      <c r="AC80" s="3"/>
      <c r="AD80" s="34">
        <v>22</v>
      </c>
      <c r="AE80" s="55" t="str">
        <f t="shared" ca="1" si="42"/>
        <v/>
      </c>
      <c r="AF80" s="86" t="str">
        <f t="shared" ca="1" si="43"/>
        <v/>
      </c>
      <c r="AG80" s="57" t="str">
        <f t="shared" ca="1" si="44"/>
        <v/>
      </c>
      <c r="AH80" s="56" t="str">
        <f t="shared" ca="1" si="45"/>
        <v/>
      </c>
      <c r="AI80" s="57" t="str">
        <f t="shared" ca="1" si="46"/>
        <v/>
      </c>
      <c r="AJ80" s="87" t="str">
        <f t="shared" ca="1" si="47"/>
        <v/>
      </c>
      <c r="AK80" s="320" t="str">
        <f t="shared" si="48"/>
        <v>Guardians of the Nile - Ashtown Villains (42829)</v>
      </c>
      <c r="AL80" s="316"/>
      <c r="AM80" s="316"/>
      <c r="AN80" s="87">
        <f t="shared" si="49"/>
        <v>1.2857142456734707E-9</v>
      </c>
      <c r="AO80" s="12"/>
      <c r="AP80" s="12"/>
    </row>
    <row r="81" spans="1:42" ht="12" customHeight="1">
      <c r="A81" s="72"/>
      <c r="B81" s="72"/>
      <c r="C81" s="72"/>
      <c r="D81" s="72"/>
      <c r="E81" s="72"/>
      <c r="F81" s="72"/>
      <c r="G81" s="72"/>
      <c r="H81" s="72"/>
      <c r="I81" s="72"/>
      <c r="J81" s="72"/>
      <c r="K81" s="72"/>
      <c r="L81" s="72"/>
      <c r="M81" s="72"/>
      <c r="N81" s="72"/>
      <c r="O81" s="73"/>
      <c r="P81" s="73"/>
      <c r="Q81" s="73"/>
      <c r="R81" s="73"/>
      <c r="S81" s="73"/>
      <c r="T81" s="73"/>
      <c r="U81" s="73"/>
      <c r="V81" s="73"/>
      <c r="W81" s="73"/>
      <c r="X81" s="73"/>
      <c r="Y81" s="73"/>
      <c r="Z81" s="73"/>
      <c r="AA81" s="73"/>
      <c r="AB81" s="73"/>
      <c r="AC81" s="3"/>
      <c r="AD81" s="34">
        <v>23</v>
      </c>
      <c r="AE81" s="55" t="str">
        <f t="shared" ca="1" si="42"/>
        <v/>
      </c>
      <c r="AF81" s="86" t="str">
        <f t="shared" ca="1" si="43"/>
        <v/>
      </c>
      <c r="AG81" s="57" t="str">
        <f t="shared" ca="1" si="44"/>
        <v/>
      </c>
      <c r="AH81" s="56" t="str">
        <f t="shared" ca="1" si="45"/>
        <v/>
      </c>
      <c r="AI81" s="57" t="str">
        <f t="shared" ca="1" si="46"/>
        <v/>
      </c>
      <c r="AJ81" s="87" t="str">
        <f t="shared" ca="1" si="47"/>
        <v/>
      </c>
      <c r="AK81" s="320" t="str">
        <f t="shared" si="48"/>
        <v/>
      </c>
      <c r="AL81" s="316"/>
      <c r="AM81" s="316"/>
      <c r="AN81" s="87" t="str">
        <f t="shared" si="49"/>
        <v/>
      </c>
      <c r="AO81" s="12"/>
      <c r="AP81" s="12"/>
    </row>
    <row r="82" spans="1:42" ht="12" customHeight="1">
      <c r="A82" s="72"/>
      <c r="B82" s="72"/>
      <c r="C82" s="72"/>
      <c r="D82" s="72"/>
      <c r="E82" s="72"/>
      <c r="F82" s="72"/>
      <c r="G82" s="72"/>
      <c r="H82" s="72"/>
      <c r="I82" s="72"/>
      <c r="J82" s="72"/>
      <c r="K82" s="72"/>
      <c r="L82" s="72"/>
      <c r="M82" s="72"/>
      <c r="N82" s="72"/>
      <c r="O82" s="73"/>
      <c r="P82" s="73"/>
      <c r="Q82" s="73"/>
      <c r="R82" s="73"/>
      <c r="S82" s="73"/>
      <c r="T82" s="73"/>
      <c r="U82" s="73"/>
      <c r="V82" s="73"/>
      <c r="W82" s="73"/>
      <c r="X82" s="73"/>
      <c r="Y82" s="73"/>
      <c r="Z82" s="73"/>
      <c r="AA82" s="73"/>
      <c r="AB82" s="73"/>
      <c r="AC82" s="3"/>
      <c r="AD82" s="34">
        <v>24</v>
      </c>
      <c r="AE82" s="55" t="str">
        <f t="shared" ca="1" si="42"/>
        <v/>
      </c>
      <c r="AF82" s="86" t="str">
        <f t="shared" ca="1" si="43"/>
        <v/>
      </c>
      <c r="AG82" s="57" t="str">
        <f t="shared" ca="1" si="44"/>
        <v/>
      </c>
      <c r="AH82" s="56" t="str">
        <f t="shared" ca="1" si="45"/>
        <v/>
      </c>
      <c r="AI82" s="57" t="str">
        <f t="shared" ca="1" si="46"/>
        <v/>
      </c>
      <c r="AJ82" s="87" t="str">
        <f t="shared" ca="1" si="47"/>
        <v/>
      </c>
      <c r="AK82" s="320" t="str">
        <f t="shared" si="48"/>
        <v/>
      </c>
      <c r="AL82" s="316"/>
      <c r="AM82" s="316"/>
      <c r="AN82" s="87" t="str">
        <f t="shared" si="49"/>
        <v/>
      </c>
      <c r="AO82" s="12"/>
      <c r="AP82" s="12"/>
    </row>
    <row r="83" spans="1:42" ht="12" customHeight="1">
      <c r="A83" s="72"/>
      <c r="B83" s="72"/>
      <c r="C83" s="72"/>
      <c r="D83" s="72"/>
      <c r="E83" s="72"/>
      <c r="F83" s="72"/>
      <c r="G83" s="72"/>
      <c r="H83" s="72"/>
      <c r="I83" s="72"/>
      <c r="J83" s="72"/>
      <c r="K83" s="72"/>
      <c r="L83" s="72"/>
      <c r="M83" s="72"/>
      <c r="N83" s="72"/>
      <c r="O83" s="73"/>
      <c r="P83" s="73"/>
      <c r="Q83" s="73"/>
      <c r="R83" s="73"/>
      <c r="S83" s="73"/>
      <c r="T83" s="73"/>
      <c r="U83" s="73"/>
      <c r="V83" s="73"/>
      <c r="W83" s="73"/>
      <c r="X83" s="73"/>
      <c r="Y83" s="73"/>
      <c r="Z83" s="73"/>
      <c r="AA83" s="73"/>
      <c r="AB83" s="73"/>
      <c r="AC83" s="3"/>
      <c r="AD83" s="83">
        <v>25</v>
      </c>
      <c r="AE83" s="55" t="str">
        <f t="shared" ca="1" si="42"/>
        <v/>
      </c>
      <c r="AF83" s="86" t="str">
        <f t="shared" ca="1" si="43"/>
        <v/>
      </c>
      <c r="AG83" s="57" t="str">
        <f t="shared" ca="1" si="44"/>
        <v/>
      </c>
      <c r="AH83" s="56" t="str">
        <f t="shared" ca="1" si="45"/>
        <v/>
      </c>
      <c r="AI83" s="57" t="str">
        <f t="shared" ca="1" si="46"/>
        <v/>
      </c>
      <c r="AJ83" s="87" t="str">
        <f t="shared" ca="1" si="47"/>
        <v/>
      </c>
      <c r="AK83" s="320" t="str">
        <f t="shared" si="48"/>
        <v/>
      </c>
      <c r="AL83" s="316"/>
      <c r="AM83" s="316"/>
      <c r="AN83" s="87" t="str">
        <f t="shared" si="49"/>
        <v/>
      </c>
      <c r="AO83" s="12"/>
      <c r="AP83" s="12"/>
    </row>
  </sheetData>
  <mergeCells count="43">
    <mergeCell ref="AK59:AM59"/>
    <mergeCell ref="AK67:AM67"/>
    <mergeCell ref="AI30:AJ30"/>
    <mergeCell ref="AM30:AN30"/>
    <mergeCell ref="AK30:AL30"/>
    <mergeCell ref="AK66:AM66"/>
    <mergeCell ref="AE1:AH1"/>
    <mergeCell ref="AE2:AF2"/>
    <mergeCell ref="AG2:AH2"/>
    <mergeCell ref="AK2:AL2"/>
    <mergeCell ref="AI2:AJ2"/>
    <mergeCell ref="AM2:AN2"/>
    <mergeCell ref="AE57:AH57"/>
    <mergeCell ref="AE58:AF58"/>
    <mergeCell ref="AG58:AH58"/>
    <mergeCell ref="AI58:AJ58"/>
    <mergeCell ref="AK58:AN58"/>
    <mergeCell ref="AE30:AF30"/>
    <mergeCell ref="AG30:AH30"/>
    <mergeCell ref="AE29:AH29"/>
    <mergeCell ref="A28:AB28"/>
    <mergeCell ref="AK60:AM60"/>
    <mergeCell ref="AK61:AM61"/>
    <mergeCell ref="AK81:AM81"/>
    <mergeCell ref="AK82:AM82"/>
    <mergeCell ref="AK64:AM64"/>
    <mergeCell ref="AK65:AM65"/>
    <mergeCell ref="AK71:AM71"/>
    <mergeCell ref="AK72:AM72"/>
    <mergeCell ref="AK70:AM70"/>
    <mergeCell ref="AK69:AM69"/>
    <mergeCell ref="AK80:AM80"/>
    <mergeCell ref="AK79:AM79"/>
    <mergeCell ref="AK68:AM68"/>
    <mergeCell ref="AK62:AM62"/>
    <mergeCell ref="AK63:AM63"/>
    <mergeCell ref="AK83:AM83"/>
    <mergeCell ref="AK74:AM74"/>
    <mergeCell ref="AK73:AM73"/>
    <mergeCell ref="AK78:AM78"/>
    <mergeCell ref="AK75:AM75"/>
    <mergeCell ref="AK76:AM76"/>
    <mergeCell ref="AK77:AM77"/>
  </mergeCells>
  <dataValidations count="1">
    <dataValidation type="list" allowBlank="1" showErrorMessage="1" sqref="AP3:AP27">
      <formula1>GameTypes</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E504"/>
  <sheetViews>
    <sheetView workbookViewId="0"/>
  </sheetViews>
  <sheetFormatPr defaultColWidth="14.42578125" defaultRowHeight="15" customHeight="1"/>
  <cols>
    <col min="1" max="6" width="3.85546875" customWidth="1"/>
    <col min="7" max="7" width="30.140625" customWidth="1"/>
    <col min="8" max="8" width="16.42578125" customWidth="1"/>
    <col min="9" max="9" width="3" customWidth="1"/>
    <col min="10" max="10" width="4" customWidth="1"/>
    <col min="11" max="11" width="26" customWidth="1"/>
    <col min="12" max="16" width="4.42578125" customWidth="1"/>
    <col min="17" max="17" width="4.5703125" customWidth="1"/>
    <col min="18" max="18" width="11.42578125" customWidth="1"/>
    <col min="19" max="19" width="3.85546875" customWidth="1"/>
    <col min="20" max="20" width="2.85546875" customWidth="1"/>
    <col min="21" max="21" width="18.85546875" customWidth="1"/>
    <col min="22" max="22" width="14.28515625" customWidth="1"/>
    <col min="23" max="23" width="20" customWidth="1"/>
    <col min="24" max="25" width="3.7109375" customWidth="1"/>
    <col min="26" max="26" width="2.85546875" customWidth="1"/>
    <col min="27" max="27" width="18.5703125" customWidth="1"/>
    <col min="28" max="28" width="14.28515625" customWidth="1"/>
    <col min="29" max="29" width="20" customWidth="1"/>
    <col min="30" max="30" width="3.7109375" customWidth="1"/>
    <col min="31" max="31" width="2.42578125" customWidth="1"/>
  </cols>
  <sheetData>
    <row r="1" spans="1:31" ht="33" customHeight="1">
      <c r="A1" s="331" t="s">
        <v>116</v>
      </c>
      <c r="B1" s="316"/>
      <c r="C1" s="316"/>
      <c r="D1" s="316"/>
      <c r="E1" s="316"/>
      <c r="F1" s="316"/>
      <c r="G1" s="332" t="s">
        <v>117</v>
      </c>
      <c r="H1" s="316"/>
      <c r="I1" s="316"/>
      <c r="J1" s="316"/>
      <c r="K1" s="316"/>
      <c r="L1" s="333" t="s">
        <v>118</v>
      </c>
      <c r="M1" s="316"/>
      <c r="N1" s="316"/>
      <c r="O1" s="316"/>
      <c r="P1" s="316"/>
      <c r="Q1" s="316"/>
      <c r="R1" s="2"/>
      <c r="S1" s="2"/>
      <c r="T1" s="315" t="s">
        <v>119</v>
      </c>
      <c r="U1" s="316"/>
      <c r="V1" s="316"/>
      <c r="W1" s="316"/>
      <c r="X1" s="316"/>
      <c r="Y1" s="316"/>
      <c r="Z1" s="316"/>
      <c r="AA1" s="316"/>
      <c r="AB1" s="316"/>
      <c r="AC1" s="316"/>
      <c r="AD1" s="316"/>
      <c r="AE1" s="2"/>
    </row>
    <row r="2" spans="1:31" ht="22.5" customHeight="1">
      <c r="A2" s="88" t="s">
        <v>120</v>
      </c>
      <c r="B2" s="88" t="s">
        <v>20</v>
      </c>
      <c r="C2" s="88" t="s">
        <v>121</v>
      </c>
      <c r="D2" s="88" t="s">
        <v>122</v>
      </c>
      <c r="E2" s="88" t="s">
        <v>123</v>
      </c>
      <c r="F2" s="88" t="s">
        <v>124</v>
      </c>
      <c r="G2" s="89" t="s">
        <v>125</v>
      </c>
      <c r="H2" s="89" t="s">
        <v>126</v>
      </c>
      <c r="I2" s="89" t="s">
        <v>127</v>
      </c>
      <c r="J2" s="90" t="s">
        <v>128</v>
      </c>
      <c r="K2" s="89" t="s">
        <v>4</v>
      </c>
      <c r="L2" s="91" t="s">
        <v>120</v>
      </c>
      <c r="M2" s="91" t="s">
        <v>20</v>
      </c>
      <c r="N2" s="91" t="s">
        <v>121</v>
      </c>
      <c r="O2" s="91" t="s">
        <v>122</v>
      </c>
      <c r="P2" s="91" t="s">
        <v>123</v>
      </c>
      <c r="Q2" s="91" t="s">
        <v>124</v>
      </c>
      <c r="R2" s="2"/>
      <c r="S2" s="2"/>
      <c r="T2" s="43"/>
      <c r="U2" s="326" t="s">
        <v>129</v>
      </c>
      <c r="V2" s="329"/>
      <c r="W2" s="329"/>
      <c r="X2" s="324"/>
      <c r="Y2" s="92"/>
      <c r="Z2" s="43"/>
      <c r="AA2" s="326" t="s">
        <v>130</v>
      </c>
      <c r="AB2" s="329"/>
      <c r="AC2" s="329"/>
      <c r="AD2" s="324"/>
      <c r="AE2" s="2"/>
    </row>
    <row r="3" spans="1:31" ht="13.5" customHeight="1">
      <c r="A3" s="88">
        <f t="shared" ref="A3:A66" ca="1" si="0">IF(L3&lt;1,"",RANK(L3,PSTAT_CP))</f>
        <v>3</v>
      </c>
      <c r="B3" s="88">
        <f t="shared" ref="B3:B66" ca="1" si="1">IF(M3&lt;1,"",RANK(M3,PSTAT_TD))</f>
        <v>3</v>
      </c>
      <c r="C3" s="88" t="str">
        <f t="shared" ref="C3:C66" ca="1" si="2">IF(N3&lt;1,"",RANK(N3,PSTAT_IN))</f>
        <v/>
      </c>
      <c r="D3" s="88">
        <f t="shared" ref="D3:D66" ca="1" si="3">IF(O3&lt;1,"",RANK(O3,PSTAT_CS))</f>
        <v>11</v>
      </c>
      <c r="E3" s="88">
        <f t="shared" ref="E3:E66" ca="1" si="4">IF(P3&lt;1,"",RANK(P3,PSTAT_VP))</f>
        <v>2</v>
      </c>
      <c r="F3" s="88">
        <f t="shared" ref="F3:F66" ca="1" si="5">IF(Q3&lt;1,"",RANK(Q3,PSTAT_SP))</f>
        <v>2</v>
      </c>
      <c r="G3" s="89" t="str">
        <f t="array" aca="1" ref="G3" ca="1">IF(INDEX(ExistsTx,$I3,2),IF(INDIRECT("'T"&amp;$I3&amp;"'!$D$"&amp;($J3+5),TRUE)=0,T_NoName,INDIRECT("'T"&amp;$I3&amp;"'!$D$"&amp;($J3+5),TRUE)),"")</f>
        <v>Lord Joshua Pvortis</v>
      </c>
      <c r="H3" s="89" t="str">
        <f t="array" aca="1" ref="H3" ca="1">IF(INDEX(ExistsTx,$I3,2),INDIRECT("'T"&amp;$I3&amp;"'!$E$"&amp;($J3+5),TRUE),0)</f>
        <v>Vampire</v>
      </c>
      <c r="I3" s="90">
        <v>1</v>
      </c>
      <c r="J3" s="90">
        <v>1</v>
      </c>
      <c r="K3" s="89" t="str">
        <f t="array" aca="1" ref="K3" ca="1">INDEX(ListTeams,$I3,1)</f>
        <v>Sylvania Suckhawks</v>
      </c>
      <c r="L3" s="91">
        <f t="array" aca="1" ref="L3" ca="1">IF(OR(NOT(INDEX(ExistsTx,$I3,2)),$H3=0),0,INDIRECT("'T"&amp;$I3&amp;"'!$M$"&amp;($J3+5),TRUE)+((1000-ROW())/10000000000000))</f>
        <v>3.0000000000996998</v>
      </c>
      <c r="M3" s="91">
        <f t="array" aca="1" ref="M3" ca="1">IF(OR(NOT(INDEX(ExistsTx,$I3,2)),$H3=0),0,INDIRECT("'T"&amp;$I3&amp;"'!$N$"&amp;($J3+5),TRUE)+((1000-ROW())/10000000000000))</f>
        <v>3.0000000000996998</v>
      </c>
      <c r="N3" s="91">
        <f t="array" aca="1" ref="N3" ca="1">IF(OR(NOT(INDEX(ExistsTx,$I3,2)),$H3=0),0,INDIRECT("'T"&amp;$I3&amp;"'!$O$"&amp;($J3+5),TRUE)+((1000-ROW())/10000000000000))</f>
        <v>9.9700000000000002E-11</v>
      </c>
      <c r="O3" s="91">
        <f t="array" aca="1" ref="O3" ca="1">IF(OR(NOT(INDEX(ExistsTx,$I3,2)),$H3=0),0,INDIRECT("'T"&amp;$I3&amp;"'!$P$"&amp;($J3+5),TRUE)+((1000-ROW())/10000000000000))</f>
        <v>1.0000000000997</v>
      </c>
      <c r="P3" s="91">
        <f t="array" aca="1" ref="P3" ca="1">IF(OR(NOT(INDEX(ExistsTx,$I3,2)),$H3=0),0,INDIRECT("'T"&amp;$I3&amp;"'!$Q$"&amp;($J3+5),TRUE)+((1000-ROW())/10000000000000))</f>
        <v>2.0000000000996998</v>
      </c>
      <c r="Q3" s="91">
        <f t="shared" ref="Q3:Q66" ca="1" si="6">L3*SPP_CP+M3*SPP_TD+N3*SPP_IN+O3*SPP_CS+P3*SPP_VP+((1000-ROW())/777777777)</f>
        <v>24.000001283153242</v>
      </c>
      <c r="R3" s="2"/>
      <c r="S3" s="2"/>
      <c r="T3" s="34">
        <v>1</v>
      </c>
      <c r="U3" s="49" t="str">
        <f t="shared" ref="U3:U27" ca="1" si="7">IF(T3&lt;=PCOUNT_SP,VLOOKUP($T3,OFFSET(PSTATS,0,5),2,FALSE),"")</f>
        <v>Orc Donovan</v>
      </c>
      <c r="V3" s="49" t="str">
        <f t="shared" ref="V3:V27" ca="1" si="8">IF(T3&lt;=PCOUNT_SP,VLOOKUP($T3,OFFSET(PSTATS,0,5),3,FALSE),"")</f>
        <v>Black Orc Blocker</v>
      </c>
      <c r="W3" s="49" t="str">
        <f t="shared" ref="W3:W27" ca="1" si="9">IF(T3&lt;=PCOUNT_SP,VLOOKUP($T3,OFFSET(PSTATS,0,5),6,FALSE),"")</f>
        <v>OrCares</v>
      </c>
      <c r="X3" s="93">
        <f t="shared" ref="X3:X27" ca="1" si="10">IF(T3&lt;=PCOUNT_SP,VLOOKUP($T3,OFFSET(PSTATS,0,5),12,FALSE),"")</f>
        <v>26.000001199497319</v>
      </c>
      <c r="Y3" s="94"/>
      <c r="Z3" s="34">
        <v>1</v>
      </c>
      <c r="AA3" s="49" t="str">
        <f t="shared" ref="AA3:AA27" ca="1" si="11">IF($Z3&lt;=PCOUNT_TD,VLOOKUP($Z3,OFFSET(PSTATS,0,1),6,FALSE),"")</f>
        <v>Ptah</v>
      </c>
      <c r="AB3" s="49" t="str">
        <f t="shared" ref="AB3:AB27" ca="1" si="12">IF($Z3&lt;=PCOUNT_TD,VLOOKUP($Z3,OFFSET(PSTATS,0,1),7,FALSE),"")</f>
        <v>Skink</v>
      </c>
      <c r="AC3" s="49" t="str">
        <f t="shared" ref="AC3:AC27" ca="1" si="13">IF($Z3&lt;=PCOUNT_TD,VLOOKUP($Z3,OFFSET(PSTATS,0,1),10,FALSE),"")</f>
        <v>Guardians of the Nile</v>
      </c>
      <c r="AD3" s="93">
        <f t="shared" ref="AD3:AD27" ca="1" si="14">IF($Z3&lt;=PCOUNT_TD,VLOOKUP($Z3,OFFSET(PSTATS,0,1),12,FALSE),"")</f>
        <v>7.0000000000906999</v>
      </c>
      <c r="AE3" s="2"/>
    </row>
    <row r="4" spans="1:31" ht="12.75" customHeight="1">
      <c r="A4" s="88">
        <f t="shared" ca="1" si="0"/>
        <v>8</v>
      </c>
      <c r="B4" s="88">
        <f t="shared" ca="1" si="1"/>
        <v>12</v>
      </c>
      <c r="C4" s="88" t="str">
        <f t="shared" ca="1" si="2"/>
        <v/>
      </c>
      <c r="D4" s="88">
        <f t="shared" ca="1" si="3"/>
        <v>4</v>
      </c>
      <c r="E4" s="88">
        <f t="shared" ca="1" si="4"/>
        <v>3</v>
      </c>
      <c r="F4" s="88">
        <f t="shared" ca="1" si="5"/>
        <v>4</v>
      </c>
      <c r="G4" s="89" t="str">
        <f t="array" aca="1" ref="G4" ca="1">IF(INDEX(ExistsTx,$I4,2),IF(INDIRECT("'T"&amp;$I4&amp;"'!$D$"&amp;($J4+5),TRUE)=0,T_NoName,INDIRECT("'T"&amp;$I4&amp;"'!$D$"&amp;($J4+5),TRUE)),"")</f>
        <v>Count Russel Wilhelms</v>
      </c>
      <c r="H4" s="89" t="str">
        <f t="array" aca="1" ref="H4" ca="1">IF(INDEX(ExistsTx,$I4,2),INDIRECT("'T"&amp;$I4&amp;"'!$E$"&amp;($J4+5),TRUE),0)</f>
        <v>Vampire</v>
      </c>
      <c r="I4" s="90">
        <v>1</v>
      </c>
      <c r="J4" s="90">
        <v>2</v>
      </c>
      <c r="K4" s="89" t="str">
        <f t="array" aca="1" ref="K4" ca="1">INDEX(ListTeams,$I4,1)</f>
        <v>Sylvania Suckhawks</v>
      </c>
      <c r="L4" s="91">
        <f t="array" aca="1" ref="L4" ca="1">IF(OR(NOT(INDEX(ExistsTx,$I4,2)),$H4=0),0,INDIRECT("'T"&amp;$I4&amp;"'!$M$"&amp;($J4+5),TRUE)+((1000-ROW())/10000000000000))</f>
        <v>1.0000000000996001</v>
      </c>
      <c r="M4" s="91">
        <f t="array" aca="1" ref="M4" ca="1">IF(OR(NOT(INDEX(ExistsTx,$I4,2)),$H4=0),0,INDIRECT("'T"&amp;$I4&amp;"'!$N$"&amp;($J4+5),TRUE)+((1000-ROW())/10000000000000))</f>
        <v>1.0000000000996001</v>
      </c>
      <c r="N4" s="91">
        <f t="array" aca="1" ref="N4" ca="1">IF(OR(NOT(INDEX(ExistsTx,$I4,2)),$H4=0),0,INDIRECT("'T"&amp;$I4&amp;"'!$O$"&amp;($J4+5),TRUE)+((1000-ROW())/10000000000000))</f>
        <v>9.9599999999999997E-11</v>
      </c>
      <c r="O4" s="91">
        <f t="array" aca="1" ref="O4" ca="1">IF(OR(NOT(INDEX(ExistsTx,$I4,2)),$H4=0),0,INDIRECT("'T"&amp;$I4&amp;"'!$P$"&amp;($J4+5),TRUE)+((1000-ROW())/10000000000000))</f>
        <v>3.0000000000995999</v>
      </c>
      <c r="P4" s="91">
        <f t="array" aca="1" ref="P4" ca="1">IF(OR(NOT(INDEX(ExistsTx,$I4,2)),$H4=0),0,INDIRECT("'T"&amp;$I4&amp;"'!$Q$"&amp;($J4+5),TRUE)+((1000-ROW())/10000000000000))</f>
        <v>2.0000000000995999</v>
      </c>
      <c r="Q4" s="91">
        <f t="shared" ca="1" si="6"/>
        <v>20.000001281866229</v>
      </c>
      <c r="R4" s="2"/>
      <c r="S4" s="2"/>
      <c r="T4" s="34">
        <v>2</v>
      </c>
      <c r="U4" s="55" t="str">
        <f t="shared" ca="1" si="7"/>
        <v>Lord Joshua Pvortis</v>
      </c>
      <c r="V4" s="55" t="str">
        <f t="shared" ca="1" si="8"/>
        <v>Vampire</v>
      </c>
      <c r="W4" s="55" t="str">
        <f t="shared" ca="1" si="9"/>
        <v>Sylvania Suckhawks</v>
      </c>
      <c r="X4" s="97">
        <f t="shared" ca="1" si="10"/>
        <v>24.000001283153242</v>
      </c>
      <c r="Y4" s="98"/>
      <c r="Z4" s="34">
        <v>2</v>
      </c>
      <c r="AA4" s="55" t="str">
        <f t="shared" ca="1" si="11"/>
        <v>Victor Trueheart</v>
      </c>
      <c r="AB4" s="55" t="str">
        <f t="shared" ca="1" si="12"/>
        <v>Catcher</v>
      </c>
      <c r="AC4" s="55" t="str">
        <f t="shared" ca="1" si="13"/>
        <v>Skyhaven Silverfoxes</v>
      </c>
      <c r="AD4" s="97">
        <f t="shared" ca="1" si="14"/>
        <v>6.0000000000889004</v>
      </c>
      <c r="AE4" s="2"/>
    </row>
    <row r="5" spans="1:31" ht="12.75" customHeight="1">
      <c r="A5" s="88">
        <f t="shared" ca="1" si="0"/>
        <v>4</v>
      </c>
      <c r="B5" s="88">
        <f t="shared" ca="1" si="1"/>
        <v>4</v>
      </c>
      <c r="C5" s="88" t="str">
        <f t="shared" ca="1" si="2"/>
        <v/>
      </c>
      <c r="D5" s="88">
        <f t="shared" ca="1" si="3"/>
        <v>7</v>
      </c>
      <c r="E5" s="88">
        <f t="shared" ca="1" si="4"/>
        <v>9</v>
      </c>
      <c r="F5" s="88">
        <f t="shared" ca="1" si="5"/>
        <v>8</v>
      </c>
      <c r="G5" s="89" t="str">
        <f t="array" aca="1" ref="G5" ca="1">IF(INDEX(ExistsTx,$I5,2),IF(INDIRECT("'T"&amp;$I5&amp;"'!$D$"&amp;($J5+5),TRUE)=0,T_NoName,INDIRECT("'T"&amp;$I5&amp;"'!$D$"&amp;($J5+5),TRUE)),"")</f>
        <v>Duke James Graham</v>
      </c>
      <c r="H5" s="89" t="str">
        <f t="array" aca="1" ref="H5" ca="1">IF(INDEX(ExistsTx,$I5,2),INDIRECT("'T"&amp;$I5&amp;"'!$E$"&amp;($J5+5),TRUE),0)</f>
        <v>Vampire</v>
      </c>
      <c r="I5" s="90">
        <v>1</v>
      </c>
      <c r="J5" s="90">
        <v>3</v>
      </c>
      <c r="K5" s="89" t="str">
        <f t="array" aca="1" ref="K5" ca="1">INDEX(ListTeams,$I5,1)</f>
        <v>Sylvania Suckhawks</v>
      </c>
      <c r="L5" s="91">
        <f t="array" aca="1" ref="L5" ca="1">IF(OR(NOT(INDEX(ExistsTx,$I5,2)),$H5=0),0,INDIRECT("'T"&amp;$I5&amp;"'!$M$"&amp;($J5+5),TRUE)+((1000-ROW())/10000000000000))</f>
        <v>2.0000000000995</v>
      </c>
      <c r="M5" s="91">
        <f t="array" aca="1" ref="M5" ca="1">IF(OR(NOT(INDEX(ExistsTx,$I5,2)),$H5=0),0,INDIRECT("'T"&amp;$I5&amp;"'!$N$"&amp;($J5+5),TRUE)+((1000-ROW())/10000000000000))</f>
        <v>2.0000000000995</v>
      </c>
      <c r="N5" s="91">
        <f t="array" aca="1" ref="N5" ca="1">IF(OR(NOT(INDEX(ExistsTx,$I5,2)),$H5=0),0,INDIRECT("'T"&amp;$I5&amp;"'!$O$"&amp;($J5+5),TRUE)+((1000-ROW())/10000000000000))</f>
        <v>9.9500000000000005E-11</v>
      </c>
      <c r="O5" s="91">
        <f t="array" aca="1" ref="O5" ca="1">IF(OR(NOT(INDEX(ExistsTx,$I5,2)),$H5=0),0,INDIRECT("'T"&amp;$I5&amp;"'!$P$"&amp;($J5+5),TRUE)+((1000-ROW())/10000000000000))</f>
        <v>2.0000000000995</v>
      </c>
      <c r="P5" s="91">
        <f t="array" aca="1" ref="P5" ca="1">IF(OR(NOT(INDEX(ExistsTx,$I5,2)),$H5=0),0,INDIRECT("'T"&amp;$I5&amp;"'!$Q$"&amp;($J5+5),TRUE)+((1000-ROW())/10000000000000))</f>
        <v>1.0000000000995</v>
      </c>
      <c r="Q5" s="91">
        <f t="shared" ca="1" si="6"/>
        <v>17.000001280579216</v>
      </c>
      <c r="R5" s="2"/>
      <c r="S5" s="2"/>
      <c r="T5" s="34">
        <v>3</v>
      </c>
      <c r="U5" s="55" t="str">
        <f t="shared" ca="1" si="7"/>
        <v>Ptah</v>
      </c>
      <c r="V5" s="55" t="str">
        <f t="shared" ca="1" si="8"/>
        <v>Skink</v>
      </c>
      <c r="W5" s="55" t="str">
        <f t="shared" ca="1" si="9"/>
        <v>Guardians of the Nile</v>
      </c>
      <c r="X5" s="97">
        <f t="shared" ca="1" si="10"/>
        <v>22.000001167321962</v>
      </c>
      <c r="Y5" s="98"/>
      <c r="Z5" s="34">
        <v>3</v>
      </c>
      <c r="AA5" s="55" t="str">
        <f t="shared" ca="1" si="11"/>
        <v>Lord Joshua Pvortis</v>
      </c>
      <c r="AB5" s="55" t="str">
        <f t="shared" ca="1" si="12"/>
        <v>Vampire</v>
      </c>
      <c r="AC5" s="55" t="str">
        <f t="shared" ca="1" si="13"/>
        <v>Sylvania Suckhawks</v>
      </c>
      <c r="AD5" s="97">
        <f t="shared" ca="1" si="14"/>
        <v>3.0000000000996998</v>
      </c>
      <c r="AE5" s="2"/>
    </row>
    <row r="6" spans="1:31" ht="12.75" customHeight="1">
      <c r="A6" s="88" t="str">
        <f t="shared" ca="1" si="0"/>
        <v/>
      </c>
      <c r="B6" s="88" t="str">
        <f t="shared" ca="1" si="1"/>
        <v/>
      </c>
      <c r="C6" s="88" t="str">
        <f t="shared" ca="1" si="2"/>
        <v/>
      </c>
      <c r="D6" s="88" t="str">
        <f t="shared" ca="1" si="3"/>
        <v/>
      </c>
      <c r="E6" s="88" t="str">
        <f t="shared" ca="1" si="4"/>
        <v/>
      </c>
      <c r="F6" s="88" t="str">
        <f t="shared" ca="1" si="5"/>
        <v/>
      </c>
      <c r="G6" s="89" t="str">
        <f t="array" aca="1" ref="G6" ca="1">IF(INDEX(ExistsTx,$I6,2),IF(INDIRECT("'T"&amp;$I6&amp;"'!$D$"&amp;($J6+5),TRUE)=0,T_NoName,INDIRECT("'T"&amp;$I6&amp;"'!$D$"&amp;($J6+5),TRUE)),"")</f>
        <v>Baron Cassius March</v>
      </c>
      <c r="H6" s="89" t="str">
        <f t="array" aca="1" ref="H6" ca="1">IF(INDEX(ExistsTx,$I6,2),INDIRECT("'T"&amp;$I6&amp;"'!$E$"&amp;($J6+5),TRUE),0)</f>
        <v>Vampire</v>
      </c>
      <c r="I6" s="90">
        <v>1</v>
      </c>
      <c r="J6" s="90">
        <v>4</v>
      </c>
      <c r="K6" s="89" t="str">
        <f t="array" aca="1" ref="K6" ca="1">INDEX(ListTeams,$I6,1)</f>
        <v>Sylvania Suckhawks</v>
      </c>
      <c r="L6" s="91">
        <f t="array" aca="1" ref="L6" ca="1">IF(OR(NOT(INDEX(ExistsTx,$I6,2)),$H6=0),0,INDIRECT("'T"&amp;$I6&amp;"'!$M$"&amp;($J6+5),TRUE)+((1000-ROW())/10000000000000))</f>
        <v>9.9400000000000001E-11</v>
      </c>
      <c r="M6" s="91">
        <f t="array" aca="1" ref="M6" ca="1">IF(OR(NOT(INDEX(ExistsTx,$I6,2)),$H6=0),0,INDIRECT("'T"&amp;$I6&amp;"'!$N$"&amp;($J6+5),TRUE)+((1000-ROW())/10000000000000))</f>
        <v>9.9400000000000001E-11</v>
      </c>
      <c r="N6" s="91">
        <f t="array" aca="1" ref="N6" ca="1">IF(OR(NOT(INDEX(ExistsTx,$I6,2)),$H6=0),0,INDIRECT("'T"&amp;$I6&amp;"'!$O$"&amp;($J6+5),TRUE)+((1000-ROW())/10000000000000))</f>
        <v>9.9400000000000001E-11</v>
      </c>
      <c r="O6" s="91">
        <f t="array" aca="1" ref="O6" ca="1">IF(OR(NOT(INDEX(ExistsTx,$I6,2)),$H6=0),0,INDIRECT("'T"&amp;$I6&amp;"'!$P$"&amp;($J6+5),TRUE)+((1000-ROW())/10000000000000))</f>
        <v>9.9400000000000001E-11</v>
      </c>
      <c r="P6" s="91">
        <f t="array" aca="1" ref="P6" ca="1">IF(OR(NOT(INDEX(ExistsTx,$I6,2)),$H6=0),0,INDIRECT("'T"&amp;$I6&amp;"'!$Q$"&amp;($J6+5),TRUE)+((1000-ROW())/10000000000000))</f>
        <v>9.9400000000000001E-11</v>
      </c>
      <c r="Q6" s="91">
        <f t="shared" ca="1" si="6"/>
        <v>1.279292201278E-6</v>
      </c>
      <c r="R6" s="2"/>
      <c r="S6" s="2"/>
      <c r="T6" s="34">
        <v>4</v>
      </c>
      <c r="U6" s="55" t="str">
        <f t="shared" ca="1" si="7"/>
        <v>Count Russel Wilhelms</v>
      </c>
      <c r="V6" s="55" t="str">
        <f t="shared" ca="1" si="8"/>
        <v>Vampire</v>
      </c>
      <c r="W6" s="55" t="str">
        <f t="shared" ca="1" si="9"/>
        <v>Sylvania Suckhawks</v>
      </c>
      <c r="X6" s="97">
        <f t="shared" ca="1" si="10"/>
        <v>20.000001281866229</v>
      </c>
      <c r="Y6" s="98"/>
      <c r="Z6" s="34">
        <v>4</v>
      </c>
      <c r="AA6" s="55" t="str">
        <f t="shared" ca="1" si="11"/>
        <v>Duke James Graham</v>
      </c>
      <c r="AB6" s="55" t="str">
        <f t="shared" ca="1" si="12"/>
        <v>Vampire</v>
      </c>
      <c r="AC6" s="55" t="str">
        <f t="shared" ca="1" si="13"/>
        <v>Sylvania Suckhawks</v>
      </c>
      <c r="AD6" s="97">
        <f t="shared" ca="1" si="14"/>
        <v>2.0000000000995</v>
      </c>
      <c r="AE6" s="2"/>
    </row>
    <row r="7" spans="1:31" ht="12.75" customHeight="1">
      <c r="A7" s="88" t="str">
        <f t="shared" ca="1" si="0"/>
        <v/>
      </c>
      <c r="B7" s="88" t="str">
        <f t="shared" ca="1" si="1"/>
        <v/>
      </c>
      <c r="C7" s="88" t="str">
        <f t="shared" ca="1" si="2"/>
        <v/>
      </c>
      <c r="D7" s="88" t="str">
        <f t="shared" ca="1" si="3"/>
        <v/>
      </c>
      <c r="E7" s="88" t="str">
        <f t="shared" ca="1" si="4"/>
        <v/>
      </c>
      <c r="F7" s="88" t="str">
        <f t="shared" ca="1" si="5"/>
        <v/>
      </c>
      <c r="G7" s="89" t="str">
        <f t="array" aca="1" ref="G7" ca="1">IF(INDEX(ExistsTx,$I7,2),IF(INDIRECT("'T"&amp;$I7&amp;"'!$D$"&amp;($J7+5),TRUE)=0,T_NoName,INDIRECT("'T"&amp;$I7&amp;"'!$D$"&amp;($J7+5),TRUE)),"")</f>
        <v>Nameless</v>
      </c>
      <c r="H7" s="89">
        <f t="array" aca="1" ref="H7" ca="1">IF(INDEX(ExistsTx,$I7,2),INDIRECT("'T"&amp;$I7&amp;"'!$E$"&amp;($J7+5),TRUE),0)</f>
        <v>0</v>
      </c>
      <c r="I7" s="90">
        <v>1</v>
      </c>
      <c r="J7" s="90">
        <v>5</v>
      </c>
      <c r="K7" s="89" t="str">
        <f t="array" aca="1" ref="K7" ca="1">INDEX(ListTeams,$I7,1)</f>
        <v>Sylvania Suckhawks</v>
      </c>
      <c r="L7" s="91">
        <f t="array" aca="1" ref="L7" ca="1">IF(OR(NOT(INDEX(ExistsTx,$I7,2)),$H7=0),0,INDIRECT("'T"&amp;$I7&amp;"'!$M$"&amp;($J7+5),TRUE)+((1000-ROW())/10000000000000))</f>
        <v>0</v>
      </c>
      <c r="M7" s="91">
        <f t="array" aca="1" ref="M7" ca="1">IF(OR(NOT(INDEX(ExistsTx,$I7,2)),$H7=0),0,INDIRECT("'T"&amp;$I7&amp;"'!$N$"&amp;($J7+5),TRUE)+((1000-ROW())/10000000000000))</f>
        <v>0</v>
      </c>
      <c r="N7" s="91">
        <f t="array" aca="1" ref="N7" ca="1">IF(OR(NOT(INDEX(ExistsTx,$I7,2)),$H7=0),0,INDIRECT("'T"&amp;$I7&amp;"'!$O$"&amp;($J7+5),TRUE)+((1000-ROW())/10000000000000))</f>
        <v>0</v>
      </c>
      <c r="O7" s="91">
        <f t="array" aca="1" ref="O7" ca="1">IF(OR(NOT(INDEX(ExistsTx,$I7,2)),$H7=0),0,INDIRECT("'T"&amp;$I7&amp;"'!$P$"&amp;($J7+5),TRUE)+((1000-ROW())/10000000000000))</f>
        <v>0</v>
      </c>
      <c r="P7" s="91">
        <f t="array" aca="1" ref="P7" ca="1">IF(OR(NOT(INDEX(ExistsTx,$I7,2)),$H7=0),0,INDIRECT("'T"&amp;$I7&amp;"'!$Q$"&amp;($J7+5),TRUE)+((1000-ROW())/10000000000000))</f>
        <v>0</v>
      </c>
      <c r="Q7" s="91">
        <f t="shared" ca="1" si="6"/>
        <v>1.2767142869910001E-6</v>
      </c>
      <c r="R7" s="2"/>
      <c r="S7" s="2"/>
      <c r="T7" s="34">
        <v>5</v>
      </c>
      <c r="U7" s="55" t="str">
        <f t="shared" ca="1" si="7"/>
        <v>Suave Glitterseeker</v>
      </c>
      <c r="V7" s="55" t="str">
        <f t="shared" ca="1" si="8"/>
        <v>Catcher</v>
      </c>
      <c r="W7" s="55" t="str">
        <f t="shared" ca="1" si="9"/>
        <v>Skyhaven Silverfoxes</v>
      </c>
      <c r="X7" s="97">
        <f t="shared" ca="1" si="10"/>
        <v>20.000001142868687</v>
      </c>
      <c r="Y7" s="98"/>
      <c r="Z7" s="34">
        <v>5</v>
      </c>
      <c r="AA7" s="55" t="str">
        <f t="shared" ca="1" si="11"/>
        <v>Michael "Bad" Jackson</v>
      </c>
      <c r="AB7" s="55" t="str">
        <f t="shared" ca="1" si="12"/>
        <v>Werewolf</v>
      </c>
      <c r="AC7" s="55" t="str">
        <f t="shared" ca="1" si="13"/>
        <v>Jacksonville Thrillers</v>
      </c>
      <c r="AD7" s="97">
        <f t="shared" ca="1" si="14"/>
        <v>2.0000000000981002</v>
      </c>
      <c r="AE7" s="2"/>
    </row>
    <row r="8" spans="1:31" ht="12.75" customHeight="1">
      <c r="A8" s="88" t="str">
        <f t="shared" ca="1" si="0"/>
        <v/>
      </c>
      <c r="B8" s="88" t="str">
        <f t="shared" ca="1" si="1"/>
        <v/>
      </c>
      <c r="C8" s="88" t="str">
        <f t="shared" ca="1" si="2"/>
        <v/>
      </c>
      <c r="D8" s="88" t="str">
        <f t="shared" ca="1" si="3"/>
        <v/>
      </c>
      <c r="E8" s="88" t="str">
        <f t="shared" ca="1" si="4"/>
        <v/>
      </c>
      <c r="F8" s="88" t="str">
        <f t="shared" ca="1" si="5"/>
        <v/>
      </c>
      <c r="G8" s="89" t="str">
        <f t="array" aca="1" ref="G8" ca="1">IF(INDEX(ExistsTx,$I8,2),IF(INDIRECT("'T"&amp;$I8&amp;"'!$D$"&amp;($J8+5),TRUE)=0,T_NoName,INDIRECT("'T"&amp;$I8&amp;"'!$D$"&amp;($J8+5),TRUE)),"")</f>
        <v>Nameless</v>
      </c>
      <c r="H8" s="89">
        <f t="array" aca="1" ref="H8" ca="1">IF(INDEX(ExistsTx,$I8,2),INDIRECT("'T"&amp;$I8&amp;"'!$E$"&amp;($J8+5),TRUE),0)</f>
        <v>0</v>
      </c>
      <c r="I8" s="90">
        <v>1</v>
      </c>
      <c r="J8" s="90">
        <v>6</v>
      </c>
      <c r="K8" s="89" t="str">
        <f t="array" aca="1" ref="K8" ca="1">INDEX(ListTeams,$I8,1)</f>
        <v>Sylvania Suckhawks</v>
      </c>
      <c r="L8" s="91">
        <f t="array" aca="1" ref="L8" ca="1">IF(OR(NOT(INDEX(ExistsTx,$I8,2)),$H8=0),0,INDIRECT("'T"&amp;$I8&amp;"'!$M$"&amp;($J8+5),TRUE)+((1000-ROW())/10000000000000))</f>
        <v>0</v>
      </c>
      <c r="M8" s="91">
        <f t="array" aca="1" ref="M8" ca="1">IF(OR(NOT(INDEX(ExistsTx,$I8,2)),$H8=0),0,INDIRECT("'T"&amp;$I8&amp;"'!$N$"&amp;($J8+5),TRUE)+((1000-ROW())/10000000000000))</f>
        <v>0</v>
      </c>
      <c r="N8" s="91">
        <f t="array" aca="1" ref="N8" ca="1">IF(OR(NOT(INDEX(ExistsTx,$I8,2)),$H8=0),0,INDIRECT("'T"&amp;$I8&amp;"'!$O$"&amp;($J8+5),TRUE)+((1000-ROW())/10000000000000))</f>
        <v>0</v>
      </c>
      <c r="O8" s="91">
        <f t="array" aca="1" ref="O8" ca="1">IF(OR(NOT(INDEX(ExistsTx,$I8,2)),$H8=0),0,INDIRECT("'T"&amp;$I8&amp;"'!$P$"&amp;($J8+5),TRUE)+((1000-ROW())/10000000000000))</f>
        <v>0</v>
      </c>
      <c r="P8" s="91">
        <f t="array" aca="1" ref="P8" ca="1">IF(OR(NOT(INDEX(ExistsTx,$I8,2)),$H8=0),0,INDIRECT("'T"&amp;$I8&amp;"'!$Q$"&amp;($J8+5),TRUE)+((1000-ROW())/10000000000000))</f>
        <v>0</v>
      </c>
      <c r="Q8" s="91">
        <f t="shared" ca="1" si="6"/>
        <v>1.275428572704E-6</v>
      </c>
      <c r="R8" s="2"/>
      <c r="S8" s="2"/>
      <c r="T8" s="34">
        <v>6</v>
      </c>
      <c r="U8" s="55" t="str">
        <f t="shared" ca="1" si="7"/>
        <v>Y.A. Spittle</v>
      </c>
      <c r="V8" s="55" t="str">
        <f t="shared" ca="1" si="8"/>
        <v>Thrower</v>
      </c>
      <c r="W8" s="55" t="str">
        <f t="shared" ca="1" si="9"/>
        <v>OrCares</v>
      </c>
      <c r="X8" s="97">
        <f t="shared" ca="1" si="10"/>
        <v>19.000001200784325</v>
      </c>
      <c r="Y8" s="98"/>
      <c r="Z8" s="34">
        <v>6</v>
      </c>
      <c r="AA8" s="55" t="str">
        <f t="shared" ca="1" si="11"/>
        <v>King'zug</v>
      </c>
      <c r="AB8" s="55" t="str">
        <f t="shared" ca="1" si="12"/>
        <v>Thrower</v>
      </c>
      <c r="AC8" s="55" t="str">
        <f t="shared" ca="1" si="13"/>
        <v>Population: Orc</v>
      </c>
      <c r="AD8" s="97">
        <f t="shared" ca="1" si="14"/>
        <v>2.0000000000959002</v>
      </c>
      <c r="AE8" s="2"/>
    </row>
    <row r="9" spans="1:31" ht="12.75" customHeight="1">
      <c r="A9" s="88">
        <f t="shared" ca="1" si="0"/>
        <v>9</v>
      </c>
      <c r="B9" s="88">
        <f t="shared" ca="1" si="1"/>
        <v>13</v>
      </c>
      <c r="C9" s="88" t="str">
        <f t="shared" ca="1" si="2"/>
        <v/>
      </c>
      <c r="D9" s="88" t="str">
        <f t="shared" ca="1" si="3"/>
        <v/>
      </c>
      <c r="E9" s="88">
        <f t="shared" ca="1" si="4"/>
        <v>10</v>
      </c>
      <c r="F9" s="88">
        <f t="shared" ca="1" si="5"/>
        <v>14</v>
      </c>
      <c r="G9" s="89" t="str">
        <f t="array" aca="1" ref="G9" ca="1">IF(INDEX(ExistsTx,$I9,2),IF(INDIRECT("'T"&amp;$I9&amp;"'!$D$"&amp;($J9+5),TRUE)=0,T_NoName,INDIRECT("'T"&amp;$I9&amp;"'!$D$"&amp;($J9+5),TRUE)),"")</f>
        <v>Kim Chancellor</v>
      </c>
      <c r="H9" s="89" t="str">
        <f t="array" aca="1" ref="H9" ca="1">IF(INDEX(ExistsTx,$I9,2),INDIRECT("'T"&amp;$I9&amp;"'!$E$"&amp;($J9+5),TRUE),0)</f>
        <v>Thrall</v>
      </c>
      <c r="I9" s="90">
        <v>1</v>
      </c>
      <c r="J9" s="90">
        <v>7</v>
      </c>
      <c r="K9" s="89" t="str">
        <f t="array" aca="1" ref="K9" ca="1">INDEX(ListTeams,$I9,1)</f>
        <v>Sylvania Suckhawks</v>
      </c>
      <c r="L9" s="91">
        <f t="array" aca="1" ref="L9" ca="1">IF(OR(NOT(INDEX(ExistsTx,$I9,2)),$H9=0),0,INDIRECT("'T"&amp;$I9&amp;"'!$M$"&amp;($J9+5),TRUE)+((1000-ROW())/10000000000000))</f>
        <v>1.0000000000991001</v>
      </c>
      <c r="M9" s="91">
        <f t="array" aca="1" ref="M9" ca="1">IF(OR(NOT(INDEX(ExistsTx,$I9,2)),$H9=0),0,INDIRECT("'T"&amp;$I9&amp;"'!$N$"&amp;($J9+5),TRUE)+((1000-ROW())/10000000000000))</f>
        <v>1.0000000000991001</v>
      </c>
      <c r="N9" s="91">
        <f t="array" aca="1" ref="N9" ca="1">IF(OR(NOT(INDEX(ExistsTx,$I9,2)),$H9=0),0,INDIRECT("'T"&amp;$I9&amp;"'!$O$"&amp;($J9+5),TRUE)+((1000-ROW())/10000000000000))</f>
        <v>9.9099999999999999E-11</v>
      </c>
      <c r="O9" s="91">
        <f t="array" aca="1" ref="O9" ca="1">IF(OR(NOT(INDEX(ExistsTx,$I9,2)),$H9=0),0,INDIRECT("'T"&amp;$I9&amp;"'!$P$"&amp;($J9+5),TRUE)+((1000-ROW())/10000000000000))</f>
        <v>9.9099999999999999E-11</v>
      </c>
      <c r="P9" s="91">
        <f t="array" aca="1" ref="P9" ca="1">IF(OR(NOT(INDEX(ExistsTx,$I9,2)),$H9=0),0,INDIRECT("'T"&amp;$I9&amp;"'!$Q$"&amp;($J9+5),TRUE)+((1000-ROW())/10000000000000))</f>
        <v>1.0000000000991001</v>
      </c>
      <c r="Q9" s="91">
        <f t="shared" ca="1" si="6"/>
        <v>9.000001275431158</v>
      </c>
      <c r="R9" s="2"/>
      <c r="S9" s="2"/>
      <c r="T9" s="34">
        <v>7</v>
      </c>
      <c r="U9" s="55" t="str">
        <f t="shared" ca="1" si="7"/>
        <v>Victor Trueheart</v>
      </c>
      <c r="V9" s="55" t="str">
        <f t="shared" ca="1" si="8"/>
        <v>Catcher</v>
      </c>
      <c r="W9" s="55" t="str">
        <f t="shared" ca="1" si="9"/>
        <v>Skyhaven Silverfoxes</v>
      </c>
      <c r="X9" s="97">
        <f t="shared" ca="1" si="10"/>
        <v>19.000001144155704</v>
      </c>
      <c r="Y9" s="98"/>
      <c r="Z9" s="34">
        <v>7</v>
      </c>
      <c r="AA9" s="55" t="str">
        <f t="shared" ca="1" si="11"/>
        <v>Orc Buttkiss</v>
      </c>
      <c r="AB9" s="55" t="str">
        <f t="shared" ca="1" si="12"/>
        <v>Blitzer</v>
      </c>
      <c r="AC9" s="55" t="str">
        <f t="shared" ca="1" si="13"/>
        <v>OrCares</v>
      </c>
      <c r="AD9" s="97">
        <f t="shared" ca="1" si="14"/>
        <v>2.0000000000926001</v>
      </c>
      <c r="AE9" s="2"/>
    </row>
    <row r="10" spans="1:31" ht="12.75" customHeight="1">
      <c r="A10" s="88" t="str">
        <f t="shared" ca="1" si="0"/>
        <v/>
      </c>
      <c r="B10" s="88" t="str">
        <f t="shared" ca="1" si="1"/>
        <v/>
      </c>
      <c r="C10" s="88" t="str">
        <f t="shared" ca="1" si="2"/>
        <v/>
      </c>
      <c r="D10" s="88" t="str">
        <f t="shared" ca="1" si="3"/>
        <v/>
      </c>
      <c r="E10" s="88" t="str">
        <f t="shared" ca="1" si="4"/>
        <v/>
      </c>
      <c r="F10" s="88" t="str">
        <f t="shared" ca="1" si="5"/>
        <v/>
      </c>
      <c r="G10" s="89" t="str">
        <f t="array" aca="1" ref="G10" ca="1">IF(INDEX(ExistsTx,$I10,2),IF(INDIRECT("'T"&amp;$I10&amp;"'!$D$"&amp;($J10+5),TRUE)=0,T_NoName,INDIRECT("'T"&amp;$I10&amp;"'!$D$"&amp;($J10+5),TRUE)),"")</f>
        <v>Maximillian Unger</v>
      </c>
      <c r="H10" s="89" t="str">
        <f t="array" aca="1" ref="H10" ca="1">IF(INDEX(ExistsTx,$I10,2),INDIRECT("'T"&amp;$I10&amp;"'!$E$"&amp;($J10+5),TRUE),0)</f>
        <v>Thrall</v>
      </c>
      <c r="I10" s="90">
        <v>1</v>
      </c>
      <c r="J10" s="90">
        <v>8</v>
      </c>
      <c r="K10" s="89" t="str">
        <f t="array" aca="1" ref="K10" ca="1">INDEX(ListTeams,$I10,1)</f>
        <v>Sylvania Suckhawks</v>
      </c>
      <c r="L10" s="91">
        <f t="array" aca="1" ref="L10" ca="1">IF(OR(NOT(INDEX(ExistsTx,$I10,2)),$H10=0),0,INDIRECT("'T"&amp;$I10&amp;"'!$M$"&amp;($J10+5),TRUE)+((1000-ROW())/10000000000000))</f>
        <v>9.8999999999999994E-11</v>
      </c>
      <c r="M10" s="91">
        <f t="array" aca="1" ref="M10" ca="1">IF(OR(NOT(INDEX(ExistsTx,$I10,2)),$H10=0),0,INDIRECT("'T"&amp;$I10&amp;"'!$N$"&amp;($J10+5),TRUE)+((1000-ROW())/10000000000000))</f>
        <v>9.8999999999999994E-11</v>
      </c>
      <c r="N10" s="91">
        <f t="array" aca="1" ref="N10" ca="1">IF(OR(NOT(INDEX(ExistsTx,$I10,2)),$H10=0),0,INDIRECT("'T"&amp;$I10&amp;"'!$O$"&amp;($J10+5),TRUE)+((1000-ROW())/10000000000000))</f>
        <v>9.8999999999999994E-11</v>
      </c>
      <c r="O10" s="91">
        <f t="array" aca="1" ref="O10" ca="1">IF(OR(NOT(INDEX(ExistsTx,$I10,2)),$H10=0),0,INDIRECT("'T"&amp;$I10&amp;"'!$P$"&amp;($J10+5),TRUE)+((1000-ROW())/10000000000000))</f>
        <v>9.8999999999999994E-11</v>
      </c>
      <c r="P10" s="91">
        <f t="array" aca="1" ref="P10" ca="1">IF(OR(NOT(INDEX(ExistsTx,$I10,2)),$H10=0),0,INDIRECT("'T"&amp;$I10&amp;"'!$Q$"&amp;($J10+5),TRUE)+((1000-ROW())/10000000000000))</f>
        <v>9.8999999999999994E-11</v>
      </c>
      <c r="Q10" s="91">
        <f t="shared" ca="1" si="6"/>
        <v>1.2741441441299999E-6</v>
      </c>
      <c r="R10" s="2"/>
      <c r="S10" s="2"/>
      <c r="T10" s="34">
        <v>8</v>
      </c>
      <c r="U10" s="55" t="str">
        <f t="shared" ca="1" si="7"/>
        <v>Duke James Graham</v>
      </c>
      <c r="V10" s="55" t="str">
        <f t="shared" ca="1" si="8"/>
        <v>Vampire</v>
      </c>
      <c r="W10" s="55" t="str">
        <f t="shared" ca="1" si="9"/>
        <v>Sylvania Suckhawks</v>
      </c>
      <c r="X10" s="97">
        <f t="shared" ca="1" si="10"/>
        <v>17.000001280579216</v>
      </c>
      <c r="Y10" s="98"/>
      <c r="Z10" s="34">
        <v>8</v>
      </c>
      <c r="AA10" s="55" t="str">
        <f t="shared" ca="1" si="11"/>
        <v>Bast</v>
      </c>
      <c r="AB10" s="55" t="str">
        <f t="shared" ca="1" si="12"/>
        <v>Skink</v>
      </c>
      <c r="AC10" s="55" t="str">
        <f t="shared" ca="1" si="13"/>
        <v>Guardians of the Nile</v>
      </c>
      <c r="AD10" s="97">
        <f t="shared" ca="1" si="14"/>
        <v>2.0000000000909002</v>
      </c>
      <c r="AE10" s="2"/>
    </row>
    <row r="11" spans="1:31" ht="12.75" customHeight="1">
      <c r="A11" s="88">
        <f t="shared" ca="1" si="0"/>
        <v>10</v>
      </c>
      <c r="B11" s="88" t="str">
        <f t="shared" ca="1" si="1"/>
        <v/>
      </c>
      <c r="C11" s="88" t="str">
        <f t="shared" ca="1" si="2"/>
        <v/>
      </c>
      <c r="D11" s="88">
        <f t="shared" ca="1" si="3"/>
        <v>12</v>
      </c>
      <c r="E11" s="88" t="str">
        <f t="shared" ca="1" si="4"/>
        <v/>
      </c>
      <c r="F11" s="88">
        <f t="shared" ca="1" si="5"/>
        <v>50</v>
      </c>
      <c r="G11" s="89" t="str">
        <f t="array" aca="1" ref="G11" ca="1">IF(INDEX(ExistsTx,$I11,2),IF(INDIRECT("'T"&amp;$I11&amp;"'!$D$"&amp;($J11+5),TRUE)=0,T_NoName,INDIRECT("'T"&amp;$I11&amp;"'!$D$"&amp;($J11+5),TRUE)),"")</f>
        <v>Robert Wagner</v>
      </c>
      <c r="H11" s="89" t="str">
        <f t="array" aca="1" ref="H11" ca="1">IF(INDEX(ExistsTx,$I11,2),INDIRECT("'T"&amp;$I11&amp;"'!$E$"&amp;($J11+5),TRUE),0)</f>
        <v>Thrall</v>
      </c>
      <c r="I11" s="90">
        <v>1</v>
      </c>
      <c r="J11" s="90">
        <v>9</v>
      </c>
      <c r="K11" s="89" t="str">
        <f t="array" aca="1" ref="K11" ca="1">INDEX(ListTeams,$I11,1)</f>
        <v>Sylvania Suckhawks</v>
      </c>
      <c r="L11" s="91">
        <f t="array" aca="1" ref="L11" ca="1">IF(OR(NOT(INDEX(ExistsTx,$I11,2)),$H11=0),0,INDIRECT("'T"&amp;$I11&amp;"'!$M$"&amp;($J11+5),TRUE)+((1000-ROW())/10000000000000))</f>
        <v>1.0000000000989</v>
      </c>
      <c r="M11" s="91">
        <f t="array" aca="1" ref="M11" ca="1">IF(OR(NOT(INDEX(ExistsTx,$I11,2)),$H11=0),0,INDIRECT("'T"&amp;$I11&amp;"'!$N$"&amp;($J11+5),TRUE)+((1000-ROW())/10000000000000))</f>
        <v>9.8900000000000002E-11</v>
      </c>
      <c r="N11" s="91">
        <f t="array" aca="1" ref="N11" ca="1">IF(OR(NOT(INDEX(ExistsTx,$I11,2)),$H11=0),0,INDIRECT("'T"&amp;$I11&amp;"'!$O$"&amp;($J11+5),TRUE)+((1000-ROW())/10000000000000))</f>
        <v>9.8900000000000002E-11</v>
      </c>
      <c r="O11" s="91">
        <f t="array" aca="1" ref="O11" ca="1">IF(OR(NOT(INDEX(ExistsTx,$I11,2)),$H11=0),0,INDIRECT("'T"&amp;$I11&amp;"'!$P$"&amp;($J11+5),TRUE)+((1000-ROW())/10000000000000))</f>
        <v>1.0000000000989</v>
      </c>
      <c r="P11" s="91">
        <f t="array" aca="1" ref="P11" ca="1">IF(OR(NOT(INDEX(ExistsTx,$I11,2)),$H11=0),0,INDIRECT("'T"&amp;$I11&amp;"'!$Q$"&amp;($J11+5),TRUE)+((1000-ROW())/10000000000000))</f>
        <v>9.8900000000000002E-11</v>
      </c>
      <c r="Q11" s="91">
        <f t="shared" ca="1" si="6"/>
        <v>3.0000012728571299</v>
      </c>
      <c r="R11" s="2"/>
      <c r="S11" s="2"/>
      <c r="T11" s="34">
        <v>9</v>
      </c>
      <c r="U11" s="55" t="str">
        <f t="shared" ca="1" si="7"/>
        <v>Big Daddy Lipsplitt</v>
      </c>
      <c r="V11" s="55" t="str">
        <f t="shared" ca="1" si="8"/>
        <v>Black Orc Blocker</v>
      </c>
      <c r="W11" s="55" t="str">
        <f t="shared" ca="1" si="9"/>
        <v>OrCares</v>
      </c>
      <c r="X11" s="97">
        <f t="shared" ca="1" si="10"/>
        <v>17.000001196923286</v>
      </c>
      <c r="Y11" s="98"/>
      <c r="Z11" s="34">
        <v>9</v>
      </c>
      <c r="AA11" s="55" t="str">
        <f t="shared" ca="1" si="11"/>
        <v>Suave Glitterseeker</v>
      </c>
      <c r="AB11" s="55" t="str">
        <f t="shared" ca="1" si="12"/>
        <v>Catcher</v>
      </c>
      <c r="AC11" s="55" t="str">
        <f t="shared" ca="1" si="13"/>
        <v>Skyhaven Silverfoxes</v>
      </c>
      <c r="AD11" s="97">
        <f t="shared" ca="1" si="14"/>
        <v>2.0000000000888001</v>
      </c>
      <c r="AE11" s="2"/>
    </row>
    <row r="12" spans="1:31" ht="12.75" customHeight="1">
      <c r="A12" s="88" t="str">
        <f t="shared" ca="1" si="0"/>
        <v/>
      </c>
      <c r="B12" s="88" t="str">
        <f t="shared" ca="1" si="1"/>
        <v/>
      </c>
      <c r="C12" s="88" t="str">
        <f t="shared" ca="1" si="2"/>
        <v/>
      </c>
      <c r="D12" s="88" t="str">
        <f t="shared" ca="1" si="3"/>
        <v/>
      </c>
      <c r="E12" s="88" t="str">
        <f t="shared" ca="1" si="4"/>
        <v/>
      </c>
      <c r="F12" s="88" t="str">
        <f t="shared" ca="1" si="5"/>
        <v/>
      </c>
      <c r="G12" s="89" t="str">
        <f t="array" aca="1" ref="G12" ca="1">IF(INDEX(ExistsTx,$I12,2),IF(INDIRECT("'T"&amp;$I12&amp;"'!$D$"&amp;($J12+5),TRUE)=0,T_NoName,INDIRECT("'T"&amp;$I12&amp;"'!$D$"&amp;($J12+5),TRUE)),"")</f>
        <v>Bently Swain</v>
      </c>
      <c r="H12" s="89" t="str">
        <f t="array" aca="1" ref="H12" ca="1">IF(INDEX(ExistsTx,$I12,2),INDIRECT("'T"&amp;$I12&amp;"'!$E$"&amp;($J12+5),TRUE),0)</f>
        <v>Thrall</v>
      </c>
      <c r="I12" s="90">
        <v>1</v>
      </c>
      <c r="J12" s="90">
        <v>10</v>
      </c>
      <c r="K12" s="89" t="str">
        <f t="array" aca="1" ref="K12" ca="1">INDEX(ListTeams,$I12,1)</f>
        <v>Sylvania Suckhawks</v>
      </c>
      <c r="L12" s="91">
        <f t="array" aca="1" ref="L12" ca="1">IF(OR(NOT(INDEX(ExistsTx,$I12,2)),$H12=0),0,INDIRECT("'T"&amp;$I12&amp;"'!$M$"&amp;($J12+5),TRUE)+((1000-ROW())/10000000000000))</f>
        <v>9.8799999999999997E-11</v>
      </c>
      <c r="M12" s="91">
        <f t="array" aca="1" ref="M12" ca="1">IF(OR(NOT(INDEX(ExistsTx,$I12,2)),$H12=0),0,INDIRECT("'T"&amp;$I12&amp;"'!$N$"&amp;($J12+5),TRUE)+((1000-ROW())/10000000000000))</f>
        <v>9.8799999999999997E-11</v>
      </c>
      <c r="N12" s="91">
        <f t="array" aca="1" ref="N12" ca="1">IF(OR(NOT(INDEX(ExistsTx,$I12,2)),$H12=0),0,INDIRECT("'T"&amp;$I12&amp;"'!$O$"&amp;($J12+5),TRUE)+((1000-ROW())/10000000000000))</f>
        <v>9.8799999999999997E-11</v>
      </c>
      <c r="O12" s="91">
        <f t="array" aca="1" ref="O12" ca="1">IF(OR(NOT(INDEX(ExistsTx,$I12,2)),$H12=0),0,INDIRECT("'T"&amp;$I12&amp;"'!$P$"&amp;($J12+5),TRUE)+((1000-ROW())/10000000000000))</f>
        <v>9.8799999999999997E-11</v>
      </c>
      <c r="P12" s="91">
        <f t="array" aca="1" ref="P12" ca="1">IF(OR(NOT(INDEX(ExistsTx,$I12,2)),$H12=0),0,INDIRECT("'T"&amp;$I12&amp;"'!$Q$"&amp;($J12+5),TRUE)+((1000-ROW())/10000000000000))</f>
        <v>9.8799999999999997E-11</v>
      </c>
      <c r="Q12" s="91">
        <f t="shared" ca="1" si="6"/>
        <v>1.271570115556E-6</v>
      </c>
      <c r="R12" s="2"/>
      <c r="S12" s="2"/>
      <c r="T12" s="34">
        <v>10</v>
      </c>
      <c r="U12" s="55" t="str">
        <f t="shared" ca="1" si="7"/>
        <v>Mad'zug</v>
      </c>
      <c r="V12" s="55" t="str">
        <f t="shared" ca="1" si="8"/>
        <v>Black Orc Blocker</v>
      </c>
      <c r="W12" s="55" t="str">
        <f t="shared" ca="1" si="9"/>
        <v>Population: Orc</v>
      </c>
      <c r="X12" s="97">
        <f t="shared" ca="1" si="10"/>
        <v>15.00000122266357</v>
      </c>
      <c r="Y12" s="98"/>
      <c r="Z12" s="34">
        <v>10</v>
      </c>
      <c r="AA12" s="55" t="str">
        <f t="shared" ca="1" si="11"/>
        <v>Lance Claymore</v>
      </c>
      <c r="AB12" s="55" t="str">
        <f t="shared" ca="1" si="12"/>
        <v>Blitzer</v>
      </c>
      <c r="AC12" s="55" t="str">
        <f t="shared" ca="1" si="13"/>
        <v>Skyhaven Silverfoxes</v>
      </c>
      <c r="AD12" s="97">
        <f t="shared" ca="1" si="14"/>
        <v>2.0000000000887002</v>
      </c>
      <c r="AE12" s="2"/>
    </row>
    <row r="13" spans="1:31" ht="12.75" customHeight="1">
      <c r="A13" s="88" t="str">
        <f t="shared" ca="1" si="0"/>
        <v/>
      </c>
      <c r="B13" s="88" t="str">
        <f t="shared" ca="1" si="1"/>
        <v/>
      </c>
      <c r="C13" s="88" t="str">
        <f t="shared" ca="1" si="2"/>
        <v/>
      </c>
      <c r="D13" s="88" t="str">
        <f t="shared" ca="1" si="3"/>
        <v/>
      </c>
      <c r="E13" s="88" t="str">
        <f t="shared" ca="1" si="4"/>
        <v/>
      </c>
      <c r="F13" s="88" t="str">
        <f t="shared" ca="1" si="5"/>
        <v/>
      </c>
      <c r="G13" s="89" t="str">
        <f t="array" aca="1" ref="G13" ca="1">IF(INDEX(ExistsTx,$I13,2),IF(INDIRECT("'T"&amp;$I13&amp;"'!$D$"&amp;($J13+5),TRUE)=0,T_NoName,INDIRECT("'T"&amp;$I13&amp;"'!$D$"&amp;($J13+5),TRUE)),"")</f>
        <v>Gregori Scuggs</v>
      </c>
      <c r="H13" s="89" t="str">
        <f t="array" aca="1" ref="H13" ca="1">IF(INDEX(ExistsTx,$I13,2),INDIRECT("'T"&amp;$I13&amp;"'!$E$"&amp;($J13+5),TRUE),0)</f>
        <v>Thrall</v>
      </c>
      <c r="I13" s="90">
        <v>1</v>
      </c>
      <c r="J13" s="90">
        <v>11</v>
      </c>
      <c r="K13" s="89" t="str">
        <f t="array" aca="1" ref="K13" ca="1">INDEX(ListTeams,$I13,1)</f>
        <v>Sylvania Suckhawks</v>
      </c>
      <c r="L13" s="91">
        <f t="array" aca="1" ref="L13" ca="1">IF(OR(NOT(INDEX(ExistsTx,$I13,2)),$H13=0),0,INDIRECT("'T"&amp;$I13&amp;"'!$M$"&amp;($J13+5),TRUE)+((1000-ROW())/10000000000000))</f>
        <v>9.8700000000000006E-11</v>
      </c>
      <c r="M13" s="91">
        <f t="array" aca="1" ref="M13" ca="1">IF(OR(NOT(INDEX(ExistsTx,$I13,2)),$H13=0),0,INDIRECT("'T"&amp;$I13&amp;"'!$N$"&amp;($J13+5),TRUE)+((1000-ROW())/10000000000000))</f>
        <v>9.8700000000000006E-11</v>
      </c>
      <c r="N13" s="91">
        <f t="array" aca="1" ref="N13" ca="1">IF(OR(NOT(INDEX(ExistsTx,$I13,2)),$H13=0),0,INDIRECT("'T"&amp;$I13&amp;"'!$O$"&amp;($J13+5),TRUE)+((1000-ROW())/10000000000000))</f>
        <v>9.8700000000000006E-11</v>
      </c>
      <c r="O13" s="91">
        <f t="array" aca="1" ref="O13" ca="1">IF(OR(NOT(INDEX(ExistsTx,$I13,2)),$H13=0),0,INDIRECT("'T"&amp;$I13&amp;"'!$P$"&amp;($J13+5),TRUE)+((1000-ROW())/10000000000000))</f>
        <v>9.8700000000000006E-11</v>
      </c>
      <c r="P13" s="91">
        <f t="array" aca="1" ref="P13" ca="1">IF(OR(NOT(INDEX(ExistsTx,$I13,2)),$H13=0),0,INDIRECT("'T"&amp;$I13&amp;"'!$Q$"&amp;($J13+5),TRUE)+((1000-ROW())/10000000000000))</f>
        <v>9.8700000000000006E-11</v>
      </c>
      <c r="Q13" s="91">
        <f t="shared" ca="1" si="6"/>
        <v>1.270283101269E-6</v>
      </c>
      <c r="R13" s="2"/>
      <c r="S13" s="2"/>
      <c r="T13" s="34">
        <v>11</v>
      </c>
      <c r="U13" s="55" t="str">
        <f t="shared" ca="1" si="7"/>
        <v>Cheat'zug</v>
      </c>
      <c r="V13" s="55" t="str">
        <f t="shared" ca="1" si="8"/>
        <v>Blitzer</v>
      </c>
      <c r="W13" s="55" t="str">
        <f t="shared" ca="1" si="9"/>
        <v>Population: Orc</v>
      </c>
      <c r="X13" s="97">
        <f t="shared" ca="1" si="10"/>
        <v>12.000001231672671</v>
      </c>
      <c r="Y13" s="98"/>
      <c r="Z13" s="34">
        <v>11</v>
      </c>
      <c r="AA13" s="55" t="str">
        <f t="shared" ca="1" si="11"/>
        <v>Slugkap</v>
      </c>
      <c r="AB13" s="55" t="str">
        <f t="shared" ca="1" si="12"/>
        <v>Ghoul</v>
      </c>
      <c r="AC13" s="55" t="str">
        <f t="shared" ca="1" si="13"/>
        <v>Ashtown Villains</v>
      </c>
      <c r="AD13" s="97">
        <f t="shared" ca="1" si="14"/>
        <v>2.0000000000881002</v>
      </c>
      <c r="AE13" s="2"/>
    </row>
    <row r="14" spans="1:31" ht="12.75" customHeight="1">
      <c r="A14" s="88" t="str">
        <f t="shared" ca="1" si="0"/>
        <v/>
      </c>
      <c r="B14" s="88" t="str">
        <f t="shared" ca="1" si="1"/>
        <v/>
      </c>
      <c r="C14" s="88" t="str">
        <f t="shared" ca="1" si="2"/>
        <v/>
      </c>
      <c r="D14" s="88">
        <f t="shared" ca="1" si="3"/>
        <v>13</v>
      </c>
      <c r="E14" s="88" t="str">
        <f t="shared" ca="1" si="4"/>
        <v/>
      </c>
      <c r="F14" s="88">
        <f t="shared" ca="1" si="5"/>
        <v>53</v>
      </c>
      <c r="G14" s="89" t="str">
        <f t="array" aca="1" ref="G14" ca="1">IF(INDEX(ExistsTx,$I14,2),IF(INDIRECT("'T"&amp;$I14&amp;"'!$D$"&amp;($J14+5),TRUE)=0,T_NoName,INDIRECT("'T"&amp;$I14&amp;"'!$D$"&amp;($J14+5),TRUE)),"")</f>
        <v>Clifford Avril</v>
      </c>
      <c r="H14" s="89" t="str">
        <f t="array" aca="1" ref="H14" ca="1">IF(INDEX(ExistsTx,$I14,2),INDIRECT("'T"&amp;$I14&amp;"'!$E$"&amp;($J14+5),TRUE),0)</f>
        <v>Thrall</v>
      </c>
      <c r="I14" s="90">
        <v>1</v>
      </c>
      <c r="J14" s="90">
        <v>12</v>
      </c>
      <c r="K14" s="89" t="str">
        <f t="array" aca="1" ref="K14" ca="1">INDEX(ListTeams,$I14,1)</f>
        <v>Sylvania Suckhawks</v>
      </c>
      <c r="L14" s="91">
        <f t="array" aca="1" ref="L14" ca="1">IF(OR(NOT(INDEX(ExistsTx,$I14,2)),$H14=0),0,INDIRECT("'T"&amp;$I14&amp;"'!$M$"&amp;($J14+5),TRUE)+((1000-ROW())/10000000000000))</f>
        <v>9.8600000000000001E-11</v>
      </c>
      <c r="M14" s="91">
        <f t="array" aca="1" ref="M14" ca="1">IF(OR(NOT(INDEX(ExistsTx,$I14,2)),$H14=0),0,INDIRECT("'T"&amp;$I14&amp;"'!$N$"&amp;($J14+5),TRUE)+((1000-ROW())/10000000000000))</f>
        <v>9.8600000000000001E-11</v>
      </c>
      <c r="N14" s="91">
        <f t="array" aca="1" ref="N14" ca="1">IF(OR(NOT(INDEX(ExistsTx,$I14,2)),$H14=0),0,INDIRECT("'T"&amp;$I14&amp;"'!$O$"&amp;($J14+5),TRUE)+((1000-ROW())/10000000000000))</f>
        <v>9.8600000000000001E-11</v>
      </c>
      <c r="O14" s="91">
        <f t="array" aca="1" ref="O14" ca="1">IF(OR(NOT(INDEX(ExistsTx,$I14,2)),$H14=0),0,INDIRECT("'T"&amp;$I14&amp;"'!$P$"&amp;($J14+5),TRUE)+((1000-ROW())/10000000000000))</f>
        <v>1.0000000000986</v>
      </c>
      <c r="P14" s="91">
        <f t="array" aca="1" ref="P14" ca="1">IF(OR(NOT(INDEX(ExistsTx,$I14,2)),$H14=0),0,INDIRECT("'T"&amp;$I14&amp;"'!$Q$"&amp;($J14+5),TRUE)+((1000-ROW())/10000000000000))</f>
        <v>9.8600000000000001E-11</v>
      </c>
      <c r="Q14" s="91">
        <f t="shared" ca="1" si="6"/>
        <v>2.0000012689960869</v>
      </c>
      <c r="R14" s="2"/>
      <c r="S14" s="2"/>
      <c r="T14" s="34">
        <v>12</v>
      </c>
      <c r="U14" s="55" t="str">
        <f t="shared" ca="1" si="7"/>
        <v>Shark'zug</v>
      </c>
      <c r="V14" s="55" t="str">
        <f t="shared" ca="1" si="8"/>
        <v>Black Orc Blocker</v>
      </c>
      <c r="W14" s="55" t="str">
        <f t="shared" ca="1" si="9"/>
        <v>Population: Orc</v>
      </c>
      <c r="X14" s="97">
        <f t="shared" ca="1" si="10"/>
        <v>10.000001226524615</v>
      </c>
      <c r="Y14" s="98"/>
      <c r="Z14" s="34">
        <v>12</v>
      </c>
      <c r="AA14" s="55" t="str">
        <f t="shared" ca="1" si="11"/>
        <v>Count Russel Wilhelms</v>
      </c>
      <c r="AB14" s="55" t="str">
        <f t="shared" ca="1" si="12"/>
        <v>Vampire</v>
      </c>
      <c r="AC14" s="55" t="str">
        <f t="shared" ca="1" si="13"/>
        <v>Sylvania Suckhawks</v>
      </c>
      <c r="AD14" s="97">
        <f t="shared" ca="1" si="14"/>
        <v>1.0000000000996001</v>
      </c>
      <c r="AE14" s="2"/>
    </row>
    <row r="15" spans="1:31" ht="12.75" customHeight="1">
      <c r="A15" s="88" t="str">
        <f t="shared" ca="1" si="0"/>
        <v/>
      </c>
      <c r="B15" s="88" t="str">
        <f t="shared" ca="1" si="1"/>
        <v/>
      </c>
      <c r="C15" s="88" t="str">
        <f t="shared" ca="1" si="2"/>
        <v/>
      </c>
      <c r="D15" s="88" t="str">
        <f t="shared" ca="1" si="3"/>
        <v/>
      </c>
      <c r="E15" s="88" t="str">
        <f t="shared" ca="1" si="4"/>
        <v/>
      </c>
      <c r="F15" s="88" t="str">
        <f t="shared" ca="1" si="5"/>
        <v/>
      </c>
      <c r="G15" s="89" t="str">
        <f t="array" aca="1" ref="G15" ca="1">IF(INDEX(ExistsTx,$I15,2),IF(INDIRECT("'T"&amp;$I15&amp;"'!$D$"&amp;($J15+5),TRUE)=0,T_NoName,INDIRECT("'T"&amp;$I15&amp;"'!$D$"&amp;($J15+5),TRUE)),"")</f>
        <v>Darren Fel</v>
      </c>
      <c r="H15" s="89" t="str">
        <f t="array" aca="1" ref="H15" ca="1">IF(INDEX(ExistsTx,$I15,2),INDIRECT("'T"&amp;$I15&amp;"'!$E$"&amp;($J15+5),TRUE),0)</f>
        <v>Thrall</v>
      </c>
      <c r="I15" s="90">
        <v>1</v>
      </c>
      <c r="J15" s="90">
        <v>13</v>
      </c>
      <c r="K15" s="89" t="str">
        <f t="array" aca="1" ref="K15" ca="1">INDEX(ListTeams,$I15,1)</f>
        <v>Sylvania Suckhawks</v>
      </c>
      <c r="L15" s="91">
        <f t="array" aca="1" ref="L15" ca="1">IF(OR(NOT(INDEX(ExistsTx,$I15,2)),$H15=0),0,INDIRECT("'T"&amp;$I15&amp;"'!$M$"&amp;($J15+5),TRUE)+((1000-ROW())/10000000000000))</f>
        <v>9.8499999999999996E-11</v>
      </c>
      <c r="M15" s="91">
        <f t="array" aca="1" ref="M15" ca="1">IF(OR(NOT(INDEX(ExistsTx,$I15,2)),$H15=0),0,INDIRECT("'T"&amp;$I15&amp;"'!$N$"&amp;($J15+5),TRUE)+((1000-ROW())/10000000000000))</f>
        <v>9.8499999999999996E-11</v>
      </c>
      <c r="N15" s="91">
        <f t="array" aca="1" ref="N15" ca="1">IF(OR(NOT(INDEX(ExistsTx,$I15,2)),$H15=0),0,INDIRECT("'T"&amp;$I15&amp;"'!$O$"&amp;($J15+5),TRUE)+((1000-ROW())/10000000000000))</f>
        <v>9.8499999999999996E-11</v>
      </c>
      <c r="O15" s="91">
        <f t="array" aca="1" ref="O15" ca="1">IF(OR(NOT(INDEX(ExistsTx,$I15,2)),$H15=0),0,INDIRECT("'T"&amp;$I15&amp;"'!$P$"&amp;($J15+5),TRUE)+((1000-ROW())/10000000000000))</f>
        <v>9.8499999999999996E-11</v>
      </c>
      <c r="P15" s="91">
        <f t="array" aca="1" ref="P15" ca="1">IF(OR(NOT(INDEX(ExistsTx,$I15,2)),$H15=0),0,INDIRECT("'T"&amp;$I15&amp;"'!$Q$"&amp;($J15+5),TRUE)+((1000-ROW())/10000000000000))</f>
        <v>9.8499999999999996E-11</v>
      </c>
      <c r="Q15" s="91">
        <f t="shared" ca="1" si="6"/>
        <v>1.2677090726950001E-6</v>
      </c>
      <c r="R15" s="2"/>
      <c r="S15" s="2"/>
      <c r="T15" s="34">
        <v>13</v>
      </c>
      <c r="U15" s="55" t="str">
        <f t="shared" ca="1" si="7"/>
        <v>Anuket</v>
      </c>
      <c r="V15" s="55" t="str">
        <f t="shared" ca="1" si="8"/>
        <v>Saurus</v>
      </c>
      <c r="W15" s="55" t="str">
        <f t="shared" ca="1" si="9"/>
        <v>Guardians of the Nile</v>
      </c>
      <c r="X15" s="97">
        <f t="shared" ca="1" si="10"/>
        <v>10.000001172470016</v>
      </c>
      <c r="Y15" s="98"/>
      <c r="Z15" s="34">
        <v>13</v>
      </c>
      <c r="AA15" s="55" t="str">
        <f t="shared" ca="1" si="11"/>
        <v>Kim Chancellor</v>
      </c>
      <c r="AB15" s="55" t="str">
        <f t="shared" ca="1" si="12"/>
        <v>Thrall</v>
      </c>
      <c r="AC15" s="55" t="str">
        <f t="shared" ca="1" si="13"/>
        <v>Sylvania Suckhawks</v>
      </c>
      <c r="AD15" s="97">
        <f t="shared" ca="1" si="14"/>
        <v>1.0000000000991001</v>
      </c>
      <c r="AE15" s="2"/>
    </row>
    <row r="16" spans="1:31" ht="12.75" customHeight="1">
      <c r="A16" s="88" t="str">
        <f t="shared" ca="1" si="0"/>
        <v/>
      </c>
      <c r="B16" s="88" t="str">
        <f t="shared" ca="1" si="1"/>
        <v/>
      </c>
      <c r="C16" s="88" t="str">
        <f t="shared" ca="1" si="2"/>
        <v/>
      </c>
      <c r="D16" s="88" t="str">
        <f t="shared" ca="1" si="3"/>
        <v/>
      </c>
      <c r="E16" s="88" t="str">
        <f t="shared" ca="1" si="4"/>
        <v/>
      </c>
      <c r="F16" s="88" t="str">
        <f t="shared" ca="1" si="5"/>
        <v/>
      </c>
      <c r="G16" s="89" t="str">
        <f t="array" aca="1" ref="G16" ca="1">IF(INDEX(ExistsTx,$I16,2),IF(INDIRECT("'T"&amp;$I16&amp;"'!$D$"&amp;($J16+5),TRUE)=0,T_NoName,INDIRECT("'T"&amp;$I16&amp;"'!$D$"&amp;($J16+5),TRUE)),"")</f>
        <v>Percival Harvin</v>
      </c>
      <c r="H16" s="89" t="str">
        <f t="array" aca="1" ref="H16" ca="1">IF(INDEX(ExistsTx,$I16,2),INDIRECT("'T"&amp;$I16&amp;"'!$E$"&amp;($J16+5),TRUE),0)</f>
        <v>Thrall</v>
      </c>
      <c r="I16" s="90">
        <v>1</v>
      </c>
      <c r="J16" s="90">
        <v>14</v>
      </c>
      <c r="K16" s="89" t="str">
        <f t="array" aca="1" ref="K16" ca="1">INDEX(ListTeams,$I16,1)</f>
        <v>Sylvania Suckhawks</v>
      </c>
      <c r="L16" s="91">
        <f t="array" aca="1" ref="L16" ca="1">IF(OR(NOT(INDEX(ExistsTx,$I16,2)),$H16=0),0,INDIRECT("'T"&amp;$I16&amp;"'!$M$"&amp;($J16+5),TRUE)+((1000-ROW())/10000000000000))</f>
        <v>9.8400000000000004E-11</v>
      </c>
      <c r="M16" s="91">
        <f t="array" aca="1" ref="M16" ca="1">IF(OR(NOT(INDEX(ExistsTx,$I16,2)),$H16=0),0,INDIRECT("'T"&amp;$I16&amp;"'!$N$"&amp;($J16+5),TRUE)+((1000-ROW())/10000000000000))</f>
        <v>9.8400000000000004E-11</v>
      </c>
      <c r="N16" s="91">
        <f t="array" aca="1" ref="N16" ca="1">IF(OR(NOT(INDEX(ExistsTx,$I16,2)),$H16=0),0,INDIRECT("'T"&amp;$I16&amp;"'!$O$"&amp;($J16+5),TRUE)+((1000-ROW())/10000000000000))</f>
        <v>9.8400000000000004E-11</v>
      </c>
      <c r="O16" s="91">
        <f t="array" aca="1" ref="O16" ca="1">IF(OR(NOT(INDEX(ExistsTx,$I16,2)),$H16=0),0,INDIRECT("'T"&amp;$I16&amp;"'!$P$"&amp;($J16+5),TRUE)+((1000-ROW())/10000000000000))</f>
        <v>9.8400000000000004E-11</v>
      </c>
      <c r="P16" s="91">
        <f t="array" aca="1" ref="P16" ca="1">IF(OR(NOT(INDEX(ExistsTx,$I16,2)),$H16=0),0,INDIRECT("'T"&amp;$I16&amp;"'!$Q$"&amp;($J16+5),TRUE)+((1000-ROW())/10000000000000))</f>
        <v>9.8400000000000004E-11</v>
      </c>
      <c r="Q16" s="91">
        <f t="shared" ca="1" si="6"/>
        <v>1.2664220584080001E-6</v>
      </c>
      <c r="R16" s="2"/>
      <c r="S16" s="2"/>
      <c r="T16" s="34">
        <v>14</v>
      </c>
      <c r="U16" s="55" t="str">
        <f t="shared" ca="1" si="7"/>
        <v>Kim Chancellor</v>
      </c>
      <c r="V16" s="55" t="str">
        <f t="shared" ca="1" si="8"/>
        <v>Thrall</v>
      </c>
      <c r="W16" s="55" t="str">
        <f t="shared" ca="1" si="9"/>
        <v>Sylvania Suckhawks</v>
      </c>
      <c r="X16" s="97">
        <f t="shared" ca="1" si="10"/>
        <v>9.000001275431158</v>
      </c>
      <c r="Y16" s="98"/>
      <c r="Z16" s="34">
        <v>14</v>
      </c>
      <c r="AA16" s="55" t="str">
        <f t="shared" ca="1" si="11"/>
        <v>Joe "Ivory" Jackson</v>
      </c>
      <c r="AB16" s="55" t="str">
        <f t="shared" ca="1" si="12"/>
        <v>Werewolf</v>
      </c>
      <c r="AC16" s="55" t="str">
        <f t="shared" ca="1" si="13"/>
        <v>Jacksonville Thrillers</v>
      </c>
      <c r="AD16" s="97">
        <f t="shared" ca="1" si="14"/>
        <v>1.0000000000980001</v>
      </c>
      <c r="AE16" s="2"/>
    </row>
    <row r="17" spans="1:31" ht="12.75" customHeight="1">
      <c r="A17" s="88" t="str">
        <f t="shared" ca="1" si="0"/>
        <v/>
      </c>
      <c r="B17" s="88" t="str">
        <f t="shared" ca="1" si="1"/>
        <v/>
      </c>
      <c r="C17" s="88" t="str">
        <f t="shared" ca="1" si="2"/>
        <v/>
      </c>
      <c r="D17" s="88" t="str">
        <f t="shared" ca="1" si="3"/>
        <v/>
      </c>
      <c r="E17" s="88" t="str">
        <f t="shared" ca="1" si="4"/>
        <v/>
      </c>
      <c r="F17" s="88" t="str">
        <f t="shared" ca="1" si="5"/>
        <v/>
      </c>
      <c r="G17" s="89" t="str">
        <f t="array" aca="1" ref="G17" ca="1">IF(INDEX(ExistsTx,$I17,2),IF(INDIRECT("'T"&amp;$I17&amp;"'!$D$"&amp;($J17+5),TRUE)=0,T_NoName,INDIRECT("'T"&amp;$I17&amp;"'!$D$"&amp;($J17+5),TRUE)),"")</f>
        <v>Winston Gyle</v>
      </c>
      <c r="H17" s="89" t="str">
        <f t="array" aca="1" ref="H17" ca="1">IF(INDEX(ExistsTx,$I17,2),INDIRECT("'T"&amp;$I17&amp;"'!$E$"&amp;($J17+5),TRUE),0)</f>
        <v>Thrall</v>
      </c>
      <c r="I17" s="90">
        <v>1</v>
      </c>
      <c r="J17" s="90">
        <v>15</v>
      </c>
      <c r="K17" s="89" t="str">
        <f t="array" aca="1" ref="K17" ca="1">INDEX(ListTeams,$I17,1)</f>
        <v>Sylvania Suckhawks</v>
      </c>
      <c r="L17" s="91">
        <f t="array" aca="1" ref="L17" ca="1">IF(OR(NOT(INDEX(ExistsTx,$I17,2)),$H17=0),0,INDIRECT("'T"&amp;$I17&amp;"'!$M$"&amp;($J17+5),TRUE)+((1000-ROW())/10000000000000))</f>
        <v>9.8299999999999999E-11</v>
      </c>
      <c r="M17" s="91">
        <f t="array" aca="1" ref="M17" ca="1">IF(OR(NOT(INDEX(ExistsTx,$I17,2)),$H17=0),0,INDIRECT("'T"&amp;$I17&amp;"'!$N$"&amp;($J17+5),TRUE)+((1000-ROW())/10000000000000))</f>
        <v>9.8299999999999999E-11</v>
      </c>
      <c r="N17" s="91">
        <f t="array" aca="1" ref="N17" ca="1">IF(OR(NOT(INDEX(ExistsTx,$I17,2)),$H17=0),0,INDIRECT("'T"&amp;$I17&amp;"'!$O$"&amp;($J17+5),TRUE)+((1000-ROW())/10000000000000))</f>
        <v>9.8299999999999999E-11</v>
      </c>
      <c r="O17" s="91">
        <f t="array" aca="1" ref="O17" ca="1">IF(OR(NOT(INDEX(ExistsTx,$I17,2)),$H17=0),0,INDIRECT("'T"&amp;$I17&amp;"'!$P$"&amp;($J17+5),TRUE)+((1000-ROW())/10000000000000))</f>
        <v>9.8299999999999999E-11</v>
      </c>
      <c r="P17" s="91">
        <f t="array" aca="1" ref="P17" ca="1">IF(OR(NOT(INDEX(ExistsTx,$I17,2)),$H17=0),0,INDIRECT("'T"&amp;$I17&amp;"'!$Q$"&amp;($J17+5),TRUE)+((1000-ROW())/10000000000000))</f>
        <v>9.8299999999999999E-11</v>
      </c>
      <c r="Q17" s="91">
        <f t="shared" ca="1" si="6"/>
        <v>1.265135044121E-6</v>
      </c>
      <c r="R17" s="2"/>
      <c r="S17" s="2"/>
      <c r="T17" s="34">
        <v>15</v>
      </c>
      <c r="U17" s="55" t="str">
        <f t="shared" ca="1" si="7"/>
        <v>King'zug</v>
      </c>
      <c r="V17" s="55" t="str">
        <f t="shared" ca="1" si="8"/>
        <v>Thrower</v>
      </c>
      <c r="W17" s="55" t="str">
        <f t="shared" ca="1" si="9"/>
        <v>Population: Orc</v>
      </c>
      <c r="X17" s="97">
        <f t="shared" ca="1" si="10"/>
        <v>9.0000012342467031</v>
      </c>
      <c r="Y17" s="98"/>
      <c r="Z17" s="34">
        <v>15</v>
      </c>
      <c r="AA17" s="55" t="str">
        <f t="shared" ca="1" si="11"/>
        <v>Marzi'zug</v>
      </c>
      <c r="AB17" s="55" t="str">
        <f t="shared" ca="1" si="12"/>
        <v>Blitzer</v>
      </c>
      <c r="AC17" s="55" t="str">
        <f t="shared" ca="1" si="13"/>
        <v>Population: Orc</v>
      </c>
      <c r="AD17" s="97">
        <f t="shared" ca="1" si="14"/>
        <v>1.0000000000953999</v>
      </c>
      <c r="AE17" s="2"/>
    </row>
    <row r="18" spans="1:31" ht="12.75" customHeight="1">
      <c r="A18" s="88" t="str">
        <f t="shared" ca="1" si="0"/>
        <v/>
      </c>
      <c r="B18" s="88" t="str">
        <f t="shared" ca="1" si="1"/>
        <v/>
      </c>
      <c r="C18" s="88" t="str">
        <f t="shared" ca="1" si="2"/>
        <v/>
      </c>
      <c r="D18" s="88" t="str">
        <f t="shared" ca="1" si="3"/>
        <v/>
      </c>
      <c r="E18" s="88" t="str">
        <f t="shared" ca="1" si="4"/>
        <v/>
      </c>
      <c r="F18" s="88" t="str">
        <f t="shared" ca="1" si="5"/>
        <v/>
      </c>
      <c r="G18" s="89" t="str">
        <f t="array" aca="1" ref="G18" ca="1">IF(INDEX(ExistsTx,$I18,2),IF(INDIRECT("'T"&amp;$I18&amp;"'!$D$"&amp;($J18+5),TRUE)=0,T_NoName,INDIRECT("'T"&amp;$I18&amp;"'!$D$"&amp;($J18+5),TRUE)),"")</f>
        <v>Alexander Collins</v>
      </c>
      <c r="H18" s="89" t="str">
        <f t="array" aca="1" ref="H18" ca="1">IF(INDEX(ExistsTx,$I18,2),INDIRECT("'T"&amp;$I18&amp;"'!$E$"&amp;($J18+5),TRUE),0)</f>
        <v>Thrall</v>
      </c>
      <c r="I18" s="90">
        <v>1</v>
      </c>
      <c r="J18" s="90">
        <v>16</v>
      </c>
      <c r="K18" s="89" t="str">
        <f t="array" aca="1" ref="K18" ca="1">INDEX(ListTeams,$I18,1)</f>
        <v>Sylvania Suckhawks</v>
      </c>
      <c r="L18" s="91">
        <f t="array" aca="1" ref="L18" ca="1">IF(OR(NOT(INDEX(ExistsTx,$I18,2)),$H18=0),0,INDIRECT("'T"&amp;$I18&amp;"'!$M$"&amp;($J18+5),TRUE)+((1000-ROW())/10000000000000))</f>
        <v>9.8199999999999994E-11</v>
      </c>
      <c r="M18" s="91">
        <f t="array" aca="1" ref="M18" ca="1">IF(OR(NOT(INDEX(ExistsTx,$I18,2)),$H18=0),0,INDIRECT("'T"&amp;$I18&amp;"'!$N$"&amp;($J18+5),TRUE)+((1000-ROW())/10000000000000))</f>
        <v>9.8199999999999994E-11</v>
      </c>
      <c r="N18" s="91">
        <f t="array" aca="1" ref="N18" ca="1">IF(OR(NOT(INDEX(ExistsTx,$I18,2)),$H18=0),0,INDIRECT("'T"&amp;$I18&amp;"'!$O$"&amp;($J18+5),TRUE)+((1000-ROW())/10000000000000))</f>
        <v>9.8199999999999994E-11</v>
      </c>
      <c r="O18" s="91">
        <f t="array" aca="1" ref="O18" ca="1">IF(OR(NOT(INDEX(ExistsTx,$I18,2)),$H18=0),0,INDIRECT("'T"&amp;$I18&amp;"'!$P$"&amp;($J18+5),TRUE)+((1000-ROW())/10000000000000))</f>
        <v>9.8199999999999994E-11</v>
      </c>
      <c r="P18" s="91">
        <f t="array" aca="1" ref="P18" ca="1">IF(OR(NOT(INDEX(ExistsTx,$I18,2)),$H18=0),0,INDIRECT("'T"&amp;$I18&amp;"'!$Q$"&amp;($J18+5),TRUE)+((1000-ROW())/10000000000000))</f>
        <v>9.8199999999999994E-11</v>
      </c>
      <c r="Q18" s="91">
        <f t="shared" ca="1" si="6"/>
        <v>1.263848029834E-6</v>
      </c>
      <c r="R18" s="2"/>
      <c r="S18" s="2"/>
      <c r="T18" s="34">
        <v>16</v>
      </c>
      <c r="U18" s="55" t="str">
        <f t="shared" ca="1" si="7"/>
        <v>Horus</v>
      </c>
      <c r="V18" s="55" t="str">
        <f t="shared" ca="1" si="8"/>
        <v>Saurus</v>
      </c>
      <c r="W18" s="55" t="str">
        <f t="shared" ca="1" si="9"/>
        <v>Guardians of the Nile</v>
      </c>
      <c r="X18" s="97">
        <f t="shared" ca="1" si="10"/>
        <v>9.0000011750440461</v>
      </c>
      <c r="Y18" s="98"/>
      <c r="Z18" s="34">
        <v>16</v>
      </c>
      <c r="AA18" s="55" t="str">
        <f t="shared" ca="1" si="11"/>
        <v>Rebecca Black</v>
      </c>
      <c r="AB18" s="55" t="str">
        <f t="shared" ca="1" si="12"/>
        <v>Catcher</v>
      </c>
      <c r="AC18" s="55" t="str">
        <f t="shared" ca="1" si="13"/>
        <v>Wrath of the Month</v>
      </c>
      <c r="AD18" s="97">
        <f t="shared" ca="1" si="14"/>
        <v>1.0000000000939</v>
      </c>
      <c r="AE18" s="2"/>
    </row>
    <row r="19" spans="1:31" ht="12.75" customHeight="1">
      <c r="A19" s="88" t="str">
        <f t="shared" ca="1" si="0"/>
        <v/>
      </c>
      <c r="B19" s="88">
        <f t="shared" ca="1" si="1"/>
        <v>5</v>
      </c>
      <c r="C19" s="88" t="str">
        <f t="shared" ca="1" si="2"/>
        <v/>
      </c>
      <c r="D19" s="88" t="str">
        <f t="shared" ca="1" si="3"/>
        <v/>
      </c>
      <c r="E19" s="88" t="str">
        <f t="shared" ca="1" si="4"/>
        <v/>
      </c>
      <c r="F19" s="88">
        <f t="shared" ca="1" si="5"/>
        <v>33</v>
      </c>
      <c r="G19" s="89" t="str">
        <f t="array" aca="1" ref="G19" ca="1">IF(INDEX(ExistsTx,$I19,2),IF(INDIRECT("'T"&amp;$I19&amp;"'!$D$"&amp;($J19+5),TRUE)=0,T_NoName,INDIRECT("'T"&amp;$I19&amp;"'!$D$"&amp;($J19+5),TRUE)),"")</f>
        <v>Michael "Bad" Jackson</v>
      </c>
      <c r="H19" s="89" t="str">
        <f t="array" aca="1" ref="H19" ca="1">IF(INDEX(ExistsTx,$I19,2),INDIRECT("'T"&amp;$I19&amp;"'!$E$"&amp;($J19+5),TRUE),0)</f>
        <v>Werewolf</v>
      </c>
      <c r="I19" s="90">
        <v>2</v>
      </c>
      <c r="J19" s="90">
        <v>1</v>
      </c>
      <c r="K19" s="89" t="str">
        <f t="array" aca="1" ref="K19" ca="1">INDEX(ListTeams,$I19,1)</f>
        <v>Jacksonville Thrillers</v>
      </c>
      <c r="L19" s="91">
        <f t="array" aca="1" ref="L19" ca="1">IF(OR(NOT(INDEX(ExistsTx,$I19,2)),$H19=0),0,INDIRECT("'T"&amp;$I19&amp;"'!$M$"&amp;($J19+5),TRUE)+((1000-ROW())/10000000000000))</f>
        <v>9.8100000000000002E-11</v>
      </c>
      <c r="M19" s="91">
        <f t="array" aca="1" ref="M19" ca="1">IF(OR(NOT(INDEX(ExistsTx,$I19,2)),$H19=0),0,INDIRECT("'T"&amp;$I19&amp;"'!$N$"&amp;($J19+5),TRUE)+((1000-ROW())/10000000000000))</f>
        <v>2.0000000000981002</v>
      </c>
      <c r="N19" s="91">
        <f t="array" aca="1" ref="N19" ca="1">IF(OR(NOT(INDEX(ExistsTx,$I19,2)),$H19=0),0,INDIRECT("'T"&amp;$I19&amp;"'!$O$"&amp;($J19+5),TRUE)+((1000-ROW())/10000000000000))</f>
        <v>9.8100000000000002E-11</v>
      </c>
      <c r="O19" s="91">
        <f t="array" aca="1" ref="O19" ca="1">IF(OR(NOT(INDEX(ExistsTx,$I19,2)),$H19=0),0,INDIRECT("'T"&amp;$I19&amp;"'!$P$"&amp;($J19+5),TRUE)+((1000-ROW())/10000000000000))</f>
        <v>9.8100000000000002E-11</v>
      </c>
      <c r="P19" s="91">
        <f t="array" aca="1" ref="P19" ca="1">IF(OR(NOT(INDEX(ExistsTx,$I19,2)),$H19=0),0,INDIRECT("'T"&amp;$I19&amp;"'!$Q$"&amp;($J19+5),TRUE)+((1000-ROW())/10000000000000))</f>
        <v>9.8100000000000002E-11</v>
      </c>
      <c r="Q19" s="91">
        <f t="shared" ca="1" si="6"/>
        <v>6.0000012625610175</v>
      </c>
      <c r="R19" s="2"/>
      <c r="S19" s="2"/>
      <c r="T19" s="34">
        <v>17</v>
      </c>
      <c r="U19" s="55" t="str">
        <f t="shared" ca="1" si="7"/>
        <v>Tuttut</v>
      </c>
      <c r="V19" s="55" t="str">
        <f t="shared" ca="1" si="8"/>
        <v>Mummy</v>
      </c>
      <c r="W19" s="55" t="str">
        <f t="shared" ca="1" si="9"/>
        <v>Ashtown Villains</v>
      </c>
      <c r="X19" s="97">
        <f t="shared" ca="1" si="10"/>
        <v>9.0000011390076438</v>
      </c>
      <c r="Y19" s="98"/>
      <c r="Z19" s="34">
        <v>17</v>
      </c>
      <c r="AA19" s="55" t="str">
        <f t="shared" ca="1" si="11"/>
        <v>Y.A. Spittle</v>
      </c>
      <c r="AB19" s="55" t="str">
        <f t="shared" ca="1" si="12"/>
        <v>Thrower</v>
      </c>
      <c r="AC19" s="55" t="str">
        <f t="shared" ca="1" si="13"/>
        <v>OrCares</v>
      </c>
      <c r="AD19" s="97">
        <f t="shared" ca="1" si="14"/>
        <v>1.0000000000933</v>
      </c>
      <c r="AE19" s="2"/>
    </row>
    <row r="20" spans="1:31" ht="12.75" customHeight="1">
      <c r="A20" s="88" t="str">
        <f t="shared" ca="1" si="0"/>
        <v/>
      </c>
      <c r="B20" s="88">
        <f t="shared" ca="1" si="1"/>
        <v>14</v>
      </c>
      <c r="C20" s="88" t="str">
        <f t="shared" ca="1" si="2"/>
        <v/>
      </c>
      <c r="D20" s="88" t="str">
        <f t="shared" ca="1" si="3"/>
        <v/>
      </c>
      <c r="E20" s="88" t="str">
        <f t="shared" ca="1" si="4"/>
        <v/>
      </c>
      <c r="F20" s="88">
        <f t="shared" ca="1" si="5"/>
        <v>51</v>
      </c>
      <c r="G20" s="89" t="str">
        <f t="array" aca="1" ref="G20" ca="1">IF(INDEX(ExistsTx,$I20,2),IF(INDIRECT("'T"&amp;$I20&amp;"'!$D$"&amp;($J20+5),TRUE)=0,T_NoName,INDIRECT("'T"&amp;$I20&amp;"'!$D$"&amp;($J20+5),TRUE)),"")</f>
        <v>Joe "Ivory" Jackson</v>
      </c>
      <c r="H20" s="89" t="str">
        <f t="array" aca="1" ref="H20" ca="1">IF(INDEX(ExistsTx,$I20,2),INDIRECT("'T"&amp;$I20&amp;"'!$E$"&amp;($J20+5),TRUE),0)</f>
        <v>Werewolf</v>
      </c>
      <c r="I20" s="90">
        <v>2</v>
      </c>
      <c r="J20" s="90">
        <v>2</v>
      </c>
      <c r="K20" s="89" t="str">
        <f t="array" aca="1" ref="K20" ca="1">INDEX(ListTeams,$I20,1)</f>
        <v>Jacksonville Thrillers</v>
      </c>
      <c r="L20" s="91">
        <f t="array" aca="1" ref="L20" ca="1">IF(OR(NOT(INDEX(ExistsTx,$I20,2)),$H20=0),0,INDIRECT("'T"&amp;$I20&amp;"'!$M$"&amp;($J20+5),TRUE)+((1000-ROW())/10000000000000))</f>
        <v>9.7999999999999998E-11</v>
      </c>
      <c r="M20" s="91">
        <f t="array" aca="1" ref="M20" ca="1">IF(OR(NOT(INDEX(ExistsTx,$I20,2)),$H20=0),0,INDIRECT("'T"&amp;$I20&amp;"'!$N$"&amp;($J20+5),TRUE)+((1000-ROW())/10000000000000))</f>
        <v>1.0000000000980001</v>
      </c>
      <c r="N20" s="91">
        <f t="array" aca="1" ref="N20" ca="1">IF(OR(NOT(INDEX(ExistsTx,$I20,2)),$H20=0),0,INDIRECT("'T"&amp;$I20&amp;"'!$O$"&amp;($J20+5),TRUE)+((1000-ROW())/10000000000000))</f>
        <v>9.7999999999999998E-11</v>
      </c>
      <c r="O20" s="91">
        <f t="array" aca="1" ref="O20" ca="1">IF(OR(NOT(INDEX(ExistsTx,$I20,2)),$H20=0),0,INDIRECT("'T"&amp;$I20&amp;"'!$P$"&amp;($J20+5),TRUE)+((1000-ROW())/10000000000000))</f>
        <v>9.7999999999999998E-11</v>
      </c>
      <c r="P20" s="91">
        <f t="array" aca="1" ref="P20" ca="1">IF(OR(NOT(INDEX(ExistsTx,$I20,2)),$H20=0),0,INDIRECT("'T"&amp;$I20&amp;"'!$Q$"&amp;($J20+5),TRUE)+((1000-ROW())/10000000000000))</f>
        <v>9.7999999999999998E-11</v>
      </c>
      <c r="Q20" s="91">
        <f t="shared" ca="1" si="6"/>
        <v>3.0000012612740017</v>
      </c>
      <c r="R20" s="2"/>
      <c r="S20" s="2"/>
      <c r="T20" s="34">
        <v>18</v>
      </c>
      <c r="U20" s="55" t="str">
        <f t="shared" ca="1" si="7"/>
        <v>Gino Orchetti</v>
      </c>
      <c r="V20" s="55" t="str">
        <f t="shared" ca="1" si="8"/>
        <v>Black Orc Blocker</v>
      </c>
      <c r="W20" s="55" t="str">
        <f t="shared" ca="1" si="9"/>
        <v>OrCares</v>
      </c>
      <c r="X20" s="97">
        <f t="shared" ca="1" si="10"/>
        <v>8.0000011982103008</v>
      </c>
      <c r="Y20" s="98"/>
      <c r="Z20" s="34">
        <v>18</v>
      </c>
      <c r="AA20" s="55" t="str">
        <f t="shared" ca="1" si="11"/>
        <v>DT</v>
      </c>
      <c r="AB20" s="55" t="str">
        <f t="shared" ca="1" si="12"/>
        <v>Blitzer</v>
      </c>
      <c r="AC20" s="55" t="str">
        <f t="shared" ca="1" si="13"/>
        <v>OrCares</v>
      </c>
      <c r="AD20" s="97">
        <f t="shared" ca="1" si="14"/>
        <v>1.0000000000928</v>
      </c>
      <c r="AE20" s="2"/>
    </row>
    <row r="21" spans="1:31" ht="12.75" customHeight="1">
      <c r="A21" s="88" t="str">
        <f t="shared" ca="1" si="0"/>
        <v/>
      </c>
      <c r="B21" s="88" t="str">
        <f t="shared" ca="1" si="1"/>
        <v/>
      </c>
      <c r="C21" s="88" t="str">
        <f t="shared" ca="1" si="2"/>
        <v/>
      </c>
      <c r="D21" s="88" t="str">
        <f t="shared" ca="1" si="3"/>
        <v/>
      </c>
      <c r="E21" s="88" t="str">
        <f t="shared" ca="1" si="4"/>
        <v/>
      </c>
      <c r="F21" s="88" t="str">
        <f t="shared" ca="1" si="5"/>
        <v/>
      </c>
      <c r="G21" s="89" t="str">
        <f t="array" aca="1" ref="G21" ca="1">IF(INDEX(ExistsTx,$I21,2),IF(INDIRECT("'T"&amp;$I21&amp;"'!$D$"&amp;($J21+5),TRUE)=0,T_NoName,INDIRECT("'T"&amp;$I21&amp;"'!$D$"&amp;($J21+5),TRUE)),"")</f>
        <v>Nameless</v>
      </c>
      <c r="H21" s="89">
        <f t="array" aca="1" ref="H21" ca="1">IF(INDEX(ExistsTx,$I21,2),INDIRECT("'T"&amp;$I21&amp;"'!$E$"&amp;($J21+5),TRUE),0)</f>
        <v>0</v>
      </c>
      <c r="I21" s="90">
        <v>2</v>
      </c>
      <c r="J21" s="90">
        <v>3</v>
      </c>
      <c r="K21" s="89" t="str">
        <f t="array" aca="1" ref="K21" ca="1">INDEX(ListTeams,$I21,1)</f>
        <v>Jacksonville Thrillers</v>
      </c>
      <c r="L21" s="91">
        <f t="array" aca="1" ref="L21" ca="1">IF(OR(NOT(INDEX(ExistsTx,$I21,2)),$H21=0),0,INDIRECT("'T"&amp;$I21&amp;"'!$M$"&amp;($J21+5),TRUE)+((1000-ROW())/10000000000000))</f>
        <v>0</v>
      </c>
      <c r="M21" s="91">
        <f t="array" aca="1" ref="M21" ca="1">IF(OR(NOT(INDEX(ExistsTx,$I21,2)),$H21=0),0,INDIRECT("'T"&amp;$I21&amp;"'!$N$"&amp;($J21+5),TRUE)+((1000-ROW())/10000000000000))</f>
        <v>0</v>
      </c>
      <c r="N21" s="91">
        <f t="array" aca="1" ref="N21" ca="1">IF(OR(NOT(INDEX(ExistsTx,$I21,2)),$H21=0),0,INDIRECT("'T"&amp;$I21&amp;"'!$O$"&amp;($J21+5),TRUE)+((1000-ROW())/10000000000000))</f>
        <v>0</v>
      </c>
      <c r="O21" s="91">
        <f t="array" aca="1" ref="O21" ca="1">IF(OR(NOT(INDEX(ExistsTx,$I21,2)),$H21=0),0,INDIRECT("'T"&amp;$I21&amp;"'!$P$"&amp;($J21+5),TRUE)+((1000-ROW())/10000000000000))</f>
        <v>0</v>
      </c>
      <c r="P21" s="91">
        <f t="array" aca="1" ref="P21" ca="1">IF(OR(NOT(INDEX(ExistsTx,$I21,2)),$H21=0),0,INDIRECT("'T"&amp;$I21&amp;"'!$Q$"&amp;($J21+5),TRUE)+((1000-ROW())/10000000000000))</f>
        <v>0</v>
      </c>
      <c r="Q21" s="91">
        <f t="shared" ca="1" si="6"/>
        <v>1.2587142869729999E-6</v>
      </c>
      <c r="R21" s="2"/>
      <c r="S21" s="2"/>
      <c r="T21" s="34">
        <v>19</v>
      </c>
      <c r="U21" s="55" t="str">
        <f t="shared" ca="1" si="7"/>
        <v>Orc Buttkiss</v>
      </c>
      <c r="V21" s="55" t="str">
        <f t="shared" ca="1" si="8"/>
        <v>Blitzer</v>
      </c>
      <c r="W21" s="55" t="str">
        <f t="shared" ca="1" si="9"/>
        <v>OrCares</v>
      </c>
      <c r="X21" s="97">
        <f t="shared" ca="1" si="10"/>
        <v>8.0000011917752314</v>
      </c>
      <c r="Y21" s="98"/>
      <c r="Z21" s="34">
        <v>19</v>
      </c>
      <c r="AA21" s="55" t="str">
        <f t="shared" ca="1" si="11"/>
        <v>Isis</v>
      </c>
      <c r="AB21" s="55" t="str">
        <f t="shared" ca="1" si="12"/>
        <v>Skink</v>
      </c>
      <c r="AC21" s="55" t="str">
        <f t="shared" ca="1" si="13"/>
        <v>Guardians of the Nile</v>
      </c>
      <c r="AD21" s="97">
        <f t="shared" ca="1" si="14"/>
        <v>1.0000000000908</v>
      </c>
      <c r="AE21" s="2"/>
    </row>
    <row r="22" spans="1:31" ht="12.75" customHeight="1">
      <c r="A22" s="88" t="str">
        <f t="shared" ca="1" si="0"/>
        <v/>
      </c>
      <c r="B22" s="88" t="str">
        <f t="shared" ca="1" si="1"/>
        <v/>
      </c>
      <c r="C22" s="88" t="str">
        <f t="shared" ca="1" si="2"/>
        <v/>
      </c>
      <c r="D22" s="88" t="str">
        <f t="shared" ca="1" si="3"/>
        <v/>
      </c>
      <c r="E22" s="88" t="str">
        <f t="shared" ca="1" si="4"/>
        <v/>
      </c>
      <c r="F22" s="88" t="str">
        <f t="shared" ca="1" si="5"/>
        <v/>
      </c>
      <c r="G22" s="89" t="str">
        <f t="array" aca="1" ref="G22" ca="1">IF(INDEX(ExistsTx,$I22,2),IF(INDIRECT("'T"&amp;$I22&amp;"'!$D$"&amp;($J22+5),TRUE)=0,T_NoName,INDIRECT("'T"&amp;$I22&amp;"'!$D$"&amp;($J22+5),TRUE)),"")</f>
        <v>Nameless</v>
      </c>
      <c r="H22" s="89">
        <f t="array" aca="1" ref="H22" ca="1">IF(INDEX(ExistsTx,$I22,2),INDIRECT("'T"&amp;$I22&amp;"'!$E$"&amp;($J22+5),TRUE),0)</f>
        <v>0</v>
      </c>
      <c r="I22" s="90">
        <v>2</v>
      </c>
      <c r="J22" s="90">
        <v>4</v>
      </c>
      <c r="K22" s="89" t="str">
        <f t="array" aca="1" ref="K22" ca="1">INDEX(ListTeams,$I22,1)</f>
        <v>Jacksonville Thrillers</v>
      </c>
      <c r="L22" s="91">
        <f t="array" aca="1" ref="L22" ca="1">IF(OR(NOT(INDEX(ExistsTx,$I22,2)),$H22=0),0,INDIRECT("'T"&amp;$I22&amp;"'!$M$"&amp;($J22+5),TRUE)+((1000-ROW())/10000000000000))</f>
        <v>0</v>
      </c>
      <c r="M22" s="91">
        <f t="array" aca="1" ref="M22" ca="1">IF(OR(NOT(INDEX(ExistsTx,$I22,2)),$H22=0),0,INDIRECT("'T"&amp;$I22&amp;"'!$N$"&amp;($J22+5),TRUE)+((1000-ROW())/10000000000000))</f>
        <v>0</v>
      </c>
      <c r="N22" s="91">
        <f t="array" aca="1" ref="N22" ca="1">IF(OR(NOT(INDEX(ExistsTx,$I22,2)),$H22=0),0,INDIRECT("'T"&amp;$I22&amp;"'!$O$"&amp;($J22+5),TRUE)+((1000-ROW())/10000000000000))</f>
        <v>0</v>
      </c>
      <c r="O22" s="91">
        <f t="array" aca="1" ref="O22" ca="1">IF(OR(NOT(INDEX(ExistsTx,$I22,2)),$H22=0),0,INDIRECT("'T"&amp;$I22&amp;"'!$P$"&amp;($J22+5),TRUE)+((1000-ROW())/10000000000000))</f>
        <v>0</v>
      </c>
      <c r="P22" s="91">
        <f t="array" aca="1" ref="P22" ca="1">IF(OR(NOT(INDEX(ExistsTx,$I22,2)),$H22=0),0,INDIRECT("'T"&amp;$I22&amp;"'!$Q$"&amp;($J22+5),TRUE)+((1000-ROW())/10000000000000))</f>
        <v>0</v>
      </c>
      <c r="Q22" s="91">
        <f t="shared" ca="1" si="6"/>
        <v>1.257428572686E-6</v>
      </c>
      <c r="R22" s="2"/>
      <c r="S22" s="2"/>
      <c r="T22" s="34">
        <v>20</v>
      </c>
      <c r="U22" s="55" t="str">
        <f t="shared" ca="1" si="7"/>
        <v>Shroud Rainblade</v>
      </c>
      <c r="V22" s="55" t="str">
        <f t="shared" ca="1" si="8"/>
        <v>Lineman</v>
      </c>
      <c r="W22" s="55" t="str">
        <f t="shared" ca="1" si="9"/>
        <v>Skyhaven Silverfoxes</v>
      </c>
      <c r="X22" s="97">
        <f t="shared" ca="1" si="10"/>
        <v>8.0000011531648028</v>
      </c>
      <c r="Y22" s="98"/>
      <c r="Z22" s="34">
        <v>20</v>
      </c>
      <c r="AA22" s="55" t="str">
        <f t="shared" ca="1" si="11"/>
        <v>Strife Dreamkiller</v>
      </c>
      <c r="AB22" s="55" t="str">
        <f t="shared" ca="1" si="12"/>
        <v>Blitzer</v>
      </c>
      <c r="AC22" s="55" t="str">
        <f t="shared" ca="1" si="13"/>
        <v>Skyhaven Silverfoxes</v>
      </c>
      <c r="AD22" s="97">
        <f t="shared" ca="1" si="14"/>
        <v>1.0000000000886</v>
      </c>
      <c r="AE22" s="2"/>
    </row>
    <row r="23" spans="1:31" ht="12.75" customHeight="1">
      <c r="A23" s="88" t="str">
        <f t="shared" ca="1" si="0"/>
        <v/>
      </c>
      <c r="B23" s="88" t="str">
        <f t="shared" ca="1" si="1"/>
        <v/>
      </c>
      <c r="C23" s="88" t="str">
        <f t="shared" ca="1" si="2"/>
        <v/>
      </c>
      <c r="D23" s="88" t="str">
        <f t="shared" ca="1" si="3"/>
        <v/>
      </c>
      <c r="E23" s="88" t="str">
        <f t="shared" ca="1" si="4"/>
        <v/>
      </c>
      <c r="F23" s="88" t="str">
        <f t="shared" ca="1" si="5"/>
        <v/>
      </c>
      <c r="G23" s="89" t="str">
        <f t="array" aca="1" ref="G23" ca="1">IF(INDEX(ExistsTx,$I23,2),IF(INDIRECT("'T"&amp;$I23&amp;"'!$D$"&amp;($J23+5),TRUE)=0,T_NoName,INDIRECT("'T"&amp;$I23&amp;"'!$D$"&amp;($J23+5),TRUE)),"")</f>
        <v>Stendar</v>
      </c>
      <c r="H23" s="89" t="str">
        <f t="array" aca="1" ref="H23" ca="1">IF(INDEX(ExistsTx,$I23,2),INDIRECT("'T"&amp;$I23&amp;"'!$E$"&amp;($J23+5),TRUE),0)</f>
        <v>Zombie</v>
      </c>
      <c r="I23" s="90">
        <v>2</v>
      </c>
      <c r="J23" s="90">
        <v>5</v>
      </c>
      <c r="K23" s="89" t="str">
        <f t="array" aca="1" ref="K23" ca="1">INDEX(ListTeams,$I23,1)</f>
        <v>Jacksonville Thrillers</v>
      </c>
      <c r="L23" s="91">
        <f t="array" aca="1" ref="L23" ca="1">IF(OR(NOT(INDEX(ExistsTx,$I23,2)),$H23=0),0,INDIRECT("'T"&amp;$I23&amp;"'!$M$"&amp;($J23+5),TRUE)+((1000-ROW())/10000000000000))</f>
        <v>9.7699999999999996E-11</v>
      </c>
      <c r="M23" s="91">
        <f t="array" aca="1" ref="M23" ca="1">IF(OR(NOT(INDEX(ExistsTx,$I23,2)),$H23=0),0,INDIRECT("'T"&amp;$I23&amp;"'!$N$"&amp;($J23+5),TRUE)+((1000-ROW())/10000000000000))</f>
        <v>9.7699999999999996E-11</v>
      </c>
      <c r="N23" s="91">
        <f t="array" aca="1" ref="N23" ca="1">IF(OR(NOT(INDEX(ExistsTx,$I23,2)),$H23=0),0,INDIRECT("'T"&amp;$I23&amp;"'!$O$"&amp;($J23+5),TRUE)+((1000-ROW())/10000000000000))</f>
        <v>9.7699999999999996E-11</v>
      </c>
      <c r="O23" s="91">
        <f t="array" aca="1" ref="O23" ca="1">IF(OR(NOT(INDEX(ExistsTx,$I23,2)),$H23=0),0,INDIRECT("'T"&amp;$I23&amp;"'!$P$"&amp;($J23+5),TRUE)+((1000-ROW())/10000000000000))</f>
        <v>9.7699999999999996E-11</v>
      </c>
      <c r="P23" s="91">
        <f t="array" aca="1" ref="P23" ca="1">IF(OR(NOT(INDEX(ExistsTx,$I23,2)),$H23=0),0,INDIRECT("'T"&amp;$I23&amp;"'!$Q$"&amp;($J23+5),TRUE)+((1000-ROW())/10000000000000))</f>
        <v>9.7699999999999996E-11</v>
      </c>
      <c r="Q23" s="91">
        <f t="shared" ca="1" si="6"/>
        <v>1.257412958399E-6</v>
      </c>
      <c r="R23" s="2"/>
      <c r="S23" s="2"/>
      <c r="T23" s="34">
        <v>21</v>
      </c>
      <c r="U23" s="55" t="str">
        <f t="shared" ca="1" si="7"/>
        <v>Jesse "Preachin'" Jackson</v>
      </c>
      <c r="V23" s="55" t="str">
        <f t="shared" ca="1" si="8"/>
        <v>Zombie</v>
      </c>
      <c r="W23" s="55" t="str">
        <f t="shared" ca="1" si="9"/>
        <v>Jacksonville Thrillers</v>
      </c>
      <c r="X23" s="97">
        <f t="shared" ca="1" si="10"/>
        <v>7.0000012484038576</v>
      </c>
      <c r="Y23" s="98"/>
      <c r="Z23" s="34">
        <v>21</v>
      </c>
      <c r="AA23" s="55" t="str">
        <f t="shared" ca="1" si="11"/>
        <v>Emet</v>
      </c>
      <c r="AB23" s="55" t="str">
        <f t="shared" ca="1" si="12"/>
        <v>Ghoul</v>
      </c>
      <c r="AC23" s="55" t="str">
        <f t="shared" ca="1" si="13"/>
        <v>Ashtown Villains</v>
      </c>
      <c r="AD23" s="97">
        <f t="shared" ca="1" si="14"/>
        <v>1.0000000000881999</v>
      </c>
      <c r="AE23" s="2"/>
    </row>
    <row r="24" spans="1:31" ht="12.75" customHeight="1">
      <c r="A24" s="88" t="str">
        <f t="shared" ca="1" si="0"/>
        <v/>
      </c>
      <c r="B24" s="88" t="str">
        <f t="shared" ca="1" si="1"/>
        <v/>
      </c>
      <c r="C24" s="88" t="str">
        <f t="shared" ca="1" si="2"/>
        <v/>
      </c>
      <c r="D24" s="88" t="str">
        <f t="shared" ca="1" si="3"/>
        <v/>
      </c>
      <c r="E24" s="88" t="str">
        <f t="shared" ca="1" si="4"/>
        <v/>
      </c>
      <c r="F24" s="88" t="str">
        <f t="shared" ca="1" si="5"/>
        <v/>
      </c>
      <c r="G24" s="89" t="str">
        <f t="array" aca="1" ref="G24" ca="1">IF(INDEX(ExistsTx,$I24,2),IF(INDIRECT("'T"&amp;$I24&amp;"'!$D$"&amp;($J24+5),TRUE)=0,T_NoName,INDIRECT("'T"&amp;$I24&amp;"'!$D$"&amp;($J24+5),TRUE)),"")</f>
        <v>Jackie Jackson</v>
      </c>
      <c r="H24" s="89" t="str">
        <f t="array" aca="1" ref="H24" ca="1">IF(INDEX(ExistsTx,$I24,2),INDIRECT("'T"&amp;$I24&amp;"'!$E$"&amp;($J24+5),TRUE),0)</f>
        <v>Zombie</v>
      </c>
      <c r="I24" s="90">
        <v>2</v>
      </c>
      <c r="J24" s="90">
        <v>6</v>
      </c>
      <c r="K24" s="89" t="str">
        <f t="array" aca="1" ref="K24" ca="1">INDEX(ListTeams,$I24,1)</f>
        <v>Jacksonville Thrillers</v>
      </c>
      <c r="L24" s="91">
        <f t="array" aca="1" ref="L24" ca="1">IF(OR(NOT(INDEX(ExistsTx,$I24,2)),$H24=0),0,INDIRECT("'T"&amp;$I24&amp;"'!$M$"&amp;($J24+5),TRUE)+((1000-ROW())/10000000000000))</f>
        <v>9.7600000000000004E-11</v>
      </c>
      <c r="M24" s="91">
        <f t="array" aca="1" ref="M24" ca="1">IF(OR(NOT(INDEX(ExistsTx,$I24,2)),$H24=0),0,INDIRECT("'T"&amp;$I24&amp;"'!$N$"&amp;($J24+5),TRUE)+((1000-ROW())/10000000000000))</f>
        <v>9.7600000000000004E-11</v>
      </c>
      <c r="N24" s="91">
        <f t="array" aca="1" ref="N24" ca="1">IF(OR(NOT(INDEX(ExistsTx,$I24,2)),$H24=0),0,INDIRECT("'T"&amp;$I24&amp;"'!$O$"&amp;($J24+5),TRUE)+((1000-ROW())/10000000000000))</f>
        <v>9.7600000000000004E-11</v>
      </c>
      <c r="O24" s="91">
        <f t="array" aca="1" ref="O24" ca="1">IF(OR(NOT(INDEX(ExistsTx,$I24,2)),$H24=0),0,INDIRECT("'T"&amp;$I24&amp;"'!$P$"&amp;($J24+5),TRUE)+((1000-ROW())/10000000000000))</f>
        <v>9.7600000000000004E-11</v>
      </c>
      <c r="P24" s="91">
        <f t="array" aca="1" ref="P24" ca="1">IF(OR(NOT(INDEX(ExistsTx,$I24,2)),$H24=0),0,INDIRECT("'T"&amp;$I24&amp;"'!$Q$"&amp;($J24+5),TRUE)+((1000-ROW())/10000000000000))</f>
        <v>9.7600000000000004E-11</v>
      </c>
      <c r="Q24" s="91">
        <f t="shared" ca="1" si="6"/>
        <v>1.256125944112E-6</v>
      </c>
      <c r="R24" s="2"/>
      <c r="S24" s="2"/>
      <c r="T24" s="34">
        <v>22</v>
      </c>
      <c r="U24" s="55" t="str">
        <f t="shared" ca="1" si="7"/>
        <v>Peter "Frodo" Jackson</v>
      </c>
      <c r="V24" s="55" t="str">
        <f t="shared" ca="1" si="8"/>
        <v>Zombie</v>
      </c>
      <c r="W24" s="55" t="str">
        <f t="shared" ca="1" si="9"/>
        <v>Jacksonville Thrillers</v>
      </c>
      <c r="X24" s="97">
        <f t="shared" ca="1" si="10"/>
        <v>7.0000012471168436</v>
      </c>
      <c r="Y24" s="98"/>
      <c r="Z24" s="34">
        <v>22</v>
      </c>
      <c r="AA24" s="55" t="str">
        <f t="shared" ca="1" si="11"/>
        <v>Q. Gilgesh</v>
      </c>
      <c r="AB24" s="55" t="str">
        <f t="shared" ca="1" si="12"/>
        <v>Wight</v>
      </c>
      <c r="AC24" s="55" t="str">
        <f t="shared" ca="1" si="13"/>
        <v>Ashtown Villains</v>
      </c>
      <c r="AD24" s="97">
        <f t="shared" ca="1" si="14"/>
        <v>1.0000000000877001</v>
      </c>
      <c r="AE24" s="2"/>
    </row>
    <row r="25" spans="1:31" ht="12.75" customHeight="1">
      <c r="A25" s="88" t="str">
        <f t="shared" ca="1" si="0"/>
        <v/>
      </c>
      <c r="B25" s="88" t="str">
        <f t="shared" ca="1" si="1"/>
        <v/>
      </c>
      <c r="C25" s="88" t="str">
        <f t="shared" ca="1" si="2"/>
        <v/>
      </c>
      <c r="D25" s="88" t="str">
        <f t="shared" ca="1" si="3"/>
        <v/>
      </c>
      <c r="E25" s="88" t="str">
        <f t="shared" ca="1" si="4"/>
        <v/>
      </c>
      <c r="F25" s="88" t="str">
        <f t="shared" ca="1" si="5"/>
        <v/>
      </c>
      <c r="G25" s="89" t="str">
        <f t="array" aca="1" ref="G25" ca="1">IF(INDEX(ExistsTx,$I25,2),IF(INDIRECT("'T"&amp;$I25&amp;"'!$D$"&amp;($J25+5),TRUE)=0,T_NoName,INDIRECT("'T"&amp;$I25&amp;"'!$D$"&amp;($J25+5),TRUE)),"")</f>
        <v>Tito Jackson</v>
      </c>
      <c r="H25" s="89" t="str">
        <f t="array" aca="1" ref="H25" ca="1">IF(INDEX(ExistsTx,$I25,2),INDIRECT("'T"&amp;$I25&amp;"'!$E$"&amp;($J25+5),TRUE),0)</f>
        <v>Zombie</v>
      </c>
      <c r="I25" s="90">
        <v>2</v>
      </c>
      <c r="J25" s="90">
        <v>7</v>
      </c>
      <c r="K25" s="89" t="str">
        <f t="array" aca="1" ref="K25" ca="1">INDEX(ListTeams,$I25,1)</f>
        <v>Jacksonville Thrillers</v>
      </c>
      <c r="L25" s="91">
        <f t="array" aca="1" ref="L25" ca="1">IF(OR(NOT(INDEX(ExistsTx,$I25,2)),$H25=0),0,INDIRECT("'T"&amp;$I25&amp;"'!$M$"&amp;($J25+5),TRUE)+((1000-ROW())/10000000000000))</f>
        <v>9.7499999999999999E-11</v>
      </c>
      <c r="M25" s="91">
        <f t="array" aca="1" ref="M25" ca="1">IF(OR(NOT(INDEX(ExistsTx,$I25,2)),$H25=0),0,INDIRECT("'T"&amp;$I25&amp;"'!$N$"&amp;($J25+5),TRUE)+((1000-ROW())/10000000000000))</f>
        <v>9.7499999999999999E-11</v>
      </c>
      <c r="N25" s="91">
        <f t="array" aca="1" ref="N25" ca="1">IF(OR(NOT(INDEX(ExistsTx,$I25,2)),$H25=0),0,INDIRECT("'T"&amp;$I25&amp;"'!$O$"&amp;($J25+5),TRUE)+((1000-ROW())/10000000000000))</f>
        <v>9.7499999999999999E-11</v>
      </c>
      <c r="O25" s="91">
        <f t="array" aca="1" ref="O25" ca="1">IF(OR(NOT(INDEX(ExistsTx,$I25,2)),$H25=0),0,INDIRECT("'T"&amp;$I25&amp;"'!$P$"&amp;($J25+5),TRUE)+((1000-ROW())/10000000000000))</f>
        <v>9.7499999999999999E-11</v>
      </c>
      <c r="P25" s="91">
        <f t="array" aca="1" ref="P25" ca="1">IF(OR(NOT(INDEX(ExistsTx,$I25,2)),$H25=0),0,INDIRECT("'T"&amp;$I25&amp;"'!$Q$"&amp;($J25+5),TRUE)+((1000-ROW())/10000000000000))</f>
        <v>9.7499999999999999E-11</v>
      </c>
      <c r="Q25" s="91">
        <f t="shared" ca="1" si="6"/>
        <v>1.254838929825E-6</v>
      </c>
      <c r="R25" s="2"/>
      <c r="S25" s="2"/>
      <c r="T25" s="34">
        <v>23</v>
      </c>
      <c r="U25" s="55" t="str">
        <f t="shared" ca="1" si="7"/>
        <v>Sad'zug</v>
      </c>
      <c r="V25" s="55" t="str">
        <f t="shared" ca="1" si="8"/>
        <v>Lineman</v>
      </c>
      <c r="W25" s="55" t="str">
        <f t="shared" ca="1" si="9"/>
        <v>Population: Orc</v>
      </c>
      <c r="X25" s="97">
        <f t="shared" ca="1" si="10"/>
        <v>7.0000012419687856</v>
      </c>
      <c r="Y25" s="98"/>
      <c r="Z25" s="34">
        <v>23</v>
      </c>
      <c r="AA25" s="55" t="str">
        <f t="shared" ca="1" si="11"/>
        <v/>
      </c>
      <c r="AB25" s="55" t="str">
        <f t="shared" ca="1" si="12"/>
        <v/>
      </c>
      <c r="AC25" s="55" t="str">
        <f t="shared" ca="1" si="13"/>
        <v/>
      </c>
      <c r="AD25" s="97" t="str">
        <f t="shared" ca="1" si="14"/>
        <v/>
      </c>
      <c r="AE25" s="2"/>
    </row>
    <row r="26" spans="1:31" ht="12.75" customHeight="1">
      <c r="A26" s="88" t="str">
        <f t="shared" ca="1" si="0"/>
        <v/>
      </c>
      <c r="B26" s="88" t="str">
        <f t="shared" ca="1" si="1"/>
        <v/>
      </c>
      <c r="C26" s="88" t="str">
        <f t="shared" ca="1" si="2"/>
        <v/>
      </c>
      <c r="D26" s="88" t="str">
        <f t="shared" ca="1" si="3"/>
        <v/>
      </c>
      <c r="E26" s="88" t="str">
        <f t="shared" ca="1" si="4"/>
        <v/>
      </c>
      <c r="F26" s="88" t="str">
        <f t="shared" ca="1" si="5"/>
        <v/>
      </c>
      <c r="G26" s="89" t="str">
        <f t="array" aca="1" ref="G26" ca="1">IF(INDEX(ExistsTx,$I26,2),IF(INDIRECT("'T"&amp;$I26&amp;"'!$D$"&amp;($J26+5),TRUE)=0,T_NoName,INDIRECT("'T"&amp;$I26&amp;"'!$D$"&amp;($J26+5),TRUE)),"")</f>
        <v>Jermaine Jackson</v>
      </c>
      <c r="H26" s="89" t="str">
        <f t="array" aca="1" ref="H26" ca="1">IF(INDEX(ExistsTx,$I26,2),INDIRECT("'T"&amp;$I26&amp;"'!$E$"&amp;($J26+5),TRUE),0)</f>
        <v>Zombie</v>
      </c>
      <c r="I26" s="90">
        <v>2</v>
      </c>
      <c r="J26" s="90">
        <v>8</v>
      </c>
      <c r="K26" s="89" t="str">
        <f t="array" aca="1" ref="K26" ca="1">INDEX(ListTeams,$I26,1)</f>
        <v>Jacksonville Thrillers</v>
      </c>
      <c r="L26" s="91">
        <f t="array" aca="1" ref="L26" ca="1">IF(OR(NOT(INDEX(ExistsTx,$I26,2)),$H26=0),0,INDIRECT("'T"&amp;$I26&amp;"'!$M$"&amp;($J26+5),TRUE)+((1000-ROW())/10000000000000))</f>
        <v>9.7399999999999995E-11</v>
      </c>
      <c r="M26" s="91">
        <f t="array" aca="1" ref="M26" ca="1">IF(OR(NOT(INDEX(ExistsTx,$I26,2)),$H26=0),0,INDIRECT("'T"&amp;$I26&amp;"'!$N$"&amp;($J26+5),TRUE)+((1000-ROW())/10000000000000))</f>
        <v>9.7399999999999995E-11</v>
      </c>
      <c r="N26" s="91">
        <f t="array" aca="1" ref="N26" ca="1">IF(OR(NOT(INDEX(ExistsTx,$I26,2)),$H26=0),0,INDIRECT("'T"&amp;$I26&amp;"'!$O$"&amp;($J26+5),TRUE)+((1000-ROW())/10000000000000))</f>
        <v>9.7399999999999995E-11</v>
      </c>
      <c r="O26" s="91">
        <f t="array" aca="1" ref="O26" ca="1">IF(OR(NOT(INDEX(ExistsTx,$I26,2)),$H26=0),0,INDIRECT("'T"&amp;$I26&amp;"'!$P$"&amp;($J26+5),TRUE)+((1000-ROW())/10000000000000))</f>
        <v>9.7399999999999995E-11</v>
      </c>
      <c r="P26" s="91">
        <f t="array" aca="1" ref="P26" ca="1">IF(OR(NOT(INDEX(ExistsTx,$I26,2)),$H26=0),0,INDIRECT("'T"&amp;$I26&amp;"'!$Q$"&amp;($J26+5),TRUE)+((1000-ROW())/10000000000000))</f>
        <v>9.7399999999999995E-11</v>
      </c>
      <c r="Q26" s="91">
        <f t="shared" ca="1" si="6"/>
        <v>1.2535519155380001E-6</v>
      </c>
      <c r="R26" s="2"/>
      <c r="S26" s="2"/>
      <c r="T26" s="34">
        <v>24</v>
      </c>
      <c r="U26" s="55" t="str">
        <f t="shared" ca="1" si="7"/>
        <v>Poop'zug</v>
      </c>
      <c r="V26" s="55" t="str">
        <f t="shared" ca="1" si="8"/>
        <v>Black Orc Blocker</v>
      </c>
      <c r="W26" s="55" t="str">
        <f t="shared" ca="1" si="9"/>
        <v>Population: Orc</v>
      </c>
      <c r="X26" s="97">
        <f t="shared" ca="1" si="10"/>
        <v>7.0000012239505871</v>
      </c>
      <c r="Y26" s="98"/>
      <c r="Z26" s="34">
        <v>24</v>
      </c>
      <c r="AA26" s="55" t="str">
        <f t="shared" ca="1" si="11"/>
        <v/>
      </c>
      <c r="AB26" s="55" t="str">
        <f t="shared" ca="1" si="12"/>
        <v/>
      </c>
      <c r="AC26" s="55" t="str">
        <f t="shared" ca="1" si="13"/>
        <v/>
      </c>
      <c r="AD26" s="97" t="str">
        <f t="shared" ca="1" si="14"/>
        <v/>
      </c>
      <c r="AE26" s="2"/>
    </row>
    <row r="27" spans="1:31" ht="13.5" customHeight="1">
      <c r="A27" s="88" t="str">
        <f t="shared" ca="1" si="0"/>
        <v/>
      </c>
      <c r="B27" s="88" t="str">
        <f t="shared" ca="1" si="1"/>
        <v/>
      </c>
      <c r="C27" s="88" t="str">
        <f t="shared" ca="1" si="2"/>
        <v/>
      </c>
      <c r="D27" s="88" t="str">
        <f t="shared" ca="1" si="3"/>
        <v/>
      </c>
      <c r="E27" s="88" t="str">
        <f t="shared" ca="1" si="4"/>
        <v/>
      </c>
      <c r="F27" s="88" t="str">
        <f t="shared" ca="1" si="5"/>
        <v/>
      </c>
      <c r="G27" s="89" t="str">
        <f t="array" aca="1" ref="G27" ca="1">IF(INDEX(ExistsTx,$I27,2),IF(INDIRECT("'T"&amp;$I27&amp;"'!$D$"&amp;($J27+5),TRUE)=0,T_NoName,INDIRECT("'T"&amp;$I27&amp;"'!$D$"&amp;($J27+5),TRUE)),"")</f>
        <v>Marion Jackson</v>
      </c>
      <c r="H27" s="89" t="str">
        <f t="array" aca="1" ref="H27" ca="1">IF(INDEX(ExistsTx,$I27,2),INDIRECT("'T"&amp;$I27&amp;"'!$E$"&amp;($J27+5),TRUE),0)</f>
        <v>Zombie</v>
      </c>
      <c r="I27" s="90">
        <v>2</v>
      </c>
      <c r="J27" s="90">
        <v>9</v>
      </c>
      <c r="K27" s="89" t="str">
        <f t="array" aca="1" ref="K27" ca="1">INDEX(ListTeams,$I27,1)</f>
        <v>Jacksonville Thrillers</v>
      </c>
      <c r="L27" s="91">
        <f t="array" aca="1" ref="L27" ca="1">IF(OR(NOT(INDEX(ExistsTx,$I27,2)),$H27=0),0,INDIRECT("'T"&amp;$I27&amp;"'!$M$"&amp;($J27+5),TRUE)+((1000-ROW())/10000000000000))</f>
        <v>9.7300000000000003E-11</v>
      </c>
      <c r="M27" s="91">
        <f t="array" aca="1" ref="M27" ca="1">IF(OR(NOT(INDEX(ExistsTx,$I27,2)),$H27=0),0,INDIRECT("'T"&amp;$I27&amp;"'!$N$"&amp;($J27+5),TRUE)+((1000-ROW())/10000000000000))</f>
        <v>9.7300000000000003E-11</v>
      </c>
      <c r="N27" s="91">
        <f t="array" aca="1" ref="N27" ca="1">IF(OR(NOT(INDEX(ExistsTx,$I27,2)),$H27=0),0,INDIRECT("'T"&amp;$I27&amp;"'!$O$"&amp;($J27+5),TRUE)+((1000-ROW())/10000000000000))</f>
        <v>9.7300000000000003E-11</v>
      </c>
      <c r="O27" s="91">
        <f t="array" aca="1" ref="O27" ca="1">IF(OR(NOT(INDEX(ExistsTx,$I27,2)),$H27=0),0,INDIRECT("'T"&amp;$I27&amp;"'!$P$"&amp;($J27+5),TRUE)+((1000-ROW())/10000000000000))</f>
        <v>9.7300000000000003E-11</v>
      </c>
      <c r="P27" s="91">
        <f t="array" aca="1" ref="P27" ca="1">IF(OR(NOT(INDEX(ExistsTx,$I27,2)),$H27=0),0,INDIRECT("'T"&amp;$I27&amp;"'!$Q$"&amp;($J27+5),TRUE)+((1000-ROW())/10000000000000))</f>
        <v>9.7300000000000003E-11</v>
      </c>
      <c r="Q27" s="91">
        <f t="shared" ca="1" si="6"/>
        <v>1.2522649012510001E-6</v>
      </c>
      <c r="R27" s="2"/>
      <c r="S27" s="2"/>
      <c r="T27" s="83">
        <v>25</v>
      </c>
      <c r="U27" s="165" t="str">
        <f t="shared" ca="1" si="7"/>
        <v>Lorcrance Taylor</v>
      </c>
      <c r="V27" s="165" t="str">
        <f t="shared" ca="1" si="8"/>
        <v>Blitzer</v>
      </c>
      <c r="W27" s="165" t="str">
        <f t="shared" ca="1" si="9"/>
        <v>OrCares</v>
      </c>
      <c r="X27" s="166">
        <f t="shared" ca="1" si="10"/>
        <v>7.0000011930622437</v>
      </c>
      <c r="Y27" s="98"/>
      <c r="Z27" s="83">
        <v>25</v>
      </c>
      <c r="AA27" s="165" t="str">
        <f t="shared" ca="1" si="11"/>
        <v/>
      </c>
      <c r="AB27" s="165" t="str">
        <f t="shared" ca="1" si="12"/>
        <v/>
      </c>
      <c r="AC27" s="165" t="str">
        <f t="shared" ca="1" si="13"/>
        <v/>
      </c>
      <c r="AD27" s="166" t="str">
        <f t="shared" ca="1" si="14"/>
        <v/>
      </c>
      <c r="AE27" s="2"/>
    </row>
    <row r="28" spans="1:31" ht="13.5" customHeight="1">
      <c r="A28" s="88" t="str">
        <f t="shared" ca="1" si="0"/>
        <v/>
      </c>
      <c r="B28" s="88" t="str">
        <f t="shared" ca="1" si="1"/>
        <v/>
      </c>
      <c r="C28" s="88" t="str">
        <f t="shared" ca="1" si="2"/>
        <v/>
      </c>
      <c r="D28" s="88" t="str">
        <f t="shared" ca="1" si="3"/>
        <v/>
      </c>
      <c r="E28" s="88" t="str">
        <f t="shared" ca="1" si="4"/>
        <v/>
      </c>
      <c r="F28" s="88" t="str">
        <f t="shared" ca="1" si="5"/>
        <v/>
      </c>
      <c r="G28" s="89" t="str">
        <f t="array" aca="1" ref="G28" ca="1">IF(INDEX(ExistsTx,$I28,2),IF(INDIRECT("'T"&amp;$I28&amp;"'!$D$"&amp;($J28+5),TRUE)=0,T_NoName,INDIRECT("'T"&amp;$I28&amp;"'!$D$"&amp;($J28+5),TRUE)),"")</f>
        <v>Andrew "Prez" Jackson</v>
      </c>
      <c r="H28" s="89" t="str">
        <f t="array" aca="1" ref="H28" ca="1">IF(INDEX(ExistsTx,$I28,2),INDIRECT("'T"&amp;$I28&amp;"'!$E$"&amp;($J28+5),TRUE),0)</f>
        <v>Zombie</v>
      </c>
      <c r="I28" s="90">
        <v>2</v>
      </c>
      <c r="J28" s="90">
        <v>10</v>
      </c>
      <c r="K28" s="89" t="str">
        <f t="array" aca="1" ref="K28" ca="1">INDEX(ListTeams,$I28,1)</f>
        <v>Jacksonville Thrillers</v>
      </c>
      <c r="L28" s="91">
        <f t="array" aca="1" ref="L28" ca="1">IF(OR(NOT(INDEX(ExistsTx,$I28,2)),$H28=0),0,INDIRECT("'T"&amp;$I28&amp;"'!$M$"&amp;($J28+5),TRUE)+((1000-ROW())/10000000000000))</f>
        <v>9.7199999999999998E-11</v>
      </c>
      <c r="M28" s="91">
        <f t="array" aca="1" ref="M28" ca="1">IF(OR(NOT(INDEX(ExistsTx,$I28,2)),$H28=0),0,INDIRECT("'T"&amp;$I28&amp;"'!$N$"&amp;($J28+5),TRUE)+((1000-ROW())/10000000000000))</f>
        <v>9.7199999999999998E-11</v>
      </c>
      <c r="N28" s="91">
        <f t="array" aca="1" ref="N28" ca="1">IF(OR(NOT(INDEX(ExistsTx,$I28,2)),$H28=0),0,INDIRECT("'T"&amp;$I28&amp;"'!$O$"&amp;($J28+5),TRUE)+((1000-ROW())/10000000000000))</f>
        <v>9.7199999999999998E-11</v>
      </c>
      <c r="O28" s="91">
        <f t="array" aca="1" ref="O28" ca="1">IF(OR(NOT(INDEX(ExistsTx,$I28,2)),$H28=0),0,INDIRECT("'T"&amp;$I28&amp;"'!$P$"&amp;($J28+5),TRUE)+((1000-ROW())/10000000000000))</f>
        <v>9.7199999999999998E-11</v>
      </c>
      <c r="P28" s="91">
        <f t="array" aca="1" ref="P28" ca="1">IF(OR(NOT(INDEX(ExistsTx,$I28,2)),$H28=0),0,INDIRECT("'T"&amp;$I28&amp;"'!$Q$"&amp;($J28+5),TRUE)+((1000-ROW())/10000000000000))</f>
        <v>9.7199999999999998E-11</v>
      </c>
      <c r="Q28" s="91">
        <f t="shared" ca="1" si="6"/>
        <v>1.2509778869639999E-6</v>
      </c>
      <c r="R28" s="2"/>
      <c r="S28" s="2"/>
      <c r="T28" s="2"/>
      <c r="U28" s="2"/>
      <c r="V28" s="2"/>
      <c r="W28" s="2"/>
      <c r="X28" s="4"/>
      <c r="Y28" s="4"/>
      <c r="Z28" s="4"/>
      <c r="AA28" s="2"/>
      <c r="AB28" s="2"/>
      <c r="AC28" s="2"/>
      <c r="AD28" s="4"/>
      <c r="AE28" s="2"/>
    </row>
    <row r="29" spans="1:31" ht="13.5" customHeight="1">
      <c r="A29" s="88" t="str">
        <f t="shared" ca="1" si="0"/>
        <v/>
      </c>
      <c r="B29" s="88" t="str">
        <f t="shared" ca="1" si="1"/>
        <v/>
      </c>
      <c r="C29" s="88" t="str">
        <f t="shared" ca="1" si="2"/>
        <v/>
      </c>
      <c r="D29" s="88" t="str">
        <f t="shared" ca="1" si="3"/>
        <v/>
      </c>
      <c r="E29" s="88" t="str">
        <f t="shared" ca="1" si="4"/>
        <v/>
      </c>
      <c r="F29" s="88" t="str">
        <f t="shared" ca="1" si="5"/>
        <v/>
      </c>
      <c r="G29" s="89" t="str">
        <f t="array" aca="1" ref="G29" ca="1">IF(INDEX(ExistsTx,$I29,2),IF(INDIRECT("'T"&amp;$I29&amp;"'!$D$"&amp;($J29+5),TRUE)=0,T_NoName,INDIRECT("'T"&amp;$I29&amp;"'!$D$"&amp;($J29+5),TRUE)),"")</f>
        <v>Sam "Shoutin'" Jackson</v>
      </c>
      <c r="H29" s="89" t="str">
        <f t="array" aca="1" ref="H29" ca="1">IF(INDEX(ExistsTx,$I29,2),INDIRECT("'T"&amp;$I29&amp;"'!$E$"&amp;($J29+5),TRUE),0)</f>
        <v>Zombie</v>
      </c>
      <c r="I29" s="90">
        <v>2</v>
      </c>
      <c r="J29" s="90">
        <v>11</v>
      </c>
      <c r="K29" s="89" t="str">
        <f t="array" aca="1" ref="K29" ca="1">INDEX(ListTeams,$I29,1)</f>
        <v>Jacksonville Thrillers</v>
      </c>
      <c r="L29" s="91">
        <f t="array" aca="1" ref="L29" ca="1">IF(OR(NOT(INDEX(ExistsTx,$I29,2)),$H29=0),0,INDIRECT("'T"&amp;$I29&amp;"'!$M$"&amp;($J29+5),TRUE)+((1000-ROW())/10000000000000))</f>
        <v>9.7100000000000006E-11</v>
      </c>
      <c r="M29" s="91">
        <f t="array" aca="1" ref="M29" ca="1">IF(OR(NOT(INDEX(ExistsTx,$I29,2)),$H29=0),0,INDIRECT("'T"&amp;$I29&amp;"'!$N$"&amp;($J29+5),TRUE)+((1000-ROW())/10000000000000))</f>
        <v>9.7100000000000006E-11</v>
      </c>
      <c r="N29" s="91">
        <f t="array" aca="1" ref="N29" ca="1">IF(OR(NOT(INDEX(ExistsTx,$I29,2)),$H29=0),0,INDIRECT("'T"&amp;$I29&amp;"'!$O$"&amp;($J29+5),TRUE)+((1000-ROW())/10000000000000))</f>
        <v>9.7100000000000006E-11</v>
      </c>
      <c r="O29" s="91">
        <f t="array" aca="1" ref="O29" ca="1">IF(OR(NOT(INDEX(ExistsTx,$I29,2)),$H29=0),0,INDIRECT("'T"&amp;$I29&amp;"'!$P$"&amp;($J29+5),TRUE)+((1000-ROW())/10000000000000))</f>
        <v>9.7100000000000006E-11</v>
      </c>
      <c r="P29" s="91">
        <f t="array" aca="1" ref="P29" ca="1">IF(OR(NOT(INDEX(ExistsTx,$I29,2)),$H29=0),0,INDIRECT("'T"&amp;$I29&amp;"'!$Q$"&amp;($J29+5),TRUE)+((1000-ROW())/10000000000000))</f>
        <v>9.7100000000000006E-11</v>
      </c>
      <c r="Q29" s="91">
        <f t="shared" ca="1" si="6"/>
        <v>1.249690872677E-6</v>
      </c>
      <c r="R29" s="2"/>
      <c r="S29" s="2"/>
      <c r="T29" s="2"/>
      <c r="U29" s="2"/>
      <c r="V29" s="2"/>
      <c r="W29" s="2"/>
      <c r="X29" s="4"/>
      <c r="Y29" s="4"/>
      <c r="Z29" s="4"/>
      <c r="AA29" s="2"/>
      <c r="AB29" s="2"/>
      <c r="AC29" s="2"/>
      <c r="AD29" s="4"/>
      <c r="AE29" s="2"/>
    </row>
    <row r="30" spans="1:31" ht="22.5" customHeight="1">
      <c r="A30" s="88" t="str">
        <f t="shared" ca="1" si="0"/>
        <v/>
      </c>
      <c r="B30" s="88" t="str">
        <f t="shared" ca="1" si="1"/>
        <v/>
      </c>
      <c r="C30" s="88" t="str">
        <f t="shared" ca="1" si="2"/>
        <v/>
      </c>
      <c r="D30" s="88">
        <f t="shared" ca="1" si="3"/>
        <v>14</v>
      </c>
      <c r="E30" s="88">
        <f t="shared" ca="1" si="4"/>
        <v>11</v>
      </c>
      <c r="F30" s="88">
        <f t="shared" ca="1" si="5"/>
        <v>21</v>
      </c>
      <c r="G30" s="89" t="str">
        <f t="array" aca="1" ref="G30" ca="1">IF(INDEX(ExistsTx,$I30,2),IF(INDIRECT("'T"&amp;$I30&amp;"'!$D$"&amp;($J30+5),TRUE)=0,T_NoName,INDIRECT("'T"&amp;$I30&amp;"'!$D$"&amp;($J30+5),TRUE)),"")</f>
        <v>Jesse "Preachin'" Jackson</v>
      </c>
      <c r="H30" s="89" t="str">
        <f t="array" aca="1" ref="H30" ca="1">IF(INDEX(ExistsTx,$I30,2),INDIRECT("'T"&amp;$I30&amp;"'!$E$"&amp;($J30+5),TRUE),0)</f>
        <v>Zombie</v>
      </c>
      <c r="I30" s="90">
        <v>2</v>
      </c>
      <c r="J30" s="90">
        <v>12</v>
      </c>
      <c r="K30" s="89" t="str">
        <f t="array" aca="1" ref="K30" ca="1">INDEX(ListTeams,$I30,1)</f>
        <v>Jacksonville Thrillers</v>
      </c>
      <c r="L30" s="91">
        <f t="array" aca="1" ref="L30" ca="1">IF(OR(NOT(INDEX(ExistsTx,$I30,2)),$H30=0),0,INDIRECT("'T"&amp;$I30&amp;"'!$M$"&amp;($J30+5),TRUE)+((1000-ROW())/10000000000000))</f>
        <v>9.7000000000000001E-11</v>
      </c>
      <c r="M30" s="91">
        <f t="array" aca="1" ref="M30" ca="1">IF(OR(NOT(INDEX(ExistsTx,$I30,2)),$H30=0),0,INDIRECT("'T"&amp;$I30&amp;"'!$N$"&amp;($J30+5),TRUE)+((1000-ROW())/10000000000000))</f>
        <v>9.7000000000000001E-11</v>
      </c>
      <c r="N30" s="91">
        <f t="array" aca="1" ref="N30" ca="1">IF(OR(NOT(INDEX(ExistsTx,$I30,2)),$H30=0),0,INDIRECT("'T"&amp;$I30&amp;"'!$O$"&amp;($J30+5),TRUE)+((1000-ROW())/10000000000000))</f>
        <v>9.7000000000000001E-11</v>
      </c>
      <c r="O30" s="91">
        <f t="array" aca="1" ref="O30" ca="1">IF(OR(NOT(INDEX(ExistsTx,$I30,2)),$H30=0),0,INDIRECT("'T"&amp;$I30&amp;"'!$P$"&amp;($J30+5),TRUE)+((1000-ROW())/10000000000000))</f>
        <v>1.000000000097</v>
      </c>
      <c r="P30" s="91">
        <f t="array" aca="1" ref="P30" ca="1">IF(OR(NOT(INDEX(ExistsTx,$I30,2)),$H30=0),0,INDIRECT("'T"&amp;$I30&amp;"'!$Q$"&amp;($J30+5),TRUE)+((1000-ROW())/10000000000000))</f>
        <v>1.000000000097</v>
      </c>
      <c r="Q30" s="91">
        <f t="shared" ca="1" si="6"/>
        <v>7.0000012484038576</v>
      </c>
      <c r="R30" s="2"/>
      <c r="S30" s="2"/>
      <c r="T30" s="43"/>
      <c r="U30" s="326" t="s">
        <v>167</v>
      </c>
      <c r="V30" s="329"/>
      <c r="W30" s="329"/>
      <c r="X30" s="324"/>
      <c r="Y30" s="92"/>
      <c r="Z30" s="43"/>
      <c r="AA30" s="326" t="s">
        <v>168</v>
      </c>
      <c r="AB30" s="329"/>
      <c r="AC30" s="329"/>
      <c r="AD30" s="324"/>
      <c r="AE30" s="2"/>
    </row>
    <row r="31" spans="1:31" ht="13.5" customHeight="1">
      <c r="A31" s="88" t="str">
        <f t="shared" ca="1" si="0"/>
        <v/>
      </c>
      <c r="B31" s="88" t="str">
        <f t="shared" ca="1" si="1"/>
        <v/>
      </c>
      <c r="C31" s="88" t="str">
        <f t="shared" ca="1" si="2"/>
        <v/>
      </c>
      <c r="D31" s="88">
        <f t="shared" ca="1" si="3"/>
        <v>15</v>
      </c>
      <c r="E31" s="88">
        <f t="shared" ca="1" si="4"/>
        <v>12</v>
      </c>
      <c r="F31" s="88">
        <f t="shared" ca="1" si="5"/>
        <v>22</v>
      </c>
      <c r="G31" s="89" t="str">
        <f t="array" aca="1" ref="G31" ca="1">IF(INDEX(ExistsTx,$I31,2),IF(INDIRECT("'T"&amp;$I31&amp;"'!$D$"&amp;($J31+5),TRUE)=0,T_NoName,INDIRECT("'T"&amp;$I31&amp;"'!$D$"&amp;($J31+5),TRUE)),"")</f>
        <v>Peter "Frodo" Jackson</v>
      </c>
      <c r="H31" s="89" t="str">
        <f t="array" aca="1" ref="H31" ca="1">IF(INDEX(ExistsTx,$I31,2),INDIRECT("'T"&amp;$I31&amp;"'!$E$"&amp;($J31+5),TRUE),0)</f>
        <v>Zombie</v>
      </c>
      <c r="I31" s="90">
        <v>2</v>
      </c>
      <c r="J31" s="90">
        <v>13</v>
      </c>
      <c r="K31" s="89" t="str">
        <f t="array" aca="1" ref="K31" ca="1">INDEX(ListTeams,$I31,1)</f>
        <v>Jacksonville Thrillers</v>
      </c>
      <c r="L31" s="91">
        <f t="array" aca="1" ref="L31" ca="1">IF(OR(NOT(INDEX(ExistsTx,$I31,2)),$H31=0),0,INDIRECT("'T"&amp;$I31&amp;"'!$M$"&amp;($J31+5),TRUE)+((1000-ROW())/10000000000000))</f>
        <v>9.6899999999999996E-11</v>
      </c>
      <c r="M31" s="91">
        <f t="array" aca="1" ref="M31" ca="1">IF(OR(NOT(INDEX(ExistsTx,$I31,2)),$H31=0),0,INDIRECT("'T"&amp;$I31&amp;"'!$N$"&amp;($J31+5),TRUE)+((1000-ROW())/10000000000000))</f>
        <v>9.6899999999999996E-11</v>
      </c>
      <c r="N31" s="91">
        <f t="array" aca="1" ref="N31" ca="1">IF(OR(NOT(INDEX(ExistsTx,$I31,2)),$H31=0),0,INDIRECT("'T"&amp;$I31&amp;"'!$O$"&amp;($J31+5),TRUE)+((1000-ROW())/10000000000000))</f>
        <v>9.6899999999999996E-11</v>
      </c>
      <c r="O31" s="91">
        <f t="array" aca="1" ref="O31" ca="1">IF(OR(NOT(INDEX(ExistsTx,$I31,2)),$H31=0),0,INDIRECT("'T"&amp;$I31&amp;"'!$P$"&amp;($J31+5),TRUE)+((1000-ROW())/10000000000000))</f>
        <v>1.0000000000969</v>
      </c>
      <c r="P31" s="91">
        <f t="array" aca="1" ref="P31" ca="1">IF(OR(NOT(INDEX(ExistsTx,$I31,2)),$H31=0),0,INDIRECT("'T"&amp;$I31&amp;"'!$Q$"&amp;($J31+5),TRUE)+((1000-ROW())/10000000000000))</f>
        <v>1.0000000000969</v>
      </c>
      <c r="Q31" s="91">
        <f t="shared" ca="1" si="6"/>
        <v>7.0000012471168436</v>
      </c>
      <c r="R31" s="2"/>
      <c r="S31" s="2"/>
      <c r="T31" s="34">
        <v>1</v>
      </c>
      <c r="U31" s="49" t="str">
        <f t="shared" ref="U31:U55" ca="1" si="15">IF($T31&lt;=PCOUNT_CP,VLOOKUP($T31,PSTATS,7,FALSE),"")</f>
        <v>Y.A. Spittle</v>
      </c>
      <c r="V31" s="49" t="str">
        <f t="shared" ref="V31:V55" ca="1" si="16">IF($T31&lt;=PCOUNT_CP,VLOOKUP($T31,PSTATS,8,FALSE),"")</f>
        <v>Thrower</v>
      </c>
      <c r="W31" s="49" t="str">
        <f t="shared" ref="W31:W55" ca="1" si="17">IF($T31&lt;=PCOUNT_CP,VLOOKUP($T31,PSTATS,11,FALSE),"")</f>
        <v>OrCares</v>
      </c>
      <c r="X31" s="93">
        <f t="shared" ref="X31:X55" ca="1" si="18">IF($T31&lt;=PCOUNT_CP,VLOOKUP($T31,PSTATS,12,FALSE),"")</f>
        <v>6.0000000000932996</v>
      </c>
      <c r="Y31" s="94"/>
      <c r="Z31" s="34">
        <v>1</v>
      </c>
      <c r="AA31" s="49" t="str">
        <f t="shared" ref="AA31:AA55" ca="1" si="19">IF($Z31&lt;=PCOUNT_IN,VLOOKUP($Z31,OFFSET(PSTATS,0,2),5,FALSE),"")</f>
        <v>DT</v>
      </c>
      <c r="AB31" s="49" t="str">
        <f t="shared" ref="AB31:AB55" ca="1" si="20">IF($Z31&lt;=PCOUNT_IN,VLOOKUP($Z31,OFFSET(PSTATS,0,2),6,FALSE),"")</f>
        <v>Blitzer</v>
      </c>
      <c r="AC31" s="49" t="str">
        <f t="shared" ref="AC31:AC55" ca="1" si="21">IF($Z31&lt;=PCOUNT_IN,VLOOKUP($Z31,OFFSET(PSTATS,0,2),9,FALSE),"")</f>
        <v>OrCares</v>
      </c>
      <c r="AD31" s="93">
        <f t="shared" ref="AD31:AD55" ca="1" si="22">IF($Z31&lt;=PCOUNT_IN,VLOOKUP($Z31,OFFSET(PSTATS,0,2),12,FALSE),"")</f>
        <v>1.0000000000928</v>
      </c>
      <c r="AE31" s="2"/>
    </row>
    <row r="32" spans="1:31" ht="12.75" customHeight="1">
      <c r="A32" s="88" t="str">
        <f t="shared" ca="1" si="0"/>
        <v/>
      </c>
      <c r="B32" s="88" t="str">
        <f t="shared" ca="1" si="1"/>
        <v/>
      </c>
      <c r="C32" s="88" t="str">
        <f t="shared" ca="1" si="2"/>
        <v/>
      </c>
      <c r="D32" s="88" t="str">
        <f t="shared" ca="1" si="3"/>
        <v/>
      </c>
      <c r="E32" s="88" t="str">
        <f t="shared" ca="1" si="4"/>
        <v/>
      </c>
      <c r="F32" s="88" t="str">
        <f t="shared" ca="1" si="5"/>
        <v/>
      </c>
      <c r="G32" s="89" t="str">
        <f t="array" aca="1" ref="G32" ca="1">IF(INDEX(ExistsTx,$I32,2),IF(INDIRECT("'T"&amp;$I32&amp;"'!$D$"&amp;($J32+5),TRUE)=0,T_NoName,INDIRECT("'T"&amp;$I32&amp;"'!$D$"&amp;($J32+5),TRUE)),"")</f>
        <v>Joe "The Voice" Jackson</v>
      </c>
      <c r="H32" s="89" t="str">
        <f t="array" aca="1" ref="H32" ca="1">IF(INDEX(ExistsTx,$I32,2),INDIRECT("'T"&amp;$I32&amp;"'!$E$"&amp;($J32+5),TRUE),0)</f>
        <v>Zombie</v>
      </c>
      <c r="I32" s="90">
        <v>2</v>
      </c>
      <c r="J32" s="90">
        <v>14</v>
      </c>
      <c r="K32" s="89" t="str">
        <f t="array" aca="1" ref="K32" ca="1">INDEX(ListTeams,$I32,1)</f>
        <v>Jacksonville Thrillers</v>
      </c>
      <c r="L32" s="91">
        <f t="array" aca="1" ref="L32" ca="1">IF(OR(NOT(INDEX(ExistsTx,$I32,2)),$H32=0),0,INDIRECT("'T"&amp;$I32&amp;"'!$M$"&amp;($J32+5),TRUE)+((1000-ROW())/10000000000000))</f>
        <v>9.6800000000000004E-11</v>
      </c>
      <c r="M32" s="91">
        <f t="array" aca="1" ref="M32" ca="1">IF(OR(NOT(INDEX(ExistsTx,$I32,2)),$H32=0),0,INDIRECT("'T"&amp;$I32&amp;"'!$N$"&amp;($J32+5),TRUE)+((1000-ROW())/10000000000000))</f>
        <v>9.6800000000000004E-11</v>
      </c>
      <c r="N32" s="91">
        <f t="array" aca="1" ref="N32" ca="1">IF(OR(NOT(INDEX(ExistsTx,$I32,2)),$H32=0),0,INDIRECT("'T"&amp;$I32&amp;"'!$O$"&amp;($J32+5),TRUE)+((1000-ROW())/10000000000000))</f>
        <v>9.6800000000000004E-11</v>
      </c>
      <c r="O32" s="91">
        <f t="array" aca="1" ref="O32" ca="1">IF(OR(NOT(INDEX(ExistsTx,$I32,2)),$H32=0),0,INDIRECT("'T"&amp;$I32&amp;"'!$P$"&amp;($J32+5),TRUE)+((1000-ROW())/10000000000000))</f>
        <v>9.6800000000000004E-11</v>
      </c>
      <c r="P32" s="91">
        <f t="array" aca="1" ref="P32" ca="1">IF(OR(NOT(INDEX(ExistsTx,$I32,2)),$H32=0),0,INDIRECT("'T"&amp;$I32&amp;"'!$Q$"&amp;($J32+5),TRUE)+((1000-ROW())/10000000000000))</f>
        <v>9.6800000000000004E-11</v>
      </c>
      <c r="Q32" s="91">
        <f t="shared" ca="1" si="6"/>
        <v>1.2458298298159999E-6</v>
      </c>
      <c r="R32" s="2"/>
      <c r="S32" s="2"/>
      <c r="T32" s="34">
        <v>2</v>
      </c>
      <c r="U32" s="55" t="str">
        <f t="shared" ca="1" si="15"/>
        <v>Suave Glitterseeker</v>
      </c>
      <c r="V32" s="55" t="str">
        <f t="shared" ca="1" si="16"/>
        <v>Catcher</v>
      </c>
      <c r="W32" s="55" t="str">
        <f t="shared" ca="1" si="17"/>
        <v>Skyhaven Silverfoxes</v>
      </c>
      <c r="X32" s="97">
        <f t="shared" ca="1" si="18"/>
        <v>4.0000000000888001</v>
      </c>
      <c r="Y32" s="98"/>
      <c r="Z32" s="34">
        <v>2</v>
      </c>
      <c r="AA32" s="55" t="str">
        <f t="shared" ca="1" si="19"/>
        <v/>
      </c>
      <c r="AB32" s="55" t="str">
        <f t="shared" ca="1" si="20"/>
        <v/>
      </c>
      <c r="AC32" s="55" t="str">
        <f t="shared" ca="1" si="21"/>
        <v/>
      </c>
      <c r="AD32" s="97" t="str">
        <f t="shared" ca="1" si="22"/>
        <v/>
      </c>
      <c r="AE32" s="2"/>
    </row>
    <row r="33" spans="1:31" ht="12.75" customHeight="1">
      <c r="A33" s="88" t="str">
        <f t="shared" ca="1" si="0"/>
        <v/>
      </c>
      <c r="B33" s="88" t="str">
        <f t="shared" ca="1" si="1"/>
        <v/>
      </c>
      <c r="C33" s="88" t="str">
        <f t="shared" ca="1" si="2"/>
        <v/>
      </c>
      <c r="D33" s="88" t="str">
        <f t="shared" ca="1" si="3"/>
        <v/>
      </c>
      <c r="E33" s="88" t="str">
        <f t="shared" ca="1" si="4"/>
        <v/>
      </c>
      <c r="F33" s="88" t="str">
        <f t="shared" ca="1" si="5"/>
        <v/>
      </c>
      <c r="G33" s="89" t="str">
        <f t="array" aca="1" ref="G33" ca="1">IF(INDEX(ExistsTx,$I33,2),IF(INDIRECT("'T"&amp;$I33&amp;"'!$D$"&amp;($J33+5),TRUE)=0,T_NoName,INDIRECT("'T"&amp;$I33&amp;"'!$D$"&amp;($J33+5),TRUE)),"")</f>
        <v>"Stonewall" Jackson</v>
      </c>
      <c r="H33" s="89" t="str">
        <f t="array" aca="1" ref="H33" ca="1">IF(INDEX(ExistsTx,$I33,2),INDIRECT("'T"&amp;$I33&amp;"'!$E$"&amp;($J33+5),TRUE),0)</f>
        <v>Zombie</v>
      </c>
      <c r="I33" s="90">
        <v>2</v>
      </c>
      <c r="J33" s="90">
        <v>15</v>
      </c>
      <c r="K33" s="89" t="str">
        <f t="array" aca="1" ref="K33" ca="1">INDEX(ListTeams,$I33,1)</f>
        <v>Jacksonville Thrillers</v>
      </c>
      <c r="L33" s="91">
        <f t="array" aca="1" ref="L33" ca="1">IF(OR(NOT(INDEX(ExistsTx,$I33,2)),$H33=0),0,INDIRECT("'T"&amp;$I33&amp;"'!$M$"&amp;($J33+5),TRUE)+((1000-ROW())/10000000000000))</f>
        <v>9.67E-11</v>
      </c>
      <c r="M33" s="91">
        <f t="array" aca="1" ref="M33" ca="1">IF(OR(NOT(INDEX(ExistsTx,$I33,2)),$H33=0),0,INDIRECT("'T"&amp;$I33&amp;"'!$N$"&amp;($J33+5),TRUE)+((1000-ROW())/10000000000000))</f>
        <v>9.67E-11</v>
      </c>
      <c r="N33" s="91">
        <f t="array" aca="1" ref="N33" ca="1">IF(OR(NOT(INDEX(ExistsTx,$I33,2)),$H33=0),0,INDIRECT("'T"&amp;$I33&amp;"'!$O$"&amp;($J33+5),TRUE)+((1000-ROW())/10000000000000))</f>
        <v>9.67E-11</v>
      </c>
      <c r="O33" s="91">
        <f t="array" aca="1" ref="O33" ca="1">IF(OR(NOT(INDEX(ExistsTx,$I33,2)),$H33=0),0,INDIRECT("'T"&amp;$I33&amp;"'!$P$"&amp;($J33+5),TRUE)+((1000-ROW())/10000000000000))</f>
        <v>9.67E-11</v>
      </c>
      <c r="P33" s="91">
        <f t="array" aca="1" ref="P33" ca="1">IF(OR(NOT(INDEX(ExistsTx,$I33,2)),$H33=0),0,INDIRECT("'T"&amp;$I33&amp;"'!$Q$"&amp;($J33+5),TRUE)+((1000-ROW())/10000000000000))</f>
        <v>9.67E-11</v>
      </c>
      <c r="Q33" s="91">
        <f t="shared" ca="1" si="6"/>
        <v>1.2445428155289999E-6</v>
      </c>
      <c r="R33" s="2"/>
      <c r="S33" s="2"/>
      <c r="T33" s="34">
        <v>3</v>
      </c>
      <c r="U33" s="55" t="str">
        <f t="shared" ca="1" si="15"/>
        <v>Lord Joshua Pvortis</v>
      </c>
      <c r="V33" s="55" t="str">
        <f t="shared" ca="1" si="16"/>
        <v>Vampire</v>
      </c>
      <c r="W33" s="55" t="str">
        <f t="shared" ca="1" si="17"/>
        <v>Sylvania Suckhawks</v>
      </c>
      <c r="X33" s="97">
        <f t="shared" ca="1" si="18"/>
        <v>3.0000000000996998</v>
      </c>
      <c r="Y33" s="98"/>
      <c r="Z33" s="34">
        <v>3</v>
      </c>
      <c r="AA33" s="55" t="str">
        <f t="shared" ca="1" si="19"/>
        <v/>
      </c>
      <c r="AB33" s="55" t="str">
        <f t="shared" ca="1" si="20"/>
        <v/>
      </c>
      <c r="AC33" s="55" t="str">
        <f t="shared" ca="1" si="21"/>
        <v/>
      </c>
      <c r="AD33" s="97" t="str">
        <f t="shared" ca="1" si="22"/>
        <v/>
      </c>
      <c r="AE33" s="2"/>
    </row>
    <row r="34" spans="1:31" ht="12.75" customHeight="1">
      <c r="A34" s="88" t="str">
        <f t="shared" ca="1" si="0"/>
        <v/>
      </c>
      <c r="B34" s="88" t="str">
        <f t="shared" ca="1" si="1"/>
        <v/>
      </c>
      <c r="C34" s="88" t="str">
        <f t="shared" ca="1" si="2"/>
        <v/>
      </c>
      <c r="D34" s="88" t="str">
        <f t="shared" ca="1" si="3"/>
        <v/>
      </c>
      <c r="E34" s="88" t="str">
        <f t="shared" ca="1" si="4"/>
        <v/>
      </c>
      <c r="F34" s="88" t="str">
        <f t="shared" ca="1" si="5"/>
        <v/>
      </c>
      <c r="G34" s="89" t="str">
        <f t="array" aca="1" ref="G34" ca="1">IF(INDEX(ExistsTx,$I34,2),IF(INDIRECT("'T"&amp;$I34&amp;"'!$D$"&amp;($J34+5),TRUE)=0,T_NoName,INDIRECT("'T"&amp;$I34&amp;"'!$D$"&amp;($J34+5),TRUE)),"")</f>
        <v>Joe "The Shoe" Jackson</v>
      </c>
      <c r="H34" s="89" t="str">
        <f t="array" aca="1" ref="H34" ca="1">IF(INDEX(ExistsTx,$I34,2),INDIRECT("'T"&amp;$I34&amp;"'!$E$"&amp;($J34+5),TRUE),0)</f>
        <v>Zombie</v>
      </c>
      <c r="I34" s="90">
        <v>2</v>
      </c>
      <c r="J34" s="90">
        <v>16</v>
      </c>
      <c r="K34" s="89" t="str">
        <f t="array" aca="1" ref="K34" ca="1">INDEX(ListTeams,$I34,1)</f>
        <v>Jacksonville Thrillers</v>
      </c>
      <c r="L34" s="91">
        <f t="array" aca="1" ref="L34" ca="1">IF(OR(NOT(INDEX(ExistsTx,$I34,2)),$H34=0),0,INDIRECT("'T"&amp;$I34&amp;"'!$M$"&amp;($J34+5),TRUE)+((1000-ROW())/10000000000000))</f>
        <v>9.6599999999999995E-11</v>
      </c>
      <c r="M34" s="91">
        <f t="array" aca="1" ref="M34" ca="1">IF(OR(NOT(INDEX(ExistsTx,$I34,2)),$H34=0),0,INDIRECT("'T"&amp;$I34&amp;"'!$N$"&amp;($J34+5),TRUE)+((1000-ROW())/10000000000000))</f>
        <v>9.6599999999999995E-11</v>
      </c>
      <c r="N34" s="91">
        <f t="array" aca="1" ref="N34" ca="1">IF(OR(NOT(INDEX(ExistsTx,$I34,2)),$H34=0),0,INDIRECT("'T"&amp;$I34&amp;"'!$O$"&amp;($J34+5),TRUE)+((1000-ROW())/10000000000000))</f>
        <v>9.6599999999999995E-11</v>
      </c>
      <c r="O34" s="91">
        <f t="array" aca="1" ref="O34" ca="1">IF(OR(NOT(INDEX(ExistsTx,$I34,2)),$H34=0),0,INDIRECT("'T"&amp;$I34&amp;"'!$P$"&amp;($J34+5),TRUE)+((1000-ROW())/10000000000000))</f>
        <v>9.6599999999999995E-11</v>
      </c>
      <c r="P34" s="91">
        <f t="array" aca="1" ref="P34" ca="1">IF(OR(NOT(INDEX(ExistsTx,$I34,2)),$H34=0),0,INDIRECT("'T"&amp;$I34&amp;"'!$Q$"&amp;($J34+5),TRUE)+((1000-ROW())/10000000000000))</f>
        <v>9.6599999999999995E-11</v>
      </c>
      <c r="Q34" s="91">
        <f t="shared" ca="1" si="6"/>
        <v>1.2432558012420002E-6</v>
      </c>
      <c r="R34" s="2"/>
      <c r="S34" s="2"/>
      <c r="T34" s="34">
        <v>4</v>
      </c>
      <c r="U34" s="55" t="str">
        <f t="shared" ca="1" si="15"/>
        <v>Duke James Graham</v>
      </c>
      <c r="V34" s="55" t="str">
        <f t="shared" ca="1" si="16"/>
        <v>Vampire</v>
      </c>
      <c r="W34" s="55" t="str">
        <f t="shared" ca="1" si="17"/>
        <v>Sylvania Suckhawks</v>
      </c>
      <c r="X34" s="97">
        <f t="shared" ca="1" si="18"/>
        <v>2.0000000000995</v>
      </c>
      <c r="Y34" s="98"/>
      <c r="Z34" s="34">
        <v>4</v>
      </c>
      <c r="AA34" s="55" t="str">
        <f t="shared" ca="1" si="19"/>
        <v/>
      </c>
      <c r="AB34" s="55" t="str">
        <f t="shared" ca="1" si="20"/>
        <v/>
      </c>
      <c r="AC34" s="55" t="str">
        <f t="shared" ca="1" si="21"/>
        <v/>
      </c>
      <c r="AD34" s="97" t="str">
        <f t="shared" ca="1" si="22"/>
        <v/>
      </c>
      <c r="AE34" s="2"/>
    </row>
    <row r="35" spans="1:31" ht="12.75" customHeight="1">
      <c r="A35" s="88" t="str">
        <f t="shared" ca="1" si="0"/>
        <v/>
      </c>
      <c r="B35" s="88" t="str">
        <f t="shared" ca="1" si="1"/>
        <v/>
      </c>
      <c r="C35" s="88" t="str">
        <f t="shared" ca="1" si="2"/>
        <v/>
      </c>
      <c r="D35" s="88">
        <f t="shared" ca="1" si="3"/>
        <v>16</v>
      </c>
      <c r="E35" s="88">
        <f t="shared" ca="1" si="4"/>
        <v>13</v>
      </c>
      <c r="F35" s="88">
        <f t="shared" ca="1" si="5"/>
        <v>23</v>
      </c>
      <c r="G35" s="89" t="str">
        <f t="array" aca="1" ref="G35" ca="1">IF(INDEX(ExistsTx,$I35,2),IF(INDIRECT("'T"&amp;$I35&amp;"'!$D$"&amp;($J35+5),TRUE)=0,T_NoName,INDIRECT("'T"&amp;$I35&amp;"'!$D$"&amp;($J35+5),TRUE)),"")</f>
        <v>Sad'zug</v>
      </c>
      <c r="H35" s="89" t="str">
        <f t="array" aca="1" ref="H35" ca="1">IF(INDEX(ExistsTx,$I35,2),INDIRECT("'T"&amp;$I35&amp;"'!$E$"&amp;($J35+5),TRUE),0)</f>
        <v>Lineman</v>
      </c>
      <c r="I35" s="90">
        <v>3</v>
      </c>
      <c r="J35" s="90">
        <v>1</v>
      </c>
      <c r="K35" s="89" t="str">
        <f t="array" aca="1" ref="K35" ca="1">INDEX(ListTeams,$I35,1)</f>
        <v>Population: Orc</v>
      </c>
      <c r="L35" s="91">
        <f t="array" aca="1" ref="L35" ca="1">IF(OR(NOT(INDEX(ExistsTx,$I35,2)),$H35=0),0,INDIRECT("'T"&amp;$I35&amp;"'!$M$"&amp;($J35+5),TRUE)+((1000-ROW())/10000000000000))</f>
        <v>9.6500000000000003E-11</v>
      </c>
      <c r="M35" s="91">
        <f t="array" aca="1" ref="M35" ca="1">IF(OR(NOT(INDEX(ExistsTx,$I35,2)),$H35=0),0,INDIRECT("'T"&amp;$I35&amp;"'!$N$"&amp;($J35+5),TRUE)+((1000-ROW())/10000000000000))</f>
        <v>9.6500000000000003E-11</v>
      </c>
      <c r="N35" s="91">
        <f t="array" aca="1" ref="N35" ca="1">IF(OR(NOT(INDEX(ExistsTx,$I35,2)),$H35=0),0,INDIRECT("'T"&amp;$I35&amp;"'!$O$"&amp;($J35+5),TRUE)+((1000-ROW())/10000000000000))</f>
        <v>9.6500000000000003E-11</v>
      </c>
      <c r="O35" s="91">
        <f t="array" aca="1" ref="O35" ca="1">IF(OR(NOT(INDEX(ExistsTx,$I35,2)),$H35=0),0,INDIRECT("'T"&amp;$I35&amp;"'!$P$"&amp;($J35+5),TRUE)+((1000-ROW())/10000000000000))</f>
        <v>1.0000000000964999</v>
      </c>
      <c r="P35" s="91">
        <f t="array" aca="1" ref="P35" ca="1">IF(OR(NOT(INDEX(ExistsTx,$I35,2)),$H35=0),0,INDIRECT("'T"&amp;$I35&amp;"'!$Q$"&amp;($J35+5),TRUE)+((1000-ROW())/10000000000000))</f>
        <v>1.0000000000964999</v>
      </c>
      <c r="Q35" s="91">
        <f t="shared" ca="1" si="6"/>
        <v>7.0000012419687856</v>
      </c>
      <c r="R35" s="2"/>
      <c r="S35" s="2"/>
      <c r="T35" s="34">
        <v>5</v>
      </c>
      <c r="U35" s="55" t="str">
        <f t="shared" ca="1" si="15"/>
        <v>Talon Boldstrider</v>
      </c>
      <c r="V35" s="55" t="str">
        <f t="shared" ca="1" si="16"/>
        <v>Lineman</v>
      </c>
      <c r="W35" s="55" t="str">
        <f t="shared" ca="1" si="17"/>
        <v>Skyhaven Silverfoxes</v>
      </c>
      <c r="X35" s="97">
        <f t="shared" ca="1" si="18"/>
        <v>2.0000000000900999</v>
      </c>
      <c r="Y35" s="98"/>
      <c r="Z35" s="34">
        <v>5</v>
      </c>
      <c r="AA35" s="55" t="str">
        <f t="shared" ca="1" si="19"/>
        <v/>
      </c>
      <c r="AB35" s="55" t="str">
        <f t="shared" ca="1" si="20"/>
        <v/>
      </c>
      <c r="AC35" s="55" t="str">
        <f t="shared" ca="1" si="21"/>
        <v/>
      </c>
      <c r="AD35" s="97" t="str">
        <f t="shared" ca="1" si="22"/>
        <v/>
      </c>
      <c r="AE35" s="2"/>
    </row>
    <row r="36" spans="1:31" ht="12.75" customHeight="1">
      <c r="A36" s="88" t="str">
        <f t="shared" ca="1" si="0"/>
        <v/>
      </c>
      <c r="B36" s="88" t="str">
        <f t="shared" ca="1" si="1"/>
        <v/>
      </c>
      <c r="C36" s="88" t="str">
        <f t="shared" ca="1" si="2"/>
        <v/>
      </c>
      <c r="D36" s="88" t="str">
        <f t="shared" ca="1" si="3"/>
        <v/>
      </c>
      <c r="E36" s="88" t="str">
        <f t="shared" ca="1" si="4"/>
        <v/>
      </c>
      <c r="F36" s="88" t="str">
        <f t="shared" ca="1" si="5"/>
        <v/>
      </c>
      <c r="G36" s="89" t="str">
        <f t="array" aca="1" ref="G36" ca="1">IF(INDEX(ExistsTx,$I36,2),IF(INDIRECT("'T"&amp;$I36&amp;"'!$D$"&amp;($J36+5),TRUE)=0,T_NoName,INDIRECT("'T"&amp;$I36&amp;"'!$D$"&amp;($J36+5),TRUE)),"")</f>
        <v>Hom'zug</v>
      </c>
      <c r="H36" s="89" t="str">
        <f t="array" aca="1" ref="H36" ca="1">IF(INDEX(ExistsTx,$I36,2),INDIRECT("'T"&amp;$I36&amp;"'!$E$"&amp;($J36+5),TRUE),0)</f>
        <v>Lineman</v>
      </c>
      <c r="I36" s="90">
        <v>3</v>
      </c>
      <c r="J36" s="90">
        <v>2</v>
      </c>
      <c r="K36" s="89" t="str">
        <f t="array" aca="1" ref="K36" ca="1">INDEX(ListTeams,$I36,1)</f>
        <v>Population: Orc</v>
      </c>
      <c r="L36" s="91">
        <f t="array" aca="1" ref="L36" ca="1">IF(OR(NOT(INDEX(ExistsTx,$I36,2)),$H36=0),0,INDIRECT("'T"&amp;$I36&amp;"'!$M$"&amp;($J36+5),TRUE)+((1000-ROW())/10000000000000))</f>
        <v>9.6399999999999998E-11</v>
      </c>
      <c r="M36" s="91">
        <f t="array" aca="1" ref="M36" ca="1">IF(OR(NOT(INDEX(ExistsTx,$I36,2)),$H36=0),0,INDIRECT("'T"&amp;$I36&amp;"'!$N$"&amp;($J36+5),TRUE)+((1000-ROW())/10000000000000))</f>
        <v>9.6399999999999998E-11</v>
      </c>
      <c r="N36" s="91">
        <f t="array" aca="1" ref="N36" ca="1">IF(OR(NOT(INDEX(ExistsTx,$I36,2)),$H36=0),0,INDIRECT("'T"&amp;$I36&amp;"'!$O$"&amp;($J36+5),TRUE)+((1000-ROW())/10000000000000))</f>
        <v>9.6399999999999998E-11</v>
      </c>
      <c r="O36" s="91">
        <f t="array" aca="1" ref="O36" ca="1">IF(OR(NOT(INDEX(ExistsTx,$I36,2)),$H36=0),0,INDIRECT("'T"&amp;$I36&amp;"'!$P$"&amp;($J36+5),TRUE)+((1000-ROW())/10000000000000))</f>
        <v>9.6399999999999998E-11</v>
      </c>
      <c r="P36" s="91">
        <f t="array" aca="1" ref="P36" ca="1">IF(OR(NOT(INDEX(ExistsTx,$I36,2)),$H36=0),0,INDIRECT("'T"&amp;$I36&amp;"'!$Q$"&amp;($J36+5),TRUE)+((1000-ROW())/10000000000000))</f>
        <v>9.6399999999999998E-11</v>
      </c>
      <c r="Q36" s="91">
        <f t="shared" ca="1" si="6"/>
        <v>1.240681772668E-6</v>
      </c>
      <c r="R36" s="2"/>
      <c r="S36" s="2"/>
      <c r="T36" s="34">
        <v>6</v>
      </c>
      <c r="U36" s="55" t="str">
        <f t="shared" ca="1" si="15"/>
        <v>Typhoon Greatwind</v>
      </c>
      <c r="V36" s="55" t="str">
        <f t="shared" ca="1" si="16"/>
        <v>Lineman</v>
      </c>
      <c r="W36" s="55" t="str">
        <f t="shared" ca="1" si="17"/>
        <v>Skyhaven Silverfoxes</v>
      </c>
      <c r="X36" s="97">
        <f t="shared" ca="1" si="18"/>
        <v>2.00000000009</v>
      </c>
      <c r="Y36" s="98"/>
      <c r="Z36" s="34">
        <v>6</v>
      </c>
      <c r="AA36" s="55" t="str">
        <f t="shared" ca="1" si="19"/>
        <v/>
      </c>
      <c r="AB36" s="55" t="str">
        <f t="shared" ca="1" si="20"/>
        <v/>
      </c>
      <c r="AC36" s="55" t="str">
        <f t="shared" ca="1" si="21"/>
        <v/>
      </c>
      <c r="AD36" s="97" t="str">
        <f t="shared" ca="1" si="22"/>
        <v/>
      </c>
      <c r="AE36" s="2"/>
    </row>
    <row r="37" spans="1:31" ht="12.75" customHeight="1">
      <c r="A37" s="88" t="str">
        <f t="shared" ca="1" si="0"/>
        <v/>
      </c>
      <c r="B37" s="88" t="str">
        <f t="shared" ca="1" si="1"/>
        <v/>
      </c>
      <c r="C37" s="88" t="str">
        <f t="shared" ca="1" si="2"/>
        <v/>
      </c>
      <c r="D37" s="88" t="str">
        <f t="shared" ca="1" si="3"/>
        <v/>
      </c>
      <c r="E37" s="88" t="str">
        <f t="shared" ca="1" si="4"/>
        <v/>
      </c>
      <c r="F37" s="88" t="str">
        <f t="shared" ca="1" si="5"/>
        <v/>
      </c>
      <c r="G37" s="89" t="str">
        <f t="array" aca="1" ref="G37" ca="1">IF(INDEX(ExistsTx,$I37,2),IF(INDIRECT("'T"&amp;$I37&amp;"'!$D$"&amp;($J37+5),TRUE)=0,T_NoName,INDIRECT("'T"&amp;$I37&amp;"'!$D$"&amp;($J37+5),TRUE)),"")</f>
        <v>Nameless</v>
      </c>
      <c r="H37" s="89">
        <f t="array" aca="1" ref="H37" ca="1">IF(INDEX(ExistsTx,$I37,2),INDIRECT("'T"&amp;$I37&amp;"'!$E$"&amp;($J37+5),TRUE),0)</f>
        <v>0</v>
      </c>
      <c r="I37" s="90">
        <v>3</v>
      </c>
      <c r="J37" s="90">
        <v>3</v>
      </c>
      <c r="K37" s="89" t="str">
        <f t="array" aca="1" ref="K37" ca="1">INDEX(ListTeams,$I37,1)</f>
        <v>Population: Orc</v>
      </c>
      <c r="L37" s="91">
        <f t="array" aca="1" ref="L37" ca="1">IF(OR(NOT(INDEX(ExistsTx,$I37,2)),$H37=0),0,INDIRECT("'T"&amp;$I37&amp;"'!$M$"&amp;($J37+5),TRUE)+((1000-ROW())/10000000000000))</f>
        <v>0</v>
      </c>
      <c r="M37" s="91">
        <f t="array" aca="1" ref="M37" ca="1">IF(OR(NOT(INDEX(ExistsTx,$I37,2)),$H37=0),0,INDIRECT("'T"&amp;$I37&amp;"'!$N$"&amp;($J37+5),TRUE)+((1000-ROW())/10000000000000))</f>
        <v>0</v>
      </c>
      <c r="N37" s="91">
        <f t="array" aca="1" ref="N37" ca="1">IF(OR(NOT(INDEX(ExistsTx,$I37,2)),$H37=0),0,INDIRECT("'T"&amp;$I37&amp;"'!$O$"&amp;($J37+5),TRUE)+((1000-ROW())/10000000000000))</f>
        <v>0</v>
      </c>
      <c r="O37" s="91">
        <f t="array" aca="1" ref="O37" ca="1">IF(OR(NOT(INDEX(ExistsTx,$I37,2)),$H37=0),0,INDIRECT("'T"&amp;$I37&amp;"'!$P$"&amp;($J37+5),TRUE)+((1000-ROW())/10000000000000))</f>
        <v>0</v>
      </c>
      <c r="P37" s="91">
        <f t="array" aca="1" ref="P37" ca="1">IF(OR(NOT(INDEX(ExistsTx,$I37,2)),$H37=0),0,INDIRECT("'T"&amp;$I37&amp;"'!$Q$"&amp;($J37+5),TRUE)+((1000-ROW())/10000000000000))</f>
        <v>0</v>
      </c>
      <c r="Q37" s="91">
        <f t="shared" ca="1" si="6"/>
        <v>1.238142858381E-6</v>
      </c>
      <c r="R37" s="2"/>
      <c r="S37" s="2"/>
      <c r="T37" s="34">
        <v>7</v>
      </c>
      <c r="U37" s="55" t="str">
        <f t="shared" ca="1" si="15"/>
        <v>Starwood Blackleaf</v>
      </c>
      <c r="V37" s="55" t="str">
        <f t="shared" ca="1" si="16"/>
        <v>Catcher</v>
      </c>
      <c r="W37" s="55" t="str">
        <f t="shared" ca="1" si="17"/>
        <v>Skyhaven Silverfoxes</v>
      </c>
      <c r="X37" s="97">
        <f t="shared" ca="1" si="18"/>
        <v>2.0000000000889999</v>
      </c>
      <c r="Y37" s="98"/>
      <c r="Z37" s="34">
        <v>7</v>
      </c>
      <c r="AA37" s="55" t="str">
        <f t="shared" ca="1" si="19"/>
        <v/>
      </c>
      <c r="AB37" s="55" t="str">
        <f t="shared" ca="1" si="20"/>
        <v/>
      </c>
      <c r="AC37" s="55" t="str">
        <f t="shared" ca="1" si="21"/>
        <v/>
      </c>
      <c r="AD37" s="97" t="str">
        <f t="shared" ca="1" si="22"/>
        <v/>
      </c>
      <c r="AE37" s="2"/>
    </row>
    <row r="38" spans="1:31" ht="12.75" customHeight="1">
      <c r="A38" s="88" t="str">
        <f t="shared" ca="1" si="0"/>
        <v/>
      </c>
      <c r="B38" s="88" t="str">
        <f t="shared" ca="1" si="1"/>
        <v/>
      </c>
      <c r="C38" s="88" t="str">
        <f t="shared" ca="1" si="2"/>
        <v/>
      </c>
      <c r="D38" s="88" t="str">
        <f t="shared" ca="1" si="3"/>
        <v/>
      </c>
      <c r="E38" s="88" t="str">
        <f t="shared" ca="1" si="4"/>
        <v/>
      </c>
      <c r="F38" s="88" t="str">
        <f t="shared" ca="1" si="5"/>
        <v/>
      </c>
      <c r="G38" s="89" t="str">
        <f t="array" aca="1" ref="G38" ca="1">IF(INDEX(ExistsTx,$I38,2),IF(INDIRECT("'T"&amp;$I38&amp;"'!$D$"&amp;($J38+5),TRUE)=0,T_NoName,INDIRECT("'T"&amp;$I38&amp;"'!$D$"&amp;($J38+5),TRUE)),"")</f>
        <v>Nameless</v>
      </c>
      <c r="H38" s="89">
        <f t="array" aca="1" ref="H38" ca="1">IF(INDEX(ExistsTx,$I38,2),INDIRECT("'T"&amp;$I38&amp;"'!$E$"&amp;($J38+5),TRUE),0)</f>
        <v>0</v>
      </c>
      <c r="I38" s="90">
        <v>3</v>
      </c>
      <c r="J38" s="90">
        <v>4</v>
      </c>
      <c r="K38" s="89" t="str">
        <f t="array" aca="1" ref="K38" ca="1">INDEX(ListTeams,$I38,1)</f>
        <v>Population: Orc</v>
      </c>
      <c r="L38" s="91">
        <f t="array" aca="1" ref="L38" ca="1">IF(OR(NOT(INDEX(ExistsTx,$I38,2)),$H38=0),0,INDIRECT("'T"&amp;$I38&amp;"'!$M$"&amp;($J38+5),TRUE)+((1000-ROW())/10000000000000))</f>
        <v>0</v>
      </c>
      <c r="M38" s="91">
        <f t="array" aca="1" ref="M38" ca="1">IF(OR(NOT(INDEX(ExistsTx,$I38,2)),$H38=0),0,INDIRECT("'T"&amp;$I38&amp;"'!$N$"&amp;($J38+5),TRUE)+((1000-ROW())/10000000000000))</f>
        <v>0</v>
      </c>
      <c r="N38" s="91">
        <f t="array" aca="1" ref="N38" ca="1">IF(OR(NOT(INDEX(ExistsTx,$I38,2)),$H38=0),0,INDIRECT("'T"&amp;$I38&amp;"'!$O$"&amp;($J38+5),TRUE)+((1000-ROW())/10000000000000))</f>
        <v>0</v>
      </c>
      <c r="O38" s="91">
        <f t="array" aca="1" ref="O38" ca="1">IF(OR(NOT(INDEX(ExistsTx,$I38,2)),$H38=0),0,INDIRECT("'T"&amp;$I38&amp;"'!$P$"&amp;($J38+5),TRUE)+((1000-ROW())/10000000000000))</f>
        <v>0</v>
      </c>
      <c r="P38" s="91">
        <f t="array" aca="1" ref="P38" ca="1">IF(OR(NOT(INDEX(ExistsTx,$I38,2)),$H38=0),0,INDIRECT("'T"&amp;$I38&amp;"'!$Q$"&amp;($J38+5),TRUE)+((1000-ROW())/10000000000000))</f>
        <v>0</v>
      </c>
      <c r="Q38" s="91">
        <f t="shared" ca="1" si="6"/>
        <v>1.2368571440940001E-6</v>
      </c>
      <c r="R38" s="2"/>
      <c r="S38" s="2"/>
      <c r="T38" s="34">
        <v>8</v>
      </c>
      <c r="U38" s="55" t="str">
        <f t="shared" ca="1" si="15"/>
        <v>Count Russel Wilhelms</v>
      </c>
      <c r="V38" s="55" t="str">
        <f t="shared" ca="1" si="16"/>
        <v>Vampire</v>
      </c>
      <c r="W38" s="55" t="str">
        <f t="shared" ca="1" si="17"/>
        <v>Sylvania Suckhawks</v>
      </c>
      <c r="X38" s="97">
        <f t="shared" ca="1" si="18"/>
        <v>1.0000000000996001</v>
      </c>
      <c r="Y38" s="98"/>
      <c r="Z38" s="34">
        <v>8</v>
      </c>
      <c r="AA38" s="55" t="str">
        <f t="shared" ca="1" si="19"/>
        <v/>
      </c>
      <c r="AB38" s="55" t="str">
        <f t="shared" ca="1" si="20"/>
        <v/>
      </c>
      <c r="AC38" s="55" t="str">
        <f t="shared" ca="1" si="21"/>
        <v/>
      </c>
      <c r="AD38" s="97" t="str">
        <f t="shared" ca="1" si="22"/>
        <v/>
      </c>
      <c r="AE38" s="2"/>
    </row>
    <row r="39" spans="1:31" ht="12.75" customHeight="1">
      <c r="A39" s="88" t="str">
        <f t="shared" ca="1" si="0"/>
        <v/>
      </c>
      <c r="B39" s="88" t="str">
        <f t="shared" ca="1" si="1"/>
        <v/>
      </c>
      <c r="C39" s="88" t="str">
        <f t="shared" ca="1" si="2"/>
        <v/>
      </c>
      <c r="D39" s="88" t="str">
        <f t="shared" ca="1" si="3"/>
        <v/>
      </c>
      <c r="E39" s="88" t="str">
        <f t="shared" ca="1" si="4"/>
        <v/>
      </c>
      <c r="F39" s="88" t="str">
        <f t="shared" ca="1" si="5"/>
        <v/>
      </c>
      <c r="G39" s="89" t="str">
        <f t="array" aca="1" ref="G39" ca="1">IF(INDEX(ExistsTx,$I39,2),IF(INDIRECT("'T"&amp;$I39&amp;"'!$D$"&amp;($J39+5),TRUE)=0,T_NoName,INDIRECT("'T"&amp;$I39&amp;"'!$D$"&amp;($J39+5),TRUE)),"")</f>
        <v>Nameless</v>
      </c>
      <c r="H39" s="89">
        <f t="array" aca="1" ref="H39" ca="1">IF(INDEX(ExistsTx,$I39,2),INDIRECT("'T"&amp;$I39&amp;"'!$E$"&amp;($J39+5),TRUE),0)</f>
        <v>0</v>
      </c>
      <c r="I39" s="90">
        <v>3</v>
      </c>
      <c r="J39" s="90">
        <v>5</v>
      </c>
      <c r="K39" s="89" t="str">
        <f t="array" aca="1" ref="K39" ca="1">INDEX(ListTeams,$I39,1)</f>
        <v>Population: Orc</v>
      </c>
      <c r="L39" s="91">
        <f t="array" aca="1" ref="L39" ca="1">IF(OR(NOT(INDEX(ExistsTx,$I39,2)),$H39=0),0,INDIRECT("'T"&amp;$I39&amp;"'!$M$"&amp;($J39+5),TRUE)+((1000-ROW())/10000000000000))</f>
        <v>0</v>
      </c>
      <c r="M39" s="91">
        <f t="array" aca="1" ref="M39" ca="1">IF(OR(NOT(INDEX(ExistsTx,$I39,2)),$H39=0),0,INDIRECT("'T"&amp;$I39&amp;"'!$N$"&amp;($J39+5),TRUE)+((1000-ROW())/10000000000000))</f>
        <v>0</v>
      </c>
      <c r="N39" s="91">
        <f t="array" aca="1" ref="N39" ca="1">IF(OR(NOT(INDEX(ExistsTx,$I39,2)),$H39=0),0,INDIRECT("'T"&amp;$I39&amp;"'!$O$"&amp;($J39+5),TRUE)+((1000-ROW())/10000000000000))</f>
        <v>0</v>
      </c>
      <c r="O39" s="91">
        <f t="array" aca="1" ref="O39" ca="1">IF(OR(NOT(INDEX(ExistsTx,$I39,2)),$H39=0),0,INDIRECT("'T"&amp;$I39&amp;"'!$P$"&amp;($J39+5),TRUE)+((1000-ROW())/10000000000000))</f>
        <v>0</v>
      </c>
      <c r="P39" s="91">
        <f t="array" aca="1" ref="P39" ca="1">IF(OR(NOT(INDEX(ExistsTx,$I39,2)),$H39=0),0,INDIRECT("'T"&amp;$I39&amp;"'!$Q$"&amp;($J39+5),TRUE)+((1000-ROW())/10000000000000))</f>
        <v>0</v>
      </c>
      <c r="Q39" s="91">
        <f t="shared" ca="1" si="6"/>
        <v>1.2355714298069999E-6</v>
      </c>
      <c r="R39" s="2"/>
      <c r="S39" s="2"/>
      <c r="T39" s="34">
        <v>9</v>
      </c>
      <c r="U39" s="55" t="str">
        <f t="shared" ca="1" si="15"/>
        <v>Kim Chancellor</v>
      </c>
      <c r="V39" s="55" t="str">
        <f t="shared" ca="1" si="16"/>
        <v>Thrall</v>
      </c>
      <c r="W39" s="55" t="str">
        <f t="shared" ca="1" si="17"/>
        <v>Sylvania Suckhawks</v>
      </c>
      <c r="X39" s="97">
        <f t="shared" ca="1" si="18"/>
        <v>1.0000000000991001</v>
      </c>
      <c r="Y39" s="98"/>
      <c r="Z39" s="34">
        <v>9</v>
      </c>
      <c r="AA39" s="55" t="str">
        <f t="shared" ca="1" si="19"/>
        <v/>
      </c>
      <c r="AB39" s="55" t="str">
        <f t="shared" ca="1" si="20"/>
        <v/>
      </c>
      <c r="AC39" s="55" t="str">
        <f t="shared" ca="1" si="21"/>
        <v/>
      </c>
      <c r="AD39" s="97" t="str">
        <f t="shared" ca="1" si="22"/>
        <v/>
      </c>
      <c r="AE39" s="2"/>
    </row>
    <row r="40" spans="1:31" ht="12.75" customHeight="1">
      <c r="A40" s="88" t="str">
        <f t="shared" ca="1" si="0"/>
        <v/>
      </c>
      <c r="B40" s="88" t="str">
        <f t="shared" ca="1" si="1"/>
        <v/>
      </c>
      <c r="C40" s="88" t="str">
        <f t="shared" ca="1" si="2"/>
        <v/>
      </c>
      <c r="D40" s="88" t="str">
        <f t="shared" ca="1" si="3"/>
        <v/>
      </c>
      <c r="E40" s="88" t="str">
        <f t="shared" ca="1" si="4"/>
        <v/>
      </c>
      <c r="F40" s="88" t="str">
        <f t="shared" ca="1" si="5"/>
        <v/>
      </c>
      <c r="G40" s="89" t="str">
        <f t="array" aca="1" ref="G40" ca="1">IF(INDEX(ExistsTx,$I40,2),IF(INDIRECT("'T"&amp;$I40&amp;"'!$D$"&amp;($J40+5),TRUE)=0,T_NoName,INDIRECT("'T"&amp;$I40&amp;"'!$D$"&amp;($J40+5),TRUE)),"")</f>
        <v>Nameless</v>
      </c>
      <c r="H40" s="89">
        <f t="array" aca="1" ref="H40" ca="1">IF(INDEX(ExistsTx,$I40,2),INDIRECT("'T"&amp;$I40&amp;"'!$E$"&amp;($J40+5),TRUE),0)</f>
        <v>0</v>
      </c>
      <c r="I40" s="90">
        <v>3</v>
      </c>
      <c r="J40" s="90">
        <v>6</v>
      </c>
      <c r="K40" s="89" t="str">
        <f t="array" aca="1" ref="K40" ca="1">INDEX(ListTeams,$I40,1)</f>
        <v>Population: Orc</v>
      </c>
      <c r="L40" s="91">
        <f t="array" aca="1" ref="L40" ca="1">IF(OR(NOT(INDEX(ExistsTx,$I40,2)),$H40=0),0,INDIRECT("'T"&amp;$I40&amp;"'!$M$"&amp;($J40+5),TRUE)+((1000-ROW())/10000000000000))</f>
        <v>0</v>
      </c>
      <c r="M40" s="91">
        <f t="array" aca="1" ref="M40" ca="1">IF(OR(NOT(INDEX(ExistsTx,$I40,2)),$H40=0),0,INDIRECT("'T"&amp;$I40&amp;"'!$N$"&amp;($J40+5),TRUE)+((1000-ROW())/10000000000000))</f>
        <v>0</v>
      </c>
      <c r="N40" s="91">
        <f t="array" aca="1" ref="N40" ca="1">IF(OR(NOT(INDEX(ExistsTx,$I40,2)),$H40=0),0,INDIRECT("'T"&amp;$I40&amp;"'!$O$"&amp;($J40+5),TRUE)+((1000-ROW())/10000000000000))</f>
        <v>0</v>
      </c>
      <c r="O40" s="91">
        <f t="array" aca="1" ref="O40" ca="1">IF(OR(NOT(INDEX(ExistsTx,$I40,2)),$H40=0),0,INDIRECT("'T"&amp;$I40&amp;"'!$P$"&amp;($J40+5),TRUE)+((1000-ROW())/10000000000000))</f>
        <v>0</v>
      </c>
      <c r="P40" s="91">
        <f t="array" aca="1" ref="P40" ca="1">IF(OR(NOT(INDEX(ExistsTx,$I40,2)),$H40=0),0,INDIRECT("'T"&amp;$I40&amp;"'!$Q$"&amp;($J40+5),TRUE)+((1000-ROW())/10000000000000))</f>
        <v>0</v>
      </c>
      <c r="Q40" s="91">
        <f t="shared" ca="1" si="6"/>
        <v>1.23428571552E-6</v>
      </c>
      <c r="R40" s="2"/>
      <c r="S40" s="2"/>
      <c r="T40" s="34">
        <v>10</v>
      </c>
      <c r="U40" s="55" t="str">
        <f t="shared" ca="1" si="15"/>
        <v>Robert Wagner</v>
      </c>
      <c r="V40" s="55" t="str">
        <f t="shared" ca="1" si="16"/>
        <v>Thrall</v>
      </c>
      <c r="W40" s="55" t="str">
        <f t="shared" ca="1" si="17"/>
        <v>Sylvania Suckhawks</v>
      </c>
      <c r="X40" s="97">
        <f t="shared" ca="1" si="18"/>
        <v>1.0000000000989</v>
      </c>
      <c r="Y40" s="98"/>
      <c r="Z40" s="34">
        <v>10</v>
      </c>
      <c r="AA40" s="55" t="str">
        <f t="shared" ca="1" si="19"/>
        <v/>
      </c>
      <c r="AB40" s="55" t="str">
        <f t="shared" ca="1" si="20"/>
        <v/>
      </c>
      <c r="AC40" s="55" t="str">
        <f t="shared" ca="1" si="21"/>
        <v/>
      </c>
      <c r="AD40" s="97" t="str">
        <f t="shared" ca="1" si="22"/>
        <v/>
      </c>
      <c r="AE40" s="2"/>
    </row>
    <row r="41" spans="1:31" ht="12.75" customHeight="1">
      <c r="A41" s="88">
        <f t="shared" ca="1" si="0"/>
        <v>11</v>
      </c>
      <c r="B41" s="88">
        <f t="shared" ca="1" si="1"/>
        <v>6</v>
      </c>
      <c r="C41" s="88" t="str">
        <f t="shared" ca="1" si="2"/>
        <v/>
      </c>
      <c r="D41" s="88">
        <f t="shared" ca="1" si="3"/>
        <v>17</v>
      </c>
      <c r="E41" s="88" t="str">
        <f t="shared" ca="1" si="4"/>
        <v/>
      </c>
      <c r="F41" s="88">
        <f t="shared" ca="1" si="5"/>
        <v>15</v>
      </c>
      <c r="G41" s="89" t="str">
        <f t="array" aca="1" ref="G41" ca="1">IF(INDEX(ExistsTx,$I41,2),IF(INDIRECT("'T"&amp;$I41&amp;"'!$D$"&amp;($J41+5),TRUE)=0,T_NoName,INDIRECT("'T"&amp;$I41&amp;"'!$D$"&amp;($J41+5),TRUE)),"")</f>
        <v>King'zug</v>
      </c>
      <c r="H41" s="89" t="str">
        <f t="array" aca="1" ref="H41" ca="1">IF(INDEX(ExistsTx,$I41,2),INDIRECT("'T"&amp;$I41&amp;"'!$E$"&amp;($J41+5),TRUE),0)</f>
        <v>Thrower</v>
      </c>
      <c r="I41" s="90">
        <v>3</v>
      </c>
      <c r="J41" s="90">
        <v>7</v>
      </c>
      <c r="K41" s="89" t="str">
        <f t="array" aca="1" ref="K41" ca="1">INDEX(ListTeams,$I41,1)</f>
        <v>Population: Orc</v>
      </c>
      <c r="L41" s="91">
        <f t="array" aca="1" ref="L41" ca="1">IF(OR(NOT(INDEX(ExistsTx,$I41,2)),$H41=0),0,INDIRECT("'T"&amp;$I41&amp;"'!$M$"&amp;($J41+5),TRUE)+((1000-ROW())/10000000000000))</f>
        <v>1.0000000000959</v>
      </c>
      <c r="M41" s="91">
        <f t="array" aca="1" ref="M41" ca="1">IF(OR(NOT(INDEX(ExistsTx,$I41,2)),$H41=0),0,INDIRECT("'T"&amp;$I41&amp;"'!$N$"&amp;($J41+5),TRUE)+((1000-ROW())/10000000000000))</f>
        <v>2.0000000000959002</v>
      </c>
      <c r="N41" s="91">
        <f t="array" aca="1" ref="N41" ca="1">IF(OR(NOT(INDEX(ExistsTx,$I41,2)),$H41=0),0,INDIRECT("'T"&amp;$I41&amp;"'!$O$"&amp;($J41+5),TRUE)+((1000-ROW())/10000000000000))</f>
        <v>9.59E-11</v>
      </c>
      <c r="O41" s="91">
        <f t="array" aca="1" ref="O41" ca="1">IF(OR(NOT(INDEX(ExistsTx,$I41,2)),$H41=0),0,INDIRECT("'T"&amp;$I41&amp;"'!$P$"&amp;($J41+5),TRUE)+((1000-ROW())/10000000000000))</f>
        <v>1.0000000000959</v>
      </c>
      <c r="P41" s="91">
        <f t="array" aca="1" ref="P41" ca="1">IF(OR(NOT(INDEX(ExistsTx,$I41,2)),$H41=0),0,INDIRECT("'T"&amp;$I41&amp;"'!$Q$"&amp;($J41+5),TRUE)+((1000-ROW())/10000000000000))</f>
        <v>9.59E-11</v>
      </c>
      <c r="Q41" s="91">
        <f t="shared" ca="1" si="6"/>
        <v>9.0000012342467031</v>
      </c>
      <c r="R41" s="2"/>
      <c r="S41" s="2"/>
      <c r="T41" s="34">
        <v>11</v>
      </c>
      <c r="U41" s="55" t="str">
        <f t="shared" ca="1" si="15"/>
        <v>King'zug</v>
      </c>
      <c r="V41" s="55" t="str">
        <f t="shared" ca="1" si="16"/>
        <v>Thrower</v>
      </c>
      <c r="W41" s="55" t="str">
        <f t="shared" ca="1" si="17"/>
        <v>Population: Orc</v>
      </c>
      <c r="X41" s="97">
        <f t="shared" ca="1" si="18"/>
        <v>1.0000000000959</v>
      </c>
      <c r="Y41" s="98"/>
      <c r="Z41" s="34">
        <v>11</v>
      </c>
      <c r="AA41" s="55" t="str">
        <f t="shared" ca="1" si="19"/>
        <v/>
      </c>
      <c r="AB41" s="55" t="str">
        <f t="shared" ca="1" si="20"/>
        <v/>
      </c>
      <c r="AC41" s="55" t="str">
        <f t="shared" ca="1" si="21"/>
        <v/>
      </c>
      <c r="AD41" s="97" t="str">
        <f t="shared" ca="1" si="22"/>
        <v/>
      </c>
      <c r="AE41" s="2"/>
    </row>
    <row r="42" spans="1:31" ht="12.75" customHeight="1">
      <c r="A42" s="88" t="str">
        <f t="shared" ca="1" si="0"/>
        <v/>
      </c>
      <c r="B42" s="88" t="str">
        <f t="shared" ca="1" si="1"/>
        <v/>
      </c>
      <c r="C42" s="88" t="str">
        <f t="shared" ca="1" si="2"/>
        <v/>
      </c>
      <c r="D42" s="88" t="str">
        <f t="shared" ca="1" si="3"/>
        <v/>
      </c>
      <c r="E42" s="88" t="str">
        <f t="shared" ca="1" si="4"/>
        <v/>
      </c>
      <c r="F42" s="88" t="str">
        <f t="shared" ca="1" si="5"/>
        <v/>
      </c>
      <c r="G42" s="89" t="str">
        <f t="array" aca="1" ref="G42" ca="1">IF(INDEX(ExistsTx,$I42,2),IF(INDIRECT("'T"&amp;$I42&amp;"'!$D$"&amp;($J42+5),TRUE)=0,T_NoName,INDIRECT("'T"&amp;$I42&amp;"'!$D$"&amp;($J42+5),TRUE)),"")</f>
        <v>Nameless</v>
      </c>
      <c r="H42" s="89">
        <f t="array" aca="1" ref="H42" ca="1">IF(INDEX(ExistsTx,$I42,2),INDIRECT("'T"&amp;$I42&amp;"'!$E$"&amp;($J42+5),TRUE),0)</f>
        <v>0</v>
      </c>
      <c r="I42" s="90">
        <v>3</v>
      </c>
      <c r="J42" s="90">
        <v>8</v>
      </c>
      <c r="K42" s="89" t="str">
        <f t="array" aca="1" ref="K42" ca="1">INDEX(ListTeams,$I42,1)</f>
        <v>Population: Orc</v>
      </c>
      <c r="L42" s="91">
        <f t="array" aca="1" ref="L42" ca="1">IF(OR(NOT(INDEX(ExistsTx,$I42,2)),$H42=0),0,INDIRECT("'T"&amp;$I42&amp;"'!$M$"&amp;($J42+5),TRUE)+((1000-ROW())/10000000000000))</f>
        <v>0</v>
      </c>
      <c r="M42" s="91">
        <f t="array" aca="1" ref="M42" ca="1">IF(OR(NOT(INDEX(ExistsTx,$I42,2)),$H42=0),0,INDIRECT("'T"&amp;$I42&amp;"'!$N$"&amp;($J42+5),TRUE)+((1000-ROW())/10000000000000))</f>
        <v>0</v>
      </c>
      <c r="N42" s="91">
        <f t="array" aca="1" ref="N42" ca="1">IF(OR(NOT(INDEX(ExistsTx,$I42,2)),$H42=0),0,INDIRECT("'T"&amp;$I42&amp;"'!$O$"&amp;($J42+5),TRUE)+((1000-ROW())/10000000000000))</f>
        <v>0</v>
      </c>
      <c r="O42" s="91">
        <f t="array" aca="1" ref="O42" ca="1">IF(OR(NOT(INDEX(ExistsTx,$I42,2)),$H42=0),0,INDIRECT("'T"&amp;$I42&amp;"'!$P$"&amp;($J42+5),TRUE)+((1000-ROW())/10000000000000))</f>
        <v>0</v>
      </c>
      <c r="P42" s="91">
        <f t="array" aca="1" ref="P42" ca="1">IF(OR(NOT(INDEX(ExistsTx,$I42,2)),$H42=0),0,INDIRECT("'T"&amp;$I42&amp;"'!$Q$"&amp;($J42+5),TRUE)+((1000-ROW())/10000000000000))</f>
        <v>0</v>
      </c>
      <c r="Q42" s="91">
        <f t="shared" ca="1" si="6"/>
        <v>1.231714286946E-6</v>
      </c>
      <c r="R42" s="2"/>
      <c r="S42" s="2"/>
      <c r="T42" s="34">
        <v>12</v>
      </c>
      <c r="U42" s="55" t="str">
        <f t="shared" ca="1" si="15"/>
        <v>Cheat'zug</v>
      </c>
      <c r="V42" s="55" t="str">
        <f t="shared" ca="1" si="16"/>
        <v>Blitzer</v>
      </c>
      <c r="W42" s="55" t="str">
        <f t="shared" ca="1" si="17"/>
        <v>Population: Orc</v>
      </c>
      <c r="X42" s="97">
        <f t="shared" ca="1" si="18"/>
        <v>1.0000000000956999</v>
      </c>
      <c r="Y42" s="98"/>
      <c r="Z42" s="34">
        <v>12</v>
      </c>
      <c r="AA42" s="55" t="str">
        <f t="shared" ca="1" si="19"/>
        <v/>
      </c>
      <c r="AB42" s="55" t="str">
        <f t="shared" ca="1" si="20"/>
        <v/>
      </c>
      <c r="AC42" s="55" t="str">
        <f t="shared" ca="1" si="21"/>
        <v/>
      </c>
      <c r="AD42" s="97" t="str">
        <f t="shared" ca="1" si="22"/>
        <v/>
      </c>
      <c r="AE42" s="2"/>
    </row>
    <row r="43" spans="1:31" ht="12.75" customHeight="1">
      <c r="A43" s="88">
        <f t="shared" ca="1" si="0"/>
        <v>12</v>
      </c>
      <c r="B43" s="88" t="str">
        <f t="shared" ca="1" si="1"/>
        <v/>
      </c>
      <c r="C43" s="88" t="str">
        <f t="shared" ca="1" si="2"/>
        <v/>
      </c>
      <c r="D43" s="88">
        <f t="shared" ca="1" si="3"/>
        <v>5</v>
      </c>
      <c r="E43" s="88">
        <f t="shared" ca="1" si="4"/>
        <v>14</v>
      </c>
      <c r="F43" s="88">
        <f t="shared" ca="1" si="5"/>
        <v>11</v>
      </c>
      <c r="G43" s="89" t="str">
        <f t="array" aca="1" ref="G43" ca="1">IF(INDEX(ExistsTx,$I43,2),IF(INDIRECT("'T"&amp;$I43&amp;"'!$D$"&amp;($J43+5),TRUE)=0,T_NoName,INDIRECT("'T"&amp;$I43&amp;"'!$D$"&amp;($J43+5),TRUE)),"")</f>
        <v>Cheat'zug</v>
      </c>
      <c r="H43" s="89" t="str">
        <f t="array" aca="1" ref="H43" ca="1">IF(INDEX(ExistsTx,$I43,2),INDIRECT("'T"&amp;$I43&amp;"'!$E$"&amp;($J43+5),TRUE),0)</f>
        <v>Blitzer</v>
      </c>
      <c r="I43" s="90">
        <v>3</v>
      </c>
      <c r="J43" s="90">
        <v>9</v>
      </c>
      <c r="K43" s="89" t="str">
        <f t="array" aca="1" ref="K43" ca="1">INDEX(ListTeams,$I43,1)</f>
        <v>Population: Orc</v>
      </c>
      <c r="L43" s="91">
        <f t="array" aca="1" ref="L43" ca="1">IF(OR(NOT(INDEX(ExistsTx,$I43,2)),$H43=0),0,INDIRECT("'T"&amp;$I43&amp;"'!$M$"&amp;($J43+5),TRUE)+((1000-ROW())/10000000000000))</f>
        <v>1.0000000000956999</v>
      </c>
      <c r="M43" s="91">
        <f t="array" aca="1" ref="M43" ca="1">IF(OR(NOT(INDEX(ExistsTx,$I43,2)),$H43=0),0,INDIRECT("'T"&amp;$I43&amp;"'!$N$"&amp;($J43+5),TRUE)+((1000-ROW())/10000000000000))</f>
        <v>9.5700000000000003E-11</v>
      </c>
      <c r="N43" s="91">
        <f t="array" aca="1" ref="N43" ca="1">IF(OR(NOT(INDEX(ExistsTx,$I43,2)),$H43=0),0,INDIRECT("'T"&amp;$I43&amp;"'!$O$"&amp;($J43+5),TRUE)+((1000-ROW())/10000000000000))</f>
        <v>9.5700000000000003E-11</v>
      </c>
      <c r="O43" s="91">
        <f t="array" aca="1" ref="O43" ca="1">IF(OR(NOT(INDEX(ExistsTx,$I43,2)),$H43=0),0,INDIRECT("'T"&amp;$I43&amp;"'!$P$"&amp;($J43+5),TRUE)+((1000-ROW())/10000000000000))</f>
        <v>3.0000000000956999</v>
      </c>
      <c r="P43" s="91">
        <f t="array" aca="1" ref="P43" ca="1">IF(OR(NOT(INDEX(ExistsTx,$I43,2)),$H43=0),0,INDIRECT("'T"&amp;$I43&amp;"'!$Q$"&amp;($J43+5),TRUE)+((1000-ROW())/10000000000000))</f>
        <v>1.0000000000956999</v>
      </c>
      <c r="Q43" s="91">
        <f t="shared" ca="1" si="6"/>
        <v>12.000001231672671</v>
      </c>
      <c r="R43" s="2"/>
      <c r="S43" s="2"/>
      <c r="T43" s="34">
        <v>13</v>
      </c>
      <c r="U43" s="55" t="str">
        <f t="shared" ca="1" si="15"/>
        <v>Marzi'zug</v>
      </c>
      <c r="V43" s="55" t="str">
        <f t="shared" ca="1" si="16"/>
        <v>Blitzer</v>
      </c>
      <c r="W43" s="55" t="str">
        <f t="shared" ca="1" si="17"/>
        <v>Population: Orc</v>
      </c>
      <c r="X43" s="97">
        <f t="shared" ca="1" si="18"/>
        <v>1.0000000000953999</v>
      </c>
      <c r="Y43" s="98"/>
      <c r="Z43" s="34">
        <v>13</v>
      </c>
      <c r="AA43" s="55" t="str">
        <f t="shared" ca="1" si="19"/>
        <v/>
      </c>
      <c r="AB43" s="55" t="str">
        <f t="shared" ca="1" si="20"/>
        <v/>
      </c>
      <c r="AC43" s="55" t="str">
        <f t="shared" ca="1" si="21"/>
        <v/>
      </c>
      <c r="AD43" s="97" t="str">
        <f t="shared" ca="1" si="22"/>
        <v/>
      </c>
      <c r="AE43" s="2"/>
    </row>
    <row r="44" spans="1:31" ht="12.75" customHeight="1">
      <c r="A44" s="88" t="str">
        <f t="shared" ca="1" si="0"/>
        <v/>
      </c>
      <c r="B44" s="88" t="str">
        <f t="shared" ca="1" si="1"/>
        <v/>
      </c>
      <c r="C44" s="88" t="str">
        <f t="shared" ca="1" si="2"/>
        <v/>
      </c>
      <c r="D44" s="88" t="str">
        <f t="shared" ca="1" si="3"/>
        <v/>
      </c>
      <c r="E44" s="88" t="str">
        <f t="shared" ca="1" si="4"/>
        <v/>
      </c>
      <c r="F44" s="88" t="str">
        <f t="shared" ca="1" si="5"/>
        <v/>
      </c>
      <c r="G44" s="89" t="str">
        <f t="array" aca="1" ref="G44" ca="1">IF(INDEX(ExistsTx,$I44,2),IF(INDIRECT("'T"&amp;$I44&amp;"'!$D$"&amp;($J44+5),TRUE)=0,T_NoName,INDIRECT("'T"&amp;$I44&amp;"'!$D$"&amp;($J44+5),TRUE)),"")</f>
        <v>Bad'zug</v>
      </c>
      <c r="H44" s="89" t="str">
        <f t="array" aca="1" ref="H44" ca="1">IF(INDEX(ExistsTx,$I44,2),INDIRECT("'T"&amp;$I44&amp;"'!$E$"&amp;($J44+5),TRUE),0)</f>
        <v>Blitzer</v>
      </c>
      <c r="I44" s="90">
        <v>3</v>
      </c>
      <c r="J44" s="90">
        <v>10</v>
      </c>
      <c r="K44" s="89" t="str">
        <f t="array" aca="1" ref="K44" ca="1">INDEX(ListTeams,$I44,1)</f>
        <v>Population: Orc</v>
      </c>
      <c r="L44" s="91">
        <f t="array" aca="1" ref="L44" ca="1">IF(OR(NOT(INDEX(ExistsTx,$I44,2)),$H44=0),0,INDIRECT("'T"&amp;$I44&amp;"'!$M$"&amp;($J44+5),TRUE)+((1000-ROW())/10000000000000))</f>
        <v>9.5599999999999998E-11</v>
      </c>
      <c r="M44" s="91">
        <f t="array" aca="1" ref="M44" ca="1">IF(OR(NOT(INDEX(ExistsTx,$I44,2)),$H44=0),0,INDIRECT("'T"&amp;$I44&amp;"'!$N$"&amp;($J44+5),TRUE)+((1000-ROW())/10000000000000))</f>
        <v>9.5599999999999998E-11</v>
      </c>
      <c r="N44" s="91">
        <f t="array" aca="1" ref="N44" ca="1">IF(OR(NOT(INDEX(ExistsTx,$I44,2)),$H44=0),0,INDIRECT("'T"&amp;$I44&amp;"'!$O$"&amp;($J44+5),TRUE)+((1000-ROW())/10000000000000))</f>
        <v>9.5599999999999998E-11</v>
      </c>
      <c r="O44" s="91">
        <f t="array" aca="1" ref="O44" ca="1">IF(OR(NOT(INDEX(ExistsTx,$I44,2)),$H44=0),0,INDIRECT("'T"&amp;$I44&amp;"'!$P$"&amp;($J44+5),TRUE)+((1000-ROW())/10000000000000))</f>
        <v>9.5599999999999998E-11</v>
      </c>
      <c r="P44" s="91">
        <f t="array" aca="1" ref="P44" ca="1">IF(OR(NOT(INDEX(ExistsTx,$I44,2)),$H44=0),0,INDIRECT("'T"&amp;$I44&amp;"'!$Q$"&amp;($J44+5),TRUE)+((1000-ROW())/10000000000000))</f>
        <v>9.5599999999999998E-11</v>
      </c>
      <c r="Q44" s="91">
        <f t="shared" ca="1" si="6"/>
        <v>1.2303856583719999E-6</v>
      </c>
      <c r="R44" s="2"/>
      <c r="S44" s="2"/>
      <c r="T44" s="34">
        <v>14</v>
      </c>
      <c r="U44" s="55" t="str">
        <f t="shared" ca="1" si="15"/>
        <v>Susan Boyle</v>
      </c>
      <c r="V44" s="55" t="str">
        <f t="shared" ca="1" si="16"/>
        <v>Thrower</v>
      </c>
      <c r="W44" s="55" t="str">
        <f t="shared" ca="1" si="17"/>
        <v>Wrath of the Month</v>
      </c>
      <c r="X44" s="97">
        <f t="shared" ca="1" si="18"/>
        <v>1.0000000000939999</v>
      </c>
      <c r="Y44" s="98"/>
      <c r="Z44" s="34">
        <v>14</v>
      </c>
      <c r="AA44" s="55" t="str">
        <f t="shared" ca="1" si="19"/>
        <v/>
      </c>
      <c r="AB44" s="55" t="str">
        <f t="shared" ca="1" si="20"/>
        <v/>
      </c>
      <c r="AC44" s="55" t="str">
        <f t="shared" ca="1" si="21"/>
        <v/>
      </c>
      <c r="AD44" s="97" t="str">
        <f t="shared" ca="1" si="22"/>
        <v/>
      </c>
      <c r="AE44" s="2"/>
    </row>
    <row r="45" spans="1:31" ht="12.75" customHeight="1">
      <c r="A45" s="88" t="str">
        <f t="shared" ca="1" si="0"/>
        <v/>
      </c>
      <c r="B45" s="88" t="str">
        <f t="shared" ca="1" si="1"/>
        <v/>
      </c>
      <c r="C45" s="88" t="str">
        <f t="shared" ca="1" si="2"/>
        <v/>
      </c>
      <c r="D45" s="88">
        <f t="shared" ca="1" si="3"/>
        <v>8</v>
      </c>
      <c r="E45" s="88" t="str">
        <f t="shared" ca="1" si="4"/>
        <v/>
      </c>
      <c r="F45" s="88">
        <f t="shared" ca="1" si="5"/>
        <v>49</v>
      </c>
      <c r="G45" s="89" t="str">
        <f t="array" aca="1" ref="G45" ca="1">IF(INDEX(ExistsTx,$I45,2),IF(INDIRECT("'T"&amp;$I45&amp;"'!$D$"&amp;($J45+5),TRUE)=0,T_NoName,INDIRECT("'T"&amp;$I45&amp;"'!$D$"&amp;($J45+5),TRUE)),"")</f>
        <v>Home'zug</v>
      </c>
      <c r="H45" s="89" t="str">
        <f t="array" aca="1" ref="H45" ca="1">IF(INDEX(ExistsTx,$I45,2),INDIRECT("'T"&amp;$I45&amp;"'!$E$"&amp;($J45+5),TRUE),0)</f>
        <v>Blitzer</v>
      </c>
      <c r="I45" s="90">
        <v>3</v>
      </c>
      <c r="J45" s="90">
        <v>11</v>
      </c>
      <c r="K45" s="89" t="str">
        <f t="array" aca="1" ref="K45" ca="1">INDEX(ListTeams,$I45,1)</f>
        <v>Population: Orc</v>
      </c>
      <c r="L45" s="91">
        <f t="array" aca="1" ref="L45" ca="1">IF(OR(NOT(INDEX(ExistsTx,$I45,2)),$H45=0),0,INDIRECT("'T"&amp;$I45&amp;"'!$M$"&amp;($J45+5),TRUE)+((1000-ROW())/10000000000000))</f>
        <v>9.5500000000000006E-11</v>
      </c>
      <c r="M45" s="91">
        <f t="array" aca="1" ref="M45" ca="1">IF(OR(NOT(INDEX(ExistsTx,$I45,2)),$H45=0),0,INDIRECT("'T"&amp;$I45&amp;"'!$N$"&amp;($J45+5),TRUE)+((1000-ROW())/10000000000000))</f>
        <v>9.5500000000000006E-11</v>
      </c>
      <c r="N45" s="91">
        <f t="array" aca="1" ref="N45" ca="1">IF(OR(NOT(INDEX(ExistsTx,$I45,2)),$H45=0),0,INDIRECT("'T"&amp;$I45&amp;"'!$O$"&amp;($J45+5),TRUE)+((1000-ROW())/10000000000000))</f>
        <v>9.5500000000000006E-11</v>
      </c>
      <c r="O45" s="91">
        <f t="array" aca="1" ref="O45" ca="1">IF(OR(NOT(INDEX(ExistsTx,$I45,2)),$H45=0),0,INDIRECT("'T"&amp;$I45&amp;"'!$P$"&amp;($J45+5),TRUE)+((1000-ROW())/10000000000000))</f>
        <v>2.0000000000955001</v>
      </c>
      <c r="P45" s="91">
        <f t="array" aca="1" ref="P45" ca="1">IF(OR(NOT(INDEX(ExistsTx,$I45,2)),$H45=0),0,INDIRECT("'T"&amp;$I45&amp;"'!$Q$"&amp;($J45+5),TRUE)+((1000-ROW())/10000000000000))</f>
        <v>9.5500000000000006E-11</v>
      </c>
      <c r="Q45" s="91">
        <f t="shared" ca="1" si="6"/>
        <v>4.0000012290986442</v>
      </c>
      <c r="R45" s="2"/>
      <c r="S45" s="2"/>
      <c r="T45" s="34">
        <v>15</v>
      </c>
      <c r="U45" s="55" t="str">
        <f t="shared" ca="1" si="15"/>
        <v>Caitlyn Jenner</v>
      </c>
      <c r="V45" s="55" t="str">
        <f t="shared" ca="1" si="16"/>
        <v>Catcher</v>
      </c>
      <c r="W45" s="55" t="str">
        <f t="shared" ca="1" si="17"/>
        <v>Wrath of the Month</v>
      </c>
      <c r="X45" s="97">
        <f t="shared" ca="1" si="18"/>
        <v>1.0000000000938001</v>
      </c>
      <c r="Y45" s="98"/>
      <c r="Z45" s="34">
        <v>15</v>
      </c>
      <c r="AA45" s="55" t="str">
        <f t="shared" ca="1" si="19"/>
        <v/>
      </c>
      <c r="AB45" s="55" t="str">
        <f t="shared" ca="1" si="20"/>
        <v/>
      </c>
      <c r="AC45" s="55" t="str">
        <f t="shared" ca="1" si="21"/>
        <v/>
      </c>
      <c r="AD45" s="97" t="str">
        <f t="shared" ca="1" si="22"/>
        <v/>
      </c>
      <c r="AE45" s="2"/>
    </row>
    <row r="46" spans="1:31" ht="12.75" customHeight="1">
      <c r="A46" s="88">
        <f t="shared" ca="1" si="0"/>
        <v>13</v>
      </c>
      <c r="B46" s="88">
        <f t="shared" ca="1" si="1"/>
        <v>15</v>
      </c>
      <c r="C46" s="88" t="str">
        <f t="shared" ca="1" si="2"/>
        <v/>
      </c>
      <c r="D46" s="88">
        <f t="shared" ca="1" si="3"/>
        <v>18</v>
      </c>
      <c r="E46" s="88" t="str">
        <f t="shared" ca="1" si="4"/>
        <v/>
      </c>
      <c r="F46" s="88">
        <f t="shared" ca="1" si="5"/>
        <v>34</v>
      </c>
      <c r="G46" s="89" t="str">
        <f t="array" aca="1" ref="G46" ca="1">IF(INDEX(ExistsTx,$I46,2),IF(INDIRECT("'T"&amp;$I46&amp;"'!$D$"&amp;($J46+5),TRUE)=0,T_NoName,INDIRECT("'T"&amp;$I46&amp;"'!$D$"&amp;($J46+5),TRUE)),"")</f>
        <v>Marzi'zug</v>
      </c>
      <c r="H46" s="89" t="str">
        <f t="array" aca="1" ref="H46" ca="1">IF(INDEX(ExistsTx,$I46,2),INDIRECT("'T"&amp;$I46&amp;"'!$E$"&amp;($J46+5),TRUE),0)</f>
        <v>Blitzer</v>
      </c>
      <c r="I46" s="90">
        <v>3</v>
      </c>
      <c r="J46" s="90">
        <v>12</v>
      </c>
      <c r="K46" s="89" t="str">
        <f t="array" aca="1" ref="K46" ca="1">INDEX(ListTeams,$I46,1)</f>
        <v>Population: Orc</v>
      </c>
      <c r="L46" s="91">
        <f t="array" aca="1" ref="L46" ca="1">IF(OR(NOT(INDEX(ExistsTx,$I46,2)),$H46=0),0,INDIRECT("'T"&amp;$I46&amp;"'!$M$"&amp;($J46+5),TRUE)+((1000-ROW())/10000000000000))</f>
        <v>1.0000000000953999</v>
      </c>
      <c r="M46" s="91">
        <f t="array" aca="1" ref="M46" ca="1">IF(OR(NOT(INDEX(ExistsTx,$I46,2)),$H46=0),0,INDIRECT("'T"&amp;$I46&amp;"'!$N$"&amp;($J46+5),TRUE)+((1000-ROW())/10000000000000))</f>
        <v>1.0000000000953999</v>
      </c>
      <c r="N46" s="91">
        <f t="array" aca="1" ref="N46" ca="1">IF(OR(NOT(INDEX(ExistsTx,$I46,2)),$H46=0),0,INDIRECT("'T"&amp;$I46&amp;"'!$O$"&amp;($J46+5),TRUE)+((1000-ROW())/10000000000000))</f>
        <v>9.5400000000000001E-11</v>
      </c>
      <c r="O46" s="91">
        <f t="array" aca="1" ref="O46" ca="1">IF(OR(NOT(INDEX(ExistsTx,$I46,2)),$H46=0),0,INDIRECT("'T"&amp;$I46&amp;"'!$P$"&amp;($J46+5),TRUE)+((1000-ROW())/10000000000000))</f>
        <v>1.0000000000953999</v>
      </c>
      <c r="P46" s="91">
        <f t="array" aca="1" ref="P46" ca="1">IF(OR(NOT(INDEX(ExistsTx,$I46,2)),$H46=0),0,INDIRECT("'T"&amp;$I46&amp;"'!$Q$"&amp;($J46+5),TRUE)+((1000-ROW())/10000000000000))</f>
        <v>9.5400000000000001E-11</v>
      </c>
      <c r="Q46" s="91">
        <f t="shared" ca="1" si="6"/>
        <v>6.0000012278116293</v>
      </c>
      <c r="R46" s="2"/>
      <c r="S46" s="2"/>
      <c r="T46" s="34">
        <v>16</v>
      </c>
      <c r="U46" s="55" t="str">
        <f t="shared" ca="1" si="15"/>
        <v>Paula Cole</v>
      </c>
      <c r="V46" s="55" t="str">
        <f t="shared" ca="1" si="16"/>
        <v>Blitzer</v>
      </c>
      <c r="W46" s="55" t="str">
        <f t="shared" ca="1" si="17"/>
        <v>Wrath of the Month</v>
      </c>
      <c r="X46" s="97">
        <f t="shared" ca="1" si="18"/>
        <v>1.0000000000935001</v>
      </c>
      <c r="Y46" s="98"/>
      <c r="Z46" s="34">
        <v>16</v>
      </c>
      <c r="AA46" s="55" t="str">
        <f t="shared" ca="1" si="19"/>
        <v/>
      </c>
      <c r="AB46" s="55" t="str">
        <f t="shared" ca="1" si="20"/>
        <v/>
      </c>
      <c r="AC46" s="55" t="str">
        <f t="shared" ca="1" si="21"/>
        <v/>
      </c>
      <c r="AD46" s="97" t="str">
        <f t="shared" ca="1" si="22"/>
        <v/>
      </c>
      <c r="AE46" s="2"/>
    </row>
    <row r="47" spans="1:31" ht="12.75" customHeight="1">
      <c r="A47" s="88" t="str">
        <f t="shared" ca="1" si="0"/>
        <v/>
      </c>
      <c r="B47" s="88" t="str">
        <f t="shared" ca="1" si="1"/>
        <v/>
      </c>
      <c r="C47" s="88" t="str">
        <f t="shared" ca="1" si="2"/>
        <v/>
      </c>
      <c r="D47" s="88" t="str">
        <f t="shared" ca="1" si="3"/>
        <v/>
      </c>
      <c r="E47" s="88">
        <f t="shared" ca="1" si="4"/>
        <v>4</v>
      </c>
      <c r="F47" s="88">
        <f t="shared" ca="1" si="5"/>
        <v>12</v>
      </c>
      <c r="G47" s="89" t="str">
        <f t="array" aca="1" ref="G47" ca="1">IF(INDEX(ExistsTx,$I47,2),IF(INDIRECT("'T"&amp;$I47&amp;"'!$D$"&amp;($J47+5),TRUE)=0,T_NoName,INDIRECT("'T"&amp;$I47&amp;"'!$D$"&amp;($J47+5),TRUE)),"")</f>
        <v>Shark'zug</v>
      </c>
      <c r="H47" s="89" t="str">
        <f t="array" aca="1" ref="H47" ca="1">IF(INDEX(ExistsTx,$I47,2),INDIRECT("'T"&amp;$I47&amp;"'!$E$"&amp;($J47+5),TRUE),0)</f>
        <v>Black Orc Blocker</v>
      </c>
      <c r="I47" s="90">
        <v>3</v>
      </c>
      <c r="J47" s="90">
        <v>13</v>
      </c>
      <c r="K47" s="89" t="str">
        <f t="array" aca="1" ref="K47" ca="1">INDEX(ListTeams,$I47,1)</f>
        <v>Population: Orc</v>
      </c>
      <c r="L47" s="91">
        <f t="array" aca="1" ref="L47" ca="1">IF(OR(NOT(INDEX(ExistsTx,$I47,2)),$H47=0),0,INDIRECT("'T"&amp;$I47&amp;"'!$M$"&amp;($J47+5),TRUE)+((1000-ROW())/10000000000000))</f>
        <v>9.5299999999999997E-11</v>
      </c>
      <c r="M47" s="91">
        <f t="array" aca="1" ref="M47" ca="1">IF(OR(NOT(INDEX(ExistsTx,$I47,2)),$H47=0),0,INDIRECT("'T"&amp;$I47&amp;"'!$N$"&amp;($J47+5),TRUE)+((1000-ROW())/10000000000000))</f>
        <v>9.5299999999999997E-11</v>
      </c>
      <c r="N47" s="91">
        <f t="array" aca="1" ref="N47" ca="1">IF(OR(NOT(INDEX(ExistsTx,$I47,2)),$H47=0),0,INDIRECT("'T"&amp;$I47&amp;"'!$O$"&amp;($J47+5),TRUE)+((1000-ROW())/10000000000000))</f>
        <v>9.5299999999999997E-11</v>
      </c>
      <c r="O47" s="91">
        <f t="array" aca="1" ref="O47" ca="1">IF(OR(NOT(INDEX(ExistsTx,$I47,2)),$H47=0),0,INDIRECT("'T"&amp;$I47&amp;"'!$P$"&amp;($J47+5),TRUE)+((1000-ROW())/10000000000000))</f>
        <v>9.5299999999999997E-11</v>
      </c>
      <c r="P47" s="91">
        <f t="array" aca="1" ref="P47" ca="1">IF(OR(NOT(INDEX(ExistsTx,$I47,2)),$H47=0),0,INDIRECT("'T"&amp;$I47&amp;"'!$Q$"&amp;($J47+5),TRUE)+((1000-ROW())/10000000000000))</f>
        <v>2.0000000000953002</v>
      </c>
      <c r="Q47" s="91">
        <f t="shared" ca="1" si="6"/>
        <v>10.000001226524615</v>
      </c>
      <c r="R47" s="2"/>
      <c r="S47" s="2"/>
      <c r="T47" s="34">
        <v>17</v>
      </c>
      <c r="U47" s="55" t="str">
        <f t="shared" ca="1" si="15"/>
        <v>DT</v>
      </c>
      <c r="V47" s="55" t="str">
        <f t="shared" ca="1" si="16"/>
        <v>Blitzer</v>
      </c>
      <c r="W47" s="55" t="str">
        <f t="shared" ca="1" si="17"/>
        <v>OrCares</v>
      </c>
      <c r="X47" s="97">
        <f t="shared" ca="1" si="18"/>
        <v>1.0000000000928</v>
      </c>
      <c r="Y47" s="98"/>
      <c r="Z47" s="34">
        <v>17</v>
      </c>
      <c r="AA47" s="55" t="str">
        <f t="shared" ca="1" si="19"/>
        <v/>
      </c>
      <c r="AB47" s="55" t="str">
        <f t="shared" ca="1" si="20"/>
        <v/>
      </c>
      <c r="AC47" s="55" t="str">
        <f t="shared" ca="1" si="21"/>
        <v/>
      </c>
      <c r="AD47" s="97" t="str">
        <f t="shared" ca="1" si="22"/>
        <v/>
      </c>
      <c r="AE47" s="2"/>
    </row>
    <row r="48" spans="1:31" ht="12.75" customHeight="1">
      <c r="A48" s="88" t="str">
        <f t="shared" ca="1" si="0"/>
        <v/>
      </c>
      <c r="B48" s="88" t="str">
        <f t="shared" ca="1" si="1"/>
        <v/>
      </c>
      <c r="C48" s="88" t="str">
        <f t="shared" ca="1" si="2"/>
        <v/>
      </c>
      <c r="D48" s="88" t="str">
        <f t="shared" ca="1" si="3"/>
        <v/>
      </c>
      <c r="E48" s="88">
        <f t="shared" ca="1" si="4"/>
        <v>15</v>
      </c>
      <c r="F48" s="88">
        <f t="shared" ca="1" si="5"/>
        <v>43</v>
      </c>
      <c r="G48" s="89" t="str">
        <f t="array" aca="1" ref="G48" ca="1">IF(INDEX(ExistsTx,$I48,2),IF(INDIRECT("'T"&amp;$I48&amp;"'!$D$"&amp;($J48+5),TRUE)=0,T_NoName,INDIRECT("'T"&amp;$I48&amp;"'!$D$"&amp;($J48+5),TRUE)),"")</f>
        <v>Bub'zug</v>
      </c>
      <c r="H48" s="89" t="str">
        <f t="array" aca="1" ref="H48" ca="1">IF(INDEX(ExistsTx,$I48,2),INDIRECT("'T"&amp;$I48&amp;"'!$E$"&amp;($J48+5),TRUE),0)</f>
        <v>Black Orc Blocker</v>
      </c>
      <c r="I48" s="90">
        <v>3</v>
      </c>
      <c r="J48" s="90">
        <v>14</v>
      </c>
      <c r="K48" s="89" t="str">
        <f t="array" aca="1" ref="K48" ca="1">INDEX(ListTeams,$I48,1)</f>
        <v>Population: Orc</v>
      </c>
      <c r="L48" s="91">
        <f t="array" aca="1" ref="L48" ca="1">IF(OR(NOT(INDEX(ExistsTx,$I48,2)),$H48=0),0,INDIRECT("'T"&amp;$I48&amp;"'!$M$"&amp;($J48+5),TRUE)+((1000-ROW())/10000000000000))</f>
        <v>9.5200000000000005E-11</v>
      </c>
      <c r="M48" s="91">
        <f t="array" aca="1" ref="M48" ca="1">IF(OR(NOT(INDEX(ExistsTx,$I48,2)),$H48=0),0,INDIRECT("'T"&amp;$I48&amp;"'!$N$"&amp;($J48+5),TRUE)+((1000-ROW())/10000000000000))</f>
        <v>9.5200000000000005E-11</v>
      </c>
      <c r="N48" s="91">
        <f t="array" aca="1" ref="N48" ca="1">IF(OR(NOT(INDEX(ExistsTx,$I48,2)),$H48=0),0,INDIRECT("'T"&amp;$I48&amp;"'!$O$"&amp;($J48+5),TRUE)+((1000-ROW())/10000000000000))</f>
        <v>9.5200000000000005E-11</v>
      </c>
      <c r="O48" s="91">
        <f t="array" aca="1" ref="O48" ca="1">IF(OR(NOT(INDEX(ExistsTx,$I48,2)),$H48=0),0,INDIRECT("'T"&amp;$I48&amp;"'!$P$"&amp;($J48+5),TRUE)+((1000-ROW())/10000000000000))</f>
        <v>9.5200000000000005E-11</v>
      </c>
      <c r="P48" s="91">
        <f t="array" aca="1" ref="P48" ca="1">IF(OR(NOT(INDEX(ExistsTx,$I48,2)),$H48=0),0,INDIRECT("'T"&amp;$I48&amp;"'!$Q$"&amp;($J48+5),TRUE)+((1000-ROW())/10000000000000))</f>
        <v>1.0000000000952001</v>
      </c>
      <c r="Q48" s="91">
        <f t="shared" ca="1" si="6"/>
        <v>5.0000012252376012</v>
      </c>
      <c r="R48" s="2"/>
      <c r="S48" s="2"/>
      <c r="T48" s="34">
        <v>18</v>
      </c>
      <c r="U48" s="55" t="str">
        <f t="shared" ca="1" si="15"/>
        <v>Ptah</v>
      </c>
      <c r="V48" s="55" t="str">
        <f t="shared" ca="1" si="16"/>
        <v>Skink</v>
      </c>
      <c r="W48" s="55" t="str">
        <f t="shared" ca="1" si="17"/>
        <v>Guardians of the Nile</v>
      </c>
      <c r="X48" s="97">
        <f t="shared" ca="1" si="18"/>
        <v>1.0000000000906999</v>
      </c>
      <c r="Y48" s="98"/>
      <c r="Z48" s="34">
        <v>18</v>
      </c>
      <c r="AA48" s="55" t="str">
        <f t="shared" ca="1" si="19"/>
        <v/>
      </c>
      <c r="AB48" s="55" t="str">
        <f t="shared" ca="1" si="20"/>
        <v/>
      </c>
      <c r="AC48" s="55" t="str">
        <f t="shared" ca="1" si="21"/>
        <v/>
      </c>
      <c r="AD48" s="97" t="str">
        <f t="shared" ca="1" si="22"/>
        <v/>
      </c>
      <c r="AE48" s="2"/>
    </row>
    <row r="49" spans="1:31" ht="12.75" customHeight="1">
      <c r="A49" s="88" t="str">
        <f t="shared" ca="1" si="0"/>
        <v/>
      </c>
      <c r="B49" s="88" t="str">
        <f t="shared" ca="1" si="1"/>
        <v/>
      </c>
      <c r="C49" s="88" t="str">
        <f t="shared" ca="1" si="2"/>
        <v/>
      </c>
      <c r="D49" s="88">
        <f t="shared" ca="1" si="3"/>
        <v>19</v>
      </c>
      <c r="E49" s="88">
        <f t="shared" ca="1" si="4"/>
        <v>16</v>
      </c>
      <c r="F49" s="88">
        <f t="shared" ca="1" si="5"/>
        <v>24</v>
      </c>
      <c r="G49" s="89" t="str">
        <f t="array" aca="1" ref="G49" ca="1">IF(INDEX(ExistsTx,$I49,2),IF(INDIRECT("'T"&amp;$I49&amp;"'!$D$"&amp;($J49+5),TRUE)=0,T_NoName,INDIRECT("'T"&amp;$I49&amp;"'!$D$"&amp;($J49+5),TRUE)),"")</f>
        <v>Poop'zug</v>
      </c>
      <c r="H49" s="89" t="str">
        <f t="array" aca="1" ref="H49" ca="1">IF(INDEX(ExistsTx,$I49,2),INDIRECT("'T"&amp;$I49&amp;"'!$E$"&amp;($J49+5),TRUE),0)</f>
        <v>Black Orc Blocker</v>
      </c>
      <c r="I49" s="90">
        <v>3</v>
      </c>
      <c r="J49" s="90">
        <v>15</v>
      </c>
      <c r="K49" s="89" t="str">
        <f t="array" aca="1" ref="K49" ca="1">INDEX(ListTeams,$I49,1)</f>
        <v>Population: Orc</v>
      </c>
      <c r="L49" s="91">
        <f t="array" aca="1" ref="L49" ca="1">IF(OR(NOT(INDEX(ExistsTx,$I49,2)),$H49=0),0,INDIRECT("'T"&amp;$I49&amp;"'!$M$"&amp;($J49+5),TRUE)+((1000-ROW())/10000000000000))</f>
        <v>9.51E-11</v>
      </c>
      <c r="M49" s="91">
        <f t="array" aca="1" ref="M49" ca="1">IF(OR(NOT(INDEX(ExistsTx,$I49,2)),$H49=0),0,INDIRECT("'T"&amp;$I49&amp;"'!$N$"&amp;($J49+5),TRUE)+((1000-ROW())/10000000000000))</f>
        <v>9.51E-11</v>
      </c>
      <c r="N49" s="91">
        <f t="array" aca="1" ref="N49" ca="1">IF(OR(NOT(INDEX(ExistsTx,$I49,2)),$H49=0),0,INDIRECT("'T"&amp;$I49&amp;"'!$O$"&amp;($J49+5),TRUE)+((1000-ROW())/10000000000000))</f>
        <v>9.51E-11</v>
      </c>
      <c r="O49" s="91">
        <f t="array" aca="1" ref="O49" ca="1">IF(OR(NOT(INDEX(ExistsTx,$I49,2)),$H49=0),0,INDIRECT("'T"&amp;$I49&amp;"'!$P$"&amp;($J49+5),TRUE)+((1000-ROW())/10000000000000))</f>
        <v>1.0000000000950999</v>
      </c>
      <c r="P49" s="91">
        <f t="array" aca="1" ref="P49" ca="1">IF(OR(NOT(INDEX(ExistsTx,$I49,2)),$H49=0),0,INDIRECT("'T"&amp;$I49&amp;"'!$Q$"&amp;($J49+5),TRUE)+((1000-ROW())/10000000000000))</f>
        <v>1.0000000000950999</v>
      </c>
      <c r="Q49" s="91">
        <f t="shared" ca="1" si="6"/>
        <v>7.0000012239505871</v>
      </c>
      <c r="R49" s="2"/>
      <c r="S49" s="2"/>
      <c r="T49" s="34">
        <v>19</v>
      </c>
      <c r="U49" s="55" t="str">
        <f t="shared" ca="1" si="15"/>
        <v>Shroud Rainblade</v>
      </c>
      <c r="V49" s="55" t="str">
        <f t="shared" ca="1" si="16"/>
        <v>Lineman</v>
      </c>
      <c r="W49" s="55" t="str">
        <f t="shared" ca="1" si="17"/>
        <v>Skyhaven Silverfoxes</v>
      </c>
      <c r="X49" s="97">
        <f t="shared" ca="1" si="18"/>
        <v>1.0000000000896001</v>
      </c>
      <c r="Y49" s="98"/>
      <c r="Z49" s="34">
        <v>19</v>
      </c>
      <c r="AA49" s="55" t="str">
        <f t="shared" ca="1" si="19"/>
        <v/>
      </c>
      <c r="AB49" s="55" t="str">
        <f t="shared" ca="1" si="20"/>
        <v/>
      </c>
      <c r="AC49" s="55" t="str">
        <f t="shared" ca="1" si="21"/>
        <v/>
      </c>
      <c r="AD49" s="97" t="str">
        <f t="shared" ca="1" si="22"/>
        <v/>
      </c>
      <c r="AE49" s="2"/>
    </row>
    <row r="50" spans="1:31" ht="12.75" customHeight="1">
      <c r="A50" s="88" t="str">
        <f t="shared" ca="1" si="0"/>
        <v/>
      </c>
      <c r="B50" s="88" t="str">
        <f t="shared" ca="1" si="1"/>
        <v/>
      </c>
      <c r="C50" s="88" t="str">
        <f t="shared" ca="1" si="2"/>
        <v/>
      </c>
      <c r="D50" s="88">
        <f t="shared" ca="1" si="3"/>
        <v>2</v>
      </c>
      <c r="E50" s="88">
        <f t="shared" ca="1" si="4"/>
        <v>17</v>
      </c>
      <c r="F50" s="88">
        <f t="shared" ca="1" si="5"/>
        <v>10</v>
      </c>
      <c r="G50" s="89" t="str">
        <f t="array" aca="1" ref="G50" ca="1">IF(INDEX(ExistsTx,$I50,2),IF(INDIRECT("'T"&amp;$I50&amp;"'!$D$"&amp;($J50+5),TRUE)=0,T_NoName,INDIRECT("'T"&amp;$I50&amp;"'!$D$"&amp;($J50+5),TRUE)),"")</f>
        <v>Mad'zug</v>
      </c>
      <c r="H50" s="89" t="str">
        <f t="array" aca="1" ref="H50" ca="1">IF(INDEX(ExistsTx,$I50,2),INDIRECT("'T"&amp;$I50&amp;"'!$E$"&amp;($J50+5),TRUE),0)</f>
        <v>Black Orc Blocker</v>
      </c>
      <c r="I50" s="90">
        <v>3</v>
      </c>
      <c r="J50" s="90">
        <v>16</v>
      </c>
      <c r="K50" s="89" t="str">
        <f t="array" aca="1" ref="K50" ca="1">INDEX(ListTeams,$I50,1)</f>
        <v>Population: Orc</v>
      </c>
      <c r="L50" s="91">
        <f t="array" aca="1" ref="L50" ca="1">IF(OR(NOT(INDEX(ExistsTx,$I50,2)),$H50=0),0,INDIRECT("'T"&amp;$I50&amp;"'!$M$"&amp;($J50+5),TRUE)+((1000-ROW())/10000000000000))</f>
        <v>9.4999999999999995E-11</v>
      </c>
      <c r="M50" s="91">
        <f t="array" aca="1" ref="M50" ca="1">IF(OR(NOT(INDEX(ExistsTx,$I50,2)),$H50=0),0,INDIRECT("'T"&amp;$I50&amp;"'!$N$"&amp;($J50+5),TRUE)+((1000-ROW())/10000000000000))</f>
        <v>9.4999999999999995E-11</v>
      </c>
      <c r="N50" s="91">
        <f t="array" aca="1" ref="N50" ca="1">IF(OR(NOT(INDEX(ExistsTx,$I50,2)),$H50=0),0,INDIRECT("'T"&amp;$I50&amp;"'!$O$"&amp;($J50+5),TRUE)+((1000-ROW())/10000000000000))</f>
        <v>9.4999999999999995E-11</v>
      </c>
      <c r="O50" s="91">
        <f t="array" aca="1" ref="O50" ca="1">IF(OR(NOT(INDEX(ExistsTx,$I50,2)),$H50=0),0,INDIRECT("'T"&amp;$I50&amp;"'!$P$"&amp;($J50+5),TRUE)+((1000-ROW())/10000000000000))</f>
        <v>5.0000000000949996</v>
      </c>
      <c r="P50" s="91">
        <f t="array" aca="1" ref="P50" ca="1">IF(OR(NOT(INDEX(ExistsTx,$I50,2)),$H50=0),0,INDIRECT("'T"&amp;$I50&amp;"'!$Q$"&amp;($J50+5),TRUE)+((1000-ROW())/10000000000000))</f>
        <v>1.000000000095</v>
      </c>
      <c r="Q50" s="91">
        <f t="shared" ca="1" si="6"/>
        <v>15.00000122266357</v>
      </c>
      <c r="R50" s="2"/>
      <c r="S50" s="2"/>
      <c r="T50" s="34">
        <v>20</v>
      </c>
      <c r="U50" s="55" t="str">
        <f t="shared" ca="1" si="15"/>
        <v>Victor Trueheart</v>
      </c>
      <c r="V50" s="55" t="str">
        <f t="shared" ca="1" si="16"/>
        <v>Catcher</v>
      </c>
      <c r="W50" s="55" t="str">
        <f t="shared" ca="1" si="17"/>
        <v>Skyhaven Silverfoxes</v>
      </c>
      <c r="X50" s="97">
        <f t="shared" ca="1" si="18"/>
        <v>1.0000000000889</v>
      </c>
      <c r="Y50" s="98"/>
      <c r="Z50" s="34">
        <v>20</v>
      </c>
      <c r="AA50" s="55" t="str">
        <f t="shared" ca="1" si="19"/>
        <v/>
      </c>
      <c r="AB50" s="55" t="str">
        <f t="shared" ca="1" si="20"/>
        <v/>
      </c>
      <c r="AC50" s="55" t="str">
        <f t="shared" ca="1" si="21"/>
        <v/>
      </c>
      <c r="AD50" s="97" t="str">
        <f t="shared" ca="1" si="22"/>
        <v/>
      </c>
      <c r="AE50" s="2"/>
    </row>
    <row r="51" spans="1:31" ht="12.75" customHeight="1">
      <c r="A51" s="88" t="str">
        <f t="shared" ca="1" si="0"/>
        <v/>
      </c>
      <c r="B51" s="88" t="str">
        <f t="shared" ca="1" si="1"/>
        <v/>
      </c>
      <c r="C51" s="88" t="str">
        <f t="shared" ca="1" si="2"/>
        <v/>
      </c>
      <c r="D51" s="88" t="str">
        <f t="shared" ca="1" si="3"/>
        <v/>
      </c>
      <c r="E51" s="88" t="str">
        <f t="shared" ca="1" si="4"/>
        <v/>
      </c>
      <c r="F51" s="88" t="str">
        <f t="shared" ca="1" si="5"/>
        <v/>
      </c>
      <c r="G51" s="89" t="str">
        <f t="array" aca="1" ref="G51" ca="1">IF(INDEX(ExistsTx,$I51,2),IF(INDIRECT("'T"&amp;$I51&amp;"'!$D$"&amp;($J51+5),TRUE)=0,T_NoName,INDIRECT("'T"&amp;$I51&amp;"'!$D$"&amp;($J51+5),TRUE)),"")</f>
        <v>Tanya Harding</v>
      </c>
      <c r="H51" s="89" t="str">
        <f t="array" aca="1" ref="H51" ca="1">IF(INDEX(ExistsTx,$I51,2),INDIRECT("'T"&amp;$I51&amp;"'!$E$"&amp;($J51+5),TRUE),0)</f>
        <v>Linewoman</v>
      </c>
      <c r="I51" s="90">
        <v>4</v>
      </c>
      <c r="J51" s="90">
        <v>1</v>
      </c>
      <c r="K51" s="89" t="str">
        <f t="array" aca="1" ref="K51" ca="1">INDEX(ListTeams,$I51,1)</f>
        <v>Wrath of the Month</v>
      </c>
      <c r="L51" s="91">
        <f t="array" aca="1" ref="L51" ca="1">IF(OR(NOT(INDEX(ExistsTx,$I51,2)),$H51=0),0,INDIRECT("'T"&amp;$I51&amp;"'!$M$"&amp;($J51+5),TRUE)+((1000-ROW())/10000000000000))</f>
        <v>9.4900000000000003E-11</v>
      </c>
      <c r="M51" s="91">
        <f t="array" aca="1" ref="M51" ca="1">IF(OR(NOT(INDEX(ExistsTx,$I51,2)),$H51=0),0,INDIRECT("'T"&amp;$I51&amp;"'!$N$"&amp;($J51+5),TRUE)+((1000-ROW())/10000000000000))</f>
        <v>9.4900000000000003E-11</v>
      </c>
      <c r="N51" s="91">
        <f t="array" aca="1" ref="N51" ca="1">IF(OR(NOT(INDEX(ExistsTx,$I51,2)),$H51=0),0,INDIRECT("'T"&amp;$I51&amp;"'!$O$"&amp;($J51+5),TRUE)+((1000-ROW())/10000000000000))</f>
        <v>9.4900000000000003E-11</v>
      </c>
      <c r="O51" s="91">
        <f t="array" aca="1" ref="O51" ca="1">IF(OR(NOT(INDEX(ExistsTx,$I51,2)),$H51=0),0,INDIRECT("'T"&amp;$I51&amp;"'!$P$"&amp;($J51+5),TRUE)+((1000-ROW())/10000000000000))</f>
        <v>9.4900000000000003E-11</v>
      </c>
      <c r="P51" s="91">
        <f t="array" aca="1" ref="P51" ca="1">IF(OR(NOT(INDEX(ExistsTx,$I51,2)),$H51=0),0,INDIRECT("'T"&amp;$I51&amp;"'!$Q$"&amp;($J51+5),TRUE)+((1000-ROW())/10000000000000))</f>
        <v>9.4900000000000003E-11</v>
      </c>
      <c r="Q51" s="91">
        <f t="shared" ca="1" si="6"/>
        <v>1.2213765583629999E-6</v>
      </c>
      <c r="R51" s="2"/>
      <c r="S51" s="2"/>
      <c r="T51" s="34">
        <v>21</v>
      </c>
      <c r="U51" s="55" t="str">
        <f t="shared" ca="1" si="15"/>
        <v>Strife Dreamkiller</v>
      </c>
      <c r="V51" s="55" t="str">
        <f t="shared" ca="1" si="16"/>
        <v>Blitzer</v>
      </c>
      <c r="W51" s="55" t="str">
        <f t="shared" ca="1" si="17"/>
        <v>Skyhaven Silverfoxes</v>
      </c>
      <c r="X51" s="97">
        <f t="shared" ca="1" si="18"/>
        <v>1.0000000000886</v>
      </c>
      <c r="Y51" s="98"/>
      <c r="Z51" s="34">
        <v>21</v>
      </c>
      <c r="AA51" s="55" t="str">
        <f t="shared" ca="1" si="19"/>
        <v/>
      </c>
      <c r="AB51" s="55" t="str">
        <f t="shared" ca="1" si="20"/>
        <v/>
      </c>
      <c r="AC51" s="55" t="str">
        <f t="shared" ca="1" si="21"/>
        <v/>
      </c>
      <c r="AD51" s="97" t="str">
        <f t="shared" ca="1" si="22"/>
        <v/>
      </c>
      <c r="AE51" s="2"/>
    </row>
    <row r="52" spans="1:31" ht="12.75" customHeight="1">
      <c r="A52" s="88" t="str">
        <f t="shared" ca="1" si="0"/>
        <v/>
      </c>
      <c r="B52" s="88" t="str">
        <f t="shared" ca="1" si="1"/>
        <v/>
      </c>
      <c r="C52" s="88" t="str">
        <f t="shared" ca="1" si="2"/>
        <v/>
      </c>
      <c r="D52" s="88">
        <f t="shared" ca="1" si="3"/>
        <v>20</v>
      </c>
      <c r="E52" s="88" t="str">
        <f t="shared" ca="1" si="4"/>
        <v/>
      </c>
      <c r="F52" s="88">
        <f t="shared" ca="1" si="5"/>
        <v>54</v>
      </c>
      <c r="G52" s="89" t="str">
        <f t="array" aca="1" ref="G52" ca="1">IF(INDEX(ExistsTx,$I52,2),IF(INDIRECT("'T"&amp;$I52&amp;"'!$D$"&amp;($J52+5),TRUE)=0,T_NoName,INDIRECT("'T"&amp;$I52&amp;"'!$D$"&amp;($J52+5),TRUE)),"")</f>
        <v>Paula Abdul</v>
      </c>
      <c r="H52" s="89" t="str">
        <f t="array" aca="1" ref="H52" ca="1">IF(INDEX(ExistsTx,$I52,2),INDIRECT("'T"&amp;$I52&amp;"'!$E$"&amp;($J52+5),TRUE),0)</f>
        <v>Linewoman</v>
      </c>
      <c r="I52" s="90">
        <v>4</v>
      </c>
      <c r="J52" s="90">
        <v>2</v>
      </c>
      <c r="K52" s="89" t="str">
        <f t="array" aca="1" ref="K52" ca="1">INDEX(ListTeams,$I52,1)</f>
        <v>Wrath of the Month</v>
      </c>
      <c r="L52" s="91">
        <f t="array" aca="1" ref="L52" ca="1">IF(OR(NOT(INDEX(ExistsTx,$I52,2)),$H52=0),0,INDIRECT("'T"&amp;$I52&amp;"'!$M$"&amp;($J52+5),TRUE)+((1000-ROW())/10000000000000))</f>
        <v>9.4799999999999998E-11</v>
      </c>
      <c r="M52" s="91">
        <f t="array" aca="1" ref="M52" ca="1">IF(OR(NOT(INDEX(ExistsTx,$I52,2)),$H52=0),0,INDIRECT("'T"&amp;$I52&amp;"'!$N$"&amp;($J52+5),TRUE)+((1000-ROW())/10000000000000))</f>
        <v>9.4799999999999998E-11</v>
      </c>
      <c r="N52" s="91">
        <f t="array" aca="1" ref="N52" ca="1">IF(OR(NOT(INDEX(ExistsTx,$I52,2)),$H52=0),0,INDIRECT("'T"&amp;$I52&amp;"'!$O$"&amp;($J52+5),TRUE)+((1000-ROW())/10000000000000))</f>
        <v>9.4799999999999998E-11</v>
      </c>
      <c r="O52" s="91">
        <f t="array" aca="1" ref="O52" ca="1">IF(OR(NOT(INDEX(ExistsTx,$I52,2)),$H52=0),0,INDIRECT("'T"&amp;$I52&amp;"'!$P$"&amp;($J52+5),TRUE)+((1000-ROW())/10000000000000))</f>
        <v>1.0000000000947999</v>
      </c>
      <c r="P52" s="91">
        <f t="array" aca="1" ref="P52" ca="1">IF(OR(NOT(INDEX(ExistsTx,$I52,2)),$H52=0),0,INDIRECT("'T"&amp;$I52&amp;"'!$Q$"&amp;($J52+5),TRUE)+((1000-ROW())/10000000000000))</f>
        <v>9.4799999999999998E-11</v>
      </c>
      <c r="Q52" s="91">
        <f t="shared" ca="1" si="6"/>
        <v>2.0000012200895441</v>
      </c>
      <c r="R52" s="2"/>
      <c r="S52" s="2"/>
      <c r="T52" s="34">
        <v>22</v>
      </c>
      <c r="U52" s="55" t="str">
        <f t="shared" ca="1" si="15"/>
        <v>Pol Pock</v>
      </c>
      <c r="V52" s="55" t="str">
        <f t="shared" ca="1" si="16"/>
        <v>Ghoul</v>
      </c>
      <c r="W52" s="55" t="str">
        <f t="shared" ca="1" si="17"/>
        <v>Ashtown Villains</v>
      </c>
      <c r="X52" s="97">
        <f t="shared" ca="1" si="18"/>
        <v>1.0000000000878999</v>
      </c>
      <c r="Y52" s="98"/>
      <c r="Z52" s="34">
        <v>22</v>
      </c>
      <c r="AA52" s="55" t="str">
        <f t="shared" ca="1" si="19"/>
        <v/>
      </c>
      <c r="AB52" s="55" t="str">
        <f t="shared" ca="1" si="20"/>
        <v/>
      </c>
      <c r="AC52" s="55" t="str">
        <f t="shared" ca="1" si="21"/>
        <v/>
      </c>
      <c r="AD52" s="97" t="str">
        <f t="shared" ca="1" si="22"/>
        <v/>
      </c>
      <c r="AE52" s="2"/>
    </row>
    <row r="53" spans="1:31" ht="12.75" customHeight="1">
      <c r="A53" s="88" t="str">
        <f t="shared" ca="1" si="0"/>
        <v/>
      </c>
      <c r="B53" s="88" t="str">
        <f t="shared" ca="1" si="1"/>
        <v/>
      </c>
      <c r="C53" s="88" t="str">
        <f t="shared" ca="1" si="2"/>
        <v/>
      </c>
      <c r="D53" s="88" t="str">
        <f t="shared" ca="1" si="3"/>
        <v/>
      </c>
      <c r="E53" s="88" t="str">
        <f t="shared" ca="1" si="4"/>
        <v/>
      </c>
      <c r="F53" s="88" t="str">
        <f t="shared" ca="1" si="5"/>
        <v/>
      </c>
      <c r="G53" s="89" t="str">
        <f t="array" aca="1" ref="G53" ca="1">IF(INDEX(ExistsTx,$I53,2),IF(INDIRECT("'T"&amp;$I53&amp;"'!$D$"&amp;($J53+5),TRUE)=0,T_NoName,INDIRECT("'T"&amp;$I53&amp;"'!$D$"&amp;($J53+5),TRUE)),"")</f>
        <v>Snooki</v>
      </c>
      <c r="H53" s="89" t="str">
        <f t="array" aca="1" ref="H53" ca="1">IF(INDEX(ExistsTx,$I53,2),INDIRECT("'T"&amp;$I53&amp;"'!$E$"&amp;($J53+5),TRUE),0)</f>
        <v>Linewoman</v>
      </c>
      <c r="I53" s="90">
        <v>4</v>
      </c>
      <c r="J53" s="90">
        <v>3</v>
      </c>
      <c r="K53" s="89" t="str">
        <f t="array" aca="1" ref="K53" ca="1">INDEX(ListTeams,$I53,1)</f>
        <v>Wrath of the Month</v>
      </c>
      <c r="L53" s="91">
        <f t="array" aca="1" ref="L53" ca="1">IF(OR(NOT(INDEX(ExistsTx,$I53,2)),$H53=0),0,INDIRECT("'T"&amp;$I53&amp;"'!$M$"&amp;($J53+5),TRUE)+((1000-ROW())/10000000000000))</f>
        <v>9.4700000000000006E-11</v>
      </c>
      <c r="M53" s="91">
        <f t="array" aca="1" ref="M53" ca="1">IF(OR(NOT(INDEX(ExistsTx,$I53,2)),$H53=0),0,INDIRECT("'T"&amp;$I53&amp;"'!$N$"&amp;($J53+5),TRUE)+((1000-ROW())/10000000000000))</f>
        <v>9.4700000000000006E-11</v>
      </c>
      <c r="N53" s="91">
        <f t="array" aca="1" ref="N53" ca="1">IF(OR(NOT(INDEX(ExistsTx,$I53,2)),$H53=0),0,INDIRECT("'T"&amp;$I53&amp;"'!$O$"&amp;($J53+5),TRUE)+((1000-ROW())/10000000000000))</f>
        <v>9.4700000000000006E-11</v>
      </c>
      <c r="O53" s="91">
        <f t="array" aca="1" ref="O53" ca="1">IF(OR(NOT(INDEX(ExistsTx,$I53,2)),$H53=0),0,INDIRECT("'T"&amp;$I53&amp;"'!$P$"&amp;($J53+5),TRUE)+((1000-ROW())/10000000000000))</f>
        <v>9.4700000000000006E-11</v>
      </c>
      <c r="P53" s="91">
        <f t="array" aca="1" ref="P53" ca="1">IF(OR(NOT(INDEX(ExistsTx,$I53,2)),$H53=0),0,INDIRECT("'T"&amp;$I53&amp;"'!$Q$"&amp;($J53+5),TRUE)+((1000-ROW())/10000000000000))</f>
        <v>9.4700000000000006E-11</v>
      </c>
      <c r="Q53" s="91">
        <f t="shared" ca="1" si="6"/>
        <v>1.218802529789E-6</v>
      </c>
      <c r="R53" s="2"/>
      <c r="S53" s="2"/>
      <c r="T53" s="34">
        <v>23</v>
      </c>
      <c r="U53" s="55" t="str">
        <f t="shared" ca="1" si="15"/>
        <v/>
      </c>
      <c r="V53" s="55" t="str">
        <f t="shared" ca="1" si="16"/>
        <v/>
      </c>
      <c r="W53" s="55" t="str">
        <f t="shared" ca="1" si="17"/>
        <v/>
      </c>
      <c r="X53" s="97" t="str">
        <f t="shared" ca="1" si="18"/>
        <v/>
      </c>
      <c r="Y53" s="98"/>
      <c r="Z53" s="34">
        <v>23</v>
      </c>
      <c r="AA53" s="55" t="str">
        <f t="shared" ca="1" si="19"/>
        <v/>
      </c>
      <c r="AB53" s="55" t="str">
        <f t="shared" ca="1" si="20"/>
        <v/>
      </c>
      <c r="AC53" s="55" t="str">
        <f t="shared" ca="1" si="21"/>
        <v/>
      </c>
      <c r="AD53" s="97" t="str">
        <f t="shared" ca="1" si="22"/>
        <v/>
      </c>
      <c r="AE53" s="2"/>
    </row>
    <row r="54" spans="1:31" ht="12.75" customHeight="1">
      <c r="A54" s="88" t="str">
        <f t="shared" ca="1" si="0"/>
        <v/>
      </c>
      <c r="B54" s="88" t="str">
        <f t="shared" ca="1" si="1"/>
        <v/>
      </c>
      <c r="C54" s="88" t="str">
        <f t="shared" ca="1" si="2"/>
        <v/>
      </c>
      <c r="D54" s="88" t="str">
        <f t="shared" ca="1" si="3"/>
        <v/>
      </c>
      <c r="E54" s="88" t="str">
        <f t="shared" ca="1" si="4"/>
        <v/>
      </c>
      <c r="F54" s="88" t="str">
        <f t="shared" ca="1" si="5"/>
        <v/>
      </c>
      <c r="G54" s="89" t="str">
        <f t="array" aca="1" ref="G54" ca="1">IF(INDEX(ExistsTx,$I54,2),IF(INDIRECT("'T"&amp;$I54&amp;"'!$D$"&amp;($J54+5),TRUE)=0,T_NoName,INDIRECT("'T"&amp;$I54&amp;"'!$D$"&amp;($J54+5),TRUE)),"")</f>
        <v>Carla</v>
      </c>
      <c r="H54" s="89" t="str">
        <f t="array" aca="1" ref="H54" ca="1">IF(INDEX(ExistsTx,$I54,2),INDIRECT("'T"&amp;$I54&amp;"'!$E$"&amp;($J54+5),TRUE),0)</f>
        <v>Linewoman</v>
      </c>
      <c r="I54" s="90">
        <v>4</v>
      </c>
      <c r="J54" s="90">
        <v>4</v>
      </c>
      <c r="K54" s="89" t="str">
        <f t="array" aca="1" ref="K54" ca="1">INDEX(ListTeams,$I54,1)</f>
        <v>Wrath of the Month</v>
      </c>
      <c r="L54" s="91">
        <f t="array" aca="1" ref="L54" ca="1">IF(OR(NOT(INDEX(ExistsTx,$I54,2)),$H54=0),0,INDIRECT("'T"&amp;$I54&amp;"'!$M$"&amp;($J54+5),TRUE)+((1000-ROW())/10000000000000))</f>
        <v>9.4600000000000002E-11</v>
      </c>
      <c r="M54" s="91">
        <f t="array" aca="1" ref="M54" ca="1">IF(OR(NOT(INDEX(ExistsTx,$I54,2)),$H54=0),0,INDIRECT("'T"&amp;$I54&amp;"'!$N$"&amp;($J54+5),TRUE)+((1000-ROW())/10000000000000))</f>
        <v>9.4600000000000002E-11</v>
      </c>
      <c r="N54" s="91">
        <f t="array" aca="1" ref="N54" ca="1">IF(OR(NOT(INDEX(ExistsTx,$I54,2)),$H54=0),0,INDIRECT("'T"&amp;$I54&amp;"'!$O$"&amp;($J54+5),TRUE)+((1000-ROW())/10000000000000))</f>
        <v>9.4600000000000002E-11</v>
      </c>
      <c r="O54" s="91">
        <f t="array" aca="1" ref="O54" ca="1">IF(OR(NOT(INDEX(ExistsTx,$I54,2)),$H54=0),0,INDIRECT("'T"&amp;$I54&amp;"'!$P$"&amp;($J54+5),TRUE)+((1000-ROW())/10000000000000))</f>
        <v>9.4600000000000002E-11</v>
      </c>
      <c r="P54" s="91">
        <f t="array" aca="1" ref="P54" ca="1">IF(OR(NOT(INDEX(ExistsTx,$I54,2)),$H54=0),0,INDIRECT("'T"&amp;$I54&amp;"'!$Q$"&amp;($J54+5),TRUE)+((1000-ROW())/10000000000000))</f>
        <v>9.4600000000000002E-11</v>
      </c>
      <c r="Q54" s="91">
        <f t="shared" ca="1" si="6"/>
        <v>1.2175155155020001E-6</v>
      </c>
      <c r="R54" s="2"/>
      <c r="S54" s="2"/>
      <c r="T54" s="34">
        <v>24</v>
      </c>
      <c r="U54" s="55" t="str">
        <f t="shared" ca="1" si="15"/>
        <v/>
      </c>
      <c r="V54" s="55" t="str">
        <f t="shared" ca="1" si="16"/>
        <v/>
      </c>
      <c r="W54" s="55" t="str">
        <f t="shared" ca="1" si="17"/>
        <v/>
      </c>
      <c r="X54" s="97" t="str">
        <f t="shared" ca="1" si="18"/>
        <v/>
      </c>
      <c r="Y54" s="98"/>
      <c r="Z54" s="34">
        <v>24</v>
      </c>
      <c r="AA54" s="55" t="str">
        <f t="shared" ca="1" si="19"/>
        <v/>
      </c>
      <c r="AB54" s="55" t="str">
        <f t="shared" ca="1" si="20"/>
        <v/>
      </c>
      <c r="AC54" s="55" t="str">
        <f t="shared" ca="1" si="21"/>
        <v/>
      </c>
      <c r="AD54" s="97" t="str">
        <f t="shared" ca="1" si="22"/>
        <v/>
      </c>
      <c r="AE54" s="2"/>
    </row>
    <row r="55" spans="1:31" ht="13.5" customHeight="1">
      <c r="A55" s="88" t="str">
        <f t="shared" ca="1" si="0"/>
        <v/>
      </c>
      <c r="B55" s="88" t="str">
        <f t="shared" ca="1" si="1"/>
        <v/>
      </c>
      <c r="C55" s="88" t="str">
        <f t="shared" ca="1" si="2"/>
        <v/>
      </c>
      <c r="D55" s="88" t="str">
        <f t="shared" ca="1" si="3"/>
        <v/>
      </c>
      <c r="E55" s="88" t="str">
        <f t="shared" ca="1" si="4"/>
        <v/>
      </c>
      <c r="F55" s="88" t="str">
        <f t="shared" ca="1" si="5"/>
        <v/>
      </c>
      <c r="G55" s="89" t="str">
        <f t="array" aca="1" ref="G55" ca="1">IF(INDEX(ExistsTx,$I55,2),IF(INDIRECT("'T"&amp;$I55&amp;"'!$D$"&amp;($J55+5),TRUE)=0,T_NoName,INDIRECT("'T"&amp;$I55&amp;"'!$D$"&amp;($J55+5),TRUE)),"")</f>
        <v>Nameless</v>
      </c>
      <c r="H55" s="89">
        <f t="array" aca="1" ref="H55" ca="1">IF(INDEX(ExistsTx,$I55,2),INDIRECT("'T"&amp;$I55&amp;"'!$E$"&amp;($J55+5),TRUE),0)</f>
        <v>0</v>
      </c>
      <c r="I55" s="90">
        <v>4</v>
      </c>
      <c r="J55" s="90">
        <v>5</v>
      </c>
      <c r="K55" s="89" t="str">
        <f t="array" aca="1" ref="K55" ca="1">INDEX(ListTeams,$I55,1)</f>
        <v>Wrath of the Month</v>
      </c>
      <c r="L55" s="91">
        <f t="array" aca="1" ref="L55" ca="1">IF(OR(NOT(INDEX(ExistsTx,$I55,2)),$H55=0),0,INDIRECT("'T"&amp;$I55&amp;"'!$M$"&amp;($J55+5),TRUE)+((1000-ROW())/10000000000000))</f>
        <v>0</v>
      </c>
      <c r="M55" s="91">
        <f t="array" aca="1" ref="M55" ca="1">IF(OR(NOT(INDEX(ExistsTx,$I55,2)),$H55=0),0,INDIRECT("'T"&amp;$I55&amp;"'!$N$"&amp;($J55+5),TRUE)+((1000-ROW())/10000000000000))</f>
        <v>0</v>
      </c>
      <c r="N55" s="91">
        <f t="array" aca="1" ref="N55" ca="1">IF(OR(NOT(INDEX(ExistsTx,$I55,2)),$H55=0),0,INDIRECT("'T"&amp;$I55&amp;"'!$O$"&amp;($J55+5),TRUE)+((1000-ROW())/10000000000000))</f>
        <v>0</v>
      </c>
      <c r="O55" s="91">
        <f t="array" aca="1" ref="O55" ca="1">IF(OR(NOT(INDEX(ExistsTx,$I55,2)),$H55=0),0,INDIRECT("'T"&amp;$I55&amp;"'!$P$"&amp;($J55+5),TRUE)+((1000-ROW())/10000000000000))</f>
        <v>0</v>
      </c>
      <c r="P55" s="91">
        <f t="array" aca="1" ref="P55" ca="1">IF(OR(NOT(INDEX(ExistsTx,$I55,2)),$H55=0),0,INDIRECT("'T"&amp;$I55&amp;"'!$Q$"&amp;($J55+5),TRUE)+((1000-ROW())/10000000000000))</f>
        <v>0</v>
      </c>
      <c r="Q55" s="91">
        <f t="shared" ca="1" si="6"/>
        <v>1.215000001215E-6</v>
      </c>
      <c r="R55" s="2"/>
      <c r="S55" s="2"/>
      <c r="T55" s="83">
        <v>25</v>
      </c>
      <c r="U55" s="165" t="str">
        <f t="shared" ca="1" si="15"/>
        <v/>
      </c>
      <c r="V55" s="165" t="str">
        <f t="shared" ca="1" si="16"/>
        <v/>
      </c>
      <c r="W55" s="165" t="str">
        <f t="shared" ca="1" si="17"/>
        <v/>
      </c>
      <c r="X55" s="166" t="str">
        <f t="shared" ca="1" si="18"/>
        <v/>
      </c>
      <c r="Y55" s="98"/>
      <c r="Z55" s="83">
        <v>25</v>
      </c>
      <c r="AA55" s="165" t="str">
        <f t="shared" ca="1" si="19"/>
        <v/>
      </c>
      <c r="AB55" s="165" t="str">
        <f t="shared" ca="1" si="20"/>
        <v/>
      </c>
      <c r="AC55" s="165" t="str">
        <f t="shared" ca="1" si="21"/>
        <v/>
      </c>
      <c r="AD55" s="166" t="str">
        <f t="shared" ca="1" si="22"/>
        <v/>
      </c>
      <c r="AE55" s="2"/>
    </row>
    <row r="56" spans="1:31" ht="13.5" customHeight="1">
      <c r="A56" s="88" t="str">
        <f t="shared" ca="1" si="0"/>
        <v/>
      </c>
      <c r="B56" s="88" t="str">
        <f t="shared" ca="1" si="1"/>
        <v/>
      </c>
      <c r="C56" s="88" t="str">
        <f t="shared" ca="1" si="2"/>
        <v/>
      </c>
      <c r="D56" s="88" t="str">
        <f t="shared" ca="1" si="3"/>
        <v/>
      </c>
      <c r="E56" s="88" t="str">
        <f t="shared" ca="1" si="4"/>
        <v/>
      </c>
      <c r="F56" s="88" t="str">
        <f t="shared" ca="1" si="5"/>
        <v/>
      </c>
      <c r="G56" s="89" t="str">
        <f t="array" aca="1" ref="G56" ca="1">IF(INDEX(ExistsTx,$I56,2),IF(INDIRECT("'T"&amp;$I56&amp;"'!$D$"&amp;($J56+5),TRUE)=0,T_NoName,INDIRECT("'T"&amp;$I56&amp;"'!$D$"&amp;($J56+5),TRUE)),"")</f>
        <v>Nameless</v>
      </c>
      <c r="H56" s="89">
        <f t="array" aca="1" ref="H56" ca="1">IF(INDEX(ExistsTx,$I56,2),INDIRECT("'T"&amp;$I56&amp;"'!$E$"&amp;($J56+5),TRUE),0)</f>
        <v>0</v>
      </c>
      <c r="I56" s="90">
        <v>4</v>
      </c>
      <c r="J56" s="90">
        <v>6</v>
      </c>
      <c r="K56" s="89" t="str">
        <f t="array" aca="1" ref="K56" ca="1">INDEX(ListTeams,$I56,1)</f>
        <v>Wrath of the Month</v>
      </c>
      <c r="L56" s="91">
        <f t="array" aca="1" ref="L56" ca="1">IF(OR(NOT(INDEX(ExistsTx,$I56,2)),$H56=0),0,INDIRECT("'T"&amp;$I56&amp;"'!$M$"&amp;($J56+5),TRUE)+((1000-ROW())/10000000000000))</f>
        <v>0</v>
      </c>
      <c r="M56" s="91">
        <f t="array" aca="1" ref="M56" ca="1">IF(OR(NOT(INDEX(ExistsTx,$I56,2)),$H56=0),0,INDIRECT("'T"&amp;$I56&amp;"'!$N$"&amp;($J56+5),TRUE)+((1000-ROW())/10000000000000))</f>
        <v>0</v>
      </c>
      <c r="N56" s="91">
        <f t="array" aca="1" ref="N56" ca="1">IF(OR(NOT(INDEX(ExistsTx,$I56,2)),$H56=0),0,INDIRECT("'T"&amp;$I56&amp;"'!$O$"&amp;($J56+5),TRUE)+((1000-ROW())/10000000000000))</f>
        <v>0</v>
      </c>
      <c r="O56" s="91">
        <f t="array" aca="1" ref="O56" ca="1">IF(OR(NOT(INDEX(ExistsTx,$I56,2)),$H56=0),0,INDIRECT("'T"&amp;$I56&amp;"'!$P$"&amp;($J56+5),TRUE)+((1000-ROW())/10000000000000))</f>
        <v>0</v>
      </c>
      <c r="P56" s="91">
        <f t="array" aca="1" ref="P56" ca="1">IF(OR(NOT(INDEX(ExistsTx,$I56,2)),$H56=0),0,INDIRECT("'T"&amp;$I56&amp;"'!$Q$"&amp;($J56+5),TRUE)+((1000-ROW())/10000000000000))</f>
        <v>0</v>
      </c>
      <c r="Q56" s="91">
        <f t="shared" ca="1" si="6"/>
        <v>1.213714286928E-6</v>
      </c>
      <c r="R56" s="2"/>
      <c r="S56" s="2"/>
      <c r="T56" s="2"/>
      <c r="U56" s="2"/>
      <c r="V56" s="2"/>
      <c r="W56" s="2"/>
      <c r="X56" s="4"/>
      <c r="Y56" s="4"/>
      <c r="Z56" s="4"/>
      <c r="AA56" s="2"/>
      <c r="AB56" s="2"/>
      <c r="AC56" s="2"/>
      <c r="AD56" s="4"/>
      <c r="AE56" s="2"/>
    </row>
    <row r="57" spans="1:31" ht="13.5" customHeight="1">
      <c r="A57" s="88" t="str">
        <f t="shared" ca="1" si="0"/>
        <v/>
      </c>
      <c r="B57" s="88" t="str">
        <f t="shared" ca="1" si="1"/>
        <v/>
      </c>
      <c r="C57" s="88" t="str">
        <f t="shared" ca="1" si="2"/>
        <v/>
      </c>
      <c r="D57" s="88" t="str">
        <f t="shared" ca="1" si="3"/>
        <v/>
      </c>
      <c r="E57" s="88" t="str">
        <f t="shared" ca="1" si="4"/>
        <v/>
      </c>
      <c r="F57" s="88" t="str">
        <f t="shared" ca="1" si="5"/>
        <v/>
      </c>
      <c r="G57" s="89" t="str">
        <f t="array" aca="1" ref="G57" ca="1">IF(INDEX(ExistsTx,$I57,2),IF(INDIRECT("'T"&amp;$I57&amp;"'!$D$"&amp;($J57+5),TRUE)=0,T_NoName,INDIRECT("'T"&amp;$I57&amp;"'!$D$"&amp;($J57+5),TRUE)),"")</f>
        <v>Nameless</v>
      </c>
      <c r="H57" s="89">
        <f t="array" aca="1" ref="H57" ca="1">IF(INDEX(ExistsTx,$I57,2),INDIRECT("'T"&amp;$I57&amp;"'!$E$"&amp;($J57+5),TRUE),0)</f>
        <v>0</v>
      </c>
      <c r="I57" s="90">
        <v>4</v>
      </c>
      <c r="J57" s="90">
        <v>7</v>
      </c>
      <c r="K57" s="89" t="str">
        <f t="array" aca="1" ref="K57" ca="1">INDEX(ListTeams,$I57,1)</f>
        <v>Wrath of the Month</v>
      </c>
      <c r="L57" s="91">
        <f t="array" aca="1" ref="L57" ca="1">IF(OR(NOT(INDEX(ExistsTx,$I57,2)),$H57=0),0,INDIRECT("'T"&amp;$I57&amp;"'!$M$"&amp;($J57+5),TRUE)+((1000-ROW())/10000000000000))</f>
        <v>0</v>
      </c>
      <c r="M57" s="91">
        <f t="array" aca="1" ref="M57" ca="1">IF(OR(NOT(INDEX(ExistsTx,$I57,2)),$H57=0),0,INDIRECT("'T"&amp;$I57&amp;"'!$N$"&amp;($J57+5),TRUE)+((1000-ROW())/10000000000000))</f>
        <v>0</v>
      </c>
      <c r="N57" s="91">
        <f t="array" aca="1" ref="N57" ca="1">IF(OR(NOT(INDEX(ExistsTx,$I57,2)),$H57=0),0,INDIRECT("'T"&amp;$I57&amp;"'!$O$"&amp;($J57+5),TRUE)+((1000-ROW())/10000000000000))</f>
        <v>0</v>
      </c>
      <c r="O57" s="91">
        <f t="array" aca="1" ref="O57" ca="1">IF(OR(NOT(INDEX(ExistsTx,$I57,2)),$H57=0),0,INDIRECT("'T"&amp;$I57&amp;"'!$P$"&amp;($J57+5),TRUE)+((1000-ROW())/10000000000000))</f>
        <v>0</v>
      </c>
      <c r="P57" s="91">
        <f t="array" aca="1" ref="P57" ca="1">IF(OR(NOT(INDEX(ExistsTx,$I57,2)),$H57=0),0,INDIRECT("'T"&amp;$I57&amp;"'!$Q$"&amp;($J57+5),TRUE)+((1000-ROW())/10000000000000))</f>
        <v>0</v>
      </c>
      <c r="Q57" s="91">
        <f t="shared" ca="1" si="6"/>
        <v>1.2124285726409999E-6</v>
      </c>
      <c r="R57" s="2"/>
      <c r="S57" s="2"/>
      <c r="T57" s="2"/>
      <c r="U57" s="2"/>
      <c r="V57" s="2"/>
      <c r="W57" s="2"/>
      <c r="X57" s="4"/>
      <c r="Y57" s="4"/>
      <c r="Z57" s="4"/>
      <c r="AA57" s="2"/>
      <c r="AB57" s="2"/>
      <c r="AC57" s="2"/>
      <c r="AD57" s="4"/>
      <c r="AE57" s="2"/>
    </row>
    <row r="58" spans="1:31" ht="22.5" customHeight="1">
      <c r="A58" s="88" t="str">
        <f t="shared" ca="1" si="0"/>
        <v/>
      </c>
      <c r="B58" s="88" t="str">
        <f t="shared" ca="1" si="1"/>
        <v/>
      </c>
      <c r="C58" s="88" t="str">
        <f t="shared" ca="1" si="2"/>
        <v/>
      </c>
      <c r="D58" s="88" t="str">
        <f t="shared" ca="1" si="3"/>
        <v/>
      </c>
      <c r="E58" s="88" t="str">
        <f t="shared" ca="1" si="4"/>
        <v/>
      </c>
      <c r="F58" s="88" t="str">
        <f t="shared" ca="1" si="5"/>
        <v/>
      </c>
      <c r="G58" s="89" t="str">
        <f t="array" aca="1" ref="G58" ca="1">IF(INDEX(ExistsTx,$I58,2),IF(INDIRECT("'T"&amp;$I58&amp;"'!$D$"&amp;($J58+5),TRUE)=0,T_NoName,INDIRECT("'T"&amp;$I58&amp;"'!$D$"&amp;($J58+5),TRUE)),"")</f>
        <v>Nameless</v>
      </c>
      <c r="H58" s="89">
        <f t="array" aca="1" ref="H58" ca="1">IF(INDEX(ExistsTx,$I58,2),INDIRECT("'T"&amp;$I58&amp;"'!$E$"&amp;($J58+5),TRUE),0)</f>
        <v>0</v>
      </c>
      <c r="I58" s="90">
        <v>4</v>
      </c>
      <c r="J58" s="90">
        <v>8</v>
      </c>
      <c r="K58" s="89" t="str">
        <f t="array" aca="1" ref="K58" ca="1">INDEX(ListTeams,$I58,1)</f>
        <v>Wrath of the Month</v>
      </c>
      <c r="L58" s="91">
        <f t="array" aca="1" ref="L58" ca="1">IF(OR(NOT(INDEX(ExistsTx,$I58,2)),$H58=0),0,INDIRECT("'T"&amp;$I58&amp;"'!$M$"&amp;($J58+5),TRUE)+((1000-ROW())/10000000000000))</f>
        <v>0</v>
      </c>
      <c r="M58" s="91">
        <f t="array" aca="1" ref="M58" ca="1">IF(OR(NOT(INDEX(ExistsTx,$I58,2)),$H58=0),0,INDIRECT("'T"&amp;$I58&amp;"'!$N$"&amp;($J58+5),TRUE)+((1000-ROW())/10000000000000))</f>
        <v>0</v>
      </c>
      <c r="N58" s="91">
        <f t="array" aca="1" ref="N58" ca="1">IF(OR(NOT(INDEX(ExistsTx,$I58,2)),$H58=0),0,INDIRECT("'T"&amp;$I58&amp;"'!$O$"&amp;($J58+5),TRUE)+((1000-ROW())/10000000000000))</f>
        <v>0</v>
      </c>
      <c r="O58" s="91">
        <f t="array" aca="1" ref="O58" ca="1">IF(OR(NOT(INDEX(ExistsTx,$I58,2)),$H58=0),0,INDIRECT("'T"&amp;$I58&amp;"'!$P$"&amp;($J58+5),TRUE)+((1000-ROW())/10000000000000))</f>
        <v>0</v>
      </c>
      <c r="P58" s="91">
        <f t="array" aca="1" ref="P58" ca="1">IF(OR(NOT(INDEX(ExistsTx,$I58,2)),$H58=0),0,INDIRECT("'T"&amp;$I58&amp;"'!$Q$"&amp;($J58+5),TRUE)+((1000-ROW())/10000000000000))</f>
        <v>0</v>
      </c>
      <c r="Q58" s="91">
        <f t="shared" ca="1" si="6"/>
        <v>1.211142858354E-6</v>
      </c>
      <c r="R58" s="2"/>
      <c r="S58" s="2"/>
      <c r="T58" s="43"/>
      <c r="U58" s="326" t="s">
        <v>183</v>
      </c>
      <c r="V58" s="329"/>
      <c r="W58" s="329"/>
      <c r="X58" s="324"/>
      <c r="Y58" s="92"/>
      <c r="Z58" s="43"/>
      <c r="AA58" s="326" t="s">
        <v>184</v>
      </c>
      <c r="AB58" s="329"/>
      <c r="AC58" s="329"/>
      <c r="AD58" s="324"/>
      <c r="AE58" s="2"/>
    </row>
    <row r="59" spans="1:31" ht="13.5" customHeight="1">
      <c r="A59" s="88" t="str">
        <f t="shared" ca="1" si="0"/>
        <v/>
      </c>
      <c r="B59" s="88" t="str">
        <f t="shared" ca="1" si="1"/>
        <v/>
      </c>
      <c r="C59" s="88" t="str">
        <f t="shared" ca="1" si="2"/>
        <v/>
      </c>
      <c r="D59" s="88" t="str">
        <f t="shared" ca="1" si="3"/>
        <v/>
      </c>
      <c r="E59" s="88" t="str">
        <f t="shared" ca="1" si="4"/>
        <v/>
      </c>
      <c r="F59" s="88" t="str">
        <f t="shared" ca="1" si="5"/>
        <v/>
      </c>
      <c r="G59" s="89" t="str">
        <f t="array" aca="1" ref="G59" ca="1">IF(INDEX(ExistsTx,$I59,2),IF(INDIRECT("'T"&amp;$I59&amp;"'!$D$"&amp;($J59+5),TRUE)=0,T_NoName,INDIRECT("'T"&amp;$I59&amp;"'!$D$"&amp;($J59+5),TRUE)),"")</f>
        <v>Heather Mills McCarthy</v>
      </c>
      <c r="H59" s="89" t="str">
        <f t="array" aca="1" ref="H59" ca="1">IF(INDEX(ExistsTx,$I59,2),INDIRECT("'T"&amp;$I59&amp;"'!$E$"&amp;($J59+5),TRUE),0)</f>
        <v>Thrower</v>
      </c>
      <c r="I59" s="90">
        <v>4</v>
      </c>
      <c r="J59" s="90">
        <v>9</v>
      </c>
      <c r="K59" s="89" t="str">
        <f t="array" aca="1" ref="K59" ca="1">INDEX(ListTeams,$I59,1)</f>
        <v>Wrath of the Month</v>
      </c>
      <c r="L59" s="91">
        <f t="array" aca="1" ref="L59" ca="1">IF(OR(NOT(INDEX(ExistsTx,$I59,2)),$H59=0),0,INDIRECT("'T"&amp;$I59&amp;"'!$M$"&amp;($J59+5),TRUE)+((1000-ROW())/10000000000000))</f>
        <v>9.4100000000000003E-11</v>
      </c>
      <c r="M59" s="91">
        <f t="array" aca="1" ref="M59" ca="1">IF(OR(NOT(INDEX(ExistsTx,$I59,2)),$H59=0),0,INDIRECT("'T"&amp;$I59&amp;"'!$N$"&amp;($J59+5),TRUE)+((1000-ROW())/10000000000000))</f>
        <v>9.4100000000000003E-11</v>
      </c>
      <c r="N59" s="91">
        <f t="array" aca="1" ref="N59" ca="1">IF(OR(NOT(INDEX(ExistsTx,$I59,2)),$H59=0),0,INDIRECT("'T"&amp;$I59&amp;"'!$O$"&amp;($J59+5),TRUE)+((1000-ROW())/10000000000000))</f>
        <v>9.4100000000000003E-11</v>
      </c>
      <c r="O59" s="91">
        <f t="array" aca="1" ref="O59" ca="1">IF(OR(NOT(INDEX(ExistsTx,$I59,2)),$H59=0),0,INDIRECT("'T"&amp;$I59&amp;"'!$P$"&amp;($J59+5),TRUE)+((1000-ROW())/10000000000000))</f>
        <v>9.4100000000000003E-11</v>
      </c>
      <c r="P59" s="91">
        <f t="array" aca="1" ref="P59" ca="1">IF(OR(NOT(INDEX(ExistsTx,$I59,2)),$H59=0),0,INDIRECT("'T"&amp;$I59&amp;"'!$Q$"&amp;($J59+5),TRUE)+((1000-ROW())/10000000000000))</f>
        <v>9.4100000000000003E-11</v>
      </c>
      <c r="Q59" s="91">
        <f t="shared" ca="1" si="6"/>
        <v>1.2110804440669998E-6</v>
      </c>
      <c r="R59" s="2"/>
      <c r="S59" s="2"/>
      <c r="T59" s="34">
        <v>1</v>
      </c>
      <c r="U59" s="49" t="str">
        <f t="shared" ref="U59:U83" ca="1" si="23">IF($T59&lt;=PCOUNT_CS,VLOOKUP($T59,OFFSET(PSTATS,0,3),4,FALSE),"")</f>
        <v>Orc Donovan</v>
      </c>
      <c r="V59" s="49" t="str">
        <f t="shared" ref="V59:V83" ca="1" si="24">IF($T59&lt;=PCOUNT_CS,VLOOKUP($T59,OFFSET(PSTATS,0,3),5,FALSE),"")</f>
        <v>Black Orc Blocker</v>
      </c>
      <c r="W59" s="49" t="str">
        <f t="shared" ref="W59:W83" ca="1" si="25">IF($T59&lt;=PCOUNT_CS,VLOOKUP($T59,OFFSET(PSTATS,0,3),8,FALSE),"")</f>
        <v>OrCares</v>
      </c>
      <c r="X59" s="93">
        <f t="shared" ref="X59:X83" ca="1" si="26">IF($T59&lt;=PCOUNT_CS,VLOOKUP($T59,OFFSET(PSTATS,0,3),12,FALSE),"")</f>
        <v>8.0000000000932001</v>
      </c>
      <c r="Y59" s="94"/>
      <c r="Z59" s="34">
        <v>1</v>
      </c>
      <c r="AA59" s="49" t="str">
        <f t="shared" ref="AA59:AA83" ca="1" si="27">IF($Z59&lt;=PCOUNT_VP,VLOOKUP($Z59,OFFSET(PSTATS,0,4),3,FALSE),"")</f>
        <v>Big Daddy Lipsplitt</v>
      </c>
      <c r="AB59" s="49" t="str">
        <f t="shared" ref="AB59:AB83" ca="1" si="28">IF($Z59&lt;=PCOUNT_VP,VLOOKUP($Z59,OFFSET(PSTATS,0,4),4,FALSE),"")</f>
        <v>Black Orc Blocker</v>
      </c>
      <c r="AC59" s="49" t="str">
        <f t="shared" ref="AC59:AC83" ca="1" si="29">IF($Z59&lt;=PCOUNT_VP,VLOOKUP($Z59,OFFSET(PSTATS,0,4),7,FALSE),"")</f>
        <v>OrCares</v>
      </c>
      <c r="AD59" s="93">
        <f t="shared" ref="AD59:AD83" ca="1" si="30">IF($Z59&lt;=PCOUNT_VP,VLOOKUP($Z59,OFFSET(PSTATS,0,4),12,FALSE),"")</f>
        <v>3.0000000000929998</v>
      </c>
      <c r="AE59" s="2"/>
    </row>
    <row r="60" spans="1:31" ht="12.75" customHeight="1">
      <c r="A60" s="88">
        <f t="shared" ca="1" si="0"/>
        <v>14</v>
      </c>
      <c r="B60" s="88" t="str">
        <f t="shared" ca="1" si="1"/>
        <v/>
      </c>
      <c r="C60" s="88" t="str">
        <f t="shared" ca="1" si="2"/>
        <v/>
      </c>
      <c r="D60" s="88" t="str">
        <f t="shared" ca="1" si="3"/>
        <v/>
      </c>
      <c r="E60" s="88" t="str">
        <f t="shared" ca="1" si="4"/>
        <v/>
      </c>
      <c r="F60" s="88">
        <f t="shared" ca="1" si="5"/>
        <v>61</v>
      </c>
      <c r="G60" s="89" t="str">
        <f t="array" aca="1" ref="G60" ca="1">IF(INDEX(ExistsTx,$I60,2),IF(INDIRECT("'T"&amp;$I60&amp;"'!$D$"&amp;($J60+5),TRUE)=0,T_NoName,INDIRECT("'T"&amp;$I60&amp;"'!$D$"&amp;($J60+5),TRUE)),"")</f>
        <v>Susan Boyle</v>
      </c>
      <c r="H60" s="89" t="str">
        <f t="array" aca="1" ref="H60" ca="1">IF(INDEX(ExistsTx,$I60,2),INDIRECT("'T"&amp;$I60&amp;"'!$E$"&amp;($J60+5),TRUE),0)</f>
        <v>Thrower</v>
      </c>
      <c r="I60" s="90">
        <v>4</v>
      </c>
      <c r="J60" s="90">
        <v>10</v>
      </c>
      <c r="K60" s="89" t="str">
        <f t="array" aca="1" ref="K60" ca="1">INDEX(ListTeams,$I60,1)</f>
        <v>Wrath of the Month</v>
      </c>
      <c r="L60" s="91">
        <f t="array" aca="1" ref="L60" ca="1">IF(OR(NOT(INDEX(ExistsTx,$I60,2)),$H60=0),0,INDIRECT("'T"&amp;$I60&amp;"'!$M$"&amp;($J60+5),TRUE)+((1000-ROW())/10000000000000))</f>
        <v>1.0000000000939999</v>
      </c>
      <c r="M60" s="91">
        <f t="array" aca="1" ref="M60" ca="1">IF(OR(NOT(INDEX(ExistsTx,$I60,2)),$H60=0),0,INDIRECT("'T"&amp;$I60&amp;"'!$N$"&amp;($J60+5),TRUE)+((1000-ROW())/10000000000000))</f>
        <v>9.3999999999999999E-11</v>
      </c>
      <c r="N60" s="91">
        <f t="array" aca="1" ref="N60" ca="1">IF(OR(NOT(INDEX(ExistsTx,$I60,2)),$H60=0),0,INDIRECT("'T"&amp;$I60&amp;"'!$O$"&amp;($J60+5),TRUE)+((1000-ROW())/10000000000000))</f>
        <v>9.3999999999999999E-11</v>
      </c>
      <c r="O60" s="91">
        <f t="array" aca="1" ref="O60" ca="1">IF(OR(NOT(INDEX(ExistsTx,$I60,2)),$H60=0),0,INDIRECT("'T"&amp;$I60&amp;"'!$P$"&amp;($J60+5),TRUE)+((1000-ROW())/10000000000000))</f>
        <v>9.3999999999999999E-11</v>
      </c>
      <c r="P60" s="91">
        <f t="array" aca="1" ref="P60" ca="1">IF(OR(NOT(INDEX(ExistsTx,$I60,2)),$H60=0),0,INDIRECT("'T"&amp;$I60&amp;"'!$Q$"&amp;($J60+5),TRUE)+((1000-ROW())/10000000000000))</f>
        <v>9.3999999999999999E-11</v>
      </c>
      <c r="Q60" s="91">
        <f t="shared" ca="1" si="6"/>
        <v>1.0000012097934299</v>
      </c>
      <c r="R60" s="2"/>
      <c r="S60" s="2"/>
      <c r="T60" s="34">
        <v>2</v>
      </c>
      <c r="U60" s="55" t="str">
        <f t="shared" ca="1" si="23"/>
        <v>Mad'zug</v>
      </c>
      <c r="V60" s="55" t="str">
        <f t="shared" ca="1" si="24"/>
        <v>Black Orc Blocker</v>
      </c>
      <c r="W60" s="55" t="str">
        <f t="shared" ca="1" si="25"/>
        <v>Population: Orc</v>
      </c>
      <c r="X60" s="97">
        <f t="shared" ca="1" si="26"/>
        <v>5.0000000000949996</v>
      </c>
      <c r="Y60" s="98"/>
      <c r="Z60" s="34">
        <v>2</v>
      </c>
      <c r="AA60" s="55" t="str">
        <f t="shared" ca="1" si="27"/>
        <v>Lord Joshua Pvortis</v>
      </c>
      <c r="AB60" s="55" t="str">
        <f t="shared" ca="1" si="28"/>
        <v>Vampire</v>
      </c>
      <c r="AC60" s="55" t="str">
        <f t="shared" ca="1" si="29"/>
        <v>Sylvania Suckhawks</v>
      </c>
      <c r="AD60" s="97">
        <f t="shared" ca="1" si="30"/>
        <v>2.0000000000996998</v>
      </c>
      <c r="AE60" s="2"/>
    </row>
    <row r="61" spans="1:31" ht="12.75" customHeight="1">
      <c r="A61" s="88" t="str">
        <f t="shared" ca="1" si="0"/>
        <v/>
      </c>
      <c r="B61" s="88">
        <f t="shared" ca="1" si="1"/>
        <v>16</v>
      </c>
      <c r="C61" s="88" t="str">
        <f t="shared" ca="1" si="2"/>
        <v/>
      </c>
      <c r="D61" s="88" t="str">
        <f t="shared" ca="1" si="3"/>
        <v/>
      </c>
      <c r="E61" s="88" t="str">
        <f t="shared" ca="1" si="4"/>
        <v/>
      </c>
      <c r="F61" s="88">
        <f t="shared" ca="1" si="5"/>
        <v>52</v>
      </c>
      <c r="G61" s="89" t="str">
        <f t="array" aca="1" ref="G61" ca="1">IF(INDEX(ExistsTx,$I61,2),IF(INDIRECT("'T"&amp;$I61&amp;"'!$D$"&amp;($J61+5),TRUE)=0,T_NoName,INDIRECT("'T"&amp;$I61&amp;"'!$D$"&amp;($J61+5),TRUE)),"")</f>
        <v>Rebecca Black</v>
      </c>
      <c r="H61" s="89" t="str">
        <f t="array" aca="1" ref="H61" ca="1">IF(INDEX(ExistsTx,$I61,2),INDIRECT("'T"&amp;$I61&amp;"'!$E$"&amp;($J61+5),TRUE),0)</f>
        <v>Catcher</v>
      </c>
      <c r="I61" s="90">
        <v>4</v>
      </c>
      <c r="J61" s="90">
        <v>11</v>
      </c>
      <c r="K61" s="89" t="str">
        <f t="array" aca="1" ref="K61" ca="1">INDEX(ListTeams,$I61,1)</f>
        <v>Wrath of the Month</v>
      </c>
      <c r="L61" s="91">
        <f t="array" aca="1" ref="L61" ca="1">IF(OR(NOT(INDEX(ExistsTx,$I61,2)),$H61=0),0,INDIRECT("'T"&amp;$I61&amp;"'!$M$"&amp;($J61+5),TRUE)+((1000-ROW())/10000000000000))</f>
        <v>9.3899999999999994E-11</v>
      </c>
      <c r="M61" s="91">
        <f t="array" aca="1" ref="M61" ca="1">IF(OR(NOT(INDEX(ExistsTx,$I61,2)),$H61=0),0,INDIRECT("'T"&amp;$I61&amp;"'!$N$"&amp;($J61+5),TRUE)+((1000-ROW())/10000000000000))</f>
        <v>1.0000000000939</v>
      </c>
      <c r="N61" s="91">
        <f t="array" aca="1" ref="N61" ca="1">IF(OR(NOT(INDEX(ExistsTx,$I61,2)),$H61=0),0,INDIRECT("'T"&amp;$I61&amp;"'!$O$"&amp;($J61+5),TRUE)+((1000-ROW())/10000000000000))</f>
        <v>9.3899999999999994E-11</v>
      </c>
      <c r="O61" s="91">
        <f t="array" aca="1" ref="O61" ca="1">IF(OR(NOT(INDEX(ExistsTx,$I61,2)),$H61=0),0,INDIRECT("'T"&amp;$I61&amp;"'!$P$"&amp;($J61+5),TRUE)+((1000-ROW())/10000000000000))</f>
        <v>9.3899999999999994E-11</v>
      </c>
      <c r="P61" s="91">
        <f t="array" aca="1" ref="P61" ca="1">IF(OR(NOT(INDEX(ExistsTx,$I61,2)),$H61=0),0,INDIRECT("'T"&amp;$I61&amp;"'!$Q$"&amp;($J61+5),TRUE)+((1000-ROW())/10000000000000))</f>
        <v>9.3899999999999994E-11</v>
      </c>
      <c r="Q61" s="91">
        <f t="shared" ca="1" si="6"/>
        <v>3.0000012085064154</v>
      </c>
      <c r="R61" s="2"/>
      <c r="S61" s="2"/>
      <c r="T61" s="34">
        <v>3</v>
      </c>
      <c r="U61" s="55" t="str">
        <f t="shared" ca="1" si="23"/>
        <v>Gino Orchetti</v>
      </c>
      <c r="V61" s="55" t="str">
        <f t="shared" ca="1" si="24"/>
        <v>Black Orc Blocker</v>
      </c>
      <c r="W61" s="55" t="str">
        <f t="shared" ca="1" si="25"/>
        <v>OrCares</v>
      </c>
      <c r="X61" s="97">
        <f t="shared" ca="1" si="26"/>
        <v>4.0000000000930998</v>
      </c>
      <c r="Y61" s="98"/>
      <c r="Z61" s="34">
        <v>3</v>
      </c>
      <c r="AA61" s="55" t="str">
        <f t="shared" ca="1" si="27"/>
        <v>Count Russel Wilhelms</v>
      </c>
      <c r="AB61" s="55" t="str">
        <f t="shared" ca="1" si="28"/>
        <v>Vampire</v>
      </c>
      <c r="AC61" s="55" t="str">
        <f t="shared" ca="1" si="29"/>
        <v>Sylvania Suckhawks</v>
      </c>
      <c r="AD61" s="97">
        <f t="shared" ca="1" si="30"/>
        <v>2.0000000000995999</v>
      </c>
      <c r="AE61" s="2"/>
    </row>
    <row r="62" spans="1:31" ht="12.75" customHeight="1">
      <c r="A62" s="88">
        <f t="shared" ca="1" si="0"/>
        <v>15</v>
      </c>
      <c r="B62" s="88" t="str">
        <f t="shared" ca="1" si="1"/>
        <v/>
      </c>
      <c r="C62" s="88" t="str">
        <f t="shared" ca="1" si="2"/>
        <v/>
      </c>
      <c r="D62" s="88" t="str">
        <f t="shared" ca="1" si="3"/>
        <v/>
      </c>
      <c r="E62" s="88" t="str">
        <f t="shared" ca="1" si="4"/>
        <v/>
      </c>
      <c r="F62" s="88">
        <f t="shared" ca="1" si="5"/>
        <v>62</v>
      </c>
      <c r="G62" s="89" t="str">
        <f t="array" aca="1" ref="G62" ca="1">IF(INDEX(ExistsTx,$I62,2),IF(INDIRECT("'T"&amp;$I62&amp;"'!$D$"&amp;($J62+5),TRUE)=0,T_NoName,INDIRECT("'T"&amp;$I62&amp;"'!$D$"&amp;($J62+5),TRUE)),"")</f>
        <v>Caitlyn Jenner</v>
      </c>
      <c r="H62" s="89" t="str">
        <f t="array" aca="1" ref="H62" ca="1">IF(INDEX(ExistsTx,$I62,2),INDIRECT("'T"&amp;$I62&amp;"'!$E$"&amp;($J62+5),TRUE),0)</f>
        <v>Catcher</v>
      </c>
      <c r="I62" s="90">
        <v>4</v>
      </c>
      <c r="J62" s="90">
        <v>12</v>
      </c>
      <c r="K62" s="89" t="str">
        <f t="array" aca="1" ref="K62" ca="1">INDEX(ListTeams,$I62,1)</f>
        <v>Wrath of the Month</v>
      </c>
      <c r="L62" s="91">
        <f t="array" aca="1" ref="L62" ca="1">IF(OR(NOT(INDEX(ExistsTx,$I62,2)),$H62=0),0,INDIRECT("'T"&amp;$I62&amp;"'!$M$"&amp;($J62+5),TRUE)+((1000-ROW())/10000000000000))</f>
        <v>1.0000000000938001</v>
      </c>
      <c r="M62" s="91">
        <f t="array" aca="1" ref="M62" ca="1">IF(OR(NOT(INDEX(ExistsTx,$I62,2)),$H62=0),0,INDIRECT("'T"&amp;$I62&amp;"'!$N$"&amp;($J62+5),TRUE)+((1000-ROW())/10000000000000))</f>
        <v>9.3800000000000002E-11</v>
      </c>
      <c r="N62" s="91">
        <f t="array" aca="1" ref="N62" ca="1">IF(OR(NOT(INDEX(ExistsTx,$I62,2)),$H62=0),0,INDIRECT("'T"&amp;$I62&amp;"'!$O$"&amp;($J62+5),TRUE)+((1000-ROW())/10000000000000))</f>
        <v>9.3800000000000002E-11</v>
      </c>
      <c r="O62" s="91">
        <f t="array" aca="1" ref="O62" ca="1">IF(OR(NOT(INDEX(ExistsTx,$I62,2)),$H62=0),0,INDIRECT("'T"&amp;$I62&amp;"'!$P$"&amp;($J62+5),TRUE)+((1000-ROW())/10000000000000))</f>
        <v>9.3800000000000002E-11</v>
      </c>
      <c r="P62" s="91">
        <f t="array" aca="1" ref="P62" ca="1">IF(OR(NOT(INDEX(ExistsTx,$I62,2)),$H62=0),0,INDIRECT("'T"&amp;$I62&amp;"'!$Q$"&amp;($J62+5),TRUE)+((1000-ROW())/10000000000000))</f>
        <v>9.3800000000000002E-11</v>
      </c>
      <c r="Q62" s="91">
        <f t="shared" ca="1" si="6"/>
        <v>1.0000012072194011</v>
      </c>
      <c r="R62" s="2"/>
      <c r="S62" s="2"/>
      <c r="T62" s="34">
        <v>4</v>
      </c>
      <c r="U62" s="55" t="str">
        <f t="shared" ca="1" si="23"/>
        <v>Count Russel Wilhelms</v>
      </c>
      <c r="V62" s="55" t="str">
        <f t="shared" ca="1" si="24"/>
        <v>Vampire</v>
      </c>
      <c r="W62" s="55" t="str">
        <f t="shared" ca="1" si="25"/>
        <v>Sylvania Suckhawks</v>
      </c>
      <c r="X62" s="97">
        <f t="shared" ca="1" si="26"/>
        <v>3.0000000000995999</v>
      </c>
      <c r="Y62" s="98"/>
      <c r="Z62" s="34">
        <v>4</v>
      </c>
      <c r="AA62" s="55" t="str">
        <f t="shared" ca="1" si="27"/>
        <v>Shark'zug</v>
      </c>
      <c r="AB62" s="55" t="str">
        <f t="shared" ca="1" si="28"/>
        <v>Black Orc Blocker</v>
      </c>
      <c r="AC62" s="55" t="str">
        <f t="shared" ca="1" si="29"/>
        <v>Population: Orc</v>
      </c>
      <c r="AD62" s="97">
        <f t="shared" ca="1" si="30"/>
        <v>2.0000000000953002</v>
      </c>
      <c r="AE62" s="2"/>
    </row>
    <row r="63" spans="1:31" ht="12.75" customHeight="1">
      <c r="A63" s="88" t="str">
        <f t="shared" ca="1" si="0"/>
        <v/>
      </c>
      <c r="B63" s="88" t="str">
        <f t="shared" ca="1" si="1"/>
        <v/>
      </c>
      <c r="C63" s="88" t="str">
        <f t="shared" ca="1" si="2"/>
        <v/>
      </c>
      <c r="D63" s="88">
        <f t="shared" ca="1" si="3"/>
        <v>21</v>
      </c>
      <c r="E63" s="88" t="str">
        <f t="shared" ca="1" si="4"/>
        <v/>
      </c>
      <c r="F63" s="88">
        <f t="shared" ca="1" si="5"/>
        <v>55</v>
      </c>
      <c r="G63" s="89" t="str">
        <f t="array" aca="1" ref="G63" ca="1">IF(INDEX(ExistsTx,$I63,2),IF(INDIRECT("'T"&amp;$I63&amp;"'!$D$"&amp;($J63+5),TRUE)=0,T_NoName,INDIRECT("'T"&amp;$I63&amp;"'!$D$"&amp;($J63+5),TRUE)),"")</f>
        <v>Monica Lewinsky</v>
      </c>
      <c r="H63" s="89" t="str">
        <f t="array" aca="1" ref="H63" ca="1">IF(INDEX(ExistsTx,$I63,2),INDIRECT("'T"&amp;$I63&amp;"'!$E$"&amp;($J63+5),TRUE),0)</f>
        <v>Blitzer</v>
      </c>
      <c r="I63" s="90">
        <v>4</v>
      </c>
      <c r="J63" s="90">
        <v>13</v>
      </c>
      <c r="K63" s="89" t="str">
        <f t="array" aca="1" ref="K63" ca="1">INDEX(ListTeams,$I63,1)</f>
        <v>Wrath of the Month</v>
      </c>
      <c r="L63" s="91">
        <f t="array" aca="1" ref="L63" ca="1">IF(OR(NOT(INDEX(ExistsTx,$I63,2)),$H63=0),0,INDIRECT("'T"&amp;$I63&amp;"'!$M$"&amp;($J63+5),TRUE)+((1000-ROW())/10000000000000))</f>
        <v>9.3699999999999997E-11</v>
      </c>
      <c r="M63" s="91">
        <f t="array" aca="1" ref="M63" ca="1">IF(OR(NOT(INDEX(ExistsTx,$I63,2)),$H63=0),0,INDIRECT("'T"&amp;$I63&amp;"'!$N$"&amp;($J63+5),TRUE)+((1000-ROW())/10000000000000))</f>
        <v>9.3699999999999997E-11</v>
      </c>
      <c r="N63" s="91">
        <f t="array" aca="1" ref="N63" ca="1">IF(OR(NOT(INDEX(ExistsTx,$I63,2)),$H63=0),0,INDIRECT("'T"&amp;$I63&amp;"'!$O$"&amp;($J63+5),TRUE)+((1000-ROW())/10000000000000))</f>
        <v>9.3699999999999997E-11</v>
      </c>
      <c r="O63" s="91">
        <f t="array" aca="1" ref="O63" ca="1">IF(OR(NOT(INDEX(ExistsTx,$I63,2)),$H63=0),0,INDIRECT("'T"&amp;$I63&amp;"'!$P$"&amp;($J63+5),TRUE)+((1000-ROW())/10000000000000))</f>
        <v>1.0000000000936999</v>
      </c>
      <c r="P63" s="91">
        <f t="array" aca="1" ref="P63" ca="1">IF(OR(NOT(INDEX(ExistsTx,$I63,2)),$H63=0),0,INDIRECT("'T"&amp;$I63&amp;"'!$Q$"&amp;($J63+5),TRUE)+((1000-ROW())/10000000000000))</f>
        <v>9.3699999999999997E-11</v>
      </c>
      <c r="Q63" s="91">
        <f t="shared" ca="1" si="6"/>
        <v>2.0000012059323868</v>
      </c>
      <c r="R63" s="2"/>
      <c r="S63" s="2"/>
      <c r="T63" s="34">
        <v>5</v>
      </c>
      <c r="U63" s="55" t="str">
        <f t="shared" ca="1" si="23"/>
        <v>Cheat'zug</v>
      </c>
      <c r="V63" s="55" t="str">
        <f t="shared" ca="1" si="24"/>
        <v>Blitzer</v>
      </c>
      <c r="W63" s="55" t="str">
        <f t="shared" ca="1" si="25"/>
        <v>Population: Orc</v>
      </c>
      <c r="X63" s="97">
        <f t="shared" ca="1" si="26"/>
        <v>3.0000000000956999</v>
      </c>
      <c r="Y63" s="98"/>
      <c r="Z63" s="34">
        <v>5</v>
      </c>
      <c r="AA63" s="55" t="str">
        <f t="shared" ca="1" si="27"/>
        <v>Y.A. Spittle</v>
      </c>
      <c r="AB63" s="55" t="str">
        <f t="shared" ca="1" si="28"/>
        <v>Thrower</v>
      </c>
      <c r="AC63" s="55" t="str">
        <f t="shared" ca="1" si="29"/>
        <v>OrCares</v>
      </c>
      <c r="AD63" s="97">
        <f t="shared" ca="1" si="30"/>
        <v>2.0000000000933</v>
      </c>
      <c r="AE63" s="2"/>
    </row>
    <row r="64" spans="1:31" ht="12.75" customHeight="1">
      <c r="A64" s="88" t="str">
        <f t="shared" ca="1" si="0"/>
        <v/>
      </c>
      <c r="B64" s="88" t="str">
        <f t="shared" ca="1" si="1"/>
        <v/>
      </c>
      <c r="C64" s="88" t="str">
        <f t="shared" ca="1" si="2"/>
        <v/>
      </c>
      <c r="D64" s="88">
        <f t="shared" ca="1" si="3"/>
        <v>22</v>
      </c>
      <c r="E64" s="88" t="str">
        <f t="shared" ca="1" si="4"/>
        <v/>
      </c>
      <c r="F64" s="88">
        <f t="shared" ca="1" si="5"/>
        <v>56</v>
      </c>
      <c r="G64" s="89" t="str">
        <f t="array" aca="1" ref="G64" ca="1">IF(INDEX(ExistsTx,$I64,2),IF(INDIRECT("'T"&amp;$I64&amp;"'!$D$"&amp;($J64+5),TRUE)=0,T_NoName,INDIRECT("'T"&amp;$I64&amp;"'!$D$"&amp;($J64+5),TRUE)),"")</f>
        <v>Sarah Palin</v>
      </c>
      <c r="H64" s="89" t="str">
        <f t="array" aca="1" ref="H64" ca="1">IF(INDEX(ExistsTx,$I64,2),INDIRECT("'T"&amp;$I64&amp;"'!$E$"&amp;($J64+5),TRUE),0)</f>
        <v>Blitzer</v>
      </c>
      <c r="I64" s="90">
        <v>4</v>
      </c>
      <c r="J64" s="90">
        <v>14</v>
      </c>
      <c r="K64" s="89" t="str">
        <f t="array" aca="1" ref="K64" ca="1">INDEX(ListTeams,$I64,1)</f>
        <v>Wrath of the Month</v>
      </c>
      <c r="L64" s="91">
        <f t="array" aca="1" ref="L64" ca="1">IF(OR(NOT(INDEX(ExistsTx,$I64,2)),$H64=0),0,INDIRECT("'T"&amp;$I64&amp;"'!$M$"&amp;($J64+5),TRUE)+((1000-ROW())/10000000000000))</f>
        <v>9.3600000000000005E-11</v>
      </c>
      <c r="M64" s="91">
        <f t="array" aca="1" ref="M64" ca="1">IF(OR(NOT(INDEX(ExistsTx,$I64,2)),$H64=0),0,INDIRECT("'T"&amp;$I64&amp;"'!$N$"&amp;($J64+5),TRUE)+((1000-ROW())/10000000000000))</f>
        <v>9.3600000000000005E-11</v>
      </c>
      <c r="N64" s="91">
        <f t="array" aca="1" ref="N64" ca="1">IF(OR(NOT(INDEX(ExistsTx,$I64,2)),$H64=0),0,INDIRECT("'T"&amp;$I64&amp;"'!$O$"&amp;($J64+5),TRUE)+((1000-ROW())/10000000000000))</f>
        <v>9.3600000000000005E-11</v>
      </c>
      <c r="O64" s="91">
        <f t="array" aca="1" ref="O64" ca="1">IF(OR(NOT(INDEX(ExistsTx,$I64,2)),$H64=0),0,INDIRECT("'T"&amp;$I64&amp;"'!$P$"&amp;($J64+5),TRUE)+((1000-ROW())/10000000000000))</f>
        <v>1.0000000000936</v>
      </c>
      <c r="P64" s="91">
        <f t="array" aca="1" ref="P64" ca="1">IF(OR(NOT(INDEX(ExistsTx,$I64,2)),$H64=0),0,INDIRECT("'T"&amp;$I64&amp;"'!$Q$"&amp;($J64+5),TRUE)+((1000-ROW())/10000000000000))</f>
        <v>9.3600000000000005E-11</v>
      </c>
      <c r="Q64" s="91">
        <f t="shared" ca="1" si="6"/>
        <v>2.0000012046453728</v>
      </c>
      <c r="R64" s="2"/>
      <c r="S64" s="2"/>
      <c r="T64" s="34">
        <v>6</v>
      </c>
      <c r="U64" s="55" t="str">
        <f t="shared" ca="1" si="23"/>
        <v>X. Malfax</v>
      </c>
      <c r="V64" s="55" t="str">
        <f t="shared" ca="1" si="24"/>
        <v>Wight</v>
      </c>
      <c r="W64" s="55" t="str">
        <f t="shared" ca="1" si="25"/>
        <v>Ashtown Villains</v>
      </c>
      <c r="X64" s="97">
        <f t="shared" ca="1" si="26"/>
        <v>3.0000000000878</v>
      </c>
      <c r="Y64" s="98"/>
      <c r="Z64" s="34">
        <v>6</v>
      </c>
      <c r="AA64" s="55" t="str">
        <f t="shared" ca="1" si="27"/>
        <v>Orc Donovan</v>
      </c>
      <c r="AB64" s="55" t="str">
        <f t="shared" ca="1" si="28"/>
        <v>Black Orc Blocker</v>
      </c>
      <c r="AC64" s="55" t="str">
        <f t="shared" ca="1" si="29"/>
        <v>OrCares</v>
      </c>
      <c r="AD64" s="97">
        <f t="shared" ca="1" si="30"/>
        <v>2.0000000000932001</v>
      </c>
      <c r="AE64" s="2"/>
    </row>
    <row r="65" spans="1:31" ht="12.75" customHeight="1">
      <c r="A65" s="88">
        <f t="shared" ca="1" si="0"/>
        <v>16</v>
      </c>
      <c r="B65" s="88" t="str">
        <f t="shared" ca="1" si="1"/>
        <v/>
      </c>
      <c r="C65" s="88" t="str">
        <f t="shared" ca="1" si="2"/>
        <v/>
      </c>
      <c r="D65" s="88" t="str">
        <f t="shared" ca="1" si="3"/>
        <v/>
      </c>
      <c r="E65" s="88">
        <f t="shared" ca="1" si="4"/>
        <v>18</v>
      </c>
      <c r="F65" s="88">
        <f t="shared" ca="1" si="5"/>
        <v>35</v>
      </c>
      <c r="G65" s="89" t="str">
        <f t="array" aca="1" ref="G65" ca="1">IF(INDEX(ExistsTx,$I65,2),IF(INDIRECT("'T"&amp;$I65&amp;"'!$D$"&amp;($J65+5),TRUE)=0,T_NoName,INDIRECT("'T"&amp;$I65&amp;"'!$D$"&amp;($J65+5),TRUE)),"")</f>
        <v>Paula Cole</v>
      </c>
      <c r="H65" s="89" t="str">
        <f t="array" aca="1" ref="H65" ca="1">IF(INDEX(ExistsTx,$I65,2),INDIRECT("'T"&amp;$I65&amp;"'!$E$"&amp;($J65+5),TRUE),0)</f>
        <v>Blitzer</v>
      </c>
      <c r="I65" s="90">
        <v>4</v>
      </c>
      <c r="J65" s="90">
        <v>15</v>
      </c>
      <c r="K65" s="89" t="str">
        <f t="array" aca="1" ref="K65" ca="1">INDEX(ListTeams,$I65,1)</f>
        <v>Wrath of the Month</v>
      </c>
      <c r="L65" s="91">
        <f t="array" aca="1" ref="L65" ca="1">IF(OR(NOT(INDEX(ExistsTx,$I65,2)),$H65=0),0,INDIRECT("'T"&amp;$I65&amp;"'!$M$"&amp;($J65+5),TRUE)+((1000-ROW())/10000000000000))</f>
        <v>1.0000000000935001</v>
      </c>
      <c r="M65" s="91">
        <f t="array" aca="1" ref="M65" ca="1">IF(OR(NOT(INDEX(ExistsTx,$I65,2)),$H65=0),0,INDIRECT("'T"&amp;$I65&amp;"'!$N$"&amp;($J65+5),TRUE)+((1000-ROW())/10000000000000))</f>
        <v>9.35E-11</v>
      </c>
      <c r="N65" s="91">
        <f t="array" aca="1" ref="N65" ca="1">IF(OR(NOT(INDEX(ExistsTx,$I65,2)),$H65=0),0,INDIRECT("'T"&amp;$I65&amp;"'!$O$"&amp;($J65+5),TRUE)+((1000-ROW())/10000000000000))</f>
        <v>9.35E-11</v>
      </c>
      <c r="O65" s="91">
        <f t="array" aca="1" ref="O65" ca="1">IF(OR(NOT(INDEX(ExistsTx,$I65,2)),$H65=0),0,INDIRECT("'T"&amp;$I65&amp;"'!$P$"&amp;($J65+5),TRUE)+((1000-ROW())/10000000000000))</f>
        <v>9.35E-11</v>
      </c>
      <c r="P65" s="91">
        <f t="array" aca="1" ref="P65" ca="1">IF(OR(NOT(INDEX(ExistsTx,$I65,2)),$H65=0),0,INDIRECT("'T"&amp;$I65&amp;"'!$Q$"&amp;($J65+5),TRUE)+((1000-ROW())/10000000000000))</f>
        <v>1.0000000000935001</v>
      </c>
      <c r="Q65" s="91">
        <f t="shared" ca="1" si="6"/>
        <v>6.0000012033583587</v>
      </c>
      <c r="R65" s="2"/>
      <c r="S65" s="2"/>
      <c r="T65" s="34">
        <v>7</v>
      </c>
      <c r="U65" s="55" t="str">
        <f t="shared" ca="1" si="23"/>
        <v>Duke James Graham</v>
      </c>
      <c r="V65" s="55" t="str">
        <f t="shared" ca="1" si="24"/>
        <v>Vampire</v>
      </c>
      <c r="W65" s="55" t="str">
        <f t="shared" ca="1" si="25"/>
        <v>Sylvania Suckhawks</v>
      </c>
      <c r="X65" s="97">
        <f t="shared" ca="1" si="26"/>
        <v>2.0000000000995</v>
      </c>
      <c r="Y65" s="98"/>
      <c r="Z65" s="34">
        <v>7</v>
      </c>
      <c r="AA65" s="55" t="str">
        <f t="shared" ca="1" si="27"/>
        <v>Anuket</v>
      </c>
      <c r="AB65" s="55" t="str">
        <f t="shared" ca="1" si="28"/>
        <v>Saurus</v>
      </c>
      <c r="AC65" s="55" t="str">
        <f t="shared" ca="1" si="29"/>
        <v>Guardians of the Nile</v>
      </c>
      <c r="AD65" s="97">
        <f t="shared" ca="1" si="30"/>
        <v>2.0000000000911</v>
      </c>
      <c r="AE65" s="2"/>
    </row>
    <row r="66" spans="1:31" ht="12.75" customHeight="1">
      <c r="A66" s="88" t="str">
        <f t="shared" ca="1" si="0"/>
        <v/>
      </c>
      <c r="B66" s="88" t="str">
        <f t="shared" ca="1" si="1"/>
        <v/>
      </c>
      <c r="C66" s="88" t="str">
        <f t="shared" ca="1" si="2"/>
        <v/>
      </c>
      <c r="D66" s="88" t="str">
        <f t="shared" ca="1" si="3"/>
        <v/>
      </c>
      <c r="E66" s="88">
        <f t="shared" ca="1" si="4"/>
        <v>19</v>
      </c>
      <c r="F66" s="88">
        <f t="shared" ca="1" si="5"/>
        <v>44</v>
      </c>
      <c r="G66" s="89" t="str">
        <f t="array" aca="1" ref="G66" ca="1">IF(INDEX(ExistsTx,$I66,2),IF(INDIRECT("'T"&amp;$I66&amp;"'!$D$"&amp;($J66+5),TRUE)=0,T_NoName,INDIRECT("'T"&amp;$I66&amp;"'!$D$"&amp;($J66+5),TRUE)),"")</f>
        <v>Lorena Bobbitt</v>
      </c>
      <c r="H66" s="89" t="str">
        <f t="array" aca="1" ref="H66" ca="1">IF(INDEX(ExistsTx,$I66,2),INDIRECT("'T"&amp;$I66&amp;"'!$E$"&amp;($J66+5),TRUE),0)</f>
        <v>Blitzer</v>
      </c>
      <c r="I66" s="90">
        <v>4</v>
      </c>
      <c r="J66" s="90">
        <v>16</v>
      </c>
      <c r="K66" s="89" t="str">
        <f t="array" aca="1" ref="K66" ca="1">INDEX(ListTeams,$I66,1)</f>
        <v>Wrath of the Month</v>
      </c>
      <c r="L66" s="91">
        <f t="array" aca="1" ref="L66" ca="1">IF(OR(NOT(INDEX(ExistsTx,$I66,2)),$H66=0),0,INDIRECT("'T"&amp;$I66&amp;"'!$M$"&amp;($J66+5),TRUE)+((1000-ROW())/10000000000000))</f>
        <v>9.3399999999999995E-11</v>
      </c>
      <c r="M66" s="91">
        <f t="array" aca="1" ref="M66" ca="1">IF(OR(NOT(INDEX(ExistsTx,$I66,2)),$H66=0),0,INDIRECT("'T"&amp;$I66&amp;"'!$N$"&amp;($J66+5),TRUE)+((1000-ROW())/10000000000000))</f>
        <v>9.3399999999999995E-11</v>
      </c>
      <c r="N66" s="91">
        <f t="array" aca="1" ref="N66" ca="1">IF(OR(NOT(INDEX(ExistsTx,$I66,2)),$H66=0),0,INDIRECT("'T"&amp;$I66&amp;"'!$O$"&amp;($J66+5),TRUE)+((1000-ROW())/10000000000000))</f>
        <v>9.3399999999999995E-11</v>
      </c>
      <c r="O66" s="91">
        <f t="array" aca="1" ref="O66" ca="1">IF(OR(NOT(INDEX(ExistsTx,$I66,2)),$H66=0),0,INDIRECT("'T"&amp;$I66&amp;"'!$P$"&amp;($J66+5),TRUE)+((1000-ROW())/10000000000000))</f>
        <v>9.3399999999999995E-11</v>
      </c>
      <c r="P66" s="91">
        <f t="array" aca="1" ref="P66" ca="1">IF(OR(NOT(INDEX(ExistsTx,$I66,2)),$H66=0),0,INDIRECT("'T"&amp;$I66&amp;"'!$Q$"&amp;($J66+5),TRUE)+((1000-ROW())/10000000000000))</f>
        <v>1.0000000000934</v>
      </c>
      <c r="Q66" s="91">
        <f t="shared" ca="1" si="6"/>
        <v>5.0000012020713438</v>
      </c>
      <c r="R66" s="2"/>
      <c r="S66" s="2"/>
      <c r="T66" s="34">
        <v>8</v>
      </c>
      <c r="U66" s="55" t="str">
        <f t="shared" ca="1" si="23"/>
        <v>Home'zug</v>
      </c>
      <c r="V66" s="55" t="str">
        <f t="shared" ca="1" si="24"/>
        <v>Blitzer</v>
      </c>
      <c r="W66" s="55" t="str">
        <f t="shared" ca="1" si="25"/>
        <v>Population: Orc</v>
      </c>
      <c r="X66" s="97">
        <f t="shared" ca="1" si="26"/>
        <v>2.0000000000955001</v>
      </c>
      <c r="Y66" s="98"/>
      <c r="Z66" s="34">
        <v>8</v>
      </c>
      <c r="AA66" s="55" t="str">
        <f t="shared" ca="1" si="27"/>
        <v>Suave Glitterseeker</v>
      </c>
      <c r="AB66" s="55" t="str">
        <f t="shared" ca="1" si="28"/>
        <v>Catcher</v>
      </c>
      <c r="AC66" s="55" t="str">
        <f t="shared" ca="1" si="29"/>
        <v>Skyhaven Silverfoxes</v>
      </c>
      <c r="AD66" s="97">
        <f t="shared" ca="1" si="30"/>
        <v>2.0000000000888001</v>
      </c>
      <c r="AE66" s="2"/>
    </row>
    <row r="67" spans="1:31" ht="12.75" customHeight="1">
      <c r="A67" s="88">
        <f t="shared" ref="A67:A130" ca="1" si="31">IF(L67&lt;1,"",RANK(L67,PSTAT_CP))</f>
        <v>1</v>
      </c>
      <c r="B67" s="88">
        <f t="shared" ref="B67:B130" ca="1" si="32">IF(M67&lt;1,"",RANK(M67,PSTAT_TD))</f>
        <v>17</v>
      </c>
      <c r="C67" s="88" t="str">
        <f t="shared" ref="C67:C130" ca="1" si="33">IF(N67&lt;1,"",RANK(N67,PSTAT_IN))</f>
        <v/>
      </c>
      <c r="D67" s="88" t="str">
        <f t="shared" ref="D67:D130" ca="1" si="34">IF(O67&lt;1,"",RANK(O67,PSTAT_CS))</f>
        <v/>
      </c>
      <c r="E67" s="88">
        <f t="shared" ref="E67:E130" ca="1" si="35">IF(P67&lt;1,"",RANK(P67,PSTAT_VP))</f>
        <v>5</v>
      </c>
      <c r="F67" s="88">
        <f t="shared" ref="F67:F130" ca="1" si="36">IF(Q67&lt;1,"",RANK(Q67,PSTAT_SP))</f>
        <v>6</v>
      </c>
      <c r="G67" s="89" t="str">
        <f t="array" aca="1" ref="G67" ca="1">IF(INDEX(ExistsTx,$I67,2),IF(INDIRECT("'T"&amp;$I67&amp;"'!$D$"&amp;($J67+5),TRUE)=0,T_NoName,INDIRECT("'T"&amp;$I67&amp;"'!$D$"&amp;($J67+5),TRUE)),"")</f>
        <v>Y.A. Spittle</v>
      </c>
      <c r="H67" s="89" t="str">
        <f t="array" aca="1" ref="H67" ca="1">IF(INDEX(ExistsTx,$I67,2),INDIRECT("'T"&amp;$I67&amp;"'!$E$"&amp;($J67+5),TRUE),0)</f>
        <v>Thrower</v>
      </c>
      <c r="I67" s="90">
        <v>5</v>
      </c>
      <c r="J67" s="90">
        <v>1</v>
      </c>
      <c r="K67" s="89" t="str">
        <f t="array" aca="1" ref="K67" ca="1">INDEX(ListTeams,$I67,1)</f>
        <v>OrCares</v>
      </c>
      <c r="L67" s="91">
        <f t="array" aca="1" ref="L67" ca="1">IF(OR(NOT(INDEX(ExistsTx,$I67,2)),$H67=0),0,INDIRECT("'T"&amp;$I67&amp;"'!$M$"&amp;($J67+5),TRUE)+((1000-ROW())/10000000000000))</f>
        <v>6.0000000000932996</v>
      </c>
      <c r="M67" s="91">
        <f t="array" aca="1" ref="M67" ca="1">IF(OR(NOT(INDEX(ExistsTx,$I67,2)),$H67=0),0,INDIRECT("'T"&amp;$I67&amp;"'!$N$"&amp;($J67+5),TRUE)+((1000-ROW())/10000000000000))</f>
        <v>1.0000000000933</v>
      </c>
      <c r="N67" s="91">
        <f t="array" aca="1" ref="N67" ca="1">IF(OR(NOT(INDEX(ExistsTx,$I67,2)),$H67=0),0,INDIRECT("'T"&amp;$I67&amp;"'!$O$"&amp;($J67+5),TRUE)+((1000-ROW())/10000000000000))</f>
        <v>9.3300000000000004E-11</v>
      </c>
      <c r="O67" s="91">
        <f t="array" aca="1" ref="O67" ca="1">IF(OR(NOT(INDEX(ExistsTx,$I67,2)),$H67=0),0,INDIRECT("'T"&amp;$I67&amp;"'!$P$"&amp;($J67+5),TRUE)+((1000-ROW())/10000000000000))</f>
        <v>9.3300000000000004E-11</v>
      </c>
      <c r="P67" s="91">
        <f t="array" aca="1" ref="P67" ca="1">IF(OR(NOT(INDEX(ExistsTx,$I67,2)),$H67=0),0,INDIRECT("'T"&amp;$I67&amp;"'!$Q$"&amp;($J67+5),TRUE)+((1000-ROW())/10000000000000))</f>
        <v>2.0000000000933</v>
      </c>
      <c r="Q67" s="91">
        <f t="shared" ref="Q67:Q130" ca="1" si="37">L67*SPP_CP+M67*SPP_TD+N67*SPP_IN+O67*SPP_CS+P67*SPP_VP+((1000-ROW())/777777777)</f>
        <v>19.000001200784325</v>
      </c>
      <c r="R67" s="2"/>
      <c r="S67" s="2"/>
      <c r="T67" s="34">
        <v>9</v>
      </c>
      <c r="U67" s="55" t="str">
        <f t="shared" ca="1" si="23"/>
        <v>Horus</v>
      </c>
      <c r="V67" s="55" t="str">
        <f t="shared" ca="1" si="24"/>
        <v>Saurus</v>
      </c>
      <c r="W67" s="55" t="str">
        <f t="shared" ca="1" si="25"/>
        <v>Guardians of the Nile</v>
      </c>
      <c r="X67" s="97">
        <f t="shared" ca="1" si="26"/>
        <v>2.0000000000912999</v>
      </c>
      <c r="Y67" s="98"/>
      <c r="Z67" s="34">
        <v>9</v>
      </c>
      <c r="AA67" s="55" t="str">
        <f t="shared" ca="1" si="27"/>
        <v>Duke James Graham</v>
      </c>
      <c r="AB67" s="55" t="str">
        <f t="shared" ca="1" si="28"/>
        <v>Vampire</v>
      </c>
      <c r="AC67" s="55" t="str">
        <f t="shared" ca="1" si="29"/>
        <v>Sylvania Suckhawks</v>
      </c>
      <c r="AD67" s="97">
        <f t="shared" ca="1" si="30"/>
        <v>1.0000000000995</v>
      </c>
      <c r="AE67" s="2"/>
    </row>
    <row r="68" spans="1:31" ht="12.75" customHeight="1">
      <c r="A68" s="88" t="str">
        <f t="shared" ca="1" si="31"/>
        <v/>
      </c>
      <c r="B68" s="88" t="str">
        <f t="shared" ca="1" si="32"/>
        <v/>
      </c>
      <c r="C68" s="88" t="str">
        <f t="shared" ca="1" si="33"/>
        <v/>
      </c>
      <c r="D68" s="88">
        <f t="shared" ca="1" si="34"/>
        <v>1</v>
      </c>
      <c r="E68" s="88">
        <f t="shared" ca="1" si="35"/>
        <v>6</v>
      </c>
      <c r="F68" s="88">
        <f t="shared" ca="1" si="36"/>
        <v>1</v>
      </c>
      <c r="G68" s="89" t="str">
        <f t="array" aca="1" ref="G68" ca="1">IF(INDEX(ExistsTx,$I68,2),IF(INDIRECT("'T"&amp;$I68&amp;"'!$D$"&amp;($J68+5),TRUE)=0,T_NoName,INDIRECT("'T"&amp;$I68&amp;"'!$D$"&amp;($J68+5),TRUE)),"")</f>
        <v>Orc Donovan</v>
      </c>
      <c r="H68" s="89" t="str">
        <f t="array" aca="1" ref="H68" ca="1">IF(INDEX(ExistsTx,$I68,2),INDIRECT("'T"&amp;$I68&amp;"'!$E$"&amp;($J68+5),TRUE),0)</f>
        <v>Black Orc Blocker</v>
      </c>
      <c r="I68" s="90">
        <v>5</v>
      </c>
      <c r="J68" s="90">
        <v>2</v>
      </c>
      <c r="K68" s="89" t="str">
        <f t="array" aca="1" ref="K68" ca="1">INDEX(ListTeams,$I68,1)</f>
        <v>OrCares</v>
      </c>
      <c r="L68" s="91">
        <f t="array" aca="1" ref="L68" ca="1">IF(OR(NOT(INDEX(ExistsTx,$I68,2)),$H68=0),0,INDIRECT("'T"&amp;$I68&amp;"'!$M$"&amp;($J68+5),TRUE)+((1000-ROW())/10000000000000))</f>
        <v>9.3199999999999999E-11</v>
      </c>
      <c r="M68" s="91">
        <f t="array" aca="1" ref="M68" ca="1">IF(OR(NOT(INDEX(ExistsTx,$I68,2)),$H68=0),0,INDIRECT("'T"&amp;$I68&amp;"'!$N$"&amp;($J68+5),TRUE)+((1000-ROW())/10000000000000))</f>
        <v>9.3199999999999999E-11</v>
      </c>
      <c r="N68" s="91">
        <f t="array" aca="1" ref="N68" ca="1">IF(OR(NOT(INDEX(ExistsTx,$I68,2)),$H68=0),0,INDIRECT("'T"&amp;$I68&amp;"'!$O$"&amp;($J68+5),TRUE)+((1000-ROW())/10000000000000))</f>
        <v>9.3199999999999999E-11</v>
      </c>
      <c r="O68" s="91">
        <f t="array" aca="1" ref="O68" ca="1">IF(OR(NOT(INDEX(ExistsTx,$I68,2)),$H68=0),0,INDIRECT("'T"&amp;$I68&amp;"'!$P$"&amp;($J68+5),TRUE)+((1000-ROW())/10000000000000))</f>
        <v>8.0000000000932001</v>
      </c>
      <c r="P68" s="91">
        <f t="array" aca="1" ref="P68" ca="1">IF(OR(NOT(INDEX(ExistsTx,$I68,2)),$H68=0),0,INDIRECT("'T"&amp;$I68&amp;"'!$Q$"&amp;($J68+5),TRUE)+((1000-ROW())/10000000000000))</f>
        <v>2.0000000000932001</v>
      </c>
      <c r="Q68" s="91">
        <f t="shared" ca="1" si="37"/>
        <v>26.000001199497319</v>
      </c>
      <c r="R68" s="2"/>
      <c r="S68" s="2"/>
      <c r="T68" s="34">
        <v>10</v>
      </c>
      <c r="U68" s="55" t="str">
        <f t="shared" ca="1" si="23"/>
        <v>Tuttut</v>
      </c>
      <c r="V68" s="55" t="str">
        <f t="shared" ca="1" si="24"/>
        <v>Mummy</v>
      </c>
      <c r="W68" s="55" t="str">
        <f t="shared" ca="1" si="25"/>
        <v>Ashtown Villains</v>
      </c>
      <c r="X68" s="97">
        <f t="shared" ca="1" si="26"/>
        <v>2.0000000000884999</v>
      </c>
      <c r="Y68" s="98"/>
      <c r="Z68" s="34">
        <v>10</v>
      </c>
      <c r="AA68" s="55" t="str">
        <f t="shared" ca="1" si="27"/>
        <v>Kim Chancellor</v>
      </c>
      <c r="AB68" s="55" t="str">
        <f t="shared" ca="1" si="28"/>
        <v>Thrall</v>
      </c>
      <c r="AC68" s="55" t="str">
        <f t="shared" ca="1" si="29"/>
        <v>Sylvania Suckhawks</v>
      </c>
      <c r="AD68" s="97">
        <f t="shared" ca="1" si="30"/>
        <v>1.0000000000991001</v>
      </c>
      <c r="AE68" s="2"/>
    </row>
    <row r="69" spans="1:31" ht="12.75" customHeight="1">
      <c r="A69" s="88" t="str">
        <f t="shared" ca="1" si="31"/>
        <v/>
      </c>
      <c r="B69" s="88" t="str">
        <f t="shared" ca="1" si="32"/>
        <v/>
      </c>
      <c r="C69" s="88" t="str">
        <f t="shared" ca="1" si="33"/>
        <v/>
      </c>
      <c r="D69" s="88">
        <f t="shared" ca="1" si="34"/>
        <v>3</v>
      </c>
      <c r="E69" s="88" t="str">
        <f t="shared" ca="1" si="35"/>
        <v/>
      </c>
      <c r="F69" s="88">
        <f t="shared" ca="1" si="36"/>
        <v>18</v>
      </c>
      <c r="G69" s="89" t="str">
        <f t="array" aca="1" ref="G69" ca="1">IF(INDEX(ExistsTx,$I69,2),IF(INDIRECT("'T"&amp;$I69&amp;"'!$D$"&amp;($J69+5),TRUE)=0,T_NoName,INDIRECT("'T"&amp;$I69&amp;"'!$D$"&amp;($J69+5),TRUE)),"")</f>
        <v>Gino Orchetti</v>
      </c>
      <c r="H69" s="89" t="str">
        <f t="array" aca="1" ref="H69" ca="1">IF(INDEX(ExistsTx,$I69,2),INDIRECT("'T"&amp;$I69&amp;"'!$E$"&amp;($J69+5),TRUE),0)</f>
        <v>Black Orc Blocker</v>
      </c>
      <c r="I69" s="90">
        <v>5</v>
      </c>
      <c r="J69" s="90">
        <v>3</v>
      </c>
      <c r="K69" s="89" t="str">
        <f t="array" aca="1" ref="K69" ca="1">INDEX(ListTeams,$I69,1)</f>
        <v>OrCares</v>
      </c>
      <c r="L69" s="91">
        <f t="array" aca="1" ref="L69" ca="1">IF(OR(NOT(INDEX(ExistsTx,$I69,2)),$H69=0),0,INDIRECT("'T"&amp;$I69&amp;"'!$M$"&amp;($J69+5),TRUE)+((1000-ROW())/10000000000000))</f>
        <v>9.3099999999999994E-11</v>
      </c>
      <c r="M69" s="91">
        <f t="array" aca="1" ref="M69" ca="1">IF(OR(NOT(INDEX(ExistsTx,$I69,2)),$H69=0),0,INDIRECT("'T"&amp;$I69&amp;"'!$N$"&amp;($J69+5),TRUE)+((1000-ROW())/10000000000000))</f>
        <v>9.3099999999999994E-11</v>
      </c>
      <c r="N69" s="91">
        <f t="array" aca="1" ref="N69" ca="1">IF(OR(NOT(INDEX(ExistsTx,$I69,2)),$H69=0),0,INDIRECT("'T"&amp;$I69&amp;"'!$O$"&amp;($J69+5),TRUE)+((1000-ROW())/10000000000000))</f>
        <v>9.3099999999999994E-11</v>
      </c>
      <c r="O69" s="91">
        <f t="array" aca="1" ref="O69" ca="1">IF(OR(NOT(INDEX(ExistsTx,$I69,2)),$H69=0),0,INDIRECT("'T"&amp;$I69&amp;"'!$P$"&amp;($J69+5),TRUE)+((1000-ROW())/10000000000000))</f>
        <v>4.0000000000930998</v>
      </c>
      <c r="P69" s="91">
        <f t="array" aca="1" ref="P69" ca="1">IF(OR(NOT(INDEX(ExistsTx,$I69,2)),$H69=0),0,INDIRECT("'T"&amp;$I69&amp;"'!$Q$"&amp;($J69+5),TRUE)+((1000-ROW())/10000000000000))</f>
        <v>9.3099999999999994E-11</v>
      </c>
      <c r="Q69" s="91">
        <f t="shared" ca="1" si="37"/>
        <v>8.0000011982103008</v>
      </c>
      <c r="R69" s="2"/>
      <c r="S69" s="2"/>
      <c r="T69" s="34">
        <v>11</v>
      </c>
      <c r="U69" s="55" t="str">
        <f t="shared" ca="1" si="23"/>
        <v>Lord Joshua Pvortis</v>
      </c>
      <c r="V69" s="55" t="str">
        <f t="shared" ca="1" si="24"/>
        <v>Vampire</v>
      </c>
      <c r="W69" s="55" t="str">
        <f t="shared" ca="1" si="25"/>
        <v>Sylvania Suckhawks</v>
      </c>
      <c r="X69" s="97">
        <f t="shared" ca="1" si="26"/>
        <v>1.0000000000997</v>
      </c>
      <c r="Y69" s="98"/>
      <c r="Z69" s="34">
        <v>11</v>
      </c>
      <c r="AA69" s="55" t="str">
        <f t="shared" ca="1" si="27"/>
        <v>Jesse "Preachin'" Jackson</v>
      </c>
      <c r="AB69" s="55" t="str">
        <f t="shared" ca="1" si="28"/>
        <v>Zombie</v>
      </c>
      <c r="AC69" s="55" t="str">
        <f t="shared" ca="1" si="29"/>
        <v>Jacksonville Thrillers</v>
      </c>
      <c r="AD69" s="97">
        <f t="shared" ca="1" si="30"/>
        <v>1.000000000097</v>
      </c>
      <c r="AE69" s="2"/>
    </row>
    <row r="70" spans="1:31" ht="12.75" customHeight="1">
      <c r="A70" s="88" t="str">
        <f t="shared" ca="1" si="31"/>
        <v/>
      </c>
      <c r="B70" s="88" t="str">
        <f t="shared" ca="1" si="32"/>
        <v/>
      </c>
      <c r="C70" s="88" t="str">
        <f t="shared" ca="1" si="33"/>
        <v/>
      </c>
      <c r="D70" s="88">
        <f t="shared" ca="1" si="34"/>
        <v>23</v>
      </c>
      <c r="E70" s="88">
        <f t="shared" ca="1" si="35"/>
        <v>1</v>
      </c>
      <c r="F70" s="88">
        <f t="shared" ca="1" si="36"/>
        <v>9</v>
      </c>
      <c r="G70" s="89" t="str">
        <f t="array" aca="1" ref="G70" ca="1">IF(INDEX(ExistsTx,$I70,2),IF(INDIRECT("'T"&amp;$I70&amp;"'!$D$"&amp;($J70+5),TRUE)=0,T_NoName,INDIRECT("'T"&amp;$I70&amp;"'!$D$"&amp;($J70+5),TRUE)),"")</f>
        <v>Big Daddy Lipsplitt</v>
      </c>
      <c r="H70" s="89" t="str">
        <f t="array" aca="1" ref="H70" ca="1">IF(INDEX(ExistsTx,$I70,2),INDIRECT("'T"&amp;$I70&amp;"'!$E$"&amp;($J70+5),TRUE),0)</f>
        <v>Black Orc Blocker</v>
      </c>
      <c r="I70" s="90">
        <v>5</v>
      </c>
      <c r="J70" s="90">
        <v>4</v>
      </c>
      <c r="K70" s="89" t="str">
        <f t="array" aca="1" ref="K70" ca="1">INDEX(ListTeams,$I70,1)</f>
        <v>OrCares</v>
      </c>
      <c r="L70" s="91">
        <f t="array" aca="1" ref="L70" ca="1">IF(OR(NOT(INDEX(ExistsTx,$I70,2)),$H70=0),0,INDIRECT("'T"&amp;$I70&amp;"'!$M$"&amp;($J70+5),TRUE)+((1000-ROW())/10000000000000))</f>
        <v>9.3000000000000002E-11</v>
      </c>
      <c r="M70" s="91">
        <f t="array" aca="1" ref="M70" ca="1">IF(OR(NOT(INDEX(ExistsTx,$I70,2)),$H70=0),0,INDIRECT("'T"&amp;$I70&amp;"'!$N$"&amp;($J70+5),TRUE)+((1000-ROW())/10000000000000))</f>
        <v>9.3000000000000002E-11</v>
      </c>
      <c r="N70" s="91">
        <f t="array" aca="1" ref="N70" ca="1">IF(OR(NOT(INDEX(ExistsTx,$I70,2)),$H70=0),0,INDIRECT("'T"&amp;$I70&amp;"'!$O$"&amp;($J70+5),TRUE)+((1000-ROW())/10000000000000))</f>
        <v>9.3000000000000002E-11</v>
      </c>
      <c r="O70" s="91">
        <f t="array" aca="1" ref="O70" ca="1">IF(OR(NOT(INDEX(ExistsTx,$I70,2)),$H70=0),0,INDIRECT("'T"&amp;$I70&amp;"'!$P$"&amp;($J70+5),TRUE)+((1000-ROW())/10000000000000))</f>
        <v>1.0000000000930001</v>
      </c>
      <c r="P70" s="91">
        <f t="array" aca="1" ref="P70" ca="1">IF(OR(NOT(INDEX(ExistsTx,$I70,2)),$H70=0),0,INDIRECT("'T"&amp;$I70&amp;"'!$Q$"&amp;($J70+5),TRUE)+((1000-ROW())/10000000000000))</f>
        <v>3.0000000000929998</v>
      </c>
      <c r="Q70" s="91">
        <f t="shared" ca="1" si="37"/>
        <v>17.000001196923286</v>
      </c>
      <c r="R70" s="2"/>
      <c r="S70" s="2"/>
      <c r="T70" s="34">
        <v>12</v>
      </c>
      <c r="U70" s="55" t="str">
        <f t="shared" ca="1" si="23"/>
        <v>Robert Wagner</v>
      </c>
      <c r="V70" s="55" t="str">
        <f t="shared" ca="1" si="24"/>
        <v>Thrall</v>
      </c>
      <c r="W70" s="55" t="str">
        <f t="shared" ca="1" si="25"/>
        <v>Sylvania Suckhawks</v>
      </c>
      <c r="X70" s="97">
        <f t="shared" ca="1" si="26"/>
        <v>1.0000000000989</v>
      </c>
      <c r="Y70" s="98"/>
      <c r="Z70" s="34">
        <v>12</v>
      </c>
      <c r="AA70" s="55" t="str">
        <f t="shared" ca="1" si="27"/>
        <v>Peter "Frodo" Jackson</v>
      </c>
      <c r="AB70" s="55" t="str">
        <f t="shared" ca="1" si="28"/>
        <v>Zombie</v>
      </c>
      <c r="AC70" s="55" t="str">
        <f t="shared" ca="1" si="29"/>
        <v>Jacksonville Thrillers</v>
      </c>
      <c r="AD70" s="97">
        <f t="shared" ca="1" si="30"/>
        <v>1.0000000000969</v>
      </c>
      <c r="AE70" s="2"/>
    </row>
    <row r="71" spans="1:31" ht="12.75" customHeight="1">
      <c r="A71" s="88" t="str">
        <f t="shared" ca="1" si="31"/>
        <v/>
      </c>
      <c r="B71" s="88" t="str">
        <f t="shared" ca="1" si="32"/>
        <v/>
      </c>
      <c r="C71" s="88" t="str">
        <f t="shared" ca="1" si="33"/>
        <v/>
      </c>
      <c r="D71" s="88">
        <f t="shared" ca="1" si="34"/>
        <v>24</v>
      </c>
      <c r="E71" s="88" t="str">
        <f t="shared" ca="1" si="35"/>
        <v/>
      </c>
      <c r="F71" s="88">
        <f t="shared" ca="1" si="36"/>
        <v>57</v>
      </c>
      <c r="G71" s="89" t="str">
        <f t="array" aca="1" ref="G71" ca="1">IF(INDEX(ExistsTx,$I71,2),IF(INDIRECT("'T"&amp;$I71&amp;"'!$D$"&amp;($J71+5),TRUE)=0,T_NoName,INDIRECT("'T"&amp;$I71&amp;"'!$D$"&amp;($J71+5),TRUE)),"")</f>
        <v>Merlin Orcson</v>
      </c>
      <c r="H71" s="89" t="str">
        <f t="array" aca="1" ref="H71" ca="1">IF(INDEX(ExistsTx,$I71,2),INDIRECT("'T"&amp;$I71&amp;"'!$E$"&amp;($J71+5),TRUE),0)</f>
        <v>Black Orc Blocker</v>
      </c>
      <c r="I71" s="90">
        <v>5</v>
      </c>
      <c r="J71" s="90">
        <v>5</v>
      </c>
      <c r="K71" s="89" t="str">
        <f t="array" aca="1" ref="K71" ca="1">INDEX(ListTeams,$I71,1)</f>
        <v>OrCares</v>
      </c>
      <c r="L71" s="91">
        <f t="array" aca="1" ref="L71" ca="1">IF(OR(NOT(INDEX(ExistsTx,$I71,2)),$H71=0),0,INDIRECT("'T"&amp;$I71&amp;"'!$M$"&amp;($J71+5),TRUE)+((1000-ROW())/10000000000000))</f>
        <v>9.2899999999999997E-11</v>
      </c>
      <c r="M71" s="91">
        <f t="array" aca="1" ref="M71" ca="1">IF(OR(NOT(INDEX(ExistsTx,$I71,2)),$H71=0),0,INDIRECT("'T"&amp;$I71&amp;"'!$N$"&amp;($J71+5),TRUE)+((1000-ROW())/10000000000000))</f>
        <v>9.2899999999999997E-11</v>
      </c>
      <c r="N71" s="91">
        <f t="array" aca="1" ref="N71" ca="1">IF(OR(NOT(INDEX(ExistsTx,$I71,2)),$H71=0),0,INDIRECT("'T"&amp;$I71&amp;"'!$O$"&amp;($J71+5),TRUE)+((1000-ROW())/10000000000000))</f>
        <v>9.2899999999999997E-11</v>
      </c>
      <c r="O71" s="91">
        <f t="array" aca="1" ref="O71" ca="1">IF(OR(NOT(INDEX(ExistsTx,$I71,2)),$H71=0),0,INDIRECT("'T"&amp;$I71&amp;"'!$P$"&amp;($J71+5),TRUE)+((1000-ROW())/10000000000000))</f>
        <v>1.0000000000928999</v>
      </c>
      <c r="P71" s="91">
        <f t="array" aca="1" ref="P71" ca="1">IF(OR(NOT(INDEX(ExistsTx,$I71,2)),$H71=0),0,INDIRECT("'T"&amp;$I71&amp;"'!$Q$"&amp;($J71+5),TRUE)+((1000-ROW())/10000000000000))</f>
        <v>9.2899999999999997E-11</v>
      </c>
      <c r="Q71" s="91">
        <f t="shared" ca="1" si="37"/>
        <v>2.0000011956362722</v>
      </c>
      <c r="R71" s="2"/>
      <c r="S71" s="2"/>
      <c r="T71" s="34">
        <v>13</v>
      </c>
      <c r="U71" s="55" t="str">
        <f t="shared" ca="1" si="23"/>
        <v>Clifford Avril</v>
      </c>
      <c r="V71" s="55" t="str">
        <f t="shared" ca="1" si="24"/>
        <v>Thrall</v>
      </c>
      <c r="W71" s="55" t="str">
        <f t="shared" ca="1" si="25"/>
        <v>Sylvania Suckhawks</v>
      </c>
      <c r="X71" s="97">
        <f t="shared" ca="1" si="26"/>
        <v>1.0000000000986</v>
      </c>
      <c r="Y71" s="98"/>
      <c r="Z71" s="34">
        <v>13</v>
      </c>
      <c r="AA71" s="55" t="str">
        <f t="shared" ca="1" si="27"/>
        <v>Sad'zug</v>
      </c>
      <c r="AB71" s="55" t="str">
        <f t="shared" ca="1" si="28"/>
        <v>Lineman</v>
      </c>
      <c r="AC71" s="55" t="str">
        <f t="shared" ca="1" si="29"/>
        <v>Population: Orc</v>
      </c>
      <c r="AD71" s="97">
        <f t="shared" ca="1" si="30"/>
        <v>1.0000000000964999</v>
      </c>
      <c r="AE71" s="2"/>
    </row>
    <row r="72" spans="1:31" ht="12.75" customHeight="1">
      <c r="A72" s="88">
        <f t="shared" ca="1" si="31"/>
        <v>17</v>
      </c>
      <c r="B72" s="88">
        <f t="shared" ca="1" si="32"/>
        <v>18</v>
      </c>
      <c r="C72" s="88">
        <f t="shared" ca="1" si="33"/>
        <v>1</v>
      </c>
      <c r="D72" s="88" t="str">
        <f t="shared" ca="1" si="34"/>
        <v/>
      </c>
      <c r="E72" s="88" t="str">
        <f t="shared" ca="1" si="35"/>
        <v/>
      </c>
      <c r="F72" s="88">
        <f t="shared" ca="1" si="36"/>
        <v>36</v>
      </c>
      <c r="G72" s="89" t="str">
        <f t="array" aca="1" ref="G72" ca="1">IF(INDEX(ExistsTx,$I72,2),IF(INDIRECT("'T"&amp;$I72&amp;"'!$D$"&amp;($J72+5),TRUE)=0,T_NoName,INDIRECT("'T"&amp;$I72&amp;"'!$D$"&amp;($J72+5),TRUE)),"")</f>
        <v>DT</v>
      </c>
      <c r="H72" s="89" t="str">
        <f t="array" aca="1" ref="H72" ca="1">IF(INDEX(ExistsTx,$I72,2),INDIRECT("'T"&amp;$I72&amp;"'!$E$"&amp;($J72+5),TRUE),0)</f>
        <v>Blitzer</v>
      </c>
      <c r="I72" s="90">
        <v>5</v>
      </c>
      <c r="J72" s="90">
        <v>6</v>
      </c>
      <c r="K72" s="89" t="str">
        <f t="array" aca="1" ref="K72" ca="1">INDEX(ListTeams,$I72,1)</f>
        <v>OrCares</v>
      </c>
      <c r="L72" s="91">
        <f t="array" aca="1" ref="L72" ca="1">IF(OR(NOT(INDEX(ExistsTx,$I72,2)),$H72=0),0,INDIRECT("'T"&amp;$I72&amp;"'!$M$"&amp;($J72+5),TRUE)+((1000-ROW())/10000000000000))</f>
        <v>1.0000000000928</v>
      </c>
      <c r="M72" s="91">
        <f t="array" aca="1" ref="M72" ca="1">IF(OR(NOT(INDEX(ExistsTx,$I72,2)),$H72=0),0,INDIRECT("'T"&amp;$I72&amp;"'!$N$"&amp;($J72+5),TRUE)+((1000-ROW())/10000000000000))</f>
        <v>1.0000000000928</v>
      </c>
      <c r="N72" s="91">
        <f t="array" aca="1" ref="N72" ca="1">IF(OR(NOT(INDEX(ExistsTx,$I72,2)),$H72=0),0,INDIRECT("'T"&amp;$I72&amp;"'!$O$"&amp;($J72+5),TRUE)+((1000-ROW())/10000000000000))</f>
        <v>1.0000000000928</v>
      </c>
      <c r="O72" s="91">
        <f t="array" aca="1" ref="O72" ca="1">IF(OR(NOT(INDEX(ExistsTx,$I72,2)),$H72=0),0,INDIRECT("'T"&amp;$I72&amp;"'!$P$"&amp;($J72+5),TRUE)+((1000-ROW())/10000000000000))</f>
        <v>9.2800000000000005E-11</v>
      </c>
      <c r="P72" s="91">
        <f t="array" aca="1" ref="P72" ca="1">IF(OR(NOT(INDEX(ExistsTx,$I72,2)),$H72=0),0,INDIRECT("'T"&amp;$I72&amp;"'!$Q$"&amp;($J72+5),TRUE)+((1000-ROW())/10000000000000))</f>
        <v>9.2800000000000005E-11</v>
      </c>
      <c r="Q72" s="91">
        <f t="shared" ca="1" si="37"/>
        <v>6.0000011943492586</v>
      </c>
      <c r="R72" s="2"/>
      <c r="S72" s="2"/>
      <c r="T72" s="34">
        <v>14</v>
      </c>
      <c r="U72" s="55" t="str">
        <f t="shared" ca="1" si="23"/>
        <v>Jesse "Preachin'" Jackson</v>
      </c>
      <c r="V72" s="55" t="str">
        <f t="shared" ca="1" si="24"/>
        <v>Zombie</v>
      </c>
      <c r="W72" s="55" t="str">
        <f t="shared" ca="1" si="25"/>
        <v>Jacksonville Thrillers</v>
      </c>
      <c r="X72" s="97">
        <f t="shared" ca="1" si="26"/>
        <v>1.000000000097</v>
      </c>
      <c r="Y72" s="98"/>
      <c r="Z72" s="34">
        <v>14</v>
      </c>
      <c r="AA72" s="55" t="str">
        <f t="shared" ca="1" si="27"/>
        <v>Cheat'zug</v>
      </c>
      <c r="AB72" s="55" t="str">
        <f t="shared" ca="1" si="28"/>
        <v>Blitzer</v>
      </c>
      <c r="AC72" s="55" t="str">
        <f t="shared" ca="1" si="29"/>
        <v>Population: Orc</v>
      </c>
      <c r="AD72" s="97">
        <f t="shared" ca="1" si="30"/>
        <v>1.0000000000956999</v>
      </c>
      <c r="AE72" s="2"/>
    </row>
    <row r="73" spans="1:31" ht="12.75" customHeight="1">
      <c r="A73" s="88" t="str">
        <f t="shared" ca="1" si="31"/>
        <v/>
      </c>
      <c r="B73" s="88" t="str">
        <f t="shared" ca="1" si="32"/>
        <v/>
      </c>
      <c r="C73" s="88" t="str">
        <f t="shared" ca="1" si="33"/>
        <v/>
      </c>
      <c r="D73" s="88">
        <f t="shared" ca="1" si="34"/>
        <v>25</v>
      </c>
      <c r="E73" s="88">
        <f t="shared" ca="1" si="35"/>
        <v>20</v>
      </c>
      <c r="F73" s="88">
        <f t="shared" ca="1" si="36"/>
        <v>25</v>
      </c>
      <c r="G73" s="89" t="str">
        <f t="array" aca="1" ref="G73" ca="1">IF(INDEX(ExistsTx,$I73,2),IF(INDIRECT("'T"&amp;$I73&amp;"'!$D$"&amp;($J73+5),TRUE)=0,T_NoName,INDIRECT("'T"&amp;$I73&amp;"'!$D$"&amp;($J73+5),TRUE)),"")</f>
        <v>Lorcrance Taylor</v>
      </c>
      <c r="H73" s="89" t="str">
        <f t="array" aca="1" ref="H73" ca="1">IF(INDEX(ExistsTx,$I73,2),INDIRECT("'T"&amp;$I73&amp;"'!$E$"&amp;($J73+5),TRUE),0)</f>
        <v>Blitzer</v>
      </c>
      <c r="I73" s="90">
        <v>5</v>
      </c>
      <c r="J73" s="90">
        <v>7</v>
      </c>
      <c r="K73" s="89" t="str">
        <f t="array" aca="1" ref="K73" ca="1">INDEX(ListTeams,$I73,1)</f>
        <v>OrCares</v>
      </c>
      <c r="L73" s="91">
        <f t="array" aca="1" ref="L73" ca="1">IF(OR(NOT(INDEX(ExistsTx,$I73,2)),$H73=0),0,INDIRECT("'T"&amp;$I73&amp;"'!$M$"&amp;($J73+5),TRUE)+((1000-ROW())/10000000000000))</f>
        <v>9.27E-11</v>
      </c>
      <c r="M73" s="91">
        <f t="array" aca="1" ref="M73" ca="1">IF(OR(NOT(INDEX(ExistsTx,$I73,2)),$H73=0),0,INDIRECT("'T"&amp;$I73&amp;"'!$N$"&amp;($J73+5),TRUE)+((1000-ROW())/10000000000000))</f>
        <v>9.27E-11</v>
      </c>
      <c r="N73" s="91">
        <f t="array" aca="1" ref="N73" ca="1">IF(OR(NOT(INDEX(ExistsTx,$I73,2)),$H73=0),0,INDIRECT("'T"&amp;$I73&amp;"'!$O$"&amp;($J73+5),TRUE)+((1000-ROW())/10000000000000))</f>
        <v>9.27E-11</v>
      </c>
      <c r="O73" s="91">
        <f t="array" aca="1" ref="O73" ca="1">IF(OR(NOT(INDEX(ExistsTx,$I73,2)),$H73=0),0,INDIRECT("'T"&amp;$I73&amp;"'!$P$"&amp;($J73+5),TRUE)+((1000-ROW())/10000000000000))</f>
        <v>1.0000000000927001</v>
      </c>
      <c r="P73" s="91">
        <f t="array" aca="1" ref="P73" ca="1">IF(OR(NOT(INDEX(ExistsTx,$I73,2)),$H73=0),0,INDIRECT("'T"&amp;$I73&amp;"'!$Q$"&amp;($J73+5),TRUE)+((1000-ROW())/10000000000000))</f>
        <v>1.0000000000927001</v>
      </c>
      <c r="Q73" s="91">
        <f t="shared" ca="1" si="37"/>
        <v>7.0000011930622437</v>
      </c>
      <c r="R73" s="2"/>
      <c r="S73" s="2"/>
      <c r="T73" s="34">
        <v>15</v>
      </c>
      <c r="U73" s="55" t="str">
        <f t="shared" ca="1" si="23"/>
        <v>Peter "Frodo" Jackson</v>
      </c>
      <c r="V73" s="55" t="str">
        <f t="shared" ca="1" si="24"/>
        <v>Zombie</v>
      </c>
      <c r="W73" s="55" t="str">
        <f t="shared" ca="1" si="25"/>
        <v>Jacksonville Thrillers</v>
      </c>
      <c r="X73" s="97">
        <f t="shared" ca="1" si="26"/>
        <v>1.0000000000969</v>
      </c>
      <c r="Y73" s="98"/>
      <c r="Z73" s="34">
        <v>15</v>
      </c>
      <c r="AA73" s="55" t="str">
        <f t="shared" ca="1" si="27"/>
        <v>Bub'zug</v>
      </c>
      <c r="AB73" s="55" t="str">
        <f t="shared" ca="1" si="28"/>
        <v>Black Orc Blocker</v>
      </c>
      <c r="AC73" s="55" t="str">
        <f t="shared" ca="1" si="29"/>
        <v>Population: Orc</v>
      </c>
      <c r="AD73" s="97">
        <f t="shared" ca="1" si="30"/>
        <v>1.0000000000952001</v>
      </c>
      <c r="AE73" s="2"/>
    </row>
    <row r="74" spans="1:31" ht="12.75" customHeight="1">
      <c r="A74" s="88" t="str">
        <f t="shared" ca="1" si="31"/>
        <v/>
      </c>
      <c r="B74" s="88">
        <f t="shared" ca="1" si="32"/>
        <v>7</v>
      </c>
      <c r="C74" s="88" t="str">
        <f t="shared" ca="1" si="33"/>
        <v/>
      </c>
      <c r="D74" s="88">
        <f t="shared" ca="1" si="34"/>
        <v>26</v>
      </c>
      <c r="E74" s="88" t="str">
        <f t="shared" ca="1" si="35"/>
        <v/>
      </c>
      <c r="F74" s="88">
        <f t="shared" ca="1" si="36"/>
        <v>19</v>
      </c>
      <c r="G74" s="89" t="str">
        <f t="array" aca="1" ref="G74" ca="1">IF(INDEX(ExistsTx,$I74,2),IF(INDIRECT("'T"&amp;$I74&amp;"'!$D$"&amp;($J74+5),TRUE)=0,T_NoName,INDIRECT("'T"&amp;$I74&amp;"'!$D$"&amp;($J74+5),TRUE)),"")</f>
        <v>Orc Buttkiss</v>
      </c>
      <c r="H74" s="89" t="str">
        <f t="array" aca="1" ref="H74" ca="1">IF(INDEX(ExistsTx,$I74,2),INDIRECT("'T"&amp;$I74&amp;"'!$E$"&amp;($J74+5),TRUE),0)</f>
        <v>Blitzer</v>
      </c>
      <c r="I74" s="90">
        <v>5</v>
      </c>
      <c r="J74" s="90">
        <v>8</v>
      </c>
      <c r="K74" s="89" t="str">
        <f t="array" aca="1" ref="K74" ca="1">INDEX(ListTeams,$I74,1)</f>
        <v>OrCares</v>
      </c>
      <c r="L74" s="91">
        <f t="array" aca="1" ref="L74" ca="1">IF(OR(NOT(INDEX(ExistsTx,$I74,2)),$H74=0),0,INDIRECT("'T"&amp;$I74&amp;"'!$M$"&amp;($J74+5),TRUE)+((1000-ROW())/10000000000000))</f>
        <v>9.2599999999999996E-11</v>
      </c>
      <c r="M74" s="91">
        <f t="array" aca="1" ref="M74" ca="1">IF(OR(NOT(INDEX(ExistsTx,$I74,2)),$H74=0),0,INDIRECT("'T"&amp;$I74&amp;"'!$N$"&amp;($J74+5),TRUE)+((1000-ROW())/10000000000000))</f>
        <v>2.0000000000926001</v>
      </c>
      <c r="N74" s="91">
        <f t="array" aca="1" ref="N74" ca="1">IF(OR(NOT(INDEX(ExistsTx,$I74,2)),$H74=0),0,INDIRECT("'T"&amp;$I74&amp;"'!$O$"&amp;($J74+5),TRUE)+((1000-ROW())/10000000000000))</f>
        <v>9.2599999999999996E-11</v>
      </c>
      <c r="O74" s="91">
        <f t="array" aca="1" ref="O74" ca="1">IF(OR(NOT(INDEX(ExistsTx,$I74,2)),$H74=0),0,INDIRECT("'T"&amp;$I74&amp;"'!$P$"&amp;($J74+5),TRUE)+((1000-ROW())/10000000000000))</f>
        <v>1.0000000000925999</v>
      </c>
      <c r="P74" s="91">
        <f t="array" aca="1" ref="P74" ca="1">IF(OR(NOT(INDEX(ExistsTx,$I74,2)),$H74=0),0,INDIRECT("'T"&amp;$I74&amp;"'!$Q$"&amp;($J74+5),TRUE)+((1000-ROW())/10000000000000))</f>
        <v>9.2599999999999996E-11</v>
      </c>
      <c r="Q74" s="91">
        <f t="shared" ca="1" si="37"/>
        <v>8.0000011917752314</v>
      </c>
      <c r="R74" s="2"/>
      <c r="S74" s="2"/>
      <c r="T74" s="34">
        <v>16</v>
      </c>
      <c r="U74" s="55" t="str">
        <f t="shared" ca="1" si="23"/>
        <v>Sad'zug</v>
      </c>
      <c r="V74" s="55" t="str">
        <f t="shared" ca="1" si="24"/>
        <v>Lineman</v>
      </c>
      <c r="W74" s="55" t="str">
        <f t="shared" ca="1" si="25"/>
        <v>Population: Orc</v>
      </c>
      <c r="X74" s="97">
        <f t="shared" ca="1" si="26"/>
        <v>1.0000000000964999</v>
      </c>
      <c r="Y74" s="98"/>
      <c r="Z74" s="34">
        <v>16</v>
      </c>
      <c r="AA74" s="55" t="str">
        <f t="shared" ca="1" si="27"/>
        <v>Poop'zug</v>
      </c>
      <c r="AB74" s="55" t="str">
        <f t="shared" ca="1" si="28"/>
        <v>Black Orc Blocker</v>
      </c>
      <c r="AC74" s="55" t="str">
        <f t="shared" ca="1" si="29"/>
        <v>Population: Orc</v>
      </c>
      <c r="AD74" s="97">
        <f t="shared" ca="1" si="30"/>
        <v>1.0000000000950999</v>
      </c>
      <c r="AE74" s="2"/>
    </row>
    <row r="75" spans="1:31" ht="12.75" customHeight="1">
      <c r="A75" s="88" t="str">
        <f t="shared" ca="1" si="31"/>
        <v/>
      </c>
      <c r="B75" s="88" t="str">
        <f t="shared" ca="1" si="32"/>
        <v/>
      </c>
      <c r="C75" s="88" t="str">
        <f t="shared" ca="1" si="33"/>
        <v/>
      </c>
      <c r="D75" s="88" t="str">
        <f t="shared" ca="1" si="34"/>
        <v/>
      </c>
      <c r="E75" s="88" t="str">
        <f t="shared" ca="1" si="35"/>
        <v/>
      </c>
      <c r="F75" s="88" t="str">
        <f t="shared" ca="1" si="36"/>
        <v/>
      </c>
      <c r="G75" s="89" t="str">
        <f t="array" aca="1" ref="G75" ca="1">IF(INDEX(ExistsTx,$I75,2),IF(INDIRECT("'T"&amp;$I75&amp;"'!$D$"&amp;($J75+5),TRUE)=0,T_NoName,INDIRECT("'T"&amp;$I75&amp;"'!$D$"&amp;($J75+5),TRUE)),"")</f>
        <v>Derrorck Johnson</v>
      </c>
      <c r="H75" s="89" t="str">
        <f t="array" aca="1" ref="H75" ca="1">IF(INDEX(ExistsTx,$I75,2),INDIRECT("'T"&amp;$I75&amp;"'!$E$"&amp;($J75+5),TRUE),0)</f>
        <v>Blitzer</v>
      </c>
      <c r="I75" s="90">
        <v>5</v>
      </c>
      <c r="J75" s="90">
        <v>9</v>
      </c>
      <c r="K75" s="89" t="str">
        <f t="array" aca="1" ref="K75" ca="1">INDEX(ListTeams,$I75,1)</f>
        <v>OrCares</v>
      </c>
      <c r="L75" s="91">
        <f t="array" aca="1" ref="L75" ca="1">IF(OR(NOT(INDEX(ExistsTx,$I75,2)),$H75=0),0,INDIRECT("'T"&amp;$I75&amp;"'!$M$"&amp;($J75+5),TRUE)+((1000-ROW())/10000000000000))</f>
        <v>9.2500000000000004E-11</v>
      </c>
      <c r="M75" s="91">
        <f t="array" aca="1" ref="M75" ca="1">IF(OR(NOT(INDEX(ExistsTx,$I75,2)),$H75=0),0,INDIRECT("'T"&amp;$I75&amp;"'!$N$"&amp;($J75+5),TRUE)+((1000-ROW())/10000000000000))</f>
        <v>9.2500000000000004E-11</v>
      </c>
      <c r="N75" s="91">
        <f t="array" aca="1" ref="N75" ca="1">IF(OR(NOT(INDEX(ExistsTx,$I75,2)),$H75=0),0,INDIRECT("'T"&amp;$I75&amp;"'!$O$"&amp;($J75+5),TRUE)+((1000-ROW())/10000000000000))</f>
        <v>9.2500000000000004E-11</v>
      </c>
      <c r="O75" s="91">
        <f t="array" aca="1" ref="O75" ca="1">IF(OR(NOT(INDEX(ExistsTx,$I75,2)),$H75=0),0,INDIRECT("'T"&amp;$I75&amp;"'!$P$"&amp;($J75+5),TRUE)+((1000-ROW())/10000000000000))</f>
        <v>9.2500000000000004E-11</v>
      </c>
      <c r="P75" s="91">
        <f t="array" aca="1" ref="P75" ca="1">IF(OR(NOT(INDEX(ExistsTx,$I75,2)),$H75=0),0,INDIRECT("'T"&amp;$I75&amp;"'!$Q$"&amp;($J75+5),TRUE)+((1000-ROW())/10000000000000))</f>
        <v>9.2500000000000004E-11</v>
      </c>
      <c r="Q75" s="91">
        <f t="shared" ca="1" si="37"/>
        <v>1.190488215475E-6</v>
      </c>
      <c r="R75" s="2"/>
      <c r="S75" s="2"/>
      <c r="T75" s="34">
        <v>17</v>
      </c>
      <c r="U75" s="55" t="str">
        <f t="shared" ca="1" si="23"/>
        <v>King'zug</v>
      </c>
      <c r="V75" s="55" t="str">
        <f t="shared" ca="1" si="24"/>
        <v>Thrower</v>
      </c>
      <c r="W75" s="55" t="str">
        <f t="shared" ca="1" si="25"/>
        <v>Population: Orc</v>
      </c>
      <c r="X75" s="97">
        <f t="shared" ca="1" si="26"/>
        <v>1.0000000000959</v>
      </c>
      <c r="Y75" s="98"/>
      <c r="Z75" s="34">
        <v>17</v>
      </c>
      <c r="AA75" s="55" t="str">
        <f t="shared" ca="1" si="27"/>
        <v>Mad'zug</v>
      </c>
      <c r="AB75" s="55" t="str">
        <f t="shared" ca="1" si="28"/>
        <v>Black Orc Blocker</v>
      </c>
      <c r="AC75" s="55" t="str">
        <f t="shared" ca="1" si="29"/>
        <v>Population: Orc</v>
      </c>
      <c r="AD75" s="97">
        <f t="shared" ca="1" si="30"/>
        <v>1.000000000095</v>
      </c>
      <c r="AE75" s="2"/>
    </row>
    <row r="76" spans="1:31" ht="12.75" customHeight="1">
      <c r="A76" s="88" t="str">
        <f t="shared" ca="1" si="31"/>
        <v/>
      </c>
      <c r="B76" s="88" t="str">
        <f t="shared" ca="1" si="32"/>
        <v/>
      </c>
      <c r="C76" s="88" t="str">
        <f t="shared" ca="1" si="33"/>
        <v/>
      </c>
      <c r="D76" s="88" t="str">
        <f t="shared" ca="1" si="34"/>
        <v/>
      </c>
      <c r="E76" s="88" t="str">
        <f t="shared" ca="1" si="35"/>
        <v/>
      </c>
      <c r="F76" s="88" t="str">
        <f t="shared" ca="1" si="36"/>
        <v/>
      </c>
      <c r="G76" s="89" t="str">
        <f t="array" aca="1" ref="G76" ca="1">IF(INDEX(ExistsTx,$I76,2),IF(INDIRECT("'T"&amp;$I76&amp;"'!$D$"&amp;($J76+5),TRUE)=0,T_NoName,INDIRECT("'T"&amp;$I76&amp;"'!$D$"&amp;($J76+5),TRUE)),"")</f>
        <v>Dinky Smalls</v>
      </c>
      <c r="H76" s="89" t="str">
        <f t="array" aca="1" ref="H76" ca="1">IF(INDEX(ExistsTx,$I76,2),INDIRECT("'T"&amp;$I76&amp;"'!$E$"&amp;($J76+5),TRUE),0)</f>
        <v>Goblin</v>
      </c>
      <c r="I76" s="90">
        <v>5</v>
      </c>
      <c r="J76" s="90">
        <v>10</v>
      </c>
      <c r="K76" s="89" t="str">
        <f t="array" aca="1" ref="K76" ca="1">INDEX(ListTeams,$I76,1)</f>
        <v>OrCares</v>
      </c>
      <c r="L76" s="91">
        <f t="array" aca="1" ref="L76" ca="1">IF(OR(NOT(INDEX(ExistsTx,$I76,2)),$H76=0),0,INDIRECT("'T"&amp;$I76&amp;"'!$M$"&amp;($J76+5),TRUE)+((1000-ROW())/10000000000000))</f>
        <v>9.2399999999999999E-11</v>
      </c>
      <c r="M76" s="91">
        <f t="array" aca="1" ref="M76" ca="1">IF(OR(NOT(INDEX(ExistsTx,$I76,2)),$H76=0),0,INDIRECT("'T"&amp;$I76&amp;"'!$N$"&amp;($J76+5),TRUE)+((1000-ROW())/10000000000000))</f>
        <v>9.2399999999999999E-11</v>
      </c>
      <c r="N76" s="91">
        <f t="array" aca="1" ref="N76" ca="1">IF(OR(NOT(INDEX(ExistsTx,$I76,2)),$H76=0),0,INDIRECT("'T"&amp;$I76&amp;"'!$O$"&amp;($J76+5),TRUE)+((1000-ROW())/10000000000000))</f>
        <v>9.2399999999999999E-11</v>
      </c>
      <c r="O76" s="91">
        <f t="array" aca="1" ref="O76" ca="1">IF(OR(NOT(INDEX(ExistsTx,$I76,2)),$H76=0),0,INDIRECT("'T"&amp;$I76&amp;"'!$P$"&amp;($J76+5),TRUE)+((1000-ROW())/10000000000000))</f>
        <v>9.2399999999999999E-11</v>
      </c>
      <c r="P76" s="91">
        <f t="array" aca="1" ref="P76" ca="1">IF(OR(NOT(INDEX(ExistsTx,$I76,2)),$H76=0),0,INDIRECT("'T"&amp;$I76&amp;"'!$Q$"&amp;($J76+5),TRUE)+((1000-ROW())/10000000000000))</f>
        <v>9.2399999999999999E-11</v>
      </c>
      <c r="Q76" s="91">
        <f t="shared" ca="1" si="37"/>
        <v>1.189201201188E-6</v>
      </c>
      <c r="R76" s="2"/>
      <c r="S76" s="2"/>
      <c r="T76" s="34">
        <v>18</v>
      </c>
      <c r="U76" s="55" t="str">
        <f t="shared" ca="1" si="23"/>
        <v>Marzi'zug</v>
      </c>
      <c r="V76" s="55" t="str">
        <f t="shared" ca="1" si="24"/>
        <v>Blitzer</v>
      </c>
      <c r="W76" s="55" t="str">
        <f t="shared" ca="1" si="25"/>
        <v>Population: Orc</v>
      </c>
      <c r="X76" s="97">
        <f t="shared" ca="1" si="26"/>
        <v>1.0000000000953999</v>
      </c>
      <c r="Y76" s="98"/>
      <c r="Z76" s="34">
        <v>18</v>
      </c>
      <c r="AA76" s="55" t="str">
        <f t="shared" ca="1" si="27"/>
        <v>Paula Cole</v>
      </c>
      <c r="AB76" s="55" t="str">
        <f t="shared" ca="1" si="28"/>
        <v>Blitzer</v>
      </c>
      <c r="AC76" s="55" t="str">
        <f t="shared" ca="1" si="29"/>
        <v>Wrath of the Month</v>
      </c>
      <c r="AD76" s="97">
        <f t="shared" ca="1" si="30"/>
        <v>1.0000000000935001</v>
      </c>
      <c r="AE76" s="2"/>
    </row>
    <row r="77" spans="1:31" ht="12.75" customHeight="1">
      <c r="A77" s="88" t="str">
        <f t="shared" ca="1" si="31"/>
        <v/>
      </c>
      <c r="B77" s="88" t="str">
        <f t="shared" ca="1" si="32"/>
        <v/>
      </c>
      <c r="C77" s="88" t="str">
        <f t="shared" ca="1" si="33"/>
        <v/>
      </c>
      <c r="D77" s="88" t="str">
        <f t="shared" ca="1" si="34"/>
        <v/>
      </c>
      <c r="E77" s="88" t="str">
        <f t="shared" ca="1" si="35"/>
        <v/>
      </c>
      <c r="F77" s="88" t="str">
        <f t="shared" ca="1" si="36"/>
        <v/>
      </c>
      <c r="G77" s="89" t="str">
        <f t="array" aca="1" ref="G77" ca="1">IF(INDEX(ExistsTx,$I77,2),IF(INDIRECT("'T"&amp;$I77&amp;"'!$D$"&amp;($J77+5),TRUE)=0,T_NoName,INDIRECT("'T"&amp;$I77&amp;"'!$D$"&amp;($J77+5),TRUE)),"")</f>
        <v>Tad</v>
      </c>
      <c r="H77" s="89" t="str">
        <f t="array" aca="1" ref="H77" ca="1">IF(INDEX(ExistsTx,$I77,2),INDIRECT("'T"&amp;$I77&amp;"'!$E$"&amp;($J77+5),TRUE),0)</f>
        <v>Lineman</v>
      </c>
      <c r="I77" s="90">
        <v>5</v>
      </c>
      <c r="J77" s="90">
        <v>11</v>
      </c>
      <c r="K77" s="89" t="str">
        <f t="array" aca="1" ref="K77" ca="1">INDEX(ListTeams,$I77,1)</f>
        <v>OrCares</v>
      </c>
      <c r="L77" s="91">
        <f t="array" aca="1" ref="L77" ca="1">IF(OR(NOT(INDEX(ExistsTx,$I77,2)),$H77=0),0,INDIRECT("'T"&amp;$I77&amp;"'!$M$"&amp;($J77+5),TRUE)+((1000-ROW())/10000000000000))</f>
        <v>9.2299999999999994E-11</v>
      </c>
      <c r="M77" s="91">
        <f t="array" aca="1" ref="M77" ca="1">IF(OR(NOT(INDEX(ExistsTx,$I77,2)),$H77=0),0,INDIRECT("'T"&amp;$I77&amp;"'!$N$"&amp;($J77+5),TRUE)+((1000-ROW())/10000000000000))</f>
        <v>9.2299999999999994E-11</v>
      </c>
      <c r="N77" s="91">
        <f t="array" aca="1" ref="N77" ca="1">IF(OR(NOT(INDEX(ExistsTx,$I77,2)),$H77=0),0,INDIRECT("'T"&amp;$I77&amp;"'!$O$"&amp;($J77+5),TRUE)+((1000-ROW())/10000000000000))</f>
        <v>9.2299999999999994E-11</v>
      </c>
      <c r="O77" s="91">
        <f t="array" aca="1" ref="O77" ca="1">IF(OR(NOT(INDEX(ExistsTx,$I77,2)),$H77=0),0,INDIRECT("'T"&amp;$I77&amp;"'!$P$"&amp;($J77+5),TRUE)+((1000-ROW())/10000000000000))</f>
        <v>9.2299999999999994E-11</v>
      </c>
      <c r="P77" s="91">
        <f t="array" aca="1" ref="P77" ca="1">IF(OR(NOT(INDEX(ExistsTx,$I77,2)),$H77=0),0,INDIRECT("'T"&amp;$I77&amp;"'!$Q$"&amp;($J77+5),TRUE)+((1000-ROW())/10000000000000))</f>
        <v>9.2299999999999994E-11</v>
      </c>
      <c r="Q77" s="91">
        <f t="shared" ca="1" si="37"/>
        <v>1.1879141869009998E-6</v>
      </c>
      <c r="R77" s="2"/>
      <c r="S77" s="2"/>
      <c r="T77" s="34">
        <v>19</v>
      </c>
      <c r="U77" s="55" t="str">
        <f t="shared" ca="1" si="23"/>
        <v>Poop'zug</v>
      </c>
      <c r="V77" s="55" t="str">
        <f t="shared" ca="1" si="24"/>
        <v>Black Orc Blocker</v>
      </c>
      <c r="W77" s="55" t="str">
        <f t="shared" ca="1" si="25"/>
        <v>Population: Orc</v>
      </c>
      <c r="X77" s="97">
        <f t="shared" ca="1" si="26"/>
        <v>1.0000000000950999</v>
      </c>
      <c r="Y77" s="98"/>
      <c r="Z77" s="34">
        <v>19</v>
      </c>
      <c r="AA77" s="55" t="str">
        <f t="shared" ca="1" si="27"/>
        <v>Lorena Bobbitt</v>
      </c>
      <c r="AB77" s="55" t="str">
        <f t="shared" ca="1" si="28"/>
        <v>Blitzer</v>
      </c>
      <c r="AC77" s="55" t="str">
        <f t="shared" ca="1" si="29"/>
        <v>Wrath of the Month</v>
      </c>
      <c r="AD77" s="97">
        <f t="shared" ca="1" si="30"/>
        <v>1.0000000000934</v>
      </c>
      <c r="AE77" s="2"/>
    </row>
    <row r="78" spans="1:31" ht="12.75" customHeight="1">
      <c r="A78" s="88" t="str">
        <f t="shared" ca="1" si="31"/>
        <v/>
      </c>
      <c r="B78" s="88" t="str">
        <f t="shared" ca="1" si="32"/>
        <v/>
      </c>
      <c r="C78" s="88" t="str">
        <f t="shared" ca="1" si="33"/>
        <v/>
      </c>
      <c r="D78" s="88" t="str">
        <f t="shared" ca="1" si="34"/>
        <v/>
      </c>
      <c r="E78" s="88" t="str">
        <f t="shared" ca="1" si="35"/>
        <v/>
      </c>
      <c r="F78" s="88" t="str">
        <f t="shared" ca="1" si="36"/>
        <v/>
      </c>
      <c r="G78" s="89" t="str">
        <f t="array" aca="1" ref="G78" ca="1">IF(INDEX(ExistsTx,$I78,2),IF(INDIRECT("'T"&amp;$I78&amp;"'!$D$"&amp;($J78+5),TRUE)=0,T_NoName,INDIRECT("'T"&amp;$I78&amp;"'!$D$"&amp;($J78+5),TRUE)),"")</f>
        <v>Nameless</v>
      </c>
      <c r="H78" s="89">
        <f t="array" aca="1" ref="H78" ca="1">IF(INDEX(ExistsTx,$I78,2),INDIRECT("'T"&amp;$I78&amp;"'!$E$"&amp;($J78+5),TRUE),0)</f>
        <v>0</v>
      </c>
      <c r="I78" s="90">
        <v>5</v>
      </c>
      <c r="J78" s="90">
        <v>12</v>
      </c>
      <c r="K78" s="89" t="str">
        <f t="array" aca="1" ref="K78" ca="1">INDEX(ListTeams,$I78,1)</f>
        <v>OrCares</v>
      </c>
      <c r="L78" s="91">
        <f t="array" aca="1" ref="L78" ca="1">IF(OR(NOT(INDEX(ExistsTx,$I78,2)),$H78=0),0,INDIRECT("'T"&amp;$I78&amp;"'!$M$"&amp;($J78+5),TRUE)+((1000-ROW())/10000000000000))</f>
        <v>0</v>
      </c>
      <c r="M78" s="91">
        <f t="array" aca="1" ref="M78" ca="1">IF(OR(NOT(INDEX(ExistsTx,$I78,2)),$H78=0),0,INDIRECT("'T"&amp;$I78&amp;"'!$N$"&amp;($J78+5),TRUE)+((1000-ROW())/10000000000000))</f>
        <v>0</v>
      </c>
      <c r="N78" s="91">
        <f t="array" aca="1" ref="N78" ca="1">IF(OR(NOT(INDEX(ExistsTx,$I78,2)),$H78=0),0,INDIRECT("'T"&amp;$I78&amp;"'!$O$"&amp;($J78+5),TRUE)+((1000-ROW())/10000000000000))</f>
        <v>0</v>
      </c>
      <c r="O78" s="91">
        <f t="array" aca="1" ref="O78" ca="1">IF(OR(NOT(INDEX(ExistsTx,$I78,2)),$H78=0),0,INDIRECT("'T"&amp;$I78&amp;"'!$P$"&amp;($J78+5),TRUE)+((1000-ROW())/10000000000000))</f>
        <v>0</v>
      </c>
      <c r="P78" s="91">
        <f t="array" aca="1" ref="P78" ca="1">IF(OR(NOT(INDEX(ExistsTx,$I78,2)),$H78=0),0,INDIRECT("'T"&amp;$I78&amp;"'!$Q$"&amp;($J78+5),TRUE)+((1000-ROW())/10000000000000))</f>
        <v>0</v>
      </c>
      <c r="Q78" s="91">
        <f t="shared" ca="1" si="37"/>
        <v>1.185428572614E-6</v>
      </c>
      <c r="R78" s="2"/>
      <c r="S78" s="2"/>
      <c r="T78" s="34">
        <v>20</v>
      </c>
      <c r="U78" s="55" t="str">
        <f t="shared" ca="1" si="23"/>
        <v>Paula Abdul</v>
      </c>
      <c r="V78" s="55" t="str">
        <f t="shared" ca="1" si="24"/>
        <v>Linewoman</v>
      </c>
      <c r="W78" s="55" t="str">
        <f t="shared" ca="1" si="25"/>
        <v>Wrath of the Month</v>
      </c>
      <c r="X78" s="97">
        <f t="shared" ca="1" si="26"/>
        <v>1.0000000000947999</v>
      </c>
      <c r="Y78" s="98"/>
      <c r="Z78" s="34">
        <v>20</v>
      </c>
      <c r="AA78" s="55" t="str">
        <f t="shared" ca="1" si="27"/>
        <v>Lorcrance Taylor</v>
      </c>
      <c r="AB78" s="55" t="str">
        <f t="shared" ca="1" si="28"/>
        <v>Blitzer</v>
      </c>
      <c r="AC78" s="55" t="str">
        <f t="shared" ca="1" si="29"/>
        <v>OrCares</v>
      </c>
      <c r="AD78" s="97">
        <f t="shared" ca="1" si="30"/>
        <v>1.0000000000927001</v>
      </c>
      <c r="AE78" s="2"/>
    </row>
    <row r="79" spans="1:31" ht="12.75" customHeight="1">
      <c r="A79" s="88" t="str">
        <f t="shared" ca="1" si="31"/>
        <v/>
      </c>
      <c r="B79" s="88" t="str">
        <f t="shared" ca="1" si="32"/>
        <v/>
      </c>
      <c r="C79" s="88" t="str">
        <f t="shared" ca="1" si="33"/>
        <v/>
      </c>
      <c r="D79" s="88" t="str">
        <f t="shared" ca="1" si="34"/>
        <v/>
      </c>
      <c r="E79" s="88" t="str">
        <f t="shared" ca="1" si="35"/>
        <v/>
      </c>
      <c r="F79" s="88" t="str">
        <f t="shared" ca="1" si="36"/>
        <v/>
      </c>
      <c r="G79" s="89" t="str">
        <f t="array" aca="1" ref="G79" ca="1">IF(INDEX(ExistsTx,$I79,2),IF(INDIRECT("'T"&amp;$I79&amp;"'!$D$"&amp;($J79+5),TRUE)=0,T_NoName,INDIRECT("'T"&amp;$I79&amp;"'!$D$"&amp;($J79+5),TRUE)),"")</f>
        <v>Nameless</v>
      </c>
      <c r="H79" s="89">
        <f t="array" aca="1" ref="H79" ca="1">IF(INDEX(ExistsTx,$I79,2),INDIRECT("'T"&amp;$I79&amp;"'!$E$"&amp;($J79+5),TRUE),0)</f>
        <v>0</v>
      </c>
      <c r="I79" s="90">
        <v>5</v>
      </c>
      <c r="J79" s="90">
        <v>13</v>
      </c>
      <c r="K79" s="89" t="str">
        <f t="array" aca="1" ref="K79" ca="1">INDEX(ListTeams,$I79,1)</f>
        <v>OrCares</v>
      </c>
      <c r="L79" s="91">
        <f t="array" aca="1" ref="L79" ca="1">IF(OR(NOT(INDEX(ExistsTx,$I79,2)),$H79=0),0,INDIRECT("'T"&amp;$I79&amp;"'!$M$"&amp;($J79+5),TRUE)+((1000-ROW())/10000000000000))</f>
        <v>0</v>
      </c>
      <c r="M79" s="91">
        <f t="array" aca="1" ref="M79" ca="1">IF(OR(NOT(INDEX(ExistsTx,$I79,2)),$H79=0),0,INDIRECT("'T"&amp;$I79&amp;"'!$N$"&amp;($J79+5),TRUE)+((1000-ROW())/10000000000000))</f>
        <v>0</v>
      </c>
      <c r="N79" s="91">
        <f t="array" aca="1" ref="N79" ca="1">IF(OR(NOT(INDEX(ExistsTx,$I79,2)),$H79=0),0,INDIRECT("'T"&amp;$I79&amp;"'!$O$"&amp;($J79+5),TRUE)+((1000-ROW())/10000000000000))</f>
        <v>0</v>
      </c>
      <c r="O79" s="91">
        <f t="array" aca="1" ref="O79" ca="1">IF(OR(NOT(INDEX(ExistsTx,$I79,2)),$H79=0),0,INDIRECT("'T"&amp;$I79&amp;"'!$P$"&amp;($J79+5),TRUE)+((1000-ROW())/10000000000000))</f>
        <v>0</v>
      </c>
      <c r="P79" s="91">
        <f t="array" aca="1" ref="P79" ca="1">IF(OR(NOT(INDEX(ExistsTx,$I79,2)),$H79=0),0,INDIRECT("'T"&amp;$I79&amp;"'!$Q$"&amp;($J79+5),TRUE)+((1000-ROW())/10000000000000))</f>
        <v>0</v>
      </c>
      <c r="Q79" s="91">
        <f t="shared" ca="1" si="37"/>
        <v>1.1841428583270001E-6</v>
      </c>
      <c r="R79" s="2"/>
      <c r="S79" s="2"/>
      <c r="T79" s="34">
        <v>21</v>
      </c>
      <c r="U79" s="55" t="str">
        <f t="shared" ca="1" si="23"/>
        <v>Monica Lewinsky</v>
      </c>
      <c r="V79" s="55" t="str">
        <f t="shared" ca="1" si="24"/>
        <v>Blitzer</v>
      </c>
      <c r="W79" s="55" t="str">
        <f t="shared" ca="1" si="25"/>
        <v>Wrath of the Month</v>
      </c>
      <c r="X79" s="97">
        <f t="shared" ca="1" si="26"/>
        <v>1.0000000000936999</v>
      </c>
      <c r="Y79" s="98"/>
      <c r="Z79" s="34">
        <v>21</v>
      </c>
      <c r="AA79" s="55" t="str">
        <f t="shared" ca="1" si="27"/>
        <v>Sobek</v>
      </c>
      <c r="AB79" s="55" t="str">
        <f t="shared" ca="1" si="28"/>
        <v>Kroxigor</v>
      </c>
      <c r="AC79" s="55" t="str">
        <f t="shared" ca="1" si="29"/>
        <v>Guardians of the Nile</v>
      </c>
      <c r="AD79" s="97">
        <f t="shared" ca="1" si="30"/>
        <v>1.0000000000917</v>
      </c>
      <c r="AE79" s="2"/>
    </row>
    <row r="80" spans="1:31" ht="12.75" customHeight="1">
      <c r="A80" s="88" t="str">
        <f t="shared" ca="1" si="31"/>
        <v/>
      </c>
      <c r="B80" s="88" t="str">
        <f t="shared" ca="1" si="32"/>
        <v/>
      </c>
      <c r="C80" s="88" t="str">
        <f t="shared" ca="1" si="33"/>
        <v/>
      </c>
      <c r="D80" s="88" t="str">
        <f t="shared" ca="1" si="34"/>
        <v/>
      </c>
      <c r="E80" s="88" t="str">
        <f t="shared" ca="1" si="35"/>
        <v/>
      </c>
      <c r="F80" s="88" t="str">
        <f t="shared" ca="1" si="36"/>
        <v/>
      </c>
      <c r="G80" s="89" t="str">
        <f t="array" aca="1" ref="G80" ca="1">IF(INDEX(ExistsTx,$I80,2),IF(INDIRECT("'T"&amp;$I80&amp;"'!$D$"&amp;($J80+5),TRUE)=0,T_NoName,INDIRECT("'T"&amp;$I80&amp;"'!$D$"&amp;($J80+5),TRUE)),"")</f>
        <v>Nameless</v>
      </c>
      <c r="H80" s="89">
        <f t="array" aca="1" ref="H80" ca="1">IF(INDEX(ExistsTx,$I80,2),INDIRECT("'T"&amp;$I80&amp;"'!$E$"&amp;($J80+5),TRUE),0)</f>
        <v>0</v>
      </c>
      <c r="I80" s="90">
        <v>5</v>
      </c>
      <c r="J80" s="90">
        <v>14</v>
      </c>
      <c r="K80" s="89" t="str">
        <f t="array" aca="1" ref="K80" ca="1">INDEX(ListTeams,$I80,1)</f>
        <v>OrCares</v>
      </c>
      <c r="L80" s="91">
        <f t="array" aca="1" ref="L80" ca="1">IF(OR(NOT(INDEX(ExistsTx,$I80,2)),$H80=0),0,INDIRECT("'T"&amp;$I80&amp;"'!$M$"&amp;($J80+5),TRUE)+((1000-ROW())/10000000000000))</f>
        <v>0</v>
      </c>
      <c r="M80" s="91">
        <f t="array" aca="1" ref="M80" ca="1">IF(OR(NOT(INDEX(ExistsTx,$I80,2)),$H80=0),0,INDIRECT("'T"&amp;$I80&amp;"'!$N$"&amp;($J80+5),TRUE)+((1000-ROW())/10000000000000))</f>
        <v>0</v>
      </c>
      <c r="N80" s="91">
        <f t="array" aca="1" ref="N80" ca="1">IF(OR(NOT(INDEX(ExistsTx,$I80,2)),$H80=0),0,INDIRECT("'T"&amp;$I80&amp;"'!$O$"&amp;($J80+5),TRUE)+((1000-ROW())/10000000000000))</f>
        <v>0</v>
      </c>
      <c r="O80" s="91">
        <f t="array" aca="1" ref="O80" ca="1">IF(OR(NOT(INDEX(ExistsTx,$I80,2)),$H80=0),0,INDIRECT("'T"&amp;$I80&amp;"'!$P$"&amp;($J80+5),TRUE)+((1000-ROW())/10000000000000))</f>
        <v>0</v>
      </c>
      <c r="P80" s="91">
        <f t="array" aca="1" ref="P80" ca="1">IF(OR(NOT(INDEX(ExistsTx,$I80,2)),$H80=0),0,INDIRECT("'T"&amp;$I80&amp;"'!$Q$"&amp;($J80+5),TRUE)+((1000-ROW())/10000000000000))</f>
        <v>0</v>
      </c>
      <c r="Q80" s="91">
        <f t="shared" ca="1" si="37"/>
        <v>1.18285714404E-6</v>
      </c>
      <c r="R80" s="2"/>
      <c r="S80" s="2"/>
      <c r="T80" s="34">
        <v>22</v>
      </c>
      <c r="U80" s="55" t="str">
        <f t="shared" ca="1" si="23"/>
        <v>Sarah Palin</v>
      </c>
      <c r="V80" s="55" t="str">
        <f t="shared" ca="1" si="24"/>
        <v>Blitzer</v>
      </c>
      <c r="W80" s="55" t="str">
        <f t="shared" ca="1" si="25"/>
        <v>Wrath of the Month</v>
      </c>
      <c r="X80" s="97">
        <f t="shared" ca="1" si="26"/>
        <v>1.0000000000936</v>
      </c>
      <c r="Y80" s="98"/>
      <c r="Z80" s="34">
        <v>22</v>
      </c>
      <c r="AA80" s="55" t="str">
        <f t="shared" ca="1" si="27"/>
        <v>Ra</v>
      </c>
      <c r="AB80" s="55" t="str">
        <f t="shared" ca="1" si="28"/>
        <v>Saurus</v>
      </c>
      <c r="AC80" s="55" t="str">
        <f t="shared" ca="1" si="29"/>
        <v>Guardians of the Nile</v>
      </c>
      <c r="AD80" s="97">
        <f t="shared" ca="1" si="30"/>
        <v>1.0000000000916001</v>
      </c>
      <c r="AE80" s="2"/>
    </row>
    <row r="81" spans="1:31" ht="12.75" customHeight="1">
      <c r="A81" s="88" t="str">
        <f t="shared" ca="1" si="31"/>
        <v/>
      </c>
      <c r="B81" s="88" t="str">
        <f t="shared" ca="1" si="32"/>
        <v/>
      </c>
      <c r="C81" s="88" t="str">
        <f t="shared" ca="1" si="33"/>
        <v/>
      </c>
      <c r="D81" s="88" t="str">
        <f t="shared" ca="1" si="34"/>
        <v/>
      </c>
      <c r="E81" s="88" t="str">
        <f t="shared" ca="1" si="35"/>
        <v/>
      </c>
      <c r="F81" s="88" t="str">
        <f t="shared" ca="1" si="36"/>
        <v/>
      </c>
      <c r="G81" s="89" t="str">
        <f t="array" aca="1" ref="G81" ca="1">IF(INDEX(ExistsTx,$I81,2),IF(INDIRECT("'T"&amp;$I81&amp;"'!$D$"&amp;($J81+5),TRUE)=0,T_NoName,INDIRECT("'T"&amp;$I81&amp;"'!$D$"&amp;($J81+5),TRUE)),"")</f>
        <v>Nameless</v>
      </c>
      <c r="H81" s="89">
        <f t="array" aca="1" ref="H81" ca="1">IF(INDEX(ExistsTx,$I81,2),INDIRECT("'T"&amp;$I81&amp;"'!$E$"&amp;($J81+5),TRUE),0)</f>
        <v>0</v>
      </c>
      <c r="I81" s="90">
        <v>5</v>
      </c>
      <c r="J81" s="90">
        <v>15</v>
      </c>
      <c r="K81" s="89" t="str">
        <f t="array" aca="1" ref="K81" ca="1">INDEX(ListTeams,$I81,1)</f>
        <v>OrCares</v>
      </c>
      <c r="L81" s="91">
        <f t="array" aca="1" ref="L81" ca="1">IF(OR(NOT(INDEX(ExistsTx,$I81,2)),$H81=0),0,INDIRECT("'T"&amp;$I81&amp;"'!$M$"&amp;($J81+5),TRUE)+((1000-ROW())/10000000000000))</f>
        <v>0</v>
      </c>
      <c r="M81" s="91">
        <f t="array" aca="1" ref="M81" ca="1">IF(OR(NOT(INDEX(ExistsTx,$I81,2)),$H81=0),0,INDIRECT("'T"&amp;$I81&amp;"'!$N$"&amp;($J81+5),TRUE)+((1000-ROW())/10000000000000))</f>
        <v>0</v>
      </c>
      <c r="N81" s="91">
        <f t="array" aca="1" ref="N81" ca="1">IF(OR(NOT(INDEX(ExistsTx,$I81,2)),$H81=0),0,INDIRECT("'T"&amp;$I81&amp;"'!$O$"&amp;($J81+5),TRUE)+((1000-ROW())/10000000000000))</f>
        <v>0</v>
      </c>
      <c r="O81" s="91">
        <f t="array" aca="1" ref="O81" ca="1">IF(OR(NOT(INDEX(ExistsTx,$I81,2)),$H81=0),0,INDIRECT("'T"&amp;$I81&amp;"'!$P$"&amp;($J81+5),TRUE)+((1000-ROW())/10000000000000))</f>
        <v>0</v>
      </c>
      <c r="P81" s="91">
        <f t="array" aca="1" ref="P81" ca="1">IF(OR(NOT(INDEX(ExistsTx,$I81,2)),$H81=0),0,INDIRECT("'T"&amp;$I81&amp;"'!$Q$"&amp;($J81+5),TRUE)+((1000-ROW())/10000000000000))</f>
        <v>0</v>
      </c>
      <c r="Q81" s="91">
        <f t="shared" ca="1" si="37"/>
        <v>1.1815714297530001E-6</v>
      </c>
      <c r="R81" s="2"/>
      <c r="S81" s="2"/>
      <c r="T81" s="34">
        <v>23</v>
      </c>
      <c r="U81" s="55" t="str">
        <f t="shared" ca="1" si="23"/>
        <v>Big Daddy Lipsplitt</v>
      </c>
      <c r="V81" s="55" t="str">
        <f t="shared" ca="1" si="24"/>
        <v>Black Orc Blocker</v>
      </c>
      <c r="W81" s="55" t="str">
        <f t="shared" ca="1" si="25"/>
        <v>OrCares</v>
      </c>
      <c r="X81" s="97">
        <f t="shared" ca="1" si="26"/>
        <v>1.0000000000930001</v>
      </c>
      <c r="Y81" s="98"/>
      <c r="Z81" s="34">
        <v>23</v>
      </c>
      <c r="AA81" s="55" t="str">
        <f t="shared" ca="1" si="27"/>
        <v>Set</v>
      </c>
      <c r="AB81" s="55" t="str">
        <f t="shared" ca="1" si="28"/>
        <v>Saurus</v>
      </c>
      <c r="AC81" s="55" t="str">
        <f t="shared" ca="1" si="29"/>
        <v>Guardians of the Nile</v>
      </c>
      <c r="AD81" s="97">
        <f t="shared" ca="1" si="30"/>
        <v>1.0000000000914999</v>
      </c>
      <c r="AE81" s="2"/>
    </row>
    <row r="82" spans="1:31" ht="12.75" customHeight="1">
      <c r="A82" s="88" t="str">
        <f t="shared" ca="1" si="31"/>
        <v/>
      </c>
      <c r="B82" s="88" t="str">
        <f t="shared" ca="1" si="32"/>
        <v/>
      </c>
      <c r="C82" s="88" t="str">
        <f t="shared" ca="1" si="33"/>
        <v/>
      </c>
      <c r="D82" s="88" t="str">
        <f t="shared" ca="1" si="34"/>
        <v/>
      </c>
      <c r="E82" s="88" t="str">
        <f t="shared" ca="1" si="35"/>
        <v/>
      </c>
      <c r="F82" s="88" t="str">
        <f t="shared" ca="1" si="36"/>
        <v/>
      </c>
      <c r="G82" s="89" t="str">
        <f t="array" aca="1" ref="G82" ca="1">IF(INDEX(ExistsTx,$I82,2),IF(INDIRECT("'T"&amp;$I82&amp;"'!$D$"&amp;($J82+5),TRUE)=0,T_NoName,INDIRECT("'T"&amp;$I82&amp;"'!$D$"&amp;($J82+5),TRUE)),"")</f>
        <v>Trolly</v>
      </c>
      <c r="H82" s="89" t="str">
        <f t="array" aca="1" ref="H82" ca="1">IF(INDEX(ExistsTx,$I82,2),INDIRECT("'T"&amp;$I82&amp;"'!$E$"&amp;($J82+5),TRUE),0)</f>
        <v>Troll</v>
      </c>
      <c r="I82" s="90">
        <v>5</v>
      </c>
      <c r="J82" s="90">
        <v>16</v>
      </c>
      <c r="K82" s="89" t="str">
        <f t="array" aca="1" ref="K82" ca="1">INDEX(ListTeams,$I82,1)</f>
        <v>OrCares</v>
      </c>
      <c r="L82" s="91">
        <f t="array" aca="1" ref="L82" ca="1">IF(OR(NOT(INDEX(ExistsTx,$I82,2)),$H82=0),0,INDIRECT("'T"&amp;$I82&amp;"'!$M$"&amp;($J82+5),TRUE)+((1000-ROW())/10000000000000))</f>
        <v>9.1799999999999996E-11</v>
      </c>
      <c r="M82" s="91">
        <f t="array" aca="1" ref="M82" ca="1">IF(OR(NOT(INDEX(ExistsTx,$I82,2)),$H82=0),0,INDIRECT("'T"&amp;$I82&amp;"'!$N$"&amp;($J82+5),TRUE)+((1000-ROW())/10000000000000))</f>
        <v>9.1799999999999996E-11</v>
      </c>
      <c r="N82" s="91">
        <f t="array" aca="1" ref="N82" ca="1">IF(OR(NOT(INDEX(ExistsTx,$I82,2)),$H82=0),0,INDIRECT("'T"&amp;$I82&amp;"'!$O$"&amp;($J82+5),TRUE)+((1000-ROW())/10000000000000))</f>
        <v>9.1799999999999996E-11</v>
      </c>
      <c r="O82" s="91">
        <f t="array" aca="1" ref="O82" ca="1">IF(OR(NOT(INDEX(ExistsTx,$I82,2)),$H82=0),0,INDIRECT("'T"&amp;$I82&amp;"'!$P$"&amp;($J82+5),TRUE)+((1000-ROW())/10000000000000))</f>
        <v>9.1799999999999996E-11</v>
      </c>
      <c r="P82" s="91">
        <f t="array" aca="1" ref="P82" ca="1">IF(OR(NOT(INDEX(ExistsTx,$I82,2)),$H82=0),0,INDIRECT("'T"&amp;$I82&amp;"'!$Q$"&amp;($J82+5),TRUE)+((1000-ROW())/10000000000000))</f>
        <v>9.1799999999999996E-11</v>
      </c>
      <c r="Q82" s="91">
        <f t="shared" ca="1" si="37"/>
        <v>1.181479115466E-6</v>
      </c>
      <c r="R82" s="2"/>
      <c r="S82" s="2"/>
      <c r="T82" s="34">
        <v>24</v>
      </c>
      <c r="U82" s="55" t="str">
        <f t="shared" ca="1" si="23"/>
        <v>Merlin Orcson</v>
      </c>
      <c r="V82" s="55" t="str">
        <f t="shared" ca="1" si="24"/>
        <v>Black Orc Blocker</v>
      </c>
      <c r="W82" s="55" t="str">
        <f t="shared" ca="1" si="25"/>
        <v>OrCares</v>
      </c>
      <c r="X82" s="97">
        <f t="shared" ca="1" si="26"/>
        <v>1.0000000000928999</v>
      </c>
      <c r="Y82" s="98"/>
      <c r="Z82" s="34">
        <v>24</v>
      </c>
      <c r="AA82" s="55" t="str">
        <f t="shared" ca="1" si="27"/>
        <v>Anubis</v>
      </c>
      <c r="AB82" s="55" t="str">
        <f t="shared" ca="1" si="28"/>
        <v>Saurus</v>
      </c>
      <c r="AC82" s="55" t="str">
        <f t="shared" ca="1" si="29"/>
        <v>Guardians of the Nile</v>
      </c>
      <c r="AD82" s="97">
        <f t="shared" ca="1" si="30"/>
        <v>1.0000000000914</v>
      </c>
      <c r="AE82" s="2"/>
    </row>
    <row r="83" spans="1:31" ht="13.5" customHeight="1">
      <c r="A83" s="88" t="str">
        <f t="shared" ca="1" si="31"/>
        <v/>
      </c>
      <c r="B83" s="88" t="str">
        <f t="shared" ca="1" si="32"/>
        <v/>
      </c>
      <c r="C83" s="88" t="str">
        <f t="shared" ca="1" si="33"/>
        <v/>
      </c>
      <c r="D83" s="88" t="str">
        <f t="shared" ca="1" si="34"/>
        <v/>
      </c>
      <c r="E83" s="88">
        <f t="shared" ca="1" si="35"/>
        <v>21</v>
      </c>
      <c r="F83" s="88">
        <f t="shared" ca="1" si="36"/>
        <v>45</v>
      </c>
      <c r="G83" s="89" t="str">
        <f t="array" aca="1" ref="G83" ca="1">IF(INDEX(ExistsTx,$I83,2),IF(INDIRECT("'T"&amp;$I83&amp;"'!$D$"&amp;($J83+5),TRUE)=0,T_NoName,INDIRECT("'T"&amp;$I83&amp;"'!$D$"&amp;($J83+5),TRUE)),"")</f>
        <v>Sobek</v>
      </c>
      <c r="H83" s="89" t="str">
        <f t="array" aca="1" ref="H83" ca="1">IF(INDEX(ExistsTx,$I83,2),INDIRECT("'T"&amp;$I83&amp;"'!$E$"&amp;($J83+5),TRUE),0)</f>
        <v>Kroxigor</v>
      </c>
      <c r="I83" s="90">
        <v>6</v>
      </c>
      <c r="J83" s="90">
        <v>1</v>
      </c>
      <c r="K83" s="89" t="str">
        <f t="array" aca="1" ref="K83" ca="1">INDEX(ListTeams,$I83,1)</f>
        <v>Guardians of the Nile</v>
      </c>
      <c r="L83" s="91">
        <f t="array" aca="1" ref="L83" ca="1">IF(OR(NOT(INDEX(ExistsTx,$I83,2)),$H83=0),0,INDIRECT("'T"&amp;$I83&amp;"'!$M$"&amp;($J83+5),TRUE)+((1000-ROW())/10000000000000))</f>
        <v>9.1700000000000004E-11</v>
      </c>
      <c r="M83" s="91">
        <f t="array" aca="1" ref="M83" ca="1">IF(OR(NOT(INDEX(ExistsTx,$I83,2)),$H83=0),0,INDIRECT("'T"&amp;$I83&amp;"'!$N$"&amp;($J83+5),TRUE)+((1000-ROW())/10000000000000))</f>
        <v>9.1700000000000004E-11</v>
      </c>
      <c r="N83" s="91">
        <f t="array" aca="1" ref="N83" ca="1">IF(OR(NOT(INDEX(ExistsTx,$I83,2)),$H83=0),0,INDIRECT("'T"&amp;$I83&amp;"'!$O$"&amp;($J83+5),TRUE)+((1000-ROW())/10000000000000))</f>
        <v>9.1700000000000004E-11</v>
      </c>
      <c r="O83" s="91">
        <f t="array" aca="1" ref="O83" ca="1">IF(OR(NOT(INDEX(ExistsTx,$I83,2)),$H83=0),0,INDIRECT("'T"&amp;$I83&amp;"'!$P$"&amp;($J83+5),TRUE)+((1000-ROW())/10000000000000))</f>
        <v>9.1700000000000004E-11</v>
      </c>
      <c r="P83" s="91">
        <f t="array" aca="1" ref="P83" ca="1">IF(OR(NOT(INDEX(ExistsTx,$I83,2)),$H83=0),0,INDIRECT("'T"&amp;$I83&amp;"'!$Q$"&amp;($J83+5),TRUE)+((1000-ROW())/10000000000000))</f>
        <v>1.0000000000917</v>
      </c>
      <c r="Q83" s="91">
        <f t="shared" ca="1" si="37"/>
        <v>5.0000011801921005</v>
      </c>
      <c r="R83" s="2"/>
      <c r="S83" s="2"/>
      <c r="T83" s="83">
        <v>25</v>
      </c>
      <c r="U83" s="165" t="str">
        <f t="shared" ca="1" si="23"/>
        <v>Lorcrance Taylor</v>
      </c>
      <c r="V83" s="165" t="str">
        <f t="shared" ca="1" si="24"/>
        <v>Blitzer</v>
      </c>
      <c r="W83" s="165" t="str">
        <f t="shared" ca="1" si="25"/>
        <v>OrCares</v>
      </c>
      <c r="X83" s="166">
        <f t="shared" ca="1" si="26"/>
        <v>1.0000000000927001</v>
      </c>
      <c r="Y83" s="98"/>
      <c r="Z83" s="83">
        <v>25</v>
      </c>
      <c r="AA83" s="165" t="str">
        <f t="shared" ca="1" si="27"/>
        <v>Horus</v>
      </c>
      <c r="AB83" s="165" t="str">
        <f t="shared" ca="1" si="28"/>
        <v>Saurus</v>
      </c>
      <c r="AC83" s="165" t="str">
        <f t="shared" ca="1" si="29"/>
        <v>Guardians of the Nile</v>
      </c>
      <c r="AD83" s="166">
        <f t="shared" ca="1" si="30"/>
        <v>1.0000000000913001</v>
      </c>
      <c r="AE83" s="2"/>
    </row>
    <row r="84" spans="1:31" ht="13.5" customHeight="1">
      <c r="A84" s="229" t="str">
        <f t="shared" ca="1" si="31"/>
        <v/>
      </c>
      <c r="B84" s="229" t="str">
        <f t="shared" ca="1" si="32"/>
        <v/>
      </c>
      <c r="C84" s="229" t="str">
        <f t="shared" ca="1" si="33"/>
        <v/>
      </c>
      <c r="D84" s="229">
        <f t="shared" ca="1" si="34"/>
        <v>27</v>
      </c>
      <c r="E84" s="229">
        <f t="shared" ca="1" si="35"/>
        <v>22</v>
      </c>
      <c r="F84" s="229">
        <f t="shared" ca="1" si="36"/>
        <v>26</v>
      </c>
      <c r="G84" s="230" t="str">
        <f t="array" aca="1" ref="G84" ca="1">IF(INDEX(ExistsTx,$I84,2),IF(INDIRECT("'T"&amp;$I84&amp;"'!$D$"&amp;($J84+5),TRUE)=0,T_NoName,INDIRECT("'T"&amp;$I84&amp;"'!$D$"&amp;($J84+5),TRUE)),"")</f>
        <v>Ra</v>
      </c>
      <c r="H84" s="230" t="str">
        <f t="array" aca="1" ref="H84" ca="1">IF(INDEX(ExistsTx,$I84,2),INDIRECT("'T"&amp;$I84&amp;"'!$E$"&amp;($J84+5),TRUE),0)</f>
        <v>Saurus</v>
      </c>
      <c r="I84" s="229">
        <v>6</v>
      </c>
      <c r="J84" s="229">
        <v>2</v>
      </c>
      <c r="K84" s="230" t="str">
        <f t="array" aca="1" ref="K84" ca="1">INDEX(ListTeams,$I84,1)</f>
        <v>Guardians of the Nile</v>
      </c>
      <c r="L84" s="230">
        <f t="array" aca="1" ref="L84" ca="1">IF(OR(NOT(INDEX(ExistsTx,$I84,2)),$H84=0),0,INDIRECT("'T"&amp;$I84&amp;"'!$M$"&amp;($J84+5),TRUE)+((1000-ROW())/10000000000000))</f>
        <v>9.1599999999999999E-11</v>
      </c>
      <c r="M84" s="230">
        <f t="array" aca="1" ref="M84" ca="1">IF(OR(NOT(INDEX(ExistsTx,$I84,2)),$H84=0),0,INDIRECT("'T"&amp;$I84&amp;"'!$N$"&amp;($J84+5),TRUE)+((1000-ROW())/10000000000000))</f>
        <v>9.1599999999999999E-11</v>
      </c>
      <c r="N84" s="230">
        <f t="array" aca="1" ref="N84" ca="1">IF(OR(NOT(INDEX(ExistsTx,$I84,2)),$H84=0),0,INDIRECT("'T"&amp;$I84&amp;"'!$O$"&amp;($J84+5),TRUE)+((1000-ROW())/10000000000000))</f>
        <v>9.1599999999999999E-11</v>
      </c>
      <c r="O84" s="230">
        <f t="array" aca="1" ref="O84" ca="1">IF(OR(NOT(INDEX(ExistsTx,$I84,2)),$H84=0),0,INDIRECT("'T"&amp;$I84&amp;"'!$P$"&amp;($J84+5),TRUE)+((1000-ROW())/10000000000000))</f>
        <v>1.0000000000916001</v>
      </c>
      <c r="P84" s="230">
        <f t="array" aca="1" ref="P84" ca="1">IF(OR(NOT(INDEX(ExistsTx,$I84,2)),$H84=0),0,INDIRECT("'T"&amp;$I84&amp;"'!$Q$"&amp;($J84+5),TRUE)+((1000-ROW())/10000000000000))</f>
        <v>1.0000000000916001</v>
      </c>
      <c r="Q84" s="230">
        <f t="shared" ca="1" si="37"/>
        <v>7.0000011789050873</v>
      </c>
      <c r="R84" s="230"/>
      <c r="S84" s="230"/>
      <c r="T84" s="230"/>
      <c r="U84" s="230"/>
      <c r="V84" s="230"/>
      <c r="W84" s="230"/>
      <c r="X84" s="229"/>
      <c r="Y84" s="229"/>
      <c r="Z84" s="229"/>
      <c r="AA84" s="230"/>
      <c r="AB84" s="230"/>
      <c r="AC84" s="230"/>
      <c r="AD84" s="229"/>
      <c r="AE84" s="230"/>
    </row>
    <row r="85" spans="1:31" ht="12.75" customHeight="1">
      <c r="A85" s="229" t="str">
        <f t="shared" ca="1" si="31"/>
        <v/>
      </c>
      <c r="B85" s="229" t="str">
        <f t="shared" ca="1" si="32"/>
        <v/>
      </c>
      <c r="C85" s="229" t="str">
        <f t="shared" ca="1" si="33"/>
        <v/>
      </c>
      <c r="D85" s="229">
        <f t="shared" ca="1" si="34"/>
        <v>28</v>
      </c>
      <c r="E85" s="229">
        <f t="shared" ca="1" si="35"/>
        <v>23</v>
      </c>
      <c r="F85" s="229">
        <f t="shared" ca="1" si="36"/>
        <v>27</v>
      </c>
      <c r="G85" s="230" t="str">
        <f t="array" aca="1" ref="G85" ca="1">IF(INDEX(ExistsTx,$I85,2),IF(INDIRECT("'T"&amp;$I85&amp;"'!$D$"&amp;($J85+5),TRUE)=0,T_NoName,INDIRECT("'T"&amp;$I85&amp;"'!$D$"&amp;($J85+5),TRUE)),"")</f>
        <v>Set</v>
      </c>
      <c r="H85" s="230" t="str">
        <f t="array" aca="1" ref="H85" ca="1">IF(INDEX(ExistsTx,$I85,2),INDIRECT("'T"&amp;$I85&amp;"'!$E$"&amp;($J85+5),TRUE),0)</f>
        <v>Saurus</v>
      </c>
      <c r="I85" s="229">
        <v>6</v>
      </c>
      <c r="J85" s="229">
        <v>3</v>
      </c>
      <c r="K85" s="230" t="str">
        <f t="array" aca="1" ref="K85" ca="1">INDEX(ListTeams,$I85,1)</f>
        <v>Guardians of the Nile</v>
      </c>
      <c r="L85" s="230">
        <f t="array" aca="1" ref="L85" ca="1">IF(OR(NOT(INDEX(ExistsTx,$I85,2)),$H85=0),0,INDIRECT("'T"&amp;$I85&amp;"'!$M$"&amp;($J85+5),TRUE)+((1000-ROW())/10000000000000))</f>
        <v>9.1499999999999994E-11</v>
      </c>
      <c r="M85" s="230">
        <f t="array" aca="1" ref="M85" ca="1">IF(OR(NOT(INDEX(ExistsTx,$I85,2)),$H85=0),0,INDIRECT("'T"&amp;$I85&amp;"'!$N$"&amp;($J85+5),TRUE)+((1000-ROW())/10000000000000))</f>
        <v>9.1499999999999994E-11</v>
      </c>
      <c r="N85" s="230">
        <f t="array" aca="1" ref="N85" ca="1">IF(OR(NOT(INDEX(ExistsTx,$I85,2)),$H85=0),0,INDIRECT("'T"&amp;$I85&amp;"'!$O$"&amp;($J85+5),TRUE)+((1000-ROW())/10000000000000))</f>
        <v>9.1499999999999994E-11</v>
      </c>
      <c r="O85" s="230">
        <f t="array" aca="1" ref="O85" ca="1">IF(OR(NOT(INDEX(ExistsTx,$I85,2)),$H85=0),0,INDIRECT("'T"&amp;$I85&amp;"'!$P$"&amp;($J85+5),TRUE)+((1000-ROW())/10000000000000))</f>
        <v>1.0000000000914999</v>
      </c>
      <c r="P85" s="230">
        <f t="array" aca="1" ref="P85" ca="1">IF(OR(NOT(INDEX(ExistsTx,$I85,2)),$H85=0),0,INDIRECT("'T"&amp;$I85&amp;"'!$Q$"&amp;($J85+5),TRUE)+((1000-ROW())/10000000000000))</f>
        <v>1.0000000000914999</v>
      </c>
      <c r="Q85" s="230">
        <f t="shared" ca="1" si="37"/>
        <v>7.0000011776180724</v>
      </c>
      <c r="R85" s="230"/>
      <c r="S85" s="230"/>
      <c r="T85" s="230"/>
      <c r="U85" s="230"/>
      <c r="V85" s="230"/>
      <c r="W85" s="230"/>
      <c r="X85" s="229"/>
      <c r="Y85" s="229"/>
      <c r="Z85" s="229"/>
      <c r="AA85" s="230"/>
      <c r="AB85" s="230"/>
      <c r="AC85" s="230"/>
      <c r="AD85" s="229"/>
      <c r="AE85" s="230"/>
    </row>
    <row r="86" spans="1:31" ht="12.75" customHeight="1">
      <c r="A86" s="229" t="str">
        <f t="shared" ca="1" si="31"/>
        <v/>
      </c>
      <c r="B86" s="229" t="str">
        <f t="shared" ca="1" si="32"/>
        <v/>
      </c>
      <c r="C86" s="229" t="str">
        <f t="shared" ca="1" si="33"/>
        <v/>
      </c>
      <c r="D86" s="229">
        <f t="shared" ca="1" si="34"/>
        <v>29</v>
      </c>
      <c r="E86" s="229">
        <f t="shared" ca="1" si="35"/>
        <v>24</v>
      </c>
      <c r="F86" s="229">
        <f t="shared" ca="1" si="36"/>
        <v>28</v>
      </c>
      <c r="G86" s="230" t="str">
        <f t="array" aca="1" ref="G86" ca="1">IF(INDEX(ExistsTx,$I86,2),IF(INDIRECT("'T"&amp;$I86&amp;"'!$D$"&amp;($J86+5),TRUE)=0,T_NoName,INDIRECT("'T"&amp;$I86&amp;"'!$D$"&amp;($J86+5),TRUE)),"")</f>
        <v>Anubis</v>
      </c>
      <c r="H86" s="230" t="str">
        <f t="array" aca="1" ref="H86" ca="1">IF(INDEX(ExistsTx,$I86,2),INDIRECT("'T"&amp;$I86&amp;"'!$E$"&amp;($J86+5),TRUE),0)</f>
        <v>Saurus</v>
      </c>
      <c r="I86" s="229">
        <v>6</v>
      </c>
      <c r="J86" s="229">
        <v>4</v>
      </c>
      <c r="K86" s="230" t="str">
        <f t="array" aca="1" ref="K86" ca="1">INDEX(ListTeams,$I86,1)</f>
        <v>Guardians of the Nile</v>
      </c>
      <c r="L86" s="230">
        <f t="array" aca="1" ref="L86" ca="1">IF(OR(NOT(INDEX(ExistsTx,$I86,2)),$H86=0),0,INDIRECT("'T"&amp;$I86&amp;"'!$M$"&amp;($J86+5),TRUE)+((1000-ROW())/10000000000000))</f>
        <v>9.1400000000000002E-11</v>
      </c>
      <c r="M86" s="230">
        <f t="array" aca="1" ref="M86" ca="1">IF(OR(NOT(INDEX(ExistsTx,$I86,2)),$H86=0),0,INDIRECT("'T"&amp;$I86&amp;"'!$N$"&amp;($J86+5),TRUE)+((1000-ROW())/10000000000000))</f>
        <v>9.1400000000000002E-11</v>
      </c>
      <c r="N86" s="230">
        <f t="array" aca="1" ref="N86" ca="1">IF(OR(NOT(INDEX(ExistsTx,$I86,2)),$H86=0),0,INDIRECT("'T"&amp;$I86&amp;"'!$O$"&amp;($J86+5),TRUE)+((1000-ROW())/10000000000000))</f>
        <v>9.1400000000000002E-11</v>
      </c>
      <c r="O86" s="230">
        <f t="array" aca="1" ref="O86" ca="1">IF(OR(NOT(INDEX(ExistsTx,$I86,2)),$H86=0),0,INDIRECT("'T"&amp;$I86&amp;"'!$P$"&amp;($J86+5),TRUE)+((1000-ROW())/10000000000000))</f>
        <v>1.0000000000914</v>
      </c>
      <c r="P86" s="230">
        <f t="array" aca="1" ref="P86" ca="1">IF(OR(NOT(INDEX(ExistsTx,$I86,2)),$H86=0),0,INDIRECT("'T"&amp;$I86&amp;"'!$Q$"&amp;($J86+5),TRUE)+((1000-ROW())/10000000000000))</f>
        <v>1.0000000000914</v>
      </c>
      <c r="Q86" s="230">
        <f t="shared" ca="1" si="37"/>
        <v>7.0000011763310583</v>
      </c>
      <c r="R86" s="230"/>
      <c r="S86" s="230"/>
      <c r="T86" s="230"/>
      <c r="U86" s="230"/>
      <c r="V86" s="230"/>
      <c r="W86" s="230"/>
      <c r="X86" s="229"/>
      <c r="Y86" s="229"/>
      <c r="Z86" s="229"/>
      <c r="AA86" s="230"/>
      <c r="AB86" s="230"/>
      <c r="AC86" s="230"/>
      <c r="AD86" s="229"/>
      <c r="AE86" s="230"/>
    </row>
    <row r="87" spans="1:31" ht="12.75" customHeight="1">
      <c r="A87" s="229" t="str">
        <f t="shared" ca="1" si="31"/>
        <v/>
      </c>
      <c r="B87" s="229" t="str">
        <f t="shared" ca="1" si="32"/>
        <v/>
      </c>
      <c r="C87" s="229" t="str">
        <f t="shared" ca="1" si="33"/>
        <v/>
      </c>
      <c r="D87" s="229">
        <f t="shared" ca="1" si="34"/>
        <v>9</v>
      </c>
      <c r="E87" s="229">
        <f t="shared" ca="1" si="35"/>
        <v>25</v>
      </c>
      <c r="F87" s="229">
        <f t="shared" ca="1" si="36"/>
        <v>16</v>
      </c>
      <c r="G87" s="230" t="str">
        <f t="array" aca="1" ref="G87" ca="1">IF(INDEX(ExistsTx,$I87,2),IF(INDIRECT("'T"&amp;$I87&amp;"'!$D$"&amp;($J87+5),TRUE)=0,T_NoName,INDIRECT("'T"&amp;$I87&amp;"'!$D$"&amp;($J87+5),TRUE)),"")</f>
        <v>Horus</v>
      </c>
      <c r="H87" s="230" t="str">
        <f t="array" aca="1" ref="H87" ca="1">IF(INDEX(ExistsTx,$I87,2),INDIRECT("'T"&amp;$I87&amp;"'!$E$"&amp;($J87+5),TRUE),0)</f>
        <v>Saurus</v>
      </c>
      <c r="I87" s="229">
        <v>6</v>
      </c>
      <c r="J87" s="229">
        <v>5</v>
      </c>
      <c r="K87" s="230" t="str">
        <f t="array" aca="1" ref="K87" ca="1">INDEX(ListTeams,$I87,1)</f>
        <v>Guardians of the Nile</v>
      </c>
      <c r="L87" s="230">
        <f t="array" aca="1" ref="L87" ca="1">IF(OR(NOT(INDEX(ExistsTx,$I87,2)),$H87=0),0,INDIRECT("'T"&amp;$I87&amp;"'!$M$"&amp;($J87+5),TRUE)+((1000-ROW())/10000000000000))</f>
        <v>9.1299999999999997E-11</v>
      </c>
      <c r="M87" s="230">
        <f t="array" aca="1" ref="M87" ca="1">IF(OR(NOT(INDEX(ExistsTx,$I87,2)),$H87=0),0,INDIRECT("'T"&amp;$I87&amp;"'!$N$"&amp;($J87+5),TRUE)+((1000-ROW())/10000000000000))</f>
        <v>9.1299999999999997E-11</v>
      </c>
      <c r="N87" s="230">
        <f t="array" aca="1" ref="N87" ca="1">IF(OR(NOT(INDEX(ExistsTx,$I87,2)),$H87=0),0,INDIRECT("'T"&amp;$I87&amp;"'!$O$"&amp;($J87+5),TRUE)+((1000-ROW())/10000000000000))</f>
        <v>9.1299999999999997E-11</v>
      </c>
      <c r="O87" s="230">
        <f t="array" aca="1" ref="O87" ca="1">IF(OR(NOT(INDEX(ExistsTx,$I87,2)),$H87=0),0,INDIRECT("'T"&amp;$I87&amp;"'!$P$"&amp;($J87+5),TRUE)+((1000-ROW())/10000000000000))</f>
        <v>2.0000000000912999</v>
      </c>
      <c r="P87" s="230">
        <f t="array" aca="1" ref="P87" ca="1">IF(OR(NOT(INDEX(ExistsTx,$I87,2)),$H87=0),0,INDIRECT("'T"&amp;$I87&amp;"'!$Q$"&amp;($J87+5),TRUE)+((1000-ROW())/10000000000000))</f>
        <v>1.0000000000913001</v>
      </c>
      <c r="Q87" s="230">
        <f t="shared" ca="1" si="37"/>
        <v>9.0000011750440461</v>
      </c>
      <c r="R87" s="230"/>
      <c r="S87" s="230"/>
      <c r="T87" s="230"/>
      <c r="U87" s="230"/>
      <c r="V87" s="230"/>
      <c r="W87" s="230"/>
      <c r="X87" s="229"/>
      <c r="Y87" s="229"/>
      <c r="Z87" s="229"/>
      <c r="AA87" s="230"/>
      <c r="AB87" s="230"/>
      <c r="AC87" s="230"/>
      <c r="AD87" s="229"/>
      <c r="AE87" s="230"/>
    </row>
    <row r="88" spans="1:31" ht="12.75" customHeight="1">
      <c r="A88" s="229" t="str">
        <f t="shared" ca="1" si="31"/>
        <v/>
      </c>
      <c r="B88" s="229" t="str">
        <f t="shared" ca="1" si="32"/>
        <v/>
      </c>
      <c r="C88" s="229" t="str">
        <f t="shared" ca="1" si="33"/>
        <v/>
      </c>
      <c r="D88" s="229" t="str">
        <f t="shared" ca="1" si="34"/>
        <v/>
      </c>
      <c r="E88" s="229" t="str">
        <f t="shared" ca="1" si="35"/>
        <v/>
      </c>
      <c r="F88" s="229" t="str">
        <f t="shared" ca="1" si="36"/>
        <v/>
      </c>
      <c r="G88" s="230" t="str">
        <f t="array" aca="1" ref="G88" ca="1">IF(INDEX(ExistsTx,$I88,2),IF(INDIRECT("'T"&amp;$I88&amp;"'!$D$"&amp;($J88+5),TRUE)=0,T_NoName,INDIRECT("'T"&amp;$I88&amp;"'!$D$"&amp;($J88+5),TRUE)),"")</f>
        <v>Thoth</v>
      </c>
      <c r="H88" s="230" t="str">
        <f t="array" aca="1" ref="H88" ca="1">IF(INDEX(ExistsTx,$I88,2),INDIRECT("'T"&amp;$I88&amp;"'!$E$"&amp;($J88+5),TRUE),0)</f>
        <v>Saurus</v>
      </c>
      <c r="I88" s="229">
        <v>6</v>
      </c>
      <c r="J88" s="229">
        <v>6</v>
      </c>
      <c r="K88" s="230" t="str">
        <f t="array" aca="1" ref="K88" ca="1">INDEX(ListTeams,$I88,1)</f>
        <v>Guardians of the Nile</v>
      </c>
      <c r="L88" s="230">
        <f t="array" aca="1" ref="L88" ca="1">IF(OR(NOT(INDEX(ExistsTx,$I88,2)),$H88=0),0,INDIRECT("'T"&amp;$I88&amp;"'!$M$"&amp;($J88+5),TRUE)+((1000-ROW())/10000000000000))</f>
        <v>9.1200000000000006E-11</v>
      </c>
      <c r="M88" s="230">
        <f t="array" aca="1" ref="M88" ca="1">IF(OR(NOT(INDEX(ExistsTx,$I88,2)),$H88=0),0,INDIRECT("'T"&amp;$I88&amp;"'!$N$"&amp;($J88+5),TRUE)+((1000-ROW())/10000000000000))</f>
        <v>9.1200000000000006E-11</v>
      </c>
      <c r="N88" s="230">
        <f t="array" aca="1" ref="N88" ca="1">IF(OR(NOT(INDEX(ExistsTx,$I88,2)),$H88=0),0,INDIRECT("'T"&amp;$I88&amp;"'!$O$"&amp;($J88+5),TRUE)+((1000-ROW())/10000000000000))</f>
        <v>9.1200000000000006E-11</v>
      </c>
      <c r="O88" s="230">
        <f t="array" aca="1" ref="O88" ca="1">IF(OR(NOT(INDEX(ExistsTx,$I88,2)),$H88=0),0,INDIRECT("'T"&amp;$I88&amp;"'!$P$"&amp;($J88+5),TRUE)+((1000-ROW())/10000000000000))</f>
        <v>9.1200000000000006E-11</v>
      </c>
      <c r="P88" s="230">
        <f t="array" aca="1" ref="P88" ca="1">IF(OR(NOT(INDEX(ExistsTx,$I88,2)),$H88=0),0,INDIRECT("'T"&amp;$I88&amp;"'!$Q$"&amp;($J88+5),TRUE)+((1000-ROW())/10000000000000))</f>
        <v>9.1200000000000006E-11</v>
      </c>
      <c r="Q88" s="230">
        <f t="shared" ca="1" si="37"/>
        <v>1.173757029744E-6</v>
      </c>
      <c r="R88" s="230"/>
      <c r="S88" s="230"/>
      <c r="T88" s="230"/>
      <c r="U88" s="230"/>
      <c r="V88" s="230"/>
      <c r="W88" s="230"/>
      <c r="X88" s="229"/>
      <c r="Y88" s="229"/>
      <c r="Z88" s="229"/>
      <c r="AA88" s="230"/>
      <c r="AB88" s="230"/>
      <c r="AC88" s="230"/>
      <c r="AD88" s="229"/>
      <c r="AE88" s="230"/>
    </row>
    <row r="89" spans="1:31" ht="12.75" customHeight="1">
      <c r="A89" s="229" t="str">
        <f t="shared" ca="1" si="31"/>
        <v/>
      </c>
      <c r="B89" s="229" t="str">
        <f t="shared" ca="1" si="32"/>
        <v/>
      </c>
      <c r="C89" s="229" t="str">
        <f t="shared" ca="1" si="33"/>
        <v/>
      </c>
      <c r="D89" s="229" t="str">
        <f t="shared" ca="1" si="34"/>
        <v/>
      </c>
      <c r="E89" s="229">
        <f t="shared" ca="1" si="35"/>
        <v>7</v>
      </c>
      <c r="F89" s="229">
        <f t="shared" ca="1" si="36"/>
        <v>13</v>
      </c>
      <c r="G89" s="230" t="str">
        <f t="array" aca="1" ref="G89" ca="1">IF(INDEX(ExistsTx,$I89,2),IF(INDIRECT("'T"&amp;$I89&amp;"'!$D$"&amp;($J89+5),TRUE)=0,T_NoName,INDIRECT("'T"&amp;$I89&amp;"'!$D$"&amp;($J89+5),TRUE)),"")</f>
        <v>Anuket</v>
      </c>
      <c r="H89" s="230" t="str">
        <f t="array" aca="1" ref="H89" ca="1">IF(INDEX(ExistsTx,$I89,2),INDIRECT("'T"&amp;$I89&amp;"'!$E$"&amp;($J89+5),TRUE),0)</f>
        <v>Saurus</v>
      </c>
      <c r="I89" s="229">
        <v>6</v>
      </c>
      <c r="J89" s="229">
        <v>7</v>
      </c>
      <c r="K89" s="230" t="str">
        <f t="array" aca="1" ref="K89" ca="1">INDEX(ListTeams,$I89,1)</f>
        <v>Guardians of the Nile</v>
      </c>
      <c r="L89" s="230">
        <f t="array" aca="1" ref="L89" ca="1">IF(OR(NOT(INDEX(ExistsTx,$I89,2)),$H89=0),0,INDIRECT("'T"&amp;$I89&amp;"'!$M$"&amp;($J89+5),TRUE)+((1000-ROW())/10000000000000))</f>
        <v>9.1100000000000001E-11</v>
      </c>
      <c r="M89" s="230">
        <f t="array" aca="1" ref="M89" ca="1">IF(OR(NOT(INDEX(ExistsTx,$I89,2)),$H89=0),0,INDIRECT("'T"&amp;$I89&amp;"'!$N$"&amp;($J89+5),TRUE)+((1000-ROW())/10000000000000))</f>
        <v>9.1100000000000001E-11</v>
      </c>
      <c r="N89" s="230">
        <f t="array" aca="1" ref="N89" ca="1">IF(OR(NOT(INDEX(ExistsTx,$I89,2)),$H89=0),0,INDIRECT("'T"&amp;$I89&amp;"'!$O$"&amp;($J89+5),TRUE)+((1000-ROW())/10000000000000))</f>
        <v>9.1100000000000001E-11</v>
      </c>
      <c r="O89" s="230">
        <f t="array" aca="1" ref="O89" ca="1">IF(OR(NOT(INDEX(ExistsTx,$I89,2)),$H89=0),0,INDIRECT("'T"&amp;$I89&amp;"'!$P$"&amp;($J89+5),TRUE)+((1000-ROW())/10000000000000))</f>
        <v>9.1100000000000001E-11</v>
      </c>
      <c r="P89" s="230">
        <f t="array" aca="1" ref="P89" ca="1">IF(OR(NOT(INDEX(ExistsTx,$I89,2)),$H89=0),0,INDIRECT("'T"&amp;$I89&amp;"'!$Q$"&amp;($J89+5),TRUE)+((1000-ROW())/10000000000000))</f>
        <v>2.0000000000911</v>
      </c>
      <c r="Q89" s="230">
        <f t="shared" ca="1" si="37"/>
        <v>10.000001172470016</v>
      </c>
      <c r="R89" s="230"/>
      <c r="S89" s="230"/>
      <c r="T89" s="230"/>
      <c r="U89" s="230"/>
      <c r="V89" s="230"/>
      <c r="W89" s="230"/>
      <c r="X89" s="229"/>
      <c r="Y89" s="229"/>
      <c r="Z89" s="229"/>
      <c r="AA89" s="230"/>
      <c r="AB89" s="230"/>
      <c r="AC89" s="230"/>
      <c r="AD89" s="229"/>
      <c r="AE89" s="230"/>
    </row>
    <row r="90" spans="1:31" ht="12.75" customHeight="1">
      <c r="A90" s="229" t="str">
        <f t="shared" ca="1" si="31"/>
        <v/>
      </c>
      <c r="B90" s="229" t="str">
        <f t="shared" ca="1" si="32"/>
        <v/>
      </c>
      <c r="C90" s="229" t="str">
        <f t="shared" ca="1" si="33"/>
        <v/>
      </c>
      <c r="D90" s="229">
        <f t="shared" ca="1" si="34"/>
        <v>30</v>
      </c>
      <c r="E90" s="229" t="str">
        <f t="shared" ca="1" si="35"/>
        <v/>
      </c>
      <c r="F90" s="229">
        <f t="shared" ca="1" si="36"/>
        <v>58</v>
      </c>
      <c r="G90" s="230" t="str">
        <f t="array" aca="1" ref="G90" ca="1">IF(INDEX(ExistsTx,$I90,2),IF(INDIRECT("'T"&amp;$I90&amp;"'!$D$"&amp;($J90+5),TRUE)=0,T_NoName,INDIRECT("'T"&amp;$I90&amp;"'!$D$"&amp;($J90+5),TRUE)),"")</f>
        <v>Osiris</v>
      </c>
      <c r="H90" s="230" t="str">
        <f t="array" aca="1" ref="H90" ca="1">IF(INDEX(ExistsTx,$I90,2),INDIRECT("'T"&amp;$I90&amp;"'!$E$"&amp;($J90+5),TRUE),0)</f>
        <v>Skink</v>
      </c>
      <c r="I90" s="229">
        <v>6</v>
      </c>
      <c r="J90" s="229">
        <v>8</v>
      </c>
      <c r="K90" s="230" t="str">
        <f t="array" aca="1" ref="K90" ca="1">INDEX(ListTeams,$I90,1)</f>
        <v>Guardians of the Nile</v>
      </c>
      <c r="L90" s="230">
        <f t="array" aca="1" ref="L90" ca="1">IF(OR(NOT(INDEX(ExistsTx,$I90,2)),$H90=0),0,INDIRECT("'T"&amp;$I90&amp;"'!$M$"&amp;($J90+5),TRUE)+((1000-ROW())/10000000000000))</f>
        <v>9.0999999999999996E-11</v>
      </c>
      <c r="M90" s="230">
        <f t="array" aca="1" ref="M90" ca="1">IF(OR(NOT(INDEX(ExistsTx,$I90,2)),$H90=0),0,INDIRECT("'T"&amp;$I90&amp;"'!$N$"&amp;($J90+5),TRUE)+((1000-ROW())/10000000000000))</f>
        <v>9.0999999999999996E-11</v>
      </c>
      <c r="N90" s="230">
        <f t="array" aca="1" ref="N90" ca="1">IF(OR(NOT(INDEX(ExistsTx,$I90,2)),$H90=0),0,INDIRECT("'T"&amp;$I90&amp;"'!$O$"&amp;($J90+5),TRUE)+((1000-ROW())/10000000000000))</f>
        <v>9.0999999999999996E-11</v>
      </c>
      <c r="O90" s="230">
        <f t="array" aca="1" ref="O90" ca="1">IF(OR(NOT(INDEX(ExistsTx,$I90,2)),$H90=0),0,INDIRECT("'T"&amp;$I90&amp;"'!$P$"&amp;($J90+5),TRUE)+((1000-ROW())/10000000000000))</f>
        <v>1.0000000000910001</v>
      </c>
      <c r="P90" s="230">
        <f t="array" aca="1" ref="P90" ca="1">IF(OR(NOT(INDEX(ExistsTx,$I90,2)),$H90=0),0,INDIRECT("'T"&amp;$I90&amp;"'!$Q$"&amp;($J90+5),TRUE)+((1000-ROW())/10000000000000))</f>
        <v>9.0999999999999996E-11</v>
      </c>
      <c r="Q90" s="230">
        <f t="shared" ca="1" si="37"/>
        <v>2.0000011711830017</v>
      </c>
      <c r="R90" s="230"/>
      <c r="S90" s="230"/>
      <c r="T90" s="230"/>
      <c r="U90" s="230"/>
      <c r="V90" s="230"/>
      <c r="W90" s="230"/>
      <c r="X90" s="229"/>
      <c r="Y90" s="229"/>
      <c r="Z90" s="229"/>
      <c r="AA90" s="230"/>
      <c r="AB90" s="230"/>
      <c r="AC90" s="230"/>
      <c r="AD90" s="229"/>
      <c r="AE90" s="230"/>
    </row>
    <row r="91" spans="1:31" ht="12.75" customHeight="1">
      <c r="A91" s="229" t="str">
        <f t="shared" ca="1" si="31"/>
        <v/>
      </c>
      <c r="B91" s="229">
        <f t="shared" ca="1" si="32"/>
        <v>8</v>
      </c>
      <c r="C91" s="229" t="str">
        <f t="shared" ca="1" si="33"/>
        <v/>
      </c>
      <c r="D91" s="229" t="str">
        <f t="shared" ca="1" si="34"/>
        <v/>
      </c>
      <c r="E91" s="229" t="str">
        <f t="shared" ca="1" si="35"/>
        <v/>
      </c>
      <c r="F91" s="229">
        <f t="shared" ca="1" si="36"/>
        <v>37</v>
      </c>
      <c r="G91" s="230" t="str">
        <f t="array" aca="1" ref="G91" ca="1">IF(INDEX(ExistsTx,$I91,2),IF(INDIRECT("'T"&amp;$I91&amp;"'!$D$"&amp;($J91+5),TRUE)=0,T_NoName,INDIRECT("'T"&amp;$I91&amp;"'!$D$"&amp;($J91+5),TRUE)),"")</f>
        <v>Bast</v>
      </c>
      <c r="H91" s="230" t="str">
        <f t="array" aca="1" ref="H91" ca="1">IF(INDEX(ExistsTx,$I91,2),INDIRECT("'T"&amp;$I91&amp;"'!$E$"&amp;($J91+5),TRUE),0)</f>
        <v>Skink</v>
      </c>
      <c r="I91" s="229">
        <v>6</v>
      </c>
      <c r="J91" s="229">
        <v>9</v>
      </c>
      <c r="K91" s="230" t="str">
        <f t="array" aca="1" ref="K91" ca="1">INDEX(ListTeams,$I91,1)</f>
        <v>Guardians of the Nile</v>
      </c>
      <c r="L91" s="230">
        <f t="array" aca="1" ref="L91" ca="1">IF(OR(NOT(INDEX(ExistsTx,$I91,2)),$H91=0),0,INDIRECT("'T"&amp;$I91&amp;"'!$M$"&amp;($J91+5),TRUE)+((1000-ROW())/10000000000000))</f>
        <v>9.0900000000000004E-11</v>
      </c>
      <c r="M91" s="230">
        <f t="array" aca="1" ref="M91" ca="1">IF(OR(NOT(INDEX(ExistsTx,$I91,2)),$H91=0),0,INDIRECT("'T"&amp;$I91&amp;"'!$N$"&amp;($J91+5),TRUE)+((1000-ROW())/10000000000000))</f>
        <v>2.0000000000909002</v>
      </c>
      <c r="N91" s="230">
        <f t="array" aca="1" ref="N91" ca="1">IF(OR(NOT(INDEX(ExistsTx,$I91,2)),$H91=0),0,INDIRECT("'T"&amp;$I91&amp;"'!$O$"&amp;($J91+5),TRUE)+((1000-ROW())/10000000000000))</f>
        <v>9.0900000000000004E-11</v>
      </c>
      <c r="O91" s="230">
        <f t="array" aca="1" ref="O91" ca="1">IF(OR(NOT(INDEX(ExistsTx,$I91,2)),$H91=0),0,INDIRECT("'T"&amp;$I91&amp;"'!$P$"&amp;($J91+5),TRUE)+((1000-ROW())/10000000000000))</f>
        <v>9.0900000000000004E-11</v>
      </c>
      <c r="P91" s="230">
        <f t="array" aca="1" ref="P91" ca="1">IF(OR(NOT(INDEX(ExistsTx,$I91,2)),$H91=0),0,INDIRECT("'T"&amp;$I91&amp;"'!$Q$"&amp;($J91+5),TRUE)+((1000-ROW())/10000000000000))</f>
        <v>9.0900000000000004E-11</v>
      </c>
      <c r="Q91" s="230">
        <f t="shared" ca="1" si="37"/>
        <v>6.000001169895989</v>
      </c>
      <c r="R91" s="230"/>
      <c r="S91" s="230"/>
      <c r="T91" s="230"/>
      <c r="U91" s="230"/>
      <c r="V91" s="230"/>
      <c r="W91" s="230"/>
      <c r="X91" s="229"/>
      <c r="Y91" s="229"/>
      <c r="Z91" s="229"/>
      <c r="AA91" s="230"/>
      <c r="AB91" s="230"/>
      <c r="AC91" s="230"/>
      <c r="AD91" s="229"/>
      <c r="AE91" s="230"/>
    </row>
    <row r="92" spans="1:31" ht="12.75" customHeight="1">
      <c r="A92" s="229" t="str">
        <f t="shared" ca="1" si="31"/>
        <v/>
      </c>
      <c r="B92" s="229">
        <f t="shared" ca="1" si="32"/>
        <v>19</v>
      </c>
      <c r="C92" s="229" t="str">
        <f t="shared" ca="1" si="33"/>
        <v/>
      </c>
      <c r="D92" s="229">
        <f t="shared" ca="1" si="34"/>
        <v>31</v>
      </c>
      <c r="E92" s="229" t="str">
        <f t="shared" ca="1" si="35"/>
        <v/>
      </c>
      <c r="F92" s="229">
        <f t="shared" ca="1" si="36"/>
        <v>46</v>
      </c>
      <c r="G92" s="230" t="str">
        <f t="array" aca="1" ref="G92" ca="1">IF(INDEX(ExistsTx,$I92,2),IF(INDIRECT("'T"&amp;$I92&amp;"'!$D$"&amp;($J92+5),TRUE)=0,T_NoName,INDIRECT("'T"&amp;$I92&amp;"'!$D$"&amp;($J92+5),TRUE)),"")</f>
        <v>Isis</v>
      </c>
      <c r="H92" s="230" t="str">
        <f t="array" aca="1" ref="H92" ca="1">IF(INDEX(ExistsTx,$I92,2),INDIRECT("'T"&amp;$I92&amp;"'!$E$"&amp;($J92+5),TRUE),0)</f>
        <v>Skink</v>
      </c>
      <c r="I92" s="229">
        <v>6</v>
      </c>
      <c r="J92" s="229">
        <v>10</v>
      </c>
      <c r="K92" s="230" t="str">
        <f t="array" aca="1" ref="K92" ca="1">INDEX(ListTeams,$I92,1)</f>
        <v>Guardians of the Nile</v>
      </c>
      <c r="L92" s="230">
        <f t="array" aca="1" ref="L92" ca="1">IF(OR(NOT(INDEX(ExistsTx,$I92,2)),$H92=0),0,INDIRECT("'T"&amp;$I92&amp;"'!$M$"&amp;($J92+5),TRUE)+((1000-ROW())/10000000000000))</f>
        <v>9.0799999999999999E-11</v>
      </c>
      <c r="M92" s="230">
        <f t="array" aca="1" ref="M92" ca="1">IF(OR(NOT(INDEX(ExistsTx,$I92,2)),$H92=0),0,INDIRECT("'T"&amp;$I92&amp;"'!$N$"&amp;($J92+5),TRUE)+((1000-ROW())/10000000000000))</f>
        <v>1.0000000000908</v>
      </c>
      <c r="N92" s="230">
        <f t="array" aca="1" ref="N92" ca="1">IF(OR(NOT(INDEX(ExistsTx,$I92,2)),$H92=0),0,INDIRECT("'T"&amp;$I92&amp;"'!$O$"&amp;($J92+5),TRUE)+((1000-ROW())/10000000000000))</f>
        <v>9.0799999999999999E-11</v>
      </c>
      <c r="O92" s="230">
        <f t="array" aca="1" ref="O92" ca="1">IF(OR(NOT(INDEX(ExistsTx,$I92,2)),$H92=0),0,INDIRECT("'T"&amp;$I92&amp;"'!$P$"&amp;($J92+5),TRUE)+((1000-ROW())/10000000000000))</f>
        <v>1.0000000000908</v>
      </c>
      <c r="P92" s="230">
        <f t="array" aca="1" ref="P92" ca="1">IF(OR(NOT(INDEX(ExistsTx,$I92,2)),$H92=0),0,INDIRECT("'T"&amp;$I92&amp;"'!$Q$"&amp;($J92+5),TRUE)+((1000-ROW())/10000000000000))</f>
        <v>9.0799999999999999E-11</v>
      </c>
      <c r="Q92" s="230">
        <f t="shared" ca="1" si="37"/>
        <v>5.0000011686089731</v>
      </c>
      <c r="R92" s="230"/>
      <c r="S92" s="230"/>
      <c r="T92" s="230"/>
      <c r="U92" s="230"/>
      <c r="V92" s="230"/>
      <c r="W92" s="230"/>
      <c r="X92" s="229"/>
      <c r="Y92" s="229"/>
      <c r="Z92" s="229"/>
      <c r="AA92" s="230"/>
      <c r="AB92" s="230"/>
      <c r="AC92" s="230"/>
      <c r="AD92" s="229"/>
      <c r="AE92" s="230"/>
    </row>
    <row r="93" spans="1:31" ht="12.75" customHeight="1">
      <c r="A93" s="229">
        <f t="shared" ca="1" si="31"/>
        <v>18</v>
      </c>
      <c r="B93" s="229">
        <f t="shared" ca="1" si="32"/>
        <v>1</v>
      </c>
      <c r="C93" s="229" t="str">
        <f t="shared" ca="1" si="33"/>
        <v/>
      </c>
      <c r="D93" s="229" t="str">
        <f t="shared" ca="1" si="34"/>
        <v/>
      </c>
      <c r="E93" s="229" t="str">
        <f t="shared" ca="1" si="35"/>
        <v/>
      </c>
      <c r="F93" s="229">
        <f t="shared" ca="1" si="36"/>
        <v>3</v>
      </c>
      <c r="G93" s="230" t="str">
        <f t="array" aca="1" ref="G93" ca="1">IF(INDEX(ExistsTx,$I93,2),IF(INDIRECT("'T"&amp;$I93&amp;"'!$D$"&amp;($J93+5),TRUE)=0,T_NoName,INDIRECT("'T"&amp;$I93&amp;"'!$D$"&amp;($J93+5),TRUE)),"")</f>
        <v>Ptah</v>
      </c>
      <c r="H93" s="230" t="str">
        <f t="array" aca="1" ref="H93" ca="1">IF(INDEX(ExistsTx,$I93,2),INDIRECT("'T"&amp;$I93&amp;"'!$E$"&amp;($J93+5),TRUE),0)</f>
        <v>Skink</v>
      </c>
      <c r="I93" s="229">
        <v>6</v>
      </c>
      <c r="J93" s="229">
        <v>11</v>
      </c>
      <c r="K93" s="230" t="str">
        <f t="array" aca="1" ref="K93" ca="1">INDEX(ListTeams,$I93,1)</f>
        <v>Guardians of the Nile</v>
      </c>
      <c r="L93" s="230">
        <f t="array" aca="1" ref="L93" ca="1">IF(OR(NOT(INDEX(ExistsTx,$I93,2)),$H93=0),0,INDIRECT("'T"&amp;$I93&amp;"'!$M$"&amp;($J93+5),TRUE)+((1000-ROW())/10000000000000))</f>
        <v>1.0000000000906999</v>
      </c>
      <c r="M93" s="230">
        <f t="array" aca="1" ref="M93" ca="1">IF(OR(NOT(INDEX(ExistsTx,$I93,2)),$H93=0),0,INDIRECT("'T"&amp;$I93&amp;"'!$N$"&amp;($J93+5),TRUE)+((1000-ROW())/10000000000000))</f>
        <v>7.0000000000906999</v>
      </c>
      <c r="N93" s="230">
        <f t="array" aca="1" ref="N93" ca="1">IF(OR(NOT(INDEX(ExistsTx,$I93,2)),$H93=0),0,INDIRECT("'T"&amp;$I93&amp;"'!$O$"&amp;($J93+5),TRUE)+((1000-ROW())/10000000000000))</f>
        <v>9.0699999999999994E-11</v>
      </c>
      <c r="O93" s="230">
        <f t="array" aca="1" ref="O93" ca="1">IF(OR(NOT(INDEX(ExistsTx,$I93,2)),$H93=0),0,INDIRECT("'T"&amp;$I93&amp;"'!$P$"&amp;($J93+5),TRUE)+((1000-ROW())/10000000000000))</f>
        <v>9.0699999999999994E-11</v>
      </c>
      <c r="P93" s="230">
        <f t="array" aca="1" ref="P93" ca="1">IF(OR(NOT(INDEX(ExistsTx,$I93,2)),$H93=0),0,INDIRECT("'T"&amp;$I93&amp;"'!$Q$"&amp;($J93+5),TRUE)+((1000-ROW())/10000000000000))</f>
        <v>9.0699999999999994E-11</v>
      </c>
      <c r="Q93" s="230">
        <f t="shared" ca="1" si="37"/>
        <v>22.000001167321962</v>
      </c>
      <c r="R93" s="230"/>
      <c r="S93" s="230"/>
      <c r="T93" s="230"/>
      <c r="U93" s="230"/>
      <c r="V93" s="230"/>
      <c r="W93" s="230"/>
      <c r="X93" s="229"/>
      <c r="Y93" s="229"/>
      <c r="Z93" s="229"/>
      <c r="AA93" s="230"/>
      <c r="AB93" s="230"/>
      <c r="AC93" s="230"/>
      <c r="AD93" s="229"/>
      <c r="AE93" s="230"/>
    </row>
    <row r="94" spans="1:31" ht="12.75" customHeight="1">
      <c r="A94" s="229" t="str">
        <f t="shared" ca="1" si="31"/>
        <v/>
      </c>
      <c r="B94" s="229" t="str">
        <f t="shared" ca="1" si="32"/>
        <v/>
      </c>
      <c r="C94" s="229" t="str">
        <f t="shared" ca="1" si="33"/>
        <v/>
      </c>
      <c r="D94" s="229" t="str">
        <f t="shared" ca="1" si="34"/>
        <v/>
      </c>
      <c r="E94" s="229" t="str">
        <f t="shared" ca="1" si="35"/>
        <v/>
      </c>
      <c r="F94" s="229" t="str">
        <f t="shared" ca="1" si="36"/>
        <v/>
      </c>
      <c r="G94" s="230" t="str">
        <f t="array" aca="1" ref="G94" ca="1">IF(INDEX(ExistsTx,$I94,2),IF(INDIRECT("'T"&amp;$I94&amp;"'!$D$"&amp;($J94+5),TRUE)=0,T_NoName,INDIRECT("'T"&amp;$I94&amp;"'!$D$"&amp;($J94+5),TRUE)),"")</f>
        <v>Nameless</v>
      </c>
      <c r="H94" s="230">
        <f t="array" aca="1" ref="H94" ca="1">IF(INDEX(ExistsTx,$I94,2),INDIRECT("'T"&amp;$I94&amp;"'!$E$"&amp;($J94+5),TRUE),0)</f>
        <v>0</v>
      </c>
      <c r="I94" s="229">
        <v>6</v>
      </c>
      <c r="J94" s="229">
        <v>12</v>
      </c>
      <c r="K94" s="230" t="str">
        <f t="array" aca="1" ref="K94" ca="1">INDEX(ListTeams,$I94,1)</f>
        <v>Guardians of the Nile</v>
      </c>
      <c r="L94" s="230">
        <f t="array" aca="1" ref="L94" ca="1">IF(OR(NOT(INDEX(ExistsTx,$I94,2)),$H94=0),0,INDIRECT("'T"&amp;$I94&amp;"'!$M$"&amp;($J94+5),TRUE)+((1000-ROW())/10000000000000))</f>
        <v>0</v>
      </c>
      <c r="M94" s="230">
        <f t="array" aca="1" ref="M94" ca="1">IF(OR(NOT(INDEX(ExistsTx,$I94,2)),$H94=0),0,INDIRECT("'T"&amp;$I94&amp;"'!$N$"&amp;($J94+5),TRUE)+((1000-ROW())/10000000000000))</f>
        <v>0</v>
      </c>
      <c r="N94" s="230">
        <f t="array" aca="1" ref="N94" ca="1">IF(OR(NOT(INDEX(ExistsTx,$I94,2)),$H94=0),0,INDIRECT("'T"&amp;$I94&amp;"'!$O$"&amp;($J94+5),TRUE)+((1000-ROW())/10000000000000))</f>
        <v>0</v>
      </c>
      <c r="O94" s="230">
        <f t="array" aca="1" ref="O94" ca="1">IF(OR(NOT(INDEX(ExistsTx,$I94,2)),$H94=0),0,INDIRECT("'T"&amp;$I94&amp;"'!$P$"&amp;($J94+5),TRUE)+((1000-ROW())/10000000000000))</f>
        <v>0</v>
      </c>
      <c r="P94" s="230">
        <f t="array" aca="1" ref="P94" ca="1">IF(OR(NOT(INDEX(ExistsTx,$I94,2)),$H94=0),0,INDIRECT("'T"&amp;$I94&amp;"'!$Q$"&amp;($J94+5),TRUE)+((1000-ROW())/10000000000000))</f>
        <v>0</v>
      </c>
      <c r="Q94" s="230">
        <f t="shared" ca="1" si="37"/>
        <v>1.164857144022E-6</v>
      </c>
      <c r="R94" s="230"/>
      <c r="S94" s="230"/>
      <c r="T94" s="230"/>
      <c r="U94" s="230"/>
      <c r="V94" s="230"/>
      <c r="W94" s="230"/>
      <c r="X94" s="229"/>
      <c r="Y94" s="229"/>
      <c r="Z94" s="229"/>
      <c r="AA94" s="230"/>
      <c r="AB94" s="230"/>
      <c r="AC94" s="230"/>
      <c r="AD94" s="229"/>
      <c r="AE94" s="230"/>
    </row>
    <row r="95" spans="1:31" ht="12.75" customHeight="1">
      <c r="A95" s="229" t="str">
        <f t="shared" ca="1" si="31"/>
        <v/>
      </c>
      <c r="B95" s="229" t="str">
        <f t="shared" ca="1" si="32"/>
        <v/>
      </c>
      <c r="C95" s="229" t="str">
        <f t="shared" ca="1" si="33"/>
        <v/>
      </c>
      <c r="D95" s="229" t="str">
        <f t="shared" ca="1" si="34"/>
        <v/>
      </c>
      <c r="E95" s="229" t="str">
        <f t="shared" ca="1" si="35"/>
        <v/>
      </c>
      <c r="F95" s="229" t="str">
        <f t="shared" ca="1" si="36"/>
        <v/>
      </c>
      <c r="G95" s="230" t="str">
        <f t="array" aca="1" ref="G95" ca="1">IF(INDEX(ExistsTx,$I95,2),IF(INDIRECT("'T"&amp;$I95&amp;"'!$D$"&amp;($J95+5),TRUE)=0,T_NoName,INDIRECT("'T"&amp;$I95&amp;"'!$D$"&amp;($J95+5),TRUE)),"")</f>
        <v>Nameless</v>
      </c>
      <c r="H95" s="230">
        <f t="array" aca="1" ref="H95" ca="1">IF(INDEX(ExistsTx,$I95,2),INDIRECT("'T"&amp;$I95&amp;"'!$E$"&amp;($J95+5),TRUE),0)</f>
        <v>0</v>
      </c>
      <c r="I95" s="229">
        <v>6</v>
      </c>
      <c r="J95" s="229">
        <v>13</v>
      </c>
      <c r="K95" s="230" t="str">
        <f t="array" aca="1" ref="K95" ca="1">INDEX(ListTeams,$I95,1)</f>
        <v>Guardians of the Nile</v>
      </c>
      <c r="L95" s="230">
        <f t="array" aca="1" ref="L95" ca="1">IF(OR(NOT(INDEX(ExistsTx,$I95,2)),$H95=0),0,INDIRECT("'T"&amp;$I95&amp;"'!$M$"&amp;($J95+5),TRUE)+((1000-ROW())/10000000000000))</f>
        <v>0</v>
      </c>
      <c r="M95" s="230">
        <f t="array" aca="1" ref="M95" ca="1">IF(OR(NOT(INDEX(ExistsTx,$I95,2)),$H95=0),0,INDIRECT("'T"&amp;$I95&amp;"'!$N$"&amp;($J95+5),TRUE)+((1000-ROW())/10000000000000))</f>
        <v>0</v>
      </c>
      <c r="N95" s="230">
        <f t="array" aca="1" ref="N95" ca="1">IF(OR(NOT(INDEX(ExistsTx,$I95,2)),$H95=0),0,INDIRECT("'T"&amp;$I95&amp;"'!$O$"&amp;($J95+5),TRUE)+((1000-ROW())/10000000000000))</f>
        <v>0</v>
      </c>
      <c r="O95" s="230">
        <f t="array" aca="1" ref="O95" ca="1">IF(OR(NOT(INDEX(ExistsTx,$I95,2)),$H95=0),0,INDIRECT("'T"&amp;$I95&amp;"'!$P$"&amp;($J95+5),TRUE)+((1000-ROW())/10000000000000))</f>
        <v>0</v>
      </c>
      <c r="P95" s="230">
        <f t="array" aca="1" ref="P95" ca="1">IF(OR(NOT(INDEX(ExistsTx,$I95,2)),$H95=0),0,INDIRECT("'T"&amp;$I95&amp;"'!$Q$"&amp;($J95+5),TRUE)+((1000-ROW())/10000000000000))</f>
        <v>0</v>
      </c>
      <c r="Q95" s="230">
        <f t="shared" ca="1" si="37"/>
        <v>1.1635714297349999E-6</v>
      </c>
      <c r="R95" s="230"/>
      <c r="S95" s="230"/>
      <c r="T95" s="230"/>
      <c r="U95" s="230"/>
      <c r="V95" s="230"/>
      <c r="W95" s="230"/>
      <c r="X95" s="229"/>
      <c r="Y95" s="229"/>
      <c r="Z95" s="229"/>
      <c r="AA95" s="230"/>
      <c r="AB95" s="230"/>
      <c r="AC95" s="230"/>
      <c r="AD95" s="229"/>
      <c r="AE95" s="230"/>
    </row>
    <row r="96" spans="1:31" ht="12.75" customHeight="1">
      <c r="A96" s="229" t="str">
        <f t="shared" ca="1" si="31"/>
        <v/>
      </c>
      <c r="B96" s="229" t="str">
        <f t="shared" ca="1" si="32"/>
        <v/>
      </c>
      <c r="C96" s="229" t="str">
        <f t="shared" ca="1" si="33"/>
        <v/>
      </c>
      <c r="D96" s="229" t="str">
        <f t="shared" ca="1" si="34"/>
        <v/>
      </c>
      <c r="E96" s="229" t="str">
        <f t="shared" ca="1" si="35"/>
        <v/>
      </c>
      <c r="F96" s="229" t="str">
        <f t="shared" ca="1" si="36"/>
        <v/>
      </c>
      <c r="G96" s="230" t="str">
        <f t="array" aca="1" ref="G96" ca="1">IF(INDEX(ExistsTx,$I96,2),IF(INDIRECT("'T"&amp;$I96&amp;"'!$D$"&amp;($J96+5),TRUE)=0,T_NoName,INDIRECT("'T"&amp;$I96&amp;"'!$D$"&amp;($J96+5),TRUE)),"")</f>
        <v>Nameless</v>
      </c>
      <c r="H96" s="230">
        <f t="array" aca="1" ref="H96" ca="1">IF(INDEX(ExistsTx,$I96,2),INDIRECT("'T"&amp;$I96&amp;"'!$E$"&amp;($J96+5),TRUE),0)</f>
        <v>0</v>
      </c>
      <c r="I96" s="229">
        <v>6</v>
      </c>
      <c r="J96" s="229">
        <v>14</v>
      </c>
      <c r="K96" s="230" t="str">
        <f t="array" aca="1" ref="K96" ca="1">INDEX(ListTeams,$I96,1)</f>
        <v>Guardians of the Nile</v>
      </c>
      <c r="L96" s="230">
        <f t="array" aca="1" ref="L96" ca="1">IF(OR(NOT(INDEX(ExistsTx,$I96,2)),$H96=0),0,INDIRECT("'T"&amp;$I96&amp;"'!$M$"&amp;($J96+5),TRUE)+((1000-ROW())/10000000000000))</f>
        <v>0</v>
      </c>
      <c r="M96" s="230">
        <f t="array" aca="1" ref="M96" ca="1">IF(OR(NOT(INDEX(ExistsTx,$I96,2)),$H96=0),0,INDIRECT("'T"&amp;$I96&amp;"'!$N$"&amp;($J96+5),TRUE)+((1000-ROW())/10000000000000))</f>
        <v>0</v>
      </c>
      <c r="N96" s="230">
        <f t="array" aca="1" ref="N96" ca="1">IF(OR(NOT(INDEX(ExistsTx,$I96,2)),$H96=0),0,INDIRECT("'T"&amp;$I96&amp;"'!$O$"&amp;($J96+5),TRUE)+((1000-ROW())/10000000000000))</f>
        <v>0</v>
      </c>
      <c r="O96" s="230">
        <f t="array" aca="1" ref="O96" ca="1">IF(OR(NOT(INDEX(ExistsTx,$I96,2)),$H96=0),0,INDIRECT("'T"&amp;$I96&amp;"'!$P$"&amp;($J96+5),TRUE)+((1000-ROW())/10000000000000))</f>
        <v>0</v>
      </c>
      <c r="P96" s="230">
        <f t="array" aca="1" ref="P96" ca="1">IF(OR(NOT(INDEX(ExistsTx,$I96,2)),$H96=0),0,INDIRECT("'T"&amp;$I96&amp;"'!$Q$"&amp;($J96+5),TRUE)+((1000-ROW())/10000000000000))</f>
        <v>0</v>
      </c>
      <c r="Q96" s="230">
        <f t="shared" ca="1" si="37"/>
        <v>1.162285715448E-6</v>
      </c>
      <c r="R96" s="230"/>
      <c r="S96" s="230"/>
      <c r="T96" s="230"/>
      <c r="U96" s="230"/>
      <c r="V96" s="230"/>
      <c r="W96" s="230"/>
      <c r="X96" s="229"/>
      <c r="Y96" s="229"/>
      <c r="Z96" s="229"/>
      <c r="AA96" s="230"/>
      <c r="AB96" s="230"/>
      <c r="AC96" s="230"/>
      <c r="AD96" s="229"/>
      <c r="AE96" s="230"/>
    </row>
    <row r="97" spans="1:31" ht="12.75" customHeight="1">
      <c r="A97" s="229" t="str">
        <f t="shared" ca="1" si="31"/>
        <v/>
      </c>
      <c r="B97" s="229" t="str">
        <f t="shared" ca="1" si="32"/>
        <v/>
      </c>
      <c r="C97" s="229" t="str">
        <f t="shared" ca="1" si="33"/>
        <v/>
      </c>
      <c r="D97" s="229" t="str">
        <f t="shared" ca="1" si="34"/>
        <v/>
      </c>
      <c r="E97" s="229" t="str">
        <f t="shared" ca="1" si="35"/>
        <v/>
      </c>
      <c r="F97" s="229" t="str">
        <f t="shared" ca="1" si="36"/>
        <v/>
      </c>
      <c r="G97" s="230" t="str">
        <f t="array" aca="1" ref="G97" ca="1">IF(INDEX(ExistsTx,$I97,2),IF(INDIRECT("'T"&amp;$I97&amp;"'!$D$"&amp;($J97+5),TRUE)=0,T_NoName,INDIRECT("'T"&amp;$I97&amp;"'!$D$"&amp;($J97+5),TRUE)),"")</f>
        <v>Nameless</v>
      </c>
      <c r="H97" s="230">
        <f t="array" aca="1" ref="H97" ca="1">IF(INDEX(ExistsTx,$I97,2),INDIRECT("'T"&amp;$I97&amp;"'!$E$"&amp;($J97+5),TRUE),0)</f>
        <v>0</v>
      </c>
      <c r="I97" s="229">
        <v>6</v>
      </c>
      <c r="J97" s="229">
        <v>15</v>
      </c>
      <c r="K97" s="230" t="str">
        <f t="array" aca="1" ref="K97" ca="1">INDEX(ListTeams,$I97,1)</f>
        <v>Guardians of the Nile</v>
      </c>
      <c r="L97" s="230">
        <f t="array" aca="1" ref="L97" ca="1">IF(OR(NOT(INDEX(ExistsTx,$I97,2)),$H97=0),0,INDIRECT("'T"&amp;$I97&amp;"'!$M$"&amp;($J97+5),TRUE)+((1000-ROW())/10000000000000))</f>
        <v>0</v>
      </c>
      <c r="M97" s="230">
        <f t="array" aca="1" ref="M97" ca="1">IF(OR(NOT(INDEX(ExistsTx,$I97,2)),$H97=0),0,INDIRECT("'T"&amp;$I97&amp;"'!$N$"&amp;($J97+5),TRUE)+((1000-ROW())/10000000000000))</f>
        <v>0</v>
      </c>
      <c r="N97" s="230">
        <f t="array" aca="1" ref="N97" ca="1">IF(OR(NOT(INDEX(ExistsTx,$I97,2)),$H97=0),0,INDIRECT("'T"&amp;$I97&amp;"'!$O$"&amp;($J97+5),TRUE)+((1000-ROW())/10000000000000))</f>
        <v>0</v>
      </c>
      <c r="O97" s="230">
        <f t="array" aca="1" ref="O97" ca="1">IF(OR(NOT(INDEX(ExistsTx,$I97,2)),$H97=0),0,INDIRECT("'T"&amp;$I97&amp;"'!$P$"&amp;($J97+5),TRUE)+((1000-ROW())/10000000000000))</f>
        <v>0</v>
      </c>
      <c r="P97" s="230">
        <f t="array" aca="1" ref="P97" ca="1">IF(OR(NOT(INDEX(ExistsTx,$I97,2)),$H97=0),0,INDIRECT("'T"&amp;$I97&amp;"'!$Q$"&amp;($J97+5),TRUE)+((1000-ROW())/10000000000000))</f>
        <v>0</v>
      </c>
      <c r="Q97" s="230">
        <f t="shared" ca="1" si="37"/>
        <v>1.1610000011610001E-6</v>
      </c>
      <c r="R97" s="230"/>
      <c r="S97" s="230"/>
      <c r="T97" s="230"/>
      <c r="U97" s="230"/>
      <c r="V97" s="230"/>
      <c r="W97" s="230"/>
      <c r="X97" s="229"/>
      <c r="Y97" s="229"/>
      <c r="Z97" s="229"/>
      <c r="AA97" s="230"/>
      <c r="AB97" s="230"/>
      <c r="AC97" s="230"/>
      <c r="AD97" s="229"/>
      <c r="AE97" s="230"/>
    </row>
    <row r="98" spans="1:31" ht="12.75" customHeight="1">
      <c r="A98" s="229" t="str">
        <f t="shared" ca="1" si="31"/>
        <v/>
      </c>
      <c r="B98" s="229" t="str">
        <f t="shared" ca="1" si="32"/>
        <v/>
      </c>
      <c r="C98" s="229" t="str">
        <f t="shared" ca="1" si="33"/>
        <v/>
      </c>
      <c r="D98" s="229" t="str">
        <f t="shared" ca="1" si="34"/>
        <v/>
      </c>
      <c r="E98" s="229" t="str">
        <f t="shared" ca="1" si="35"/>
        <v/>
      </c>
      <c r="F98" s="229" t="str">
        <f t="shared" ca="1" si="36"/>
        <v/>
      </c>
      <c r="G98" s="230" t="str">
        <f t="array" aca="1" ref="G98" ca="1">IF(INDEX(ExistsTx,$I98,2),IF(INDIRECT("'T"&amp;$I98&amp;"'!$D$"&amp;($J98+5),TRUE)=0,T_NoName,INDIRECT("'T"&amp;$I98&amp;"'!$D$"&amp;($J98+5),TRUE)),"")</f>
        <v>Nameless</v>
      </c>
      <c r="H98" s="230">
        <f t="array" aca="1" ref="H98" ca="1">IF(INDEX(ExistsTx,$I98,2),INDIRECT("'T"&amp;$I98&amp;"'!$E$"&amp;($J98+5),TRUE),0)</f>
        <v>0</v>
      </c>
      <c r="I98" s="229">
        <v>6</v>
      </c>
      <c r="J98" s="229">
        <v>16</v>
      </c>
      <c r="K98" s="230" t="str">
        <f t="array" aca="1" ref="K98" ca="1">INDEX(ListTeams,$I98,1)</f>
        <v>Guardians of the Nile</v>
      </c>
      <c r="L98" s="230">
        <f t="array" aca="1" ref="L98" ca="1">IF(OR(NOT(INDEX(ExistsTx,$I98,2)),$H98=0),0,INDIRECT("'T"&amp;$I98&amp;"'!$M$"&amp;($J98+5),TRUE)+((1000-ROW())/10000000000000))</f>
        <v>0</v>
      </c>
      <c r="M98" s="230">
        <f t="array" aca="1" ref="M98" ca="1">IF(OR(NOT(INDEX(ExistsTx,$I98,2)),$H98=0),0,INDIRECT("'T"&amp;$I98&amp;"'!$N$"&amp;($J98+5),TRUE)+((1000-ROW())/10000000000000))</f>
        <v>0</v>
      </c>
      <c r="N98" s="230">
        <f t="array" aca="1" ref="N98" ca="1">IF(OR(NOT(INDEX(ExistsTx,$I98,2)),$H98=0),0,INDIRECT("'T"&amp;$I98&amp;"'!$O$"&amp;($J98+5),TRUE)+((1000-ROW())/10000000000000))</f>
        <v>0</v>
      </c>
      <c r="O98" s="230">
        <f t="array" aca="1" ref="O98" ca="1">IF(OR(NOT(INDEX(ExistsTx,$I98,2)),$H98=0),0,INDIRECT("'T"&amp;$I98&amp;"'!$P$"&amp;($J98+5),TRUE)+((1000-ROW())/10000000000000))</f>
        <v>0</v>
      </c>
      <c r="P98" s="230">
        <f t="array" aca="1" ref="P98" ca="1">IF(OR(NOT(INDEX(ExistsTx,$I98,2)),$H98=0),0,INDIRECT("'T"&amp;$I98&amp;"'!$Q$"&amp;($J98+5),TRUE)+((1000-ROW())/10000000000000))</f>
        <v>0</v>
      </c>
      <c r="Q98" s="230">
        <f t="shared" ca="1" si="37"/>
        <v>1.159714286874E-6</v>
      </c>
      <c r="R98" s="230"/>
      <c r="S98" s="230"/>
      <c r="T98" s="230"/>
      <c r="U98" s="230"/>
      <c r="V98" s="230"/>
      <c r="W98" s="230"/>
      <c r="X98" s="229"/>
      <c r="Y98" s="229"/>
      <c r="Z98" s="229"/>
      <c r="AA98" s="230"/>
      <c r="AB98" s="230"/>
      <c r="AC98" s="230"/>
      <c r="AD98" s="229"/>
      <c r="AE98" s="230"/>
    </row>
    <row r="99" spans="1:31" ht="12.75" customHeight="1">
      <c r="A99" s="229">
        <f t="shared" ca="1" si="31"/>
        <v>5</v>
      </c>
      <c r="B99" s="229" t="str">
        <f t="shared" ca="1" si="32"/>
        <v/>
      </c>
      <c r="C99" s="229" t="str">
        <f t="shared" ca="1" si="33"/>
        <v/>
      </c>
      <c r="D99" s="229" t="str">
        <f t="shared" ca="1" si="34"/>
        <v/>
      </c>
      <c r="E99" s="229" t="str">
        <f t="shared" ca="1" si="35"/>
        <v/>
      </c>
      <c r="F99" s="229">
        <f t="shared" ca="1" si="36"/>
        <v>59</v>
      </c>
      <c r="G99" s="230" t="str">
        <f t="array" aca="1" ref="G99" ca="1">IF(INDEX(ExistsTx,$I99,2),IF(INDIRECT("'T"&amp;$I99&amp;"'!$D$"&amp;($J99+5),TRUE)=0,T_NoName,INDIRECT("'T"&amp;$I99&amp;"'!$D$"&amp;($J99+5),TRUE)),"")</f>
        <v>Talon Boldstrider</v>
      </c>
      <c r="H99" s="230" t="str">
        <f t="array" aca="1" ref="H99" ca="1">IF(INDEX(ExistsTx,$I99,2),INDIRECT("'T"&amp;$I99&amp;"'!$E$"&amp;($J99+5),TRUE),0)</f>
        <v>Lineman</v>
      </c>
      <c r="I99" s="229">
        <v>7</v>
      </c>
      <c r="J99" s="229">
        <v>1</v>
      </c>
      <c r="K99" s="230" t="str">
        <f t="array" aca="1" ref="K99" ca="1">INDEX(ListTeams,$I99,1)</f>
        <v>Skyhaven Silverfoxes</v>
      </c>
      <c r="L99" s="230">
        <f t="array" aca="1" ref="L99" ca="1">IF(OR(NOT(INDEX(ExistsTx,$I99,2)),$H99=0),0,INDIRECT("'T"&amp;$I99&amp;"'!$M$"&amp;($J99+5),TRUE)+((1000-ROW())/10000000000000))</f>
        <v>2.0000000000900999</v>
      </c>
      <c r="M99" s="230">
        <f t="array" aca="1" ref="M99" ca="1">IF(OR(NOT(INDEX(ExistsTx,$I99,2)),$H99=0),0,INDIRECT("'T"&amp;$I99&amp;"'!$N$"&amp;($J99+5),TRUE)+((1000-ROW())/10000000000000))</f>
        <v>9.0100000000000004E-11</v>
      </c>
      <c r="N99" s="230">
        <f t="array" aca="1" ref="N99" ca="1">IF(OR(NOT(INDEX(ExistsTx,$I99,2)),$H99=0),0,INDIRECT("'T"&amp;$I99&amp;"'!$O$"&amp;($J99+5),TRUE)+((1000-ROW())/10000000000000))</f>
        <v>9.0100000000000004E-11</v>
      </c>
      <c r="O99" s="230">
        <f t="array" aca="1" ref="O99" ca="1">IF(OR(NOT(INDEX(ExistsTx,$I99,2)),$H99=0),0,INDIRECT("'T"&amp;$I99&amp;"'!$P$"&amp;($J99+5),TRUE)+((1000-ROW())/10000000000000))</f>
        <v>9.0100000000000004E-11</v>
      </c>
      <c r="P99" s="230">
        <f t="array" aca="1" ref="P99" ca="1">IF(OR(NOT(INDEX(ExistsTx,$I99,2)),$H99=0),0,INDIRECT("'T"&amp;$I99&amp;"'!$Q$"&amp;($J99+5),TRUE)+((1000-ROW())/10000000000000))</f>
        <v>9.0100000000000004E-11</v>
      </c>
      <c r="Q99" s="230">
        <f t="shared" ca="1" si="37"/>
        <v>2.0000011595998721</v>
      </c>
      <c r="R99" s="230"/>
      <c r="S99" s="230"/>
      <c r="T99" s="230"/>
      <c r="U99" s="230"/>
      <c r="V99" s="230"/>
      <c r="W99" s="230"/>
      <c r="X99" s="229"/>
      <c r="Y99" s="229"/>
      <c r="Z99" s="229"/>
      <c r="AA99" s="230"/>
      <c r="AB99" s="230"/>
      <c r="AC99" s="230"/>
      <c r="AD99" s="229"/>
      <c r="AE99" s="230"/>
    </row>
    <row r="100" spans="1:31" ht="12.75" customHeight="1">
      <c r="A100" s="229">
        <f t="shared" ca="1" si="31"/>
        <v>6</v>
      </c>
      <c r="B100" s="229" t="str">
        <f t="shared" ca="1" si="32"/>
        <v/>
      </c>
      <c r="C100" s="229" t="str">
        <f t="shared" ca="1" si="33"/>
        <v/>
      </c>
      <c r="D100" s="229" t="str">
        <f t="shared" ca="1" si="34"/>
        <v/>
      </c>
      <c r="E100" s="229">
        <f t="shared" ca="1" si="35"/>
        <v>26</v>
      </c>
      <c r="F100" s="229">
        <f t="shared" ca="1" si="36"/>
        <v>29</v>
      </c>
      <c r="G100" s="230" t="str">
        <f t="array" aca="1" ref="G100" ca="1">IF(INDEX(ExistsTx,$I100,2),IF(INDIRECT("'T"&amp;$I100&amp;"'!$D$"&amp;($J100+5),TRUE)=0,T_NoName,INDIRECT("'T"&amp;$I100&amp;"'!$D$"&amp;($J100+5),TRUE)),"")</f>
        <v>Typhoon Greatwind</v>
      </c>
      <c r="H100" s="230" t="str">
        <f t="array" aca="1" ref="H100" ca="1">IF(INDEX(ExistsTx,$I100,2),INDIRECT("'T"&amp;$I100&amp;"'!$E$"&amp;($J100+5),TRUE),0)</f>
        <v>Lineman</v>
      </c>
      <c r="I100" s="229">
        <v>7</v>
      </c>
      <c r="J100" s="229">
        <v>2</v>
      </c>
      <c r="K100" s="230" t="str">
        <f t="array" aca="1" ref="K100" ca="1">INDEX(ListTeams,$I100,1)</f>
        <v>Skyhaven Silverfoxes</v>
      </c>
      <c r="L100" s="230">
        <f t="array" aca="1" ref="L100" ca="1">IF(OR(NOT(INDEX(ExistsTx,$I100,2)),$H100=0),0,INDIRECT("'T"&amp;$I100&amp;"'!$M$"&amp;($J100+5),TRUE)+((1000-ROW())/10000000000000))</f>
        <v>2.00000000009</v>
      </c>
      <c r="M100" s="230">
        <f t="array" aca="1" ref="M100" ca="1">IF(OR(NOT(INDEX(ExistsTx,$I100,2)),$H100=0),0,INDIRECT("'T"&amp;$I100&amp;"'!$N$"&amp;($J100+5),TRUE)+((1000-ROW())/10000000000000))</f>
        <v>8.9999999999999999E-11</v>
      </c>
      <c r="N100" s="230">
        <f t="array" aca="1" ref="N100" ca="1">IF(OR(NOT(INDEX(ExistsTx,$I100,2)),$H100=0),0,INDIRECT("'T"&amp;$I100&amp;"'!$O$"&amp;($J100+5),TRUE)+((1000-ROW())/10000000000000))</f>
        <v>8.9999999999999999E-11</v>
      </c>
      <c r="O100" s="230">
        <f t="array" aca="1" ref="O100" ca="1">IF(OR(NOT(INDEX(ExistsTx,$I100,2)),$H100=0),0,INDIRECT("'T"&amp;$I100&amp;"'!$P$"&amp;($J100+5),TRUE)+((1000-ROW())/10000000000000))</f>
        <v>8.9999999999999999E-11</v>
      </c>
      <c r="P100" s="230">
        <f t="array" aca="1" ref="P100" ca="1">IF(OR(NOT(INDEX(ExistsTx,$I100,2)),$H100=0),0,INDIRECT("'T"&amp;$I100&amp;"'!$Q$"&amp;($J100+5),TRUE)+((1000-ROW())/10000000000000))</f>
        <v>1.00000000009</v>
      </c>
      <c r="Q100" s="230">
        <f t="shared" ca="1" si="37"/>
        <v>7.0000011583128581</v>
      </c>
      <c r="R100" s="230"/>
      <c r="S100" s="230"/>
      <c r="T100" s="230"/>
      <c r="U100" s="230"/>
      <c r="V100" s="230"/>
      <c r="W100" s="230"/>
      <c r="X100" s="229"/>
      <c r="Y100" s="229"/>
      <c r="Z100" s="229"/>
      <c r="AA100" s="230"/>
      <c r="AB100" s="230"/>
      <c r="AC100" s="230"/>
      <c r="AD100" s="229"/>
      <c r="AE100" s="230"/>
    </row>
    <row r="101" spans="1:31" ht="12.75" customHeight="1">
      <c r="A101" s="229" t="str">
        <f t="shared" ca="1" si="31"/>
        <v/>
      </c>
      <c r="B101" s="229" t="str">
        <f t="shared" ca="1" si="32"/>
        <v/>
      </c>
      <c r="C101" s="229" t="str">
        <f t="shared" ca="1" si="33"/>
        <v/>
      </c>
      <c r="D101" s="229">
        <f t="shared" ca="1" si="34"/>
        <v>32</v>
      </c>
      <c r="E101" s="229">
        <f t="shared" ca="1" si="35"/>
        <v>27</v>
      </c>
      <c r="F101" s="229">
        <f t="shared" ca="1" si="36"/>
        <v>30</v>
      </c>
      <c r="G101" s="230" t="str">
        <f t="array" aca="1" ref="G101" ca="1">IF(INDEX(ExistsTx,$I101,2),IF(INDIRECT("'T"&amp;$I101&amp;"'!$D$"&amp;($J101+5),TRUE)=0,T_NoName,INDIRECT("'T"&amp;$I101&amp;"'!$D$"&amp;($J101+5),TRUE)),"")</f>
        <v>Axe Wildspear</v>
      </c>
      <c r="H101" s="230" t="str">
        <f t="array" aca="1" ref="H101" ca="1">IF(INDEX(ExistsTx,$I101,2),INDIRECT("'T"&amp;$I101&amp;"'!$E$"&amp;($J101+5),TRUE),0)</f>
        <v>Lineman</v>
      </c>
      <c r="I101" s="229">
        <v>7</v>
      </c>
      <c r="J101" s="229">
        <v>3</v>
      </c>
      <c r="K101" s="230" t="str">
        <f t="array" aca="1" ref="K101" ca="1">INDEX(ListTeams,$I101,1)</f>
        <v>Skyhaven Silverfoxes</v>
      </c>
      <c r="L101" s="230">
        <f t="array" aca="1" ref="L101" ca="1">IF(OR(NOT(INDEX(ExistsTx,$I101,2)),$H101=0),0,INDIRECT("'T"&amp;$I101&amp;"'!$M$"&amp;($J101+5),TRUE)+((1000-ROW())/10000000000000))</f>
        <v>8.9899999999999995E-11</v>
      </c>
      <c r="M101" s="230">
        <f t="array" aca="1" ref="M101" ca="1">IF(OR(NOT(INDEX(ExistsTx,$I101,2)),$H101=0),0,INDIRECT("'T"&amp;$I101&amp;"'!$N$"&amp;($J101+5),TRUE)+((1000-ROW())/10000000000000))</f>
        <v>8.9899999999999995E-11</v>
      </c>
      <c r="N101" s="230">
        <f t="array" aca="1" ref="N101" ca="1">IF(OR(NOT(INDEX(ExistsTx,$I101,2)),$H101=0),0,INDIRECT("'T"&amp;$I101&amp;"'!$O$"&amp;($J101+5),TRUE)+((1000-ROW())/10000000000000))</f>
        <v>8.9899999999999995E-11</v>
      </c>
      <c r="O101" s="230">
        <f t="array" aca="1" ref="O101" ca="1">IF(OR(NOT(INDEX(ExistsTx,$I101,2)),$H101=0),0,INDIRECT("'T"&amp;$I101&amp;"'!$P$"&amp;($J101+5),TRUE)+((1000-ROW())/10000000000000))</f>
        <v>1.0000000000899001</v>
      </c>
      <c r="P101" s="230">
        <f t="array" aca="1" ref="P101" ca="1">IF(OR(NOT(INDEX(ExistsTx,$I101,2)),$H101=0),0,INDIRECT("'T"&amp;$I101&amp;"'!$Q$"&amp;($J101+5),TRUE)+((1000-ROW())/10000000000000))</f>
        <v>1.0000000000899001</v>
      </c>
      <c r="Q101" s="230">
        <f t="shared" ca="1" si="37"/>
        <v>7.0000011570258449</v>
      </c>
      <c r="R101" s="230"/>
      <c r="S101" s="230"/>
      <c r="T101" s="230"/>
      <c r="U101" s="230"/>
      <c r="V101" s="230"/>
      <c r="W101" s="230"/>
      <c r="X101" s="229"/>
      <c r="Y101" s="229"/>
      <c r="Z101" s="229"/>
      <c r="AA101" s="230"/>
      <c r="AB101" s="230"/>
      <c r="AC101" s="230"/>
      <c r="AD101" s="229"/>
      <c r="AE101" s="230"/>
    </row>
    <row r="102" spans="1:31" ht="12.75" customHeight="1">
      <c r="A102" s="229" t="str">
        <f t="shared" ca="1" si="31"/>
        <v/>
      </c>
      <c r="B102" s="229" t="str">
        <f t="shared" ca="1" si="32"/>
        <v/>
      </c>
      <c r="C102" s="229" t="str">
        <f t="shared" ca="1" si="33"/>
        <v/>
      </c>
      <c r="D102" s="229" t="str">
        <f t="shared" ca="1" si="34"/>
        <v/>
      </c>
      <c r="E102" s="229" t="str">
        <f t="shared" ca="1" si="35"/>
        <v/>
      </c>
      <c r="F102" s="229" t="str">
        <f t="shared" ca="1" si="36"/>
        <v/>
      </c>
      <c r="G102" s="230" t="str">
        <f t="array" aca="1" ref="G102" ca="1">IF(INDEX(ExistsTx,$I102,2),IF(INDIRECT("'T"&amp;$I102&amp;"'!$D$"&amp;($J102+5),TRUE)=0,T_NoName,INDIRECT("'T"&amp;$I102&amp;"'!$D$"&amp;($J102+5),TRUE)),"")</f>
        <v>Nameless</v>
      </c>
      <c r="H102" s="230">
        <f t="array" aca="1" ref="H102" ca="1">IF(INDEX(ExistsTx,$I102,2),INDIRECT("'T"&amp;$I102&amp;"'!$E$"&amp;($J102+5),TRUE),0)</f>
        <v>0</v>
      </c>
      <c r="I102" s="229">
        <v>7</v>
      </c>
      <c r="J102" s="229">
        <v>4</v>
      </c>
      <c r="K102" s="230" t="str">
        <f t="array" aca="1" ref="K102" ca="1">INDEX(ListTeams,$I102,1)</f>
        <v>Skyhaven Silverfoxes</v>
      </c>
      <c r="L102" s="230">
        <f t="array" aca="1" ref="L102" ca="1">IF(OR(NOT(INDEX(ExistsTx,$I102,2)),$H102=0),0,INDIRECT("'T"&amp;$I102&amp;"'!$M$"&amp;($J102+5),TRUE)+((1000-ROW())/10000000000000))</f>
        <v>0</v>
      </c>
      <c r="M102" s="230">
        <f t="array" aca="1" ref="M102" ca="1">IF(OR(NOT(INDEX(ExistsTx,$I102,2)),$H102=0),0,INDIRECT("'T"&amp;$I102&amp;"'!$N$"&amp;($J102+5),TRUE)+((1000-ROW())/10000000000000))</f>
        <v>0</v>
      </c>
      <c r="N102" s="230">
        <f t="array" aca="1" ref="N102" ca="1">IF(OR(NOT(INDEX(ExistsTx,$I102,2)),$H102=0),0,INDIRECT("'T"&amp;$I102&amp;"'!$O$"&amp;($J102+5),TRUE)+((1000-ROW())/10000000000000))</f>
        <v>0</v>
      </c>
      <c r="O102" s="230">
        <f t="array" aca="1" ref="O102" ca="1">IF(OR(NOT(INDEX(ExistsTx,$I102,2)),$H102=0),0,INDIRECT("'T"&amp;$I102&amp;"'!$P$"&amp;($J102+5),TRUE)+((1000-ROW())/10000000000000))</f>
        <v>0</v>
      </c>
      <c r="P102" s="230">
        <f t="array" aca="1" ref="P102" ca="1">IF(OR(NOT(INDEX(ExistsTx,$I102,2)),$H102=0),0,INDIRECT("'T"&amp;$I102&amp;"'!$Q$"&amp;($J102+5),TRUE)+((1000-ROW())/10000000000000))</f>
        <v>0</v>
      </c>
      <c r="Q102" s="230">
        <f t="shared" ca="1" si="37"/>
        <v>1.1545714297259999E-6</v>
      </c>
      <c r="R102" s="230"/>
      <c r="S102" s="230"/>
      <c r="T102" s="230"/>
      <c r="U102" s="230"/>
      <c r="V102" s="230"/>
      <c r="W102" s="230"/>
      <c r="X102" s="229"/>
      <c r="Y102" s="229"/>
      <c r="Z102" s="229"/>
      <c r="AA102" s="230"/>
      <c r="AB102" s="230"/>
      <c r="AC102" s="230"/>
      <c r="AD102" s="229"/>
      <c r="AE102" s="230"/>
    </row>
    <row r="103" spans="1:31" ht="12.75" customHeight="1">
      <c r="A103" s="229" t="str">
        <f t="shared" ca="1" si="31"/>
        <v/>
      </c>
      <c r="B103" s="229" t="str">
        <f t="shared" ca="1" si="32"/>
        <v/>
      </c>
      <c r="C103" s="229" t="str">
        <f t="shared" ca="1" si="33"/>
        <v/>
      </c>
      <c r="D103" s="229">
        <f t="shared" ca="1" si="34"/>
        <v>33</v>
      </c>
      <c r="E103" s="229">
        <f t="shared" ca="1" si="35"/>
        <v>28</v>
      </c>
      <c r="F103" s="229">
        <f t="shared" ca="1" si="36"/>
        <v>31</v>
      </c>
      <c r="G103" s="230" t="str">
        <f t="array" aca="1" ref="G103" ca="1">IF(INDEX(ExistsTx,$I103,2),IF(INDIRECT("'T"&amp;$I103&amp;"'!$D$"&amp;($J103+5),TRUE)=0,T_NoName,INDIRECT("'T"&amp;$I103&amp;"'!$D$"&amp;($J103+5),TRUE)),"")</f>
        <v>Valentine Starlance</v>
      </c>
      <c r="H103" s="230" t="str">
        <f t="array" aca="1" ref="H103" ca="1">IF(INDEX(ExistsTx,$I103,2),INDIRECT("'T"&amp;$I103&amp;"'!$E$"&amp;($J103+5),TRUE),0)</f>
        <v>Lineman</v>
      </c>
      <c r="I103" s="229">
        <v>7</v>
      </c>
      <c r="J103" s="229">
        <v>5</v>
      </c>
      <c r="K103" s="230" t="str">
        <f t="array" aca="1" ref="K103" ca="1">INDEX(ListTeams,$I103,1)</f>
        <v>Skyhaven Silverfoxes</v>
      </c>
      <c r="L103" s="230">
        <f t="array" aca="1" ref="L103" ca="1">IF(OR(NOT(INDEX(ExistsTx,$I103,2)),$H103=0),0,INDIRECT("'T"&amp;$I103&amp;"'!$M$"&amp;($J103+5),TRUE)+((1000-ROW())/10000000000000))</f>
        <v>8.9699999999999998E-11</v>
      </c>
      <c r="M103" s="230">
        <f t="array" aca="1" ref="M103" ca="1">IF(OR(NOT(INDEX(ExistsTx,$I103,2)),$H103=0),0,INDIRECT("'T"&amp;$I103&amp;"'!$N$"&amp;($J103+5),TRUE)+((1000-ROW())/10000000000000))</f>
        <v>8.9699999999999998E-11</v>
      </c>
      <c r="N103" s="230">
        <f t="array" aca="1" ref="N103" ca="1">IF(OR(NOT(INDEX(ExistsTx,$I103,2)),$H103=0),0,INDIRECT("'T"&amp;$I103&amp;"'!$O$"&amp;($J103+5),TRUE)+((1000-ROW())/10000000000000))</f>
        <v>8.9699999999999998E-11</v>
      </c>
      <c r="O103" s="230">
        <f t="array" aca="1" ref="O103" ca="1">IF(OR(NOT(INDEX(ExistsTx,$I103,2)),$H103=0),0,INDIRECT("'T"&amp;$I103&amp;"'!$P$"&amp;($J103+5),TRUE)+((1000-ROW())/10000000000000))</f>
        <v>1.0000000000897</v>
      </c>
      <c r="P103" s="230">
        <f t="array" aca="1" ref="P103" ca="1">IF(OR(NOT(INDEX(ExistsTx,$I103,2)),$H103=0),0,INDIRECT("'T"&amp;$I103&amp;"'!$Q$"&amp;($J103+5),TRUE)+((1000-ROW())/10000000000000))</f>
        <v>1.0000000000897</v>
      </c>
      <c r="Q103" s="230">
        <f t="shared" ca="1" si="37"/>
        <v>7.0000011544518159</v>
      </c>
      <c r="R103" s="230"/>
      <c r="S103" s="230"/>
      <c r="T103" s="230"/>
      <c r="U103" s="230"/>
      <c r="V103" s="230"/>
      <c r="W103" s="230"/>
      <c r="X103" s="229"/>
      <c r="Y103" s="229"/>
      <c r="Z103" s="229"/>
      <c r="AA103" s="230"/>
      <c r="AB103" s="230"/>
      <c r="AC103" s="230"/>
      <c r="AD103" s="229"/>
      <c r="AE103" s="230"/>
    </row>
    <row r="104" spans="1:31" ht="12.75" customHeight="1">
      <c r="A104" s="229">
        <f t="shared" ca="1" si="31"/>
        <v>19</v>
      </c>
      <c r="B104" s="229" t="str">
        <f t="shared" ca="1" si="32"/>
        <v/>
      </c>
      <c r="C104" s="229" t="str">
        <f t="shared" ca="1" si="33"/>
        <v/>
      </c>
      <c r="D104" s="229">
        <f t="shared" ca="1" si="34"/>
        <v>34</v>
      </c>
      <c r="E104" s="229">
        <f t="shared" ca="1" si="35"/>
        <v>29</v>
      </c>
      <c r="F104" s="229">
        <f t="shared" ca="1" si="36"/>
        <v>20</v>
      </c>
      <c r="G104" s="230" t="str">
        <f t="array" aca="1" ref="G104" ca="1">IF(INDEX(ExistsTx,$I104,2),IF(INDIRECT("'T"&amp;$I104&amp;"'!$D$"&amp;($J104+5),TRUE)=0,T_NoName,INDIRECT("'T"&amp;$I104&amp;"'!$D$"&amp;($J104+5),TRUE)),"")</f>
        <v>Shroud Rainblade</v>
      </c>
      <c r="H104" s="230" t="str">
        <f t="array" aca="1" ref="H104" ca="1">IF(INDEX(ExistsTx,$I104,2),INDIRECT("'T"&amp;$I104&amp;"'!$E$"&amp;($J104+5),TRUE),0)</f>
        <v>Lineman</v>
      </c>
      <c r="I104" s="229">
        <v>7</v>
      </c>
      <c r="J104" s="229">
        <v>6</v>
      </c>
      <c r="K104" s="230" t="str">
        <f t="array" aca="1" ref="K104" ca="1">INDEX(ListTeams,$I104,1)</f>
        <v>Skyhaven Silverfoxes</v>
      </c>
      <c r="L104" s="230">
        <f t="array" aca="1" ref="L104" ca="1">IF(OR(NOT(INDEX(ExistsTx,$I104,2)),$H104=0),0,INDIRECT("'T"&amp;$I104&amp;"'!$M$"&amp;($J104+5),TRUE)+((1000-ROW())/10000000000000))</f>
        <v>1.0000000000896001</v>
      </c>
      <c r="M104" s="230">
        <f t="array" aca="1" ref="M104" ca="1">IF(OR(NOT(INDEX(ExistsTx,$I104,2)),$H104=0),0,INDIRECT("'T"&amp;$I104&amp;"'!$N$"&amp;($J104+5),TRUE)+((1000-ROW())/10000000000000))</f>
        <v>8.9600000000000006E-11</v>
      </c>
      <c r="N104" s="230">
        <f t="array" aca="1" ref="N104" ca="1">IF(OR(NOT(INDEX(ExistsTx,$I104,2)),$H104=0),0,INDIRECT("'T"&amp;$I104&amp;"'!$O$"&amp;($J104+5),TRUE)+((1000-ROW())/10000000000000))</f>
        <v>8.9600000000000006E-11</v>
      </c>
      <c r="O104" s="230">
        <f t="array" aca="1" ref="O104" ca="1">IF(OR(NOT(INDEX(ExistsTx,$I104,2)),$H104=0),0,INDIRECT("'T"&amp;$I104&amp;"'!$P$"&amp;($J104+5),TRUE)+((1000-ROW())/10000000000000))</f>
        <v>1.0000000000896001</v>
      </c>
      <c r="P104" s="230">
        <f t="array" aca="1" ref="P104" ca="1">IF(OR(NOT(INDEX(ExistsTx,$I104,2)),$H104=0),0,INDIRECT("'T"&amp;$I104&amp;"'!$Q$"&amp;($J104+5),TRUE)+((1000-ROW())/10000000000000))</f>
        <v>1.0000000000896001</v>
      </c>
      <c r="Q104" s="230">
        <f t="shared" ca="1" si="37"/>
        <v>8.0000011531648028</v>
      </c>
      <c r="R104" s="230"/>
      <c r="S104" s="230"/>
      <c r="T104" s="230"/>
      <c r="U104" s="230"/>
      <c r="V104" s="230"/>
      <c r="W104" s="230"/>
      <c r="X104" s="229"/>
      <c r="Y104" s="229"/>
      <c r="Z104" s="229"/>
      <c r="AA104" s="230"/>
      <c r="AB104" s="230"/>
      <c r="AC104" s="230"/>
      <c r="AD104" s="229"/>
      <c r="AE104" s="230"/>
    </row>
    <row r="105" spans="1:31" ht="12.75" customHeight="1">
      <c r="A105" s="229" t="str">
        <f t="shared" ca="1" si="31"/>
        <v/>
      </c>
      <c r="B105" s="229" t="str">
        <f t="shared" ca="1" si="32"/>
        <v/>
      </c>
      <c r="C105" s="229" t="str">
        <f t="shared" ca="1" si="33"/>
        <v/>
      </c>
      <c r="D105" s="229" t="str">
        <f t="shared" ca="1" si="34"/>
        <v/>
      </c>
      <c r="E105" s="229" t="str">
        <f t="shared" ca="1" si="35"/>
        <v/>
      </c>
      <c r="F105" s="229" t="str">
        <f t="shared" ca="1" si="36"/>
        <v/>
      </c>
      <c r="G105" s="230" t="str">
        <f t="array" aca="1" ref="G105" ca="1">IF(INDEX(ExistsTx,$I105,2),IF(INDIRECT("'T"&amp;$I105&amp;"'!$D$"&amp;($J105+5),TRUE)=0,T_NoName,INDIRECT("'T"&amp;$I105&amp;"'!$D$"&amp;($J105+5),TRUE)),"")</f>
        <v>Nameless</v>
      </c>
      <c r="H105" s="230">
        <f t="array" aca="1" ref="H105" ca="1">IF(INDEX(ExistsTx,$I105,2),INDIRECT("'T"&amp;$I105&amp;"'!$E$"&amp;($J105+5),TRUE),0)</f>
        <v>0</v>
      </c>
      <c r="I105" s="229">
        <v>7</v>
      </c>
      <c r="J105" s="229">
        <v>7</v>
      </c>
      <c r="K105" s="230" t="str">
        <f t="array" aca="1" ref="K105" ca="1">INDEX(ListTeams,$I105,1)</f>
        <v>Skyhaven Silverfoxes</v>
      </c>
      <c r="L105" s="230">
        <f t="array" aca="1" ref="L105" ca="1">IF(OR(NOT(INDEX(ExistsTx,$I105,2)),$H105=0),0,INDIRECT("'T"&amp;$I105&amp;"'!$M$"&amp;($J105+5),TRUE)+((1000-ROW())/10000000000000))</f>
        <v>0</v>
      </c>
      <c r="M105" s="230">
        <f t="array" aca="1" ref="M105" ca="1">IF(OR(NOT(INDEX(ExistsTx,$I105,2)),$H105=0),0,INDIRECT("'T"&amp;$I105&amp;"'!$N$"&amp;($J105+5),TRUE)+((1000-ROW())/10000000000000))</f>
        <v>0</v>
      </c>
      <c r="N105" s="230">
        <f t="array" aca="1" ref="N105" ca="1">IF(OR(NOT(INDEX(ExistsTx,$I105,2)),$H105=0),0,INDIRECT("'T"&amp;$I105&amp;"'!$O$"&amp;($J105+5),TRUE)+((1000-ROW())/10000000000000))</f>
        <v>0</v>
      </c>
      <c r="O105" s="230">
        <f t="array" aca="1" ref="O105" ca="1">IF(OR(NOT(INDEX(ExistsTx,$I105,2)),$H105=0),0,INDIRECT("'T"&amp;$I105&amp;"'!$P$"&amp;($J105+5),TRUE)+((1000-ROW())/10000000000000))</f>
        <v>0</v>
      </c>
      <c r="P105" s="230">
        <f t="array" aca="1" ref="P105" ca="1">IF(OR(NOT(INDEX(ExistsTx,$I105,2)),$H105=0),0,INDIRECT("'T"&amp;$I105&amp;"'!$Q$"&amp;($J105+5),TRUE)+((1000-ROW())/10000000000000))</f>
        <v>0</v>
      </c>
      <c r="Q105" s="230">
        <f t="shared" ca="1" si="37"/>
        <v>1.150714286865E-6</v>
      </c>
      <c r="R105" s="230"/>
      <c r="S105" s="230"/>
      <c r="T105" s="230"/>
      <c r="U105" s="230"/>
      <c r="V105" s="230"/>
      <c r="W105" s="230"/>
      <c r="X105" s="229"/>
      <c r="Y105" s="229"/>
      <c r="Z105" s="229"/>
      <c r="AA105" s="230"/>
      <c r="AB105" s="230"/>
      <c r="AC105" s="230"/>
      <c r="AD105" s="229"/>
      <c r="AE105" s="230"/>
    </row>
    <row r="106" spans="1:31" ht="12.75" customHeight="1">
      <c r="A106" s="229" t="str">
        <f t="shared" ca="1" si="31"/>
        <v/>
      </c>
      <c r="B106" s="229" t="str">
        <f t="shared" ca="1" si="32"/>
        <v/>
      </c>
      <c r="C106" s="229" t="str">
        <f t="shared" ca="1" si="33"/>
        <v/>
      </c>
      <c r="D106" s="229" t="str">
        <f t="shared" ca="1" si="34"/>
        <v/>
      </c>
      <c r="E106" s="229" t="str">
        <f t="shared" ca="1" si="35"/>
        <v/>
      </c>
      <c r="F106" s="229" t="str">
        <f t="shared" ca="1" si="36"/>
        <v/>
      </c>
      <c r="G106" s="230" t="str">
        <f t="array" aca="1" ref="G106" ca="1">IF(INDEX(ExistsTx,$I106,2),IF(INDIRECT("'T"&amp;$I106&amp;"'!$D$"&amp;($J106+5),TRUE)=0,T_NoName,INDIRECT("'T"&amp;$I106&amp;"'!$D$"&amp;($J106+5),TRUE)),"")</f>
        <v>Nameless</v>
      </c>
      <c r="H106" s="230">
        <f t="array" aca="1" ref="H106" ca="1">IF(INDEX(ExistsTx,$I106,2),INDIRECT("'T"&amp;$I106&amp;"'!$E$"&amp;($J106+5),TRUE),0)</f>
        <v>0</v>
      </c>
      <c r="I106" s="229">
        <v>7</v>
      </c>
      <c r="J106" s="229">
        <v>8</v>
      </c>
      <c r="K106" s="230" t="str">
        <f t="array" aca="1" ref="K106" ca="1">INDEX(ListTeams,$I106,1)</f>
        <v>Skyhaven Silverfoxes</v>
      </c>
      <c r="L106" s="230">
        <f t="array" aca="1" ref="L106" ca="1">IF(OR(NOT(INDEX(ExistsTx,$I106,2)),$H106=0),0,INDIRECT("'T"&amp;$I106&amp;"'!$M$"&amp;($J106+5),TRUE)+((1000-ROW())/10000000000000))</f>
        <v>0</v>
      </c>
      <c r="M106" s="230">
        <f t="array" aca="1" ref="M106" ca="1">IF(OR(NOT(INDEX(ExistsTx,$I106,2)),$H106=0),0,INDIRECT("'T"&amp;$I106&amp;"'!$N$"&amp;($J106+5),TRUE)+((1000-ROW())/10000000000000))</f>
        <v>0</v>
      </c>
      <c r="N106" s="230">
        <f t="array" aca="1" ref="N106" ca="1">IF(OR(NOT(INDEX(ExistsTx,$I106,2)),$H106=0),0,INDIRECT("'T"&amp;$I106&amp;"'!$O$"&amp;($J106+5),TRUE)+((1000-ROW())/10000000000000))</f>
        <v>0</v>
      </c>
      <c r="O106" s="230">
        <f t="array" aca="1" ref="O106" ca="1">IF(OR(NOT(INDEX(ExistsTx,$I106,2)),$H106=0),0,INDIRECT("'T"&amp;$I106&amp;"'!$P$"&amp;($J106+5),TRUE)+((1000-ROW())/10000000000000))</f>
        <v>0</v>
      </c>
      <c r="P106" s="230">
        <f t="array" aca="1" ref="P106" ca="1">IF(OR(NOT(INDEX(ExistsTx,$I106,2)),$H106=0),0,INDIRECT("'T"&amp;$I106&amp;"'!$Q$"&amp;($J106+5),TRUE)+((1000-ROW())/10000000000000))</f>
        <v>0</v>
      </c>
      <c r="Q106" s="230">
        <f t="shared" ca="1" si="37"/>
        <v>1.1494285725780001E-6</v>
      </c>
      <c r="R106" s="230"/>
      <c r="S106" s="230"/>
      <c r="T106" s="230"/>
      <c r="U106" s="230"/>
      <c r="V106" s="230"/>
      <c r="W106" s="230"/>
      <c r="X106" s="229"/>
      <c r="Y106" s="229"/>
      <c r="Z106" s="229"/>
      <c r="AA106" s="230"/>
      <c r="AB106" s="230"/>
      <c r="AC106" s="230"/>
      <c r="AD106" s="229"/>
      <c r="AE106" s="230"/>
    </row>
    <row r="107" spans="1:31" ht="12.75" customHeight="1">
      <c r="A107" s="229" t="str">
        <f t="shared" ca="1" si="31"/>
        <v/>
      </c>
      <c r="B107" s="229" t="str">
        <f t="shared" ca="1" si="32"/>
        <v/>
      </c>
      <c r="C107" s="229" t="str">
        <f t="shared" ca="1" si="33"/>
        <v/>
      </c>
      <c r="D107" s="229" t="str">
        <f t="shared" ca="1" si="34"/>
        <v/>
      </c>
      <c r="E107" s="229" t="str">
        <f t="shared" ca="1" si="35"/>
        <v/>
      </c>
      <c r="F107" s="229" t="str">
        <f t="shared" ca="1" si="36"/>
        <v/>
      </c>
      <c r="G107" s="230" t="str">
        <f t="array" aca="1" ref="G107" ca="1">IF(INDEX(ExistsTx,$I107,2),IF(INDIRECT("'T"&amp;$I107&amp;"'!$D$"&amp;($J107+5),TRUE)=0,T_NoName,INDIRECT("'T"&amp;$I107&amp;"'!$D$"&amp;($J107+5),TRUE)),"")</f>
        <v>Nameless</v>
      </c>
      <c r="H107" s="230">
        <f t="array" aca="1" ref="H107" ca="1">IF(INDEX(ExistsTx,$I107,2),INDIRECT("'T"&amp;$I107&amp;"'!$E$"&amp;($J107+5),TRUE),0)</f>
        <v>0</v>
      </c>
      <c r="I107" s="229">
        <v>7</v>
      </c>
      <c r="J107" s="229">
        <v>9</v>
      </c>
      <c r="K107" s="230" t="str">
        <f t="array" aca="1" ref="K107" ca="1">INDEX(ListTeams,$I107,1)</f>
        <v>Skyhaven Silverfoxes</v>
      </c>
      <c r="L107" s="230">
        <f t="array" aca="1" ref="L107" ca="1">IF(OR(NOT(INDEX(ExistsTx,$I107,2)),$H107=0),0,INDIRECT("'T"&amp;$I107&amp;"'!$M$"&amp;($J107+5),TRUE)+((1000-ROW())/10000000000000))</f>
        <v>0</v>
      </c>
      <c r="M107" s="230">
        <f t="array" aca="1" ref="M107" ca="1">IF(OR(NOT(INDEX(ExistsTx,$I107,2)),$H107=0),0,INDIRECT("'T"&amp;$I107&amp;"'!$N$"&amp;($J107+5),TRUE)+((1000-ROW())/10000000000000))</f>
        <v>0</v>
      </c>
      <c r="N107" s="230">
        <f t="array" aca="1" ref="N107" ca="1">IF(OR(NOT(INDEX(ExistsTx,$I107,2)),$H107=0),0,INDIRECT("'T"&amp;$I107&amp;"'!$O$"&amp;($J107+5),TRUE)+((1000-ROW())/10000000000000))</f>
        <v>0</v>
      </c>
      <c r="O107" s="230">
        <f t="array" aca="1" ref="O107" ca="1">IF(OR(NOT(INDEX(ExistsTx,$I107,2)),$H107=0),0,INDIRECT("'T"&amp;$I107&amp;"'!$P$"&amp;($J107+5),TRUE)+((1000-ROW())/10000000000000))</f>
        <v>0</v>
      </c>
      <c r="P107" s="230">
        <f t="array" aca="1" ref="P107" ca="1">IF(OR(NOT(INDEX(ExistsTx,$I107,2)),$H107=0),0,INDIRECT("'T"&amp;$I107&amp;"'!$Q$"&amp;($J107+5),TRUE)+((1000-ROW())/10000000000000))</f>
        <v>0</v>
      </c>
      <c r="Q107" s="230">
        <f t="shared" ca="1" si="37"/>
        <v>1.148142858291E-6</v>
      </c>
      <c r="R107" s="230"/>
      <c r="S107" s="230"/>
      <c r="T107" s="230"/>
      <c r="U107" s="230"/>
      <c r="V107" s="230"/>
      <c r="W107" s="230"/>
      <c r="X107" s="229"/>
      <c r="Y107" s="229"/>
      <c r="Z107" s="229"/>
      <c r="AA107" s="230"/>
      <c r="AB107" s="230"/>
      <c r="AC107" s="230"/>
      <c r="AD107" s="229"/>
      <c r="AE107" s="230"/>
    </row>
    <row r="108" spans="1:31" ht="12.75" customHeight="1">
      <c r="A108" s="229" t="str">
        <f t="shared" ca="1" si="31"/>
        <v/>
      </c>
      <c r="B108" s="229" t="str">
        <f t="shared" ca="1" si="32"/>
        <v/>
      </c>
      <c r="C108" s="229" t="str">
        <f t="shared" ca="1" si="33"/>
        <v/>
      </c>
      <c r="D108" s="229" t="str">
        <f t="shared" ca="1" si="34"/>
        <v/>
      </c>
      <c r="E108" s="229" t="str">
        <f t="shared" ca="1" si="35"/>
        <v/>
      </c>
      <c r="F108" s="229" t="str">
        <f t="shared" ca="1" si="36"/>
        <v/>
      </c>
      <c r="G108" s="230" t="str">
        <f t="array" aca="1" ref="G108" ca="1">IF(INDEX(ExistsTx,$I108,2),IF(INDIRECT("'T"&amp;$I108&amp;"'!$D$"&amp;($J108+5),TRUE)=0,T_NoName,INDIRECT("'T"&amp;$I108&amp;"'!$D$"&amp;($J108+5),TRUE)),"")</f>
        <v>Nameless</v>
      </c>
      <c r="H108" s="230">
        <f t="array" aca="1" ref="H108" ca="1">IF(INDEX(ExistsTx,$I108,2),INDIRECT("'T"&amp;$I108&amp;"'!$E$"&amp;($J108+5),TRUE),0)</f>
        <v>0</v>
      </c>
      <c r="I108" s="229">
        <v>7</v>
      </c>
      <c r="J108" s="229">
        <v>10</v>
      </c>
      <c r="K108" s="230" t="str">
        <f t="array" aca="1" ref="K108" ca="1">INDEX(ListTeams,$I108,1)</f>
        <v>Skyhaven Silverfoxes</v>
      </c>
      <c r="L108" s="230">
        <f t="array" aca="1" ref="L108" ca="1">IF(OR(NOT(INDEX(ExistsTx,$I108,2)),$H108=0),0,INDIRECT("'T"&amp;$I108&amp;"'!$M$"&amp;($J108+5),TRUE)+((1000-ROW())/10000000000000))</f>
        <v>0</v>
      </c>
      <c r="M108" s="230">
        <f t="array" aca="1" ref="M108" ca="1">IF(OR(NOT(INDEX(ExistsTx,$I108,2)),$H108=0),0,INDIRECT("'T"&amp;$I108&amp;"'!$N$"&amp;($J108+5),TRUE)+((1000-ROW())/10000000000000))</f>
        <v>0</v>
      </c>
      <c r="N108" s="230">
        <f t="array" aca="1" ref="N108" ca="1">IF(OR(NOT(INDEX(ExistsTx,$I108,2)),$H108=0),0,INDIRECT("'T"&amp;$I108&amp;"'!$O$"&amp;($J108+5),TRUE)+((1000-ROW())/10000000000000))</f>
        <v>0</v>
      </c>
      <c r="O108" s="230">
        <f t="array" aca="1" ref="O108" ca="1">IF(OR(NOT(INDEX(ExistsTx,$I108,2)),$H108=0),0,INDIRECT("'T"&amp;$I108&amp;"'!$P$"&amp;($J108+5),TRUE)+((1000-ROW())/10000000000000))</f>
        <v>0</v>
      </c>
      <c r="P108" s="230">
        <f t="array" aca="1" ref="P108" ca="1">IF(OR(NOT(INDEX(ExistsTx,$I108,2)),$H108=0),0,INDIRECT("'T"&amp;$I108&amp;"'!$Q$"&amp;($J108+5),TRUE)+((1000-ROW())/10000000000000))</f>
        <v>0</v>
      </c>
      <c r="Q108" s="230">
        <f t="shared" ca="1" si="37"/>
        <v>1.1468571440040001E-6</v>
      </c>
      <c r="R108" s="230"/>
      <c r="S108" s="230"/>
      <c r="T108" s="230"/>
      <c r="U108" s="230"/>
      <c r="V108" s="230"/>
      <c r="W108" s="230"/>
      <c r="X108" s="229"/>
      <c r="Y108" s="229"/>
      <c r="Z108" s="229"/>
      <c r="AA108" s="230"/>
      <c r="AB108" s="230"/>
      <c r="AC108" s="230"/>
      <c r="AD108" s="229"/>
      <c r="AE108" s="230"/>
    </row>
    <row r="109" spans="1:31" ht="12.75" customHeight="1">
      <c r="A109" s="229" t="str">
        <f t="shared" ca="1" si="31"/>
        <v/>
      </c>
      <c r="B109" s="229" t="str">
        <f t="shared" ca="1" si="32"/>
        <v/>
      </c>
      <c r="C109" s="229" t="str">
        <f t="shared" ca="1" si="33"/>
        <v/>
      </c>
      <c r="D109" s="229" t="str">
        <f t="shared" ca="1" si="34"/>
        <v/>
      </c>
      <c r="E109" s="229" t="str">
        <f t="shared" ca="1" si="35"/>
        <v/>
      </c>
      <c r="F109" s="229" t="str">
        <f t="shared" ca="1" si="36"/>
        <v/>
      </c>
      <c r="G109" s="230" t="str">
        <f t="array" aca="1" ref="G109" ca="1">IF(INDEX(ExistsTx,$I109,2),IF(INDIRECT("'T"&amp;$I109&amp;"'!$D$"&amp;($J109+5),TRUE)=0,T_NoName,INDIRECT("'T"&amp;$I109&amp;"'!$D$"&amp;($J109+5),TRUE)),"")</f>
        <v>Nameless</v>
      </c>
      <c r="H109" s="230">
        <f t="array" aca="1" ref="H109" ca="1">IF(INDEX(ExistsTx,$I109,2),INDIRECT("'T"&amp;$I109&amp;"'!$E$"&amp;($J109+5),TRUE),0)</f>
        <v>0</v>
      </c>
      <c r="I109" s="229">
        <v>7</v>
      </c>
      <c r="J109" s="229">
        <v>11</v>
      </c>
      <c r="K109" s="230" t="str">
        <f t="array" aca="1" ref="K109" ca="1">INDEX(ListTeams,$I109,1)</f>
        <v>Skyhaven Silverfoxes</v>
      </c>
      <c r="L109" s="230">
        <f t="array" aca="1" ref="L109" ca="1">IF(OR(NOT(INDEX(ExistsTx,$I109,2)),$H109=0),0,INDIRECT("'T"&amp;$I109&amp;"'!$M$"&amp;($J109+5),TRUE)+((1000-ROW())/10000000000000))</f>
        <v>0</v>
      </c>
      <c r="M109" s="230">
        <f t="array" aca="1" ref="M109" ca="1">IF(OR(NOT(INDEX(ExistsTx,$I109,2)),$H109=0),0,INDIRECT("'T"&amp;$I109&amp;"'!$N$"&amp;($J109+5),TRUE)+((1000-ROW())/10000000000000))</f>
        <v>0</v>
      </c>
      <c r="N109" s="230">
        <f t="array" aca="1" ref="N109" ca="1">IF(OR(NOT(INDEX(ExistsTx,$I109,2)),$H109=0),0,INDIRECT("'T"&amp;$I109&amp;"'!$O$"&amp;($J109+5),TRUE)+((1000-ROW())/10000000000000))</f>
        <v>0</v>
      </c>
      <c r="O109" s="230">
        <f t="array" aca="1" ref="O109" ca="1">IF(OR(NOT(INDEX(ExistsTx,$I109,2)),$H109=0),0,INDIRECT("'T"&amp;$I109&amp;"'!$P$"&amp;($J109+5),TRUE)+((1000-ROW())/10000000000000))</f>
        <v>0</v>
      </c>
      <c r="P109" s="230">
        <f t="array" aca="1" ref="P109" ca="1">IF(OR(NOT(INDEX(ExistsTx,$I109,2)),$H109=0),0,INDIRECT("'T"&amp;$I109&amp;"'!$Q$"&amp;($J109+5),TRUE)+((1000-ROW())/10000000000000))</f>
        <v>0</v>
      </c>
      <c r="Q109" s="230">
        <f t="shared" ca="1" si="37"/>
        <v>1.1455714297169999E-6</v>
      </c>
      <c r="R109" s="230"/>
      <c r="S109" s="230"/>
      <c r="T109" s="230"/>
      <c r="U109" s="230"/>
      <c r="V109" s="230"/>
      <c r="W109" s="230"/>
      <c r="X109" s="229"/>
      <c r="Y109" s="229"/>
      <c r="Z109" s="229"/>
      <c r="AA109" s="230"/>
      <c r="AB109" s="230"/>
      <c r="AC109" s="230"/>
      <c r="AD109" s="229"/>
      <c r="AE109" s="230"/>
    </row>
    <row r="110" spans="1:31" ht="12.75" customHeight="1">
      <c r="A110" s="229">
        <f t="shared" ca="1" si="31"/>
        <v>7</v>
      </c>
      <c r="B110" s="229" t="str">
        <f t="shared" ca="1" si="32"/>
        <v/>
      </c>
      <c r="C110" s="229" t="str">
        <f t="shared" ca="1" si="33"/>
        <v/>
      </c>
      <c r="D110" s="229" t="str">
        <f t="shared" ca="1" si="34"/>
        <v/>
      </c>
      <c r="E110" s="229" t="str">
        <f t="shared" ca="1" si="35"/>
        <v/>
      </c>
      <c r="F110" s="229">
        <f t="shared" ca="1" si="36"/>
        <v>60</v>
      </c>
      <c r="G110" s="230" t="str">
        <f t="array" aca="1" ref="G110" ca="1">IF(INDEX(ExistsTx,$I110,2),IF(INDIRECT("'T"&amp;$I110&amp;"'!$D$"&amp;($J110+5),TRUE)=0,T_NoName,INDIRECT("'T"&amp;$I110&amp;"'!$D$"&amp;($J110+5),TRUE)),"")</f>
        <v>Starwood Blackleaf</v>
      </c>
      <c r="H110" s="230" t="str">
        <f t="array" aca="1" ref="H110" ca="1">IF(INDEX(ExistsTx,$I110,2),INDIRECT("'T"&amp;$I110&amp;"'!$E$"&amp;($J110+5),TRUE),0)</f>
        <v>Catcher</v>
      </c>
      <c r="I110" s="229">
        <v>7</v>
      </c>
      <c r="J110" s="229">
        <v>12</v>
      </c>
      <c r="K110" s="230" t="str">
        <f t="array" aca="1" ref="K110" ca="1">INDEX(ListTeams,$I110,1)</f>
        <v>Skyhaven Silverfoxes</v>
      </c>
      <c r="L110" s="230">
        <f t="array" aca="1" ref="L110" ca="1">IF(OR(NOT(INDEX(ExistsTx,$I110,2)),$H110=0),0,INDIRECT("'T"&amp;$I110&amp;"'!$M$"&amp;($J110+5),TRUE)+((1000-ROW())/10000000000000))</f>
        <v>2.0000000000889999</v>
      </c>
      <c r="M110" s="230">
        <f t="array" aca="1" ref="M110" ca="1">IF(OR(NOT(INDEX(ExistsTx,$I110,2)),$H110=0),0,INDIRECT("'T"&amp;$I110&amp;"'!$N$"&amp;($J110+5),TRUE)+((1000-ROW())/10000000000000))</f>
        <v>8.9000000000000003E-11</v>
      </c>
      <c r="N110" s="230">
        <f t="array" aca="1" ref="N110" ca="1">IF(OR(NOT(INDEX(ExistsTx,$I110,2)),$H110=0),0,INDIRECT("'T"&amp;$I110&amp;"'!$O$"&amp;($J110+5),TRUE)+((1000-ROW())/10000000000000))</f>
        <v>8.9000000000000003E-11</v>
      </c>
      <c r="O110" s="230">
        <f t="array" aca="1" ref="O110" ca="1">IF(OR(NOT(INDEX(ExistsTx,$I110,2)),$H110=0),0,INDIRECT("'T"&amp;$I110&amp;"'!$P$"&amp;($J110+5),TRUE)+((1000-ROW())/10000000000000))</f>
        <v>8.9000000000000003E-11</v>
      </c>
      <c r="P110" s="230">
        <f t="array" aca="1" ref="P110" ca="1">IF(OR(NOT(INDEX(ExistsTx,$I110,2)),$H110=0),0,INDIRECT("'T"&amp;$I110&amp;"'!$Q$"&amp;($J110+5),TRUE)+((1000-ROW())/10000000000000))</f>
        <v>8.9000000000000003E-11</v>
      </c>
      <c r="Q110" s="230">
        <f t="shared" ca="1" si="37"/>
        <v>2.0000011454427153</v>
      </c>
      <c r="R110" s="230"/>
      <c r="S110" s="230"/>
      <c r="T110" s="230"/>
      <c r="U110" s="230"/>
      <c r="V110" s="230"/>
      <c r="W110" s="230"/>
      <c r="X110" s="229"/>
      <c r="Y110" s="229"/>
      <c r="Z110" s="229"/>
      <c r="AA110" s="230"/>
      <c r="AB110" s="230"/>
      <c r="AC110" s="230"/>
      <c r="AD110" s="229"/>
      <c r="AE110" s="230"/>
    </row>
    <row r="111" spans="1:31" ht="12.75" customHeight="1">
      <c r="A111" s="229">
        <f t="shared" ca="1" si="31"/>
        <v>20</v>
      </c>
      <c r="B111" s="229">
        <f t="shared" ca="1" si="32"/>
        <v>2</v>
      </c>
      <c r="C111" s="229" t="str">
        <f t="shared" ca="1" si="33"/>
        <v/>
      </c>
      <c r="D111" s="229" t="str">
        <f t="shared" ca="1" si="34"/>
        <v/>
      </c>
      <c r="E111" s="229" t="str">
        <f t="shared" ca="1" si="35"/>
        <v/>
      </c>
      <c r="F111" s="229">
        <f t="shared" ca="1" si="36"/>
        <v>7</v>
      </c>
      <c r="G111" s="230" t="str">
        <f t="array" aca="1" ref="G111" ca="1">IF(INDEX(ExistsTx,$I111,2),IF(INDIRECT("'T"&amp;$I111&amp;"'!$D$"&amp;($J111+5),TRUE)=0,T_NoName,INDIRECT("'T"&amp;$I111&amp;"'!$D$"&amp;($J111+5),TRUE)),"")</f>
        <v>Victor Trueheart</v>
      </c>
      <c r="H111" s="230" t="str">
        <f t="array" aca="1" ref="H111" ca="1">IF(INDEX(ExistsTx,$I111,2),INDIRECT("'T"&amp;$I111&amp;"'!$E$"&amp;($J111+5),TRUE),0)</f>
        <v>Catcher</v>
      </c>
      <c r="I111" s="229">
        <v>7</v>
      </c>
      <c r="J111" s="229">
        <v>13</v>
      </c>
      <c r="K111" s="230" t="str">
        <f t="array" aca="1" ref="K111" ca="1">INDEX(ListTeams,$I111,1)</f>
        <v>Skyhaven Silverfoxes</v>
      </c>
      <c r="L111" s="230">
        <f t="array" aca="1" ref="L111" ca="1">IF(OR(NOT(INDEX(ExistsTx,$I111,2)),$H111=0),0,INDIRECT("'T"&amp;$I111&amp;"'!$M$"&amp;($J111+5),TRUE)+((1000-ROW())/10000000000000))</f>
        <v>1.0000000000889</v>
      </c>
      <c r="M111" s="230">
        <f t="array" aca="1" ref="M111" ca="1">IF(OR(NOT(INDEX(ExistsTx,$I111,2)),$H111=0),0,INDIRECT("'T"&amp;$I111&amp;"'!$N$"&amp;($J111+5),TRUE)+((1000-ROW())/10000000000000))</f>
        <v>6.0000000000889004</v>
      </c>
      <c r="N111" s="230">
        <f t="array" aca="1" ref="N111" ca="1">IF(OR(NOT(INDEX(ExistsTx,$I111,2)),$H111=0),0,INDIRECT("'T"&amp;$I111&amp;"'!$O$"&amp;($J111+5),TRUE)+((1000-ROW())/10000000000000))</f>
        <v>8.8899999999999998E-11</v>
      </c>
      <c r="O111" s="230">
        <f t="array" aca="1" ref="O111" ca="1">IF(OR(NOT(INDEX(ExistsTx,$I111,2)),$H111=0),0,INDIRECT("'T"&amp;$I111&amp;"'!$P$"&amp;($J111+5),TRUE)+((1000-ROW())/10000000000000))</f>
        <v>8.8899999999999998E-11</v>
      </c>
      <c r="P111" s="230">
        <f t="array" aca="1" ref="P111" ca="1">IF(OR(NOT(INDEX(ExistsTx,$I111,2)),$H111=0),0,INDIRECT("'T"&amp;$I111&amp;"'!$Q$"&amp;($J111+5),TRUE)+((1000-ROW())/10000000000000))</f>
        <v>8.8899999999999998E-11</v>
      </c>
      <c r="Q111" s="230">
        <f t="shared" ca="1" si="37"/>
        <v>19.000001144155704</v>
      </c>
      <c r="R111" s="230"/>
      <c r="S111" s="230"/>
      <c r="T111" s="230"/>
      <c r="U111" s="230"/>
      <c r="V111" s="230"/>
      <c r="W111" s="230"/>
      <c r="X111" s="229"/>
      <c r="Y111" s="229"/>
      <c r="Z111" s="229"/>
      <c r="AA111" s="230"/>
      <c r="AB111" s="230"/>
      <c r="AC111" s="230"/>
      <c r="AD111" s="229"/>
      <c r="AE111" s="230"/>
    </row>
    <row r="112" spans="1:31" ht="12.75" customHeight="1">
      <c r="A112" s="229">
        <f t="shared" ca="1" si="31"/>
        <v>2</v>
      </c>
      <c r="B112" s="229">
        <f t="shared" ca="1" si="32"/>
        <v>9</v>
      </c>
      <c r="C112" s="229" t="str">
        <f t="shared" ca="1" si="33"/>
        <v/>
      </c>
      <c r="D112" s="229" t="str">
        <f t="shared" ca="1" si="34"/>
        <v/>
      </c>
      <c r="E112" s="229">
        <f t="shared" ca="1" si="35"/>
        <v>8</v>
      </c>
      <c r="F112" s="229">
        <f t="shared" ca="1" si="36"/>
        <v>5</v>
      </c>
      <c r="G112" s="230" t="str">
        <f t="array" aca="1" ref="G112" ca="1">IF(INDEX(ExistsTx,$I112,2),IF(INDIRECT("'T"&amp;$I112&amp;"'!$D$"&amp;($J112+5),TRUE)=0,T_NoName,INDIRECT("'T"&amp;$I112&amp;"'!$D$"&amp;($J112+5),TRUE)),"")</f>
        <v>Suave Glitterseeker</v>
      </c>
      <c r="H112" s="230" t="str">
        <f t="array" aca="1" ref="H112" ca="1">IF(INDEX(ExistsTx,$I112,2),INDIRECT("'T"&amp;$I112&amp;"'!$E$"&amp;($J112+5),TRUE),0)</f>
        <v>Catcher</v>
      </c>
      <c r="I112" s="229">
        <v>7</v>
      </c>
      <c r="J112" s="229">
        <v>14</v>
      </c>
      <c r="K112" s="230" t="str">
        <f t="array" aca="1" ref="K112" ca="1">INDEX(ListTeams,$I112,1)</f>
        <v>Skyhaven Silverfoxes</v>
      </c>
      <c r="L112" s="230">
        <f t="array" aca="1" ref="L112" ca="1">IF(OR(NOT(INDEX(ExistsTx,$I112,2)),$H112=0),0,INDIRECT("'T"&amp;$I112&amp;"'!$M$"&amp;($J112+5),TRUE)+((1000-ROW())/10000000000000))</f>
        <v>4.0000000000888001</v>
      </c>
      <c r="M112" s="230">
        <f t="array" aca="1" ref="M112" ca="1">IF(OR(NOT(INDEX(ExistsTx,$I112,2)),$H112=0),0,INDIRECT("'T"&amp;$I112&amp;"'!$N$"&amp;($J112+5),TRUE)+((1000-ROW())/10000000000000))</f>
        <v>2.0000000000888001</v>
      </c>
      <c r="N112" s="230">
        <f t="array" aca="1" ref="N112" ca="1">IF(OR(NOT(INDEX(ExistsTx,$I112,2)),$H112=0),0,INDIRECT("'T"&amp;$I112&amp;"'!$O$"&amp;($J112+5),TRUE)+((1000-ROW())/10000000000000))</f>
        <v>8.8800000000000006E-11</v>
      </c>
      <c r="O112" s="230">
        <f t="array" aca="1" ref="O112" ca="1">IF(OR(NOT(INDEX(ExistsTx,$I112,2)),$H112=0),0,INDIRECT("'T"&amp;$I112&amp;"'!$P$"&amp;($J112+5),TRUE)+((1000-ROW())/10000000000000))</f>
        <v>8.8800000000000006E-11</v>
      </c>
      <c r="P112" s="230">
        <f t="array" aca="1" ref="P112" ca="1">IF(OR(NOT(INDEX(ExistsTx,$I112,2)),$H112=0),0,INDIRECT("'T"&amp;$I112&amp;"'!$Q$"&amp;($J112+5),TRUE)+((1000-ROW())/10000000000000))</f>
        <v>2.0000000000888001</v>
      </c>
      <c r="Q112" s="230">
        <f t="shared" ca="1" si="37"/>
        <v>20.000001142868687</v>
      </c>
      <c r="R112" s="230"/>
      <c r="S112" s="230"/>
      <c r="T112" s="230"/>
      <c r="U112" s="230"/>
      <c r="V112" s="230"/>
      <c r="W112" s="230"/>
      <c r="X112" s="229"/>
      <c r="Y112" s="229"/>
      <c r="Z112" s="229"/>
      <c r="AA112" s="230"/>
      <c r="AB112" s="230"/>
      <c r="AC112" s="230"/>
      <c r="AD112" s="229"/>
      <c r="AE112" s="230"/>
    </row>
    <row r="113" spans="1:31" ht="12.75" customHeight="1">
      <c r="A113" s="229" t="str">
        <f t="shared" ca="1" si="31"/>
        <v/>
      </c>
      <c r="B113" s="229">
        <f t="shared" ca="1" si="32"/>
        <v>10</v>
      </c>
      <c r="C113" s="229" t="str">
        <f t="shared" ca="1" si="33"/>
        <v/>
      </c>
      <c r="D113" s="229" t="str">
        <f t="shared" ca="1" si="34"/>
        <v/>
      </c>
      <c r="E113" s="229" t="str">
        <f t="shared" ca="1" si="35"/>
        <v/>
      </c>
      <c r="F113" s="229">
        <f t="shared" ca="1" si="36"/>
        <v>38</v>
      </c>
      <c r="G113" s="230" t="str">
        <f t="array" aca="1" ref="G113" ca="1">IF(INDEX(ExistsTx,$I113,2),IF(INDIRECT("'T"&amp;$I113&amp;"'!$D$"&amp;($J113+5),TRUE)=0,T_NoName,INDIRECT("'T"&amp;$I113&amp;"'!$D$"&amp;($J113+5),TRUE)),"")</f>
        <v>Lance Claymore</v>
      </c>
      <c r="H113" s="230" t="str">
        <f t="array" aca="1" ref="H113" ca="1">IF(INDEX(ExistsTx,$I113,2),INDIRECT("'T"&amp;$I113&amp;"'!$E$"&amp;($J113+5),TRUE),0)</f>
        <v>Blitzer</v>
      </c>
      <c r="I113" s="229">
        <v>7</v>
      </c>
      <c r="J113" s="229">
        <v>15</v>
      </c>
      <c r="K113" s="230" t="str">
        <f t="array" aca="1" ref="K113" ca="1">INDEX(ListTeams,$I113,1)</f>
        <v>Skyhaven Silverfoxes</v>
      </c>
      <c r="L113" s="230">
        <f t="array" aca="1" ref="L113" ca="1">IF(OR(NOT(INDEX(ExistsTx,$I113,2)),$H113=0),0,INDIRECT("'T"&amp;$I113&amp;"'!$M$"&amp;($J113+5),TRUE)+((1000-ROW())/10000000000000))</f>
        <v>8.8700000000000001E-11</v>
      </c>
      <c r="M113" s="230">
        <f t="array" aca="1" ref="M113" ca="1">IF(OR(NOT(INDEX(ExistsTx,$I113,2)),$H113=0),0,INDIRECT("'T"&amp;$I113&amp;"'!$N$"&amp;($J113+5),TRUE)+((1000-ROW())/10000000000000))</f>
        <v>2.0000000000887002</v>
      </c>
      <c r="N113" s="230">
        <f t="array" aca="1" ref="N113" ca="1">IF(OR(NOT(INDEX(ExistsTx,$I113,2)),$H113=0),0,INDIRECT("'T"&amp;$I113&amp;"'!$O$"&amp;($J113+5),TRUE)+((1000-ROW())/10000000000000))</f>
        <v>8.8700000000000001E-11</v>
      </c>
      <c r="O113" s="230">
        <f t="array" aca="1" ref="O113" ca="1">IF(OR(NOT(INDEX(ExistsTx,$I113,2)),$H113=0),0,INDIRECT("'T"&amp;$I113&amp;"'!$P$"&amp;($J113+5),TRUE)+((1000-ROW())/10000000000000))</f>
        <v>8.8700000000000001E-11</v>
      </c>
      <c r="P113" s="230">
        <f t="array" aca="1" ref="P113" ca="1">IF(OR(NOT(INDEX(ExistsTx,$I113,2)),$H113=0),0,INDIRECT("'T"&amp;$I113&amp;"'!$Q$"&amp;($J113+5),TRUE)+((1000-ROW())/10000000000000))</f>
        <v>8.8700000000000001E-11</v>
      </c>
      <c r="Q113" s="230">
        <f t="shared" ca="1" si="37"/>
        <v>6.0000011415816736</v>
      </c>
      <c r="R113" s="230"/>
      <c r="S113" s="230"/>
      <c r="T113" s="230"/>
      <c r="U113" s="230"/>
      <c r="V113" s="230"/>
      <c r="W113" s="230"/>
      <c r="X113" s="229"/>
      <c r="Y113" s="229"/>
      <c r="Z113" s="229"/>
      <c r="AA113" s="230"/>
      <c r="AB113" s="230"/>
      <c r="AC113" s="230"/>
      <c r="AD113" s="229"/>
      <c r="AE113" s="230"/>
    </row>
    <row r="114" spans="1:31" ht="12.75" customHeight="1">
      <c r="A114" s="229">
        <f t="shared" ca="1" si="31"/>
        <v>21</v>
      </c>
      <c r="B114" s="229">
        <f t="shared" ca="1" si="32"/>
        <v>20</v>
      </c>
      <c r="C114" s="229" t="str">
        <f t="shared" ca="1" si="33"/>
        <v/>
      </c>
      <c r="D114" s="229">
        <f t="shared" ca="1" si="34"/>
        <v>35</v>
      </c>
      <c r="E114" s="229" t="str">
        <f t="shared" ca="1" si="35"/>
        <v/>
      </c>
      <c r="F114" s="229">
        <f t="shared" ca="1" si="36"/>
        <v>39</v>
      </c>
      <c r="G114" s="230" t="str">
        <f t="array" aca="1" ref="G114" ca="1">IF(INDEX(ExistsTx,$I114,2),IF(INDIRECT("'T"&amp;$I114&amp;"'!$D$"&amp;($J114+5),TRUE)=0,T_NoName,INDIRECT("'T"&amp;$I114&amp;"'!$D$"&amp;($J114+5),TRUE)),"")</f>
        <v>Strife Dreamkiller</v>
      </c>
      <c r="H114" s="230" t="str">
        <f t="array" aca="1" ref="H114" ca="1">IF(INDEX(ExistsTx,$I114,2),INDIRECT("'T"&amp;$I114&amp;"'!$E$"&amp;($J114+5),TRUE),0)</f>
        <v>Blitzer</v>
      </c>
      <c r="I114" s="229">
        <v>7</v>
      </c>
      <c r="J114" s="229">
        <v>16</v>
      </c>
      <c r="K114" s="230" t="str">
        <f t="array" aca="1" ref="K114" ca="1">INDEX(ListTeams,$I114,1)</f>
        <v>Skyhaven Silverfoxes</v>
      </c>
      <c r="L114" s="230">
        <f t="array" aca="1" ref="L114" ca="1">IF(OR(NOT(INDEX(ExistsTx,$I114,2)),$H114=0),0,INDIRECT("'T"&amp;$I114&amp;"'!$M$"&amp;($J114+5),TRUE)+((1000-ROW())/10000000000000))</f>
        <v>1.0000000000886</v>
      </c>
      <c r="M114" s="230">
        <f t="array" aca="1" ref="M114" ca="1">IF(OR(NOT(INDEX(ExistsTx,$I114,2)),$H114=0),0,INDIRECT("'T"&amp;$I114&amp;"'!$N$"&amp;($J114+5),TRUE)+((1000-ROW())/10000000000000))</f>
        <v>1.0000000000886</v>
      </c>
      <c r="N114" s="230">
        <f t="array" aca="1" ref="N114" ca="1">IF(OR(NOT(INDEX(ExistsTx,$I114,2)),$H114=0),0,INDIRECT("'T"&amp;$I114&amp;"'!$O$"&amp;($J114+5),TRUE)+((1000-ROW())/10000000000000))</f>
        <v>8.8599999999999996E-11</v>
      </c>
      <c r="O114" s="230">
        <f t="array" aca="1" ref="O114" ca="1">IF(OR(NOT(INDEX(ExistsTx,$I114,2)),$H114=0),0,INDIRECT("'T"&amp;$I114&amp;"'!$P$"&amp;($J114+5),TRUE)+((1000-ROW())/10000000000000))</f>
        <v>1.0000000000886</v>
      </c>
      <c r="P114" s="230">
        <f t="array" aca="1" ref="P114" ca="1">IF(OR(NOT(INDEX(ExistsTx,$I114,2)),$H114=0),0,INDIRECT("'T"&amp;$I114&amp;"'!$Q$"&amp;($J114+5),TRUE)+((1000-ROW())/10000000000000))</f>
        <v>8.8599999999999996E-11</v>
      </c>
      <c r="Q114" s="230">
        <f t="shared" ca="1" si="37"/>
        <v>6.0000011402946587</v>
      </c>
      <c r="R114" s="230"/>
      <c r="S114" s="230"/>
      <c r="T114" s="230"/>
      <c r="U114" s="230"/>
      <c r="V114" s="230"/>
      <c r="W114" s="230"/>
      <c r="X114" s="229"/>
      <c r="Y114" s="229"/>
      <c r="Z114" s="229"/>
      <c r="AA114" s="230"/>
      <c r="AB114" s="230"/>
      <c r="AC114" s="230"/>
      <c r="AD114" s="229"/>
      <c r="AE114" s="230"/>
    </row>
    <row r="115" spans="1:31" ht="12.75" customHeight="1">
      <c r="A115" s="229" t="str">
        <f t="shared" ca="1" si="31"/>
        <v/>
      </c>
      <c r="B115" s="229" t="str">
        <f t="shared" ca="1" si="32"/>
        <v/>
      </c>
      <c r="C115" s="229" t="str">
        <f t="shared" ca="1" si="33"/>
        <v/>
      </c>
      <c r="D115" s="229">
        <f t="shared" ca="1" si="34"/>
        <v>10</v>
      </c>
      <c r="E115" s="229">
        <f t="shared" ca="1" si="35"/>
        <v>30</v>
      </c>
      <c r="F115" s="229">
        <f t="shared" ca="1" si="36"/>
        <v>17</v>
      </c>
      <c r="G115" s="230" t="str">
        <f t="array" aca="1" ref="G115" ca="1">IF(INDEX(ExistsTx,$I115,2),IF(INDIRECT("'T"&amp;$I115&amp;"'!$D$"&amp;($J115+5),TRUE)=0,T_NoName,INDIRECT("'T"&amp;$I115&amp;"'!$D$"&amp;($J115+5),TRUE)),"")</f>
        <v>Tuttut</v>
      </c>
      <c r="H115" s="230" t="str">
        <f t="array" aca="1" ref="H115" ca="1">IF(INDEX(ExistsTx,$I115,2),INDIRECT("'T"&amp;$I115&amp;"'!$E$"&amp;($J115+5),TRUE),0)</f>
        <v>Mummy</v>
      </c>
      <c r="I115" s="229">
        <v>8</v>
      </c>
      <c r="J115" s="229">
        <v>1</v>
      </c>
      <c r="K115" s="230" t="str">
        <f t="array" aca="1" ref="K115" ca="1">INDEX(ListTeams,$I115,1)</f>
        <v>Ashtown Villains</v>
      </c>
      <c r="L115" s="230">
        <f t="array" aca="1" ref="L115" ca="1">IF(OR(NOT(INDEX(ExistsTx,$I115,2)),$H115=0),0,INDIRECT("'T"&amp;$I115&amp;"'!$M$"&amp;($J115+5),TRUE)+((1000-ROW())/10000000000000))</f>
        <v>8.8500000000000005E-11</v>
      </c>
      <c r="M115" s="230">
        <f t="array" aca="1" ref="M115" ca="1">IF(OR(NOT(INDEX(ExistsTx,$I115,2)),$H115=0),0,INDIRECT("'T"&amp;$I115&amp;"'!$N$"&amp;($J115+5),TRUE)+((1000-ROW())/10000000000000))</f>
        <v>8.8500000000000005E-11</v>
      </c>
      <c r="N115" s="230">
        <f t="array" aca="1" ref="N115" ca="1">IF(OR(NOT(INDEX(ExistsTx,$I115,2)),$H115=0),0,INDIRECT("'T"&amp;$I115&amp;"'!$O$"&amp;($J115+5),TRUE)+((1000-ROW())/10000000000000))</f>
        <v>8.8500000000000005E-11</v>
      </c>
      <c r="O115" s="230">
        <f t="array" aca="1" ref="O115" ca="1">IF(OR(NOT(INDEX(ExistsTx,$I115,2)),$H115=0),0,INDIRECT("'T"&amp;$I115&amp;"'!$P$"&amp;($J115+5),TRUE)+((1000-ROW())/10000000000000))</f>
        <v>2.0000000000884999</v>
      </c>
      <c r="P115" s="230">
        <f t="array" aca="1" ref="P115" ca="1">IF(OR(NOT(INDEX(ExistsTx,$I115,2)),$H115=0),0,INDIRECT("'T"&amp;$I115&amp;"'!$Q$"&amp;($J115+5),TRUE)+((1000-ROW())/10000000000000))</f>
        <v>1.0000000000885001</v>
      </c>
      <c r="Q115" s="230">
        <f t="shared" ca="1" si="37"/>
        <v>9.0000011390076438</v>
      </c>
      <c r="R115" s="230"/>
      <c r="S115" s="230"/>
      <c r="T115" s="230"/>
      <c r="U115" s="230"/>
      <c r="V115" s="230"/>
      <c r="W115" s="230"/>
      <c r="X115" s="229"/>
      <c r="Y115" s="229"/>
      <c r="Z115" s="229"/>
      <c r="AA115" s="230"/>
      <c r="AB115" s="230"/>
      <c r="AC115" s="230"/>
      <c r="AD115" s="229"/>
      <c r="AE115" s="230"/>
    </row>
    <row r="116" spans="1:31" ht="12.75" customHeight="1">
      <c r="A116" s="229" t="str">
        <f t="shared" ca="1" si="31"/>
        <v/>
      </c>
      <c r="B116" s="229" t="str">
        <f t="shared" ca="1" si="32"/>
        <v/>
      </c>
      <c r="C116" s="229" t="str">
        <f t="shared" ca="1" si="33"/>
        <v/>
      </c>
      <c r="D116" s="229">
        <f t="shared" ca="1" si="34"/>
        <v>36</v>
      </c>
      <c r="E116" s="229">
        <f t="shared" ca="1" si="35"/>
        <v>31</v>
      </c>
      <c r="F116" s="229">
        <f t="shared" ca="1" si="36"/>
        <v>32</v>
      </c>
      <c r="G116" s="230" t="str">
        <f t="array" aca="1" ref="G116" ca="1">IF(INDEX(ExistsTx,$I116,2),IF(INDIRECT("'T"&amp;$I116&amp;"'!$D$"&amp;($J116+5),TRUE)=0,T_NoName,INDIRECT("'T"&amp;$I116&amp;"'!$D$"&amp;($J116+5),TRUE)),"")</f>
        <v>Ankletep</v>
      </c>
      <c r="H116" s="230" t="str">
        <f t="array" aca="1" ref="H116" ca="1">IF(INDEX(ExistsTx,$I116,2),INDIRECT("'T"&amp;$I116&amp;"'!$E$"&amp;($J116+5),TRUE),0)</f>
        <v>Mummy</v>
      </c>
      <c r="I116" s="229">
        <v>8</v>
      </c>
      <c r="J116" s="229">
        <v>2</v>
      </c>
      <c r="K116" s="230" t="str">
        <f t="array" aca="1" ref="K116" ca="1">INDEX(ListTeams,$I116,1)</f>
        <v>Ashtown Villains</v>
      </c>
      <c r="L116" s="230">
        <f t="array" aca="1" ref="L116" ca="1">IF(OR(NOT(INDEX(ExistsTx,$I116,2)),$H116=0),0,INDIRECT("'T"&amp;$I116&amp;"'!$M$"&amp;($J116+5),TRUE)+((1000-ROW())/10000000000000))</f>
        <v>8.84E-11</v>
      </c>
      <c r="M116" s="230">
        <f t="array" aca="1" ref="M116" ca="1">IF(OR(NOT(INDEX(ExistsTx,$I116,2)),$H116=0),0,INDIRECT("'T"&amp;$I116&amp;"'!$N$"&amp;($J116+5),TRUE)+((1000-ROW())/10000000000000))</f>
        <v>8.84E-11</v>
      </c>
      <c r="N116" s="230">
        <f t="array" aca="1" ref="N116" ca="1">IF(OR(NOT(INDEX(ExistsTx,$I116,2)),$H116=0),0,INDIRECT("'T"&amp;$I116&amp;"'!$O$"&amp;($J116+5),TRUE)+((1000-ROW())/10000000000000))</f>
        <v>8.84E-11</v>
      </c>
      <c r="O116" s="230">
        <f t="array" aca="1" ref="O116" ca="1">IF(OR(NOT(INDEX(ExistsTx,$I116,2)),$H116=0),0,INDIRECT("'T"&amp;$I116&amp;"'!$P$"&amp;($J116+5),TRUE)+((1000-ROW())/10000000000000))</f>
        <v>1.0000000000884</v>
      </c>
      <c r="P116" s="230">
        <f t="array" aca="1" ref="P116" ca="1">IF(OR(NOT(INDEX(ExistsTx,$I116,2)),$H116=0),0,INDIRECT("'T"&amp;$I116&amp;"'!$Q$"&amp;($J116+5),TRUE)+((1000-ROW())/10000000000000))</f>
        <v>1.0000000000884</v>
      </c>
      <c r="Q116" s="230">
        <f t="shared" ca="1" si="37"/>
        <v>7.0000011377206297</v>
      </c>
      <c r="R116" s="230"/>
      <c r="S116" s="230"/>
      <c r="T116" s="230"/>
      <c r="U116" s="230"/>
      <c r="V116" s="230"/>
      <c r="W116" s="230"/>
      <c r="X116" s="229"/>
      <c r="Y116" s="229"/>
      <c r="Z116" s="229"/>
      <c r="AA116" s="230"/>
      <c r="AB116" s="230"/>
      <c r="AC116" s="230"/>
      <c r="AD116" s="229"/>
      <c r="AE116" s="230"/>
    </row>
    <row r="117" spans="1:31" ht="12.75" customHeight="1">
      <c r="A117" s="229" t="str">
        <f t="shared" ca="1" si="31"/>
        <v/>
      </c>
      <c r="B117" s="229" t="str">
        <f t="shared" ca="1" si="32"/>
        <v/>
      </c>
      <c r="C117" s="229" t="str">
        <f t="shared" ca="1" si="33"/>
        <v/>
      </c>
      <c r="D117" s="229" t="str">
        <f t="shared" ca="1" si="34"/>
        <v/>
      </c>
      <c r="E117" s="229" t="str">
        <f t="shared" ca="1" si="35"/>
        <v/>
      </c>
      <c r="F117" s="229" t="str">
        <f t="shared" ca="1" si="36"/>
        <v/>
      </c>
      <c r="G117" s="230" t="str">
        <f t="array" aca="1" ref="G117" ca="1">IF(INDEX(ExistsTx,$I117,2),IF(INDIRECT("'T"&amp;$I117&amp;"'!$D$"&amp;($J117+5),TRUE)=0,T_NoName,INDIRECT("'T"&amp;$I117&amp;"'!$D$"&amp;($J117+5),TRUE)),"")</f>
        <v>Nameless</v>
      </c>
      <c r="H117" s="230">
        <f t="array" aca="1" ref="H117" ca="1">IF(INDEX(ExistsTx,$I117,2),INDIRECT("'T"&amp;$I117&amp;"'!$E$"&amp;($J117+5),TRUE),0)</f>
        <v>0</v>
      </c>
      <c r="I117" s="229">
        <v>8</v>
      </c>
      <c r="J117" s="229">
        <v>3</v>
      </c>
      <c r="K117" s="230" t="str">
        <f t="array" aca="1" ref="K117" ca="1">INDEX(ListTeams,$I117,1)</f>
        <v>Ashtown Villains</v>
      </c>
      <c r="L117" s="230">
        <f t="array" aca="1" ref="L117" ca="1">IF(OR(NOT(INDEX(ExistsTx,$I117,2)),$H117=0),0,INDIRECT("'T"&amp;$I117&amp;"'!$M$"&amp;($J117+5),TRUE)+((1000-ROW())/10000000000000))</f>
        <v>0</v>
      </c>
      <c r="M117" s="230">
        <f t="array" aca="1" ref="M117" ca="1">IF(OR(NOT(INDEX(ExistsTx,$I117,2)),$H117=0),0,INDIRECT("'T"&amp;$I117&amp;"'!$N$"&amp;($J117+5),TRUE)+((1000-ROW())/10000000000000))</f>
        <v>0</v>
      </c>
      <c r="N117" s="230">
        <f t="array" aca="1" ref="N117" ca="1">IF(OR(NOT(INDEX(ExistsTx,$I117,2)),$H117=0),0,INDIRECT("'T"&amp;$I117&amp;"'!$O$"&amp;($J117+5),TRUE)+((1000-ROW())/10000000000000))</f>
        <v>0</v>
      </c>
      <c r="O117" s="230">
        <f t="array" aca="1" ref="O117" ca="1">IF(OR(NOT(INDEX(ExistsTx,$I117,2)),$H117=0),0,INDIRECT("'T"&amp;$I117&amp;"'!$P$"&amp;($J117+5),TRUE)+((1000-ROW())/10000000000000))</f>
        <v>0</v>
      </c>
      <c r="P117" s="230">
        <f t="array" aca="1" ref="P117" ca="1">IF(OR(NOT(INDEX(ExistsTx,$I117,2)),$H117=0),0,INDIRECT("'T"&amp;$I117&amp;"'!$Q$"&amp;($J117+5),TRUE)+((1000-ROW())/10000000000000))</f>
        <v>0</v>
      </c>
      <c r="Q117" s="230">
        <f t="shared" ca="1" si="37"/>
        <v>1.1352857154210001E-6</v>
      </c>
      <c r="R117" s="230"/>
      <c r="S117" s="230"/>
      <c r="T117" s="230"/>
      <c r="U117" s="230"/>
      <c r="V117" s="230"/>
      <c r="W117" s="230"/>
      <c r="X117" s="229"/>
      <c r="Y117" s="229"/>
      <c r="Z117" s="229"/>
      <c r="AA117" s="230"/>
      <c r="AB117" s="230"/>
      <c r="AC117" s="230"/>
      <c r="AD117" s="229"/>
      <c r="AE117" s="230"/>
    </row>
    <row r="118" spans="1:31" ht="12.75" customHeight="1">
      <c r="A118" s="229" t="str">
        <f t="shared" ca="1" si="31"/>
        <v/>
      </c>
      <c r="B118" s="229">
        <f t="shared" ca="1" si="32"/>
        <v>21</v>
      </c>
      <c r="C118" s="229" t="str">
        <f t="shared" ca="1" si="33"/>
        <v/>
      </c>
      <c r="D118" s="229">
        <f t="shared" ca="1" si="34"/>
        <v>37</v>
      </c>
      <c r="E118" s="229" t="str">
        <f t="shared" ca="1" si="35"/>
        <v/>
      </c>
      <c r="F118" s="229">
        <f t="shared" ca="1" si="36"/>
        <v>47</v>
      </c>
      <c r="G118" s="230" t="str">
        <f t="array" aca="1" ref="G118" ca="1">IF(INDEX(ExistsTx,$I118,2),IF(INDIRECT("'T"&amp;$I118&amp;"'!$D$"&amp;($J118+5),TRUE)=0,T_NoName,INDIRECT("'T"&amp;$I118&amp;"'!$D$"&amp;($J118+5),TRUE)),"")</f>
        <v>Emet</v>
      </c>
      <c r="H118" s="230" t="str">
        <f t="array" aca="1" ref="H118" ca="1">IF(INDEX(ExistsTx,$I118,2),INDIRECT("'T"&amp;$I118&amp;"'!$E$"&amp;($J118+5),TRUE),0)</f>
        <v>Ghoul</v>
      </c>
      <c r="I118" s="229">
        <v>8</v>
      </c>
      <c r="J118" s="229">
        <v>4</v>
      </c>
      <c r="K118" s="230" t="str">
        <f t="array" aca="1" ref="K118" ca="1">INDEX(ListTeams,$I118,1)</f>
        <v>Ashtown Villains</v>
      </c>
      <c r="L118" s="230">
        <f t="array" aca="1" ref="L118" ca="1">IF(OR(NOT(INDEX(ExistsTx,$I118,2)),$H118=0),0,INDIRECT("'T"&amp;$I118&amp;"'!$M$"&amp;($J118+5),TRUE)+((1000-ROW())/10000000000000))</f>
        <v>8.8200000000000003E-11</v>
      </c>
      <c r="M118" s="230">
        <f t="array" aca="1" ref="M118" ca="1">IF(OR(NOT(INDEX(ExistsTx,$I118,2)),$H118=0),0,INDIRECT("'T"&amp;$I118&amp;"'!$N$"&amp;($J118+5),TRUE)+((1000-ROW())/10000000000000))</f>
        <v>1.0000000000881999</v>
      </c>
      <c r="N118" s="230">
        <f t="array" aca="1" ref="N118" ca="1">IF(OR(NOT(INDEX(ExistsTx,$I118,2)),$H118=0),0,INDIRECT("'T"&amp;$I118&amp;"'!$O$"&amp;($J118+5),TRUE)+((1000-ROW())/10000000000000))</f>
        <v>8.8200000000000003E-11</v>
      </c>
      <c r="O118" s="230">
        <f t="array" aca="1" ref="O118" ca="1">IF(OR(NOT(INDEX(ExistsTx,$I118,2)),$H118=0),0,INDIRECT("'T"&amp;$I118&amp;"'!$P$"&amp;($J118+5),TRUE)+((1000-ROW())/10000000000000))</f>
        <v>1.0000000000881999</v>
      </c>
      <c r="P118" s="230">
        <f t="array" aca="1" ref="P118" ca="1">IF(OR(NOT(INDEX(ExistsTx,$I118,2)),$H118=0),0,INDIRECT("'T"&amp;$I118&amp;"'!$Q$"&amp;($J118+5),TRUE)+((1000-ROW())/10000000000000))</f>
        <v>8.8200000000000003E-11</v>
      </c>
      <c r="Q118" s="230">
        <f t="shared" ca="1" si="37"/>
        <v>5.0000011351466007</v>
      </c>
      <c r="R118" s="230"/>
      <c r="S118" s="230"/>
      <c r="T118" s="230"/>
      <c r="U118" s="230"/>
      <c r="V118" s="230"/>
      <c r="W118" s="230"/>
      <c r="X118" s="229"/>
      <c r="Y118" s="229"/>
      <c r="Z118" s="229"/>
      <c r="AA118" s="230"/>
      <c r="AB118" s="230"/>
      <c r="AC118" s="230"/>
      <c r="AD118" s="229"/>
      <c r="AE118" s="230"/>
    </row>
    <row r="119" spans="1:31" ht="12.75" customHeight="1">
      <c r="A119" s="229" t="str">
        <f t="shared" ca="1" si="31"/>
        <v/>
      </c>
      <c r="B119" s="229">
        <f t="shared" ca="1" si="32"/>
        <v>11</v>
      </c>
      <c r="C119" s="229" t="str">
        <f t="shared" ca="1" si="33"/>
        <v/>
      </c>
      <c r="D119" s="229" t="str">
        <f t="shared" ca="1" si="34"/>
        <v/>
      </c>
      <c r="E119" s="229" t="str">
        <f t="shared" ca="1" si="35"/>
        <v/>
      </c>
      <c r="F119" s="229">
        <f t="shared" ca="1" si="36"/>
        <v>40</v>
      </c>
      <c r="G119" s="230" t="str">
        <f t="array" aca="1" ref="G119" ca="1">IF(INDEX(ExistsTx,$I119,2),IF(INDIRECT("'T"&amp;$I119&amp;"'!$D$"&amp;($J119+5),TRUE)=0,T_NoName,INDIRECT("'T"&amp;$I119&amp;"'!$D$"&amp;($J119+5),TRUE)),"")</f>
        <v>Slugkap</v>
      </c>
      <c r="H119" s="230" t="str">
        <f t="array" aca="1" ref="H119" ca="1">IF(INDEX(ExistsTx,$I119,2),INDIRECT("'T"&amp;$I119&amp;"'!$E$"&amp;($J119+5),TRUE),0)</f>
        <v>Ghoul</v>
      </c>
      <c r="I119" s="229">
        <v>8</v>
      </c>
      <c r="J119" s="229">
        <v>5</v>
      </c>
      <c r="K119" s="230" t="str">
        <f t="array" aca="1" ref="K119" ca="1">INDEX(ListTeams,$I119,1)</f>
        <v>Ashtown Villains</v>
      </c>
      <c r="L119" s="230">
        <f t="array" aca="1" ref="L119" ca="1">IF(OR(NOT(INDEX(ExistsTx,$I119,2)),$H119=0),0,INDIRECT("'T"&amp;$I119&amp;"'!$M$"&amp;($J119+5),TRUE)+((1000-ROW())/10000000000000))</f>
        <v>8.8099999999999998E-11</v>
      </c>
      <c r="M119" s="230">
        <f t="array" aca="1" ref="M119" ca="1">IF(OR(NOT(INDEX(ExistsTx,$I119,2)),$H119=0),0,INDIRECT("'T"&amp;$I119&amp;"'!$N$"&amp;($J119+5),TRUE)+((1000-ROW())/10000000000000))</f>
        <v>2.0000000000881002</v>
      </c>
      <c r="N119" s="230">
        <f t="array" aca="1" ref="N119" ca="1">IF(OR(NOT(INDEX(ExistsTx,$I119,2)),$H119=0),0,INDIRECT("'T"&amp;$I119&amp;"'!$O$"&amp;($J119+5),TRUE)+((1000-ROW())/10000000000000))</f>
        <v>8.8099999999999998E-11</v>
      </c>
      <c r="O119" s="230">
        <f t="array" aca="1" ref="O119" ca="1">IF(OR(NOT(INDEX(ExistsTx,$I119,2)),$H119=0),0,INDIRECT("'T"&amp;$I119&amp;"'!$P$"&amp;($J119+5),TRUE)+((1000-ROW())/10000000000000))</f>
        <v>8.8099999999999998E-11</v>
      </c>
      <c r="P119" s="230">
        <f t="array" aca="1" ref="P119" ca="1">IF(OR(NOT(INDEX(ExistsTx,$I119,2)),$H119=0),0,INDIRECT("'T"&amp;$I119&amp;"'!$Q$"&amp;($J119+5),TRUE)+((1000-ROW())/10000000000000))</f>
        <v>8.8099999999999998E-11</v>
      </c>
      <c r="Q119" s="230">
        <f t="shared" ca="1" si="37"/>
        <v>6.0000011338595884</v>
      </c>
      <c r="R119" s="230"/>
      <c r="S119" s="230"/>
      <c r="T119" s="230"/>
      <c r="U119" s="230"/>
      <c r="V119" s="230"/>
      <c r="W119" s="230"/>
      <c r="X119" s="229"/>
      <c r="Y119" s="229"/>
      <c r="Z119" s="229"/>
      <c r="AA119" s="230"/>
      <c r="AB119" s="230"/>
      <c r="AC119" s="230"/>
      <c r="AD119" s="229"/>
      <c r="AE119" s="230"/>
    </row>
    <row r="120" spans="1:31" ht="12.75" customHeight="1">
      <c r="A120" s="229" t="str">
        <f t="shared" ca="1" si="31"/>
        <v/>
      </c>
      <c r="B120" s="229" t="str">
        <f t="shared" ca="1" si="32"/>
        <v/>
      </c>
      <c r="C120" s="229" t="str">
        <f t="shared" ca="1" si="33"/>
        <v/>
      </c>
      <c r="D120" s="229" t="str">
        <f t="shared" ca="1" si="34"/>
        <v/>
      </c>
      <c r="E120" s="229" t="str">
        <f t="shared" ca="1" si="35"/>
        <v/>
      </c>
      <c r="F120" s="229" t="str">
        <f t="shared" ca="1" si="36"/>
        <v/>
      </c>
      <c r="G120" s="230" t="str">
        <f t="array" aca="1" ref="G120" ca="1">IF(INDEX(ExistsTx,$I120,2),IF(INDIRECT("'T"&amp;$I120&amp;"'!$D$"&amp;($J120+5),TRUE)=0,T_NoName,INDIRECT("'T"&amp;$I120&amp;"'!$D$"&amp;($J120+5),TRUE)),"")</f>
        <v>Joe Ghoul</v>
      </c>
      <c r="H120" s="230" t="str">
        <f t="array" aca="1" ref="H120" ca="1">IF(INDEX(ExistsTx,$I120,2),INDIRECT("'T"&amp;$I120&amp;"'!$E$"&amp;($J120+5),TRUE),0)</f>
        <v>Ghoul</v>
      </c>
      <c r="I120" s="229">
        <v>8</v>
      </c>
      <c r="J120" s="229">
        <v>6</v>
      </c>
      <c r="K120" s="230" t="str">
        <f t="array" aca="1" ref="K120" ca="1">INDEX(ListTeams,$I120,1)</f>
        <v>Ashtown Villains</v>
      </c>
      <c r="L120" s="230">
        <f t="array" aca="1" ref="L120" ca="1">IF(OR(NOT(INDEX(ExistsTx,$I120,2)),$H120=0),0,INDIRECT("'T"&amp;$I120&amp;"'!$M$"&amp;($J120+5),TRUE)+((1000-ROW())/10000000000000))</f>
        <v>8.8000000000000006E-11</v>
      </c>
      <c r="M120" s="230">
        <f t="array" aca="1" ref="M120" ca="1">IF(OR(NOT(INDEX(ExistsTx,$I120,2)),$H120=0),0,INDIRECT("'T"&amp;$I120&amp;"'!$N$"&amp;($J120+5),TRUE)+((1000-ROW())/10000000000000))</f>
        <v>8.8000000000000006E-11</v>
      </c>
      <c r="N120" s="230">
        <f t="array" aca="1" ref="N120" ca="1">IF(OR(NOT(INDEX(ExistsTx,$I120,2)),$H120=0),0,INDIRECT("'T"&amp;$I120&amp;"'!$O$"&amp;($J120+5),TRUE)+((1000-ROW())/10000000000000))</f>
        <v>8.8000000000000006E-11</v>
      </c>
      <c r="O120" s="230">
        <f t="array" aca="1" ref="O120" ca="1">IF(OR(NOT(INDEX(ExistsTx,$I120,2)),$H120=0),0,INDIRECT("'T"&amp;$I120&amp;"'!$P$"&amp;($J120+5),TRUE)+((1000-ROW())/10000000000000))</f>
        <v>8.8000000000000006E-11</v>
      </c>
      <c r="P120" s="230">
        <f t="array" aca="1" ref="P120" ca="1">IF(OR(NOT(INDEX(ExistsTx,$I120,2)),$H120=0),0,INDIRECT("'T"&amp;$I120&amp;"'!$Q$"&amp;($J120+5),TRUE)+((1000-ROW())/10000000000000))</f>
        <v>8.8000000000000006E-11</v>
      </c>
      <c r="Q120" s="230">
        <f t="shared" ca="1" si="37"/>
        <v>1.1325725725599999E-6</v>
      </c>
      <c r="R120" s="230"/>
      <c r="S120" s="230"/>
      <c r="T120" s="230"/>
      <c r="U120" s="230"/>
      <c r="V120" s="230"/>
      <c r="W120" s="230"/>
      <c r="X120" s="229"/>
      <c r="Y120" s="229"/>
      <c r="Z120" s="229"/>
      <c r="AA120" s="230"/>
      <c r="AB120" s="230"/>
      <c r="AC120" s="230"/>
      <c r="AD120" s="229"/>
      <c r="AE120" s="230"/>
    </row>
    <row r="121" spans="1:31" ht="12.75" customHeight="1">
      <c r="A121" s="229">
        <f t="shared" ca="1" si="31"/>
        <v>22</v>
      </c>
      <c r="B121" s="229" t="str">
        <f t="shared" ca="1" si="32"/>
        <v/>
      </c>
      <c r="C121" s="229" t="str">
        <f t="shared" ca="1" si="33"/>
        <v/>
      </c>
      <c r="D121" s="229" t="str">
        <f t="shared" ca="1" si="34"/>
        <v/>
      </c>
      <c r="E121" s="229">
        <f t="shared" ca="1" si="35"/>
        <v>32</v>
      </c>
      <c r="F121" s="229">
        <f t="shared" ca="1" si="36"/>
        <v>41</v>
      </c>
      <c r="G121" s="230" t="str">
        <f t="array" aca="1" ref="G121" ca="1">IF(INDEX(ExistsTx,$I121,2),IF(INDIRECT("'T"&amp;$I121&amp;"'!$D$"&amp;($J121+5),TRUE)=0,T_NoName,INDIRECT("'T"&amp;$I121&amp;"'!$D$"&amp;($J121+5),TRUE)),"")</f>
        <v>Pol Pock</v>
      </c>
      <c r="H121" s="230" t="str">
        <f t="array" aca="1" ref="H121" ca="1">IF(INDEX(ExistsTx,$I121,2),INDIRECT("'T"&amp;$I121&amp;"'!$E$"&amp;($J121+5),TRUE),0)</f>
        <v>Ghoul</v>
      </c>
      <c r="I121" s="229">
        <v>8</v>
      </c>
      <c r="J121" s="229">
        <v>7</v>
      </c>
      <c r="K121" s="230" t="str">
        <f t="array" aca="1" ref="K121" ca="1">INDEX(ListTeams,$I121,1)</f>
        <v>Ashtown Villains</v>
      </c>
      <c r="L121" s="230">
        <f t="array" aca="1" ref="L121" ca="1">IF(OR(NOT(INDEX(ExistsTx,$I121,2)),$H121=0),0,INDIRECT("'T"&amp;$I121&amp;"'!$M$"&amp;($J121+5),TRUE)+((1000-ROW())/10000000000000))</f>
        <v>1.0000000000878999</v>
      </c>
      <c r="M121" s="230">
        <f t="array" aca="1" ref="M121" ca="1">IF(OR(NOT(INDEX(ExistsTx,$I121,2)),$H121=0),0,INDIRECT("'T"&amp;$I121&amp;"'!$N$"&amp;($J121+5),TRUE)+((1000-ROW())/10000000000000))</f>
        <v>8.7900000000000001E-11</v>
      </c>
      <c r="N121" s="230">
        <f t="array" aca="1" ref="N121" ca="1">IF(OR(NOT(INDEX(ExistsTx,$I121,2)),$H121=0),0,INDIRECT("'T"&amp;$I121&amp;"'!$O$"&amp;($J121+5),TRUE)+((1000-ROW())/10000000000000))</f>
        <v>8.7900000000000001E-11</v>
      </c>
      <c r="O121" s="230">
        <f t="array" aca="1" ref="O121" ca="1">IF(OR(NOT(INDEX(ExistsTx,$I121,2)),$H121=0),0,INDIRECT("'T"&amp;$I121&amp;"'!$P$"&amp;($J121+5),TRUE)+((1000-ROW())/10000000000000))</f>
        <v>8.7900000000000001E-11</v>
      </c>
      <c r="P121" s="230">
        <f t="array" aca="1" ref="P121" ca="1">IF(OR(NOT(INDEX(ExistsTx,$I121,2)),$H121=0),0,INDIRECT("'T"&amp;$I121&amp;"'!$Q$"&amp;($J121+5),TRUE)+((1000-ROW())/10000000000000))</f>
        <v>1.0000000000878999</v>
      </c>
      <c r="Q121" s="230">
        <f t="shared" ca="1" si="37"/>
        <v>6.0000011312855577</v>
      </c>
      <c r="R121" s="230"/>
      <c r="S121" s="230"/>
      <c r="T121" s="230"/>
      <c r="U121" s="230"/>
      <c r="V121" s="230"/>
      <c r="W121" s="230"/>
      <c r="X121" s="229"/>
      <c r="Y121" s="229"/>
      <c r="Z121" s="229"/>
      <c r="AA121" s="230"/>
      <c r="AB121" s="230"/>
      <c r="AC121" s="230"/>
      <c r="AD121" s="229"/>
      <c r="AE121" s="230"/>
    </row>
    <row r="122" spans="1:31" ht="12.75" customHeight="1">
      <c r="A122" s="229" t="str">
        <f t="shared" ca="1" si="31"/>
        <v/>
      </c>
      <c r="B122" s="229" t="str">
        <f t="shared" ca="1" si="32"/>
        <v/>
      </c>
      <c r="C122" s="229" t="str">
        <f t="shared" ca="1" si="33"/>
        <v/>
      </c>
      <c r="D122" s="229">
        <f t="shared" ca="1" si="34"/>
        <v>6</v>
      </c>
      <c r="E122" s="229" t="str">
        <f t="shared" ca="1" si="35"/>
        <v/>
      </c>
      <c r="F122" s="229">
        <f t="shared" ca="1" si="36"/>
        <v>42</v>
      </c>
      <c r="G122" s="230" t="str">
        <f t="array" aca="1" ref="G122" ca="1">IF(INDEX(ExistsTx,$I122,2),IF(INDIRECT("'T"&amp;$I122&amp;"'!$D$"&amp;($J122+5),TRUE)=0,T_NoName,INDIRECT("'T"&amp;$I122&amp;"'!$D$"&amp;($J122+5),TRUE)),"")</f>
        <v>X. Malfax</v>
      </c>
      <c r="H122" s="230" t="str">
        <f t="array" aca="1" ref="H122" ca="1">IF(INDEX(ExistsTx,$I122,2),INDIRECT("'T"&amp;$I122&amp;"'!$E$"&amp;($J122+5),TRUE),0)</f>
        <v>Wight</v>
      </c>
      <c r="I122" s="229">
        <v>8</v>
      </c>
      <c r="J122" s="229">
        <v>8</v>
      </c>
      <c r="K122" s="230" t="str">
        <f t="array" aca="1" ref="K122" ca="1">INDEX(ListTeams,$I122,1)</f>
        <v>Ashtown Villains</v>
      </c>
      <c r="L122" s="230">
        <f t="array" aca="1" ref="L122" ca="1">IF(OR(NOT(INDEX(ExistsTx,$I122,2)),$H122=0),0,INDIRECT("'T"&amp;$I122&amp;"'!$M$"&amp;($J122+5),TRUE)+((1000-ROW())/10000000000000))</f>
        <v>8.7799999999999997E-11</v>
      </c>
      <c r="M122" s="230">
        <f t="array" aca="1" ref="M122" ca="1">IF(OR(NOT(INDEX(ExistsTx,$I122,2)),$H122=0),0,INDIRECT("'T"&amp;$I122&amp;"'!$N$"&amp;($J122+5),TRUE)+((1000-ROW())/10000000000000))</f>
        <v>8.7799999999999997E-11</v>
      </c>
      <c r="N122" s="230">
        <f t="array" aca="1" ref="N122" ca="1">IF(OR(NOT(INDEX(ExistsTx,$I122,2)),$H122=0),0,INDIRECT("'T"&amp;$I122&amp;"'!$O$"&amp;($J122+5),TRUE)+((1000-ROW())/10000000000000))</f>
        <v>8.7799999999999997E-11</v>
      </c>
      <c r="O122" s="230">
        <f t="array" aca="1" ref="O122" ca="1">IF(OR(NOT(INDEX(ExistsTx,$I122,2)),$H122=0),0,INDIRECT("'T"&amp;$I122&amp;"'!$P$"&amp;($J122+5),TRUE)+((1000-ROW())/10000000000000))</f>
        <v>3.0000000000878</v>
      </c>
      <c r="P122" s="230">
        <f t="array" aca="1" ref="P122" ca="1">IF(OR(NOT(INDEX(ExistsTx,$I122,2)),$H122=0),0,INDIRECT("'T"&amp;$I122&amp;"'!$Q$"&amp;($J122+5),TRUE)+((1000-ROW())/10000000000000))</f>
        <v>8.7799999999999997E-11</v>
      </c>
      <c r="Q122" s="230">
        <f t="shared" ca="1" si="37"/>
        <v>6.0000011299985436</v>
      </c>
      <c r="R122" s="230"/>
      <c r="S122" s="230"/>
      <c r="T122" s="230"/>
      <c r="U122" s="230"/>
      <c r="V122" s="230"/>
      <c r="W122" s="230"/>
      <c r="X122" s="229"/>
      <c r="Y122" s="229"/>
      <c r="Z122" s="229"/>
      <c r="AA122" s="230"/>
      <c r="AB122" s="230"/>
      <c r="AC122" s="230"/>
      <c r="AD122" s="229"/>
      <c r="AE122" s="230"/>
    </row>
    <row r="123" spans="1:31" ht="12.75" customHeight="1">
      <c r="A123" s="229" t="str">
        <f t="shared" ca="1" si="31"/>
        <v/>
      </c>
      <c r="B123" s="229">
        <f t="shared" ca="1" si="32"/>
        <v>22</v>
      </c>
      <c r="C123" s="229" t="str">
        <f t="shared" ca="1" si="33"/>
        <v/>
      </c>
      <c r="D123" s="229">
        <f t="shared" ca="1" si="34"/>
        <v>38</v>
      </c>
      <c r="E123" s="229" t="str">
        <f t="shared" ca="1" si="35"/>
        <v/>
      </c>
      <c r="F123" s="229">
        <f t="shared" ca="1" si="36"/>
        <v>48</v>
      </c>
      <c r="G123" s="230" t="str">
        <f t="array" aca="1" ref="G123" ca="1">IF(INDEX(ExistsTx,$I123,2),IF(INDIRECT("'T"&amp;$I123&amp;"'!$D$"&amp;($J123+5),TRUE)=0,T_NoName,INDIRECT("'T"&amp;$I123&amp;"'!$D$"&amp;($J123+5),TRUE)),"")</f>
        <v>Q. Gilgesh</v>
      </c>
      <c r="H123" s="230" t="str">
        <f t="array" aca="1" ref="H123" ca="1">IF(INDEX(ExistsTx,$I123,2),INDIRECT("'T"&amp;$I123&amp;"'!$E$"&amp;($J123+5),TRUE),0)</f>
        <v>Wight</v>
      </c>
      <c r="I123" s="229">
        <v>8</v>
      </c>
      <c r="J123" s="229">
        <v>9</v>
      </c>
      <c r="K123" s="230" t="str">
        <f t="array" aca="1" ref="K123" ca="1">INDEX(ListTeams,$I123,1)</f>
        <v>Ashtown Villains</v>
      </c>
      <c r="L123" s="230">
        <f t="array" aca="1" ref="L123" ca="1">IF(OR(NOT(INDEX(ExistsTx,$I123,2)),$H123=0),0,INDIRECT("'T"&amp;$I123&amp;"'!$M$"&amp;($J123+5),TRUE)+((1000-ROW())/10000000000000))</f>
        <v>8.7700000000000005E-11</v>
      </c>
      <c r="M123" s="230">
        <f t="array" aca="1" ref="M123" ca="1">IF(OR(NOT(INDEX(ExistsTx,$I123,2)),$H123=0),0,INDIRECT("'T"&amp;$I123&amp;"'!$N$"&amp;($J123+5),TRUE)+((1000-ROW())/10000000000000))</f>
        <v>1.0000000000877001</v>
      </c>
      <c r="N123" s="230">
        <f t="array" aca="1" ref="N123" ca="1">IF(OR(NOT(INDEX(ExistsTx,$I123,2)),$H123=0),0,INDIRECT("'T"&amp;$I123&amp;"'!$O$"&amp;($J123+5),TRUE)+((1000-ROW())/10000000000000))</f>
        <v>8.7700000000000005E-11</v>
      </c>
      <c r="O123" s="230">
        <f t="array" aca="1" ref="O123" ca="1">IF(OR(NOT(INDEX(ExistsTx,$I123,2)),$H123=0),0,INDIRECT("'T"&amp;$I123&amp;"'!$P$"&amp;($J123+5),TRUE)+((1000-ROW())/10000000000000))</f>
        <v>1.0000000000877001</v>
      </c>
      <c r="P123" s="230">
        <f t="array" aca="1" ref="P123" ca="1">IF(OR(NOT(INDEX(ExistsTx,$I123,2)),$H123=0),0,INDIRECT("'T"&amp;$I123&amp;"'!$Q$"&amp;($J123+5),TRUE)+((1000-ROW())/10000000000000))</f>
        <v>8.7700000000000005E-11</v>
      </c>
      <c r="Q123" s="230">
        <f t="shared" ca="1" si="37"/>
        <v>5.0000011287115305</v>
      </c>
      <c r="R123" s="230"/>
      <c r="S123" s="230"/>
      <c r="T123" s="230"/>
      <c r="U123" s="230"/>
      <c r="V123" s="230"/>
      <c r="W123" s="230"/>
      <c r="X123" s="229"/>
      <c r="Y123" s="229"/>
      <c r="Z123" s="229"/>
      <c r="AA123" s="230"/>
      <c r="AB123" s="230"/>
      <c r="AC123" s="230"/>
      <c r="AD123" s="229"/>
      <c r="AE123" s="230"/>
    </row>
    <row r="124" spans="1:31" ht="12.75" customHeight="1">
      <c r="A124" s="229" t="str">
        <f t="shared" ca="1" si="31"/>
        <v/>
      </c>
      <c r="B124" s="229" t="str">
        <f t="shared" ca="1" si="32"/>
        <v/>
      </c>
      <c r="C124" s="229" t="str">
        <f t="shared" ca="1" si="33"/>
        <v/>
      </c>
      <c r="D124" s="229" t="str">
        <f t="shared" ca="1" si="34"/>
        <v/>
      </c>
      <c r="E124" s="229" t="str">
        <f t="shared" ca="1" si="35"/>
        <v/>
      </c>
      <c r="F124" s="229" t="str">
        <f t="shared" ca="1" si="36"/>
        <v/>
      </c>
      <c r="G124" s="230" t="str">
        <f t="array" aca="1" ref="G124" ca="1">IF(INDEX(ExistsTx,$I124,2),IF(INDIRECT("'T"&amp;$I124&amp;"'!$D$"&amp;($J124+5),TRUE)=0,T_NoName,INDIRECT("'T"&amp;$I124&amp;"'!$D$"&amp;($J124+5),TRUE)),"")</f>
        <v>John "Ye" Rotten</v>
      </c>
      <c r="H124" s="230" t="str">
        <f t="array" aca="1" ref="H124" ca="1">IF(INDEX(ExistsTx,$I124,2),INDIRECT("'T"&amp;$I124&amp;"'!$E$"&amp;($J124+5),TRUE),0)</f>
        <v>Zombie</v>
      </c>
      <c r="I124" s="229">
        <v>8</v>
      </c>
      <c r="J124" s="229">
        <v>10</v>
      </c>
      <c r="K124" s="230" t="str">
        <f t="array" aca="1" ref="K124" ca="1">INDEX(ListTeams,$I124,1)</f>
        <v>Ashtown Villains</v>
      </c>
      <c r="L124" s="230">
        <f t="array" aca="1" ref="L124" ca="1">IF(OR(NOT(INDEX(ExistsTx,$I124,2)),$H124=0),0,INDIRECT("'T"&amp;$I124&amp;"'!$M$"&amp;($J124+5),TRUE)+((1000-ROW())/10000000000000))</f>
        <v>8.76E-11</v>
      </c>
      <c r="M124" s="230">
        <f t="array" aca="1" ref="M124" ca="1">IF(OR(NOT(INDEX(ExistsTx,$I124,2)),$H124=0),0,INDIRECT("'T"&amp;$I124&amp;"'!$N$"&amp;($J124+5),TRUE)+((1000-ROW())/10000000000000))</f>
        <v>8.76E-11</v>
      </c>
      <c r="N124" s="230">
        <f t="array" aca="1" ref="N124" ca="1">IF(OR(NOT(INDEX(ExistsTx,$I124,2)),$H124=0),0,INDIRECT("'T"&amp;$I124&amp;"'!$O$"&amp;($J124+5),TRUE)+((1000-ROW())/10000000000000))</f>
        <v>8.76E-11</v>
      </c>
      <c r="O124" s="230">
        <f t="array" aca="1" ref="O124" ca="1">IF(OR(NOT(INDEX(ExistsTx,$I124,2)),$H124=0),0,INDIRECT("'T"&amp;$I124&amp;"'!$P$"&amp;($J124+5),TRUE)+((1000-ROW())/10000000000000))</f>
        <v>8.76E-11</v>
      </c>
      <c r="P124" s="230">
        <f t="array" aca="1" ref="P124" ca="1">IF(OR(NOT(INDEX(ExistsTx,$I124,2)),$H124=0),0,INDIRECT("'T"&amp;$I124&amp;"'!$Q$"&amp;($J124+5),TRUE)+((1000-ROW())/10000000000000))</f>
        <v>8.76E-11</v>
      </c>
      <c r="Q124" s="230">
        <f t="shared" ca="1" si="37"/>
        <v>1.1274245154120001E-6</v>
      </c>
      <c r="R124" s="230"/>
      <c r="S124" s="230"/>
      <c r="T124" s="230"/>
      <c r="U124" s="230"/>
      <c r="V124" s="230"/>
      <c r="W124" s="230"/>
      <c r="X124" s="229"/>
      <c r="Y124" s="229"/>
      <c r="Z124" s="229"/>
      <c r="AA124" s="230"/>
      <c r="AB124" s="230"/>
      <c r="AC124" s="230"/>
      <c r="AD124" s="229"/>
      <c r="AE124" s="230"/>
    </row>
    <row r="125" spans="1:31" ht="12.75" customHeight="1">
      <c r="A125" s="229" t="str">
        <f t="shared" ca="1" si="31"/>
        <v/>
      </c>
      <c r="B125" s="229" t="str">
        <f t="shared" ca="1" si="32"/>
        <v/>
      </c>
      <c r="C125" s="229" t="str">
        <f t="shared" ca="1" si="33"/>
        <v/>
      </c>
      <c r="D125" s="229" t="str">
        <f t="shared" ca="1" si="34"/>
        <v/>
      </c>
      <c r="E125" s="229" t="str">
        <f t="shared" ca="1" si="35"/>
        <v/>
      </c>
      <c r="F125" s="229" t="str">
        <f t="shared" ca="1" si="36"/>
        <v/>
      </c>
      <c r="G125" s="230" t="str">
        <f t="array" aca="1" ref="G125" ca="1">IF(INDEX(ExistsTx,$I125,2),IF(INDIRECT("'T"&amp;$I125&amp;"'!$D$"&amp;($J125+5),TRUE)=0,T_NoName,INDIRECT("'T"&amp;$I125&amp;"'!$D$"&amp;($J125+5),TRUE)),"")</f>
        <v>Nameless</v>
      </c>
      <c r="H125" s="230" t="str">
        <f t="array" aca="1" ref="H125" ca="1">IF(INDEX(ExistsTx,$I125,2),INDIRECT("'T"&amp;$I125&amp;"'!$E$"&amp;($J125+5),TRUE),0)</f>
        <v>Zombie</v>
      </c>
      <c r="I125" s="229">
        <v>8</v>
      </c>
      <c r="J125" s="229">
        <v>11</v>
      </c>
      <c r="K125" s="230" t="str">
        <f t="array" aca="1" ref="K125" ca="1">INDEX(ListTeams,$I125,1)</f>
        <v>Ashtown Villains</v>
      </c>
      <c r="L125" s="230">
        <f t="array" aca="1" ref="L125" ca="1">IF(OR(NOT(INDEX(ExistsTx,$I125,2)),$H125=0),0,INDIRECT("'T"&amp;$I125&amp;"'!$M$"&amp;($J125+5),TRUE)+((1000-ROW())/10000000000000))</f>
        <v>8.7499999999999995E-11</v>
      </c>
      <c r="M125" s="230">
        <f t="array" aca="1" ref="M125" ca="1">IF(OR(NOT(INDEX(ExistsTx,$I125,2)),$H125=0),0,INDIRECT("'T"&amp;$I125&amp;"'!$N$"&amp;($J125+5),TRUE)+((1000-ROW())/10000000000000))</f>
        <v>8.7499999999999995E-11</v>
      </c>
      <c r="N125" s="230">
        <f t="array" aca="1" ref="N125" ca="1">IF(OR(NOT(INDEX(ExistsTx,$I125,2)),$H125=0),0,INDIRECT("'T"&amp;$I125&amp;"'!$O$"&amp;($J125+5),TRUE)+((1000-ROW())/10000000000000))</f>
        <v>8.7499999999999995E-11</v>
      </c>
      <c r="O125" s="230">
        <f t="array" aca="1" ref="O125" ca="1">IF(OR(NOT(INDEX(ExistsTx,$I125,2)),$H125=0),0,INDIRECT("'T"&amp;$I125&amp;"'!$P$"&amp;($J125+5),TRUE)+((1000-ROW())/10000000000000))</f>
        <v>8.7499999999999995E-11</v>
      </c>
      <c r="P125" s="230">
        <f t="array" aca="1" ref="P125" ca="1">IF(OR(NOT(INDEX(ExistsTx,$I125,2)),$H125=0),0,INDIRECT("'T"&amp;$I125&amp;"'!$Q$"&amp;($J125+5),TRUE)+((1000-ROW())/10000000000000))</f>
        <v>8.7499999999999995E-11</v>
      </c>
      <c r="Q125" s="230">
        <f t="shared" ca="1" si="37"/>
        <v>1.1261375011249999E-6</v>
      </c>
      <c r="R125" s="230"/>
      <c r="S125" s="230"/>
      <c r="T125" s="230"/>
      <c r="U125" s="230"/>
      <c r="V125" s="230"/>
      <c r="W125" s="230"/>
      <c r="X125" s="229"/>
      <c r="Y125" s="229"/>
      <c r="Z125" s="229"/>
      <c r="AA125" s="230"/>
      <c r="AB125" s="230"/>
      <c r="AC125" s="230"/>
      <c r="AD125" s="229"/>
      <c r="AE125" s="230"/>
    </row>
    <row r="126" spans="1:31" ht="12.75" customHeight="1">
      <c r="A126" s="229" t="str">
        <f t="shared" ca="1" si="31"/>
        <v/>
      </c>
      <c r="B126" s="229" t="str">
        <f t="shared" ca="1" si="32"/>
        <v/>
      </c>
      <c r="C126" s="229" t="str">
        <f t="shared" ca="1" si="33"/>
        <v/>
      </c>
      <c r="D126" s="229" t="str">
        <f t="shared" ca="1" si="34"/>
        <v/>
      </c>
      <c r="E126" s="229" t="str">
        <f t="shared" ca="1" si="35"/>
        <v/>
      </c>
      <c r="F126" s="229" t="str">
        <f t="shared" ca="1" si="36"/>
        <v/>
      </c>
      <c r="G126" s="230" t="str">
        <f t="array" aca="1" ref="G126" ca="1">IF(INDEX(ExistsTx,$I126,2),IF(INDIRECT("'T"&amp;$I126&amp;"'!$D$"&amp;($J126+5),TRUE)=0,T_NoName,INDIRECT("'T"&amp;$I126&amp;"'!$D$"&amp;($J126+5),TRUE)),"")</f>
        <v>Nameless</v>
      </c>
      <c r="H126" s="230">
        <f t="array" aca="1" ref="H126" ca="1">IF(INDEX(ExistsTx,$I126,2),INDIRECT("'T"&amp;$I126&amp;"'!$E$"&amp;($J126+5),TRUE),0)</f>
        <v>0</v>
      </c>
      <c r="I126" s="229">
        <v>8</v>
      </c>
      <c r="J126" s="229">
        <v>12</v>
      </c>
      <c r="K126" s="230" t="str">
        <f t="array" aca="1" ref="K126" ca="1">INDEX(ListTeams,$I126,1)</f>
        <v>Ashtown Villains</v>
      </c>
      <c r="L126" s="230">
        <f t="array" aca="1" ref="L126" ca="1">IF(OR(NOT(INDEX(ExistsTx,$I126,2)),$H126=0),0,INDIRECT("'T"&amp;$I126&amp;"'!$M$"&amp;($J126+5),TRUE)+((1000-ROW())/10000000000000))</f>
        <v>0</v>
      </c>
      <c r="M126" s="230">
        <f t="array" aca="1" ref="M126" ca="1">IF(OR(NOT(INDEX(ExistsTx,$I126,2)),$H126=0),0,INDIRECT("'T"&amp;$I126&amp;"'!$N$"&amp;($J126+5),TRUE)+((1000-ROW())/10000000000000))</f>
        <v>0</v>
      </c>
      <c r="N126" s="230">
        <f t="array" aca="1" ref="N126" ca="1">IF(OR(NOT(INDEX(ExistsTx,$I126,2)),$H126=0),0,INDIRECT("'T"&amp;$I126&amp;"'!$O$"&amp;($J126+5),TRUE)+((1000-ROW())/10000000000000))</f>
        <v>0</v>
      </c>
      <c r="O126" s="230">
        <f t="array" aca="1" ref="O126" ca="1">IF(OR(NOT(INDEX(ExistsTx,$I126,2)),$H126=0),0,INDIRECT("'T"&amp;$I126&amp;"'!$P$"&amp;($J126+5),TRUE)+((1000-ROW())/10000000000000))</f>
        <v>0</v>
      </c>
      <c r="P126" s="230">
        <f t="array" aca="1" ref="P126" ca="1">IF(OR(NOT(INDEX(ExistsTx,$I126,2)),$H126=0),0,INDIRECT("'T"&amp;$I126&amp;"'!$Q$"&amp;($J126+5),TRUE)+((1000-ROW())/10000000000000))</f>
        <v>0</v>
      </c>
      <c r="Q126" s="230">
        <f t="shared" ca="1" si="37"/>
        <v>1.1237142868380001E-6</v>
      </c>
      <c r="R126" s="230"/>
      <c r="S126" s="230"/>
      <c r="T126" s="230"/>
      <c r="U126" s="230"/>
      <c r="V126" s="230"/>
      <c r="W126" s="230"/>
      <c r="X126" s="229"/>
      <c r="Y126" s="229"/>
      <c r="Z126" s="229"/>
      <c r="AA126" s="230"/>
      <c r="AB126" s="230"/>
      <c r="AC126" s="230"/>
      <c r="AD126" s="229"/>
      <c r="AE126" s="230"/>
    </row>
    <row r="127" spans="1:31" ht="12.75" customHeight="1">
      <c r="A127" s="229" t="str">
        <f t="shared" ca="1" si="31"/>
        <v/>
      </c>
      <c r="B127" s="229" t="str">
        <f t="shared" ca="1" si="32"/>
        <v/>
      </c>
      <c r="C127" s="229" t="str">
        <f t="shared" ca="1" si="33"/>
        <v/>
      </c>
      <c r="D127" s="229" t="str">
        <f t="shared" ca="1" si="34"/>
        <v/>
      </c>
      <c r="E127" s="229" t="str">
        <f t="shared" ca="1" si="35"/>
        <v/>
      </c>
      <c r="F127" s="229" t="str">
        <f t="shared" ca="1" si="36"/>
        <v/>
      </c>
      <c r="G127" s="230" t="str">
        <f t="array" aca="1" ref="G127" ca="1">IF(INDEX(ExistsTx,$I127,2),IF(INDIRECT("'T"&amp;$I127&amp;"'!$D$"&amp;($J127+5),TRUE)=0,T_NoName,INDIRECT("'T"&amp;$I127&amp;"'!$D$"&amp;($J127+5),TRUE)),"")</f>
        <v>Nameless</v>
      </c>
      <c r="H127" s="230">
        <f t="array" aca="1" ref="H127" ca="1">IF(INDEX(ExistsTx,$I127,2),INDIRECT("'T"&amp;$I127&amp;"'!$E$"&amp;($J127+5),TRUE),0)</f>
        <v>0</v>
      </c>
      <c r="I127" s="229">
        <v>8</v>
      </c>
      <c r="J127" s="229">
        <v>13</v>
      </c>
      <c r="K127" s="230" t="str">
        <f t="array" aca="1" ref="K127" ca="1">INDEX(ListTeams,$I127,1)</f>
        <v>Ashtown Villains</v>
      </c>
      <c r="L127" s="230">
        <f t="array" aca="1" ref="L127" ca="1">IF(OR(NOT(INDEX(ExistsTx,$I127,2)),$H127=0),0,INDIRECT("'T"&amp;$I127&amp;"'!$M$"&amp;($J127+5),TRUE)+((1000-ROW())/10000000000000))</f>
        <v>0</v>
      </c>
      <c r="M127" s="230">
        <f t="array" aca="1" ref="M127" ca="1">IF(OR(NOT(INDEX(ExistsTx,$I127,2)),$H127=0),0,INDIRECT("'T"&amp;$I127&amp;"'!$N$"&amp;($J127+5),TRUE)+((1000-ROW())/10000000000000))</f>
        <v>0</v>
      </c>
      <c r="N127" s="230">
        <f t="array" aca="1" ref="N127" ca="1">IF(OR(NOT(INDEX(ExistsTx,$I127,2)),$H127=0),0,INDIRECT("'T"&amp;$I127&amp;"'!$O$"&amp;($J127+5),TRUE)+((1000-ROW())/10000000000000))</f>
        <v>0</v>
      </c>
      <c r="O127" s="230">
        <f t="array" aca="1" ref="O127" ca="1">IF(OR(NOT(INDEX(ExistsTx,$I127,2)),$H127=0),0,INDIRECT("'T"&amp;$I127&amp;"'!$P$"&amp;($J127+5),TRUE)+((1000-ROW())/10000000000000))</f>
        <v>0</v>
      </c>
      <c r="P127" s="230">
        <f t="array" aca="1" ref="P127" ca="1">IF(OR(NOT(INDEX(ExistsTx,$I127,2)),$H127=0),0,INDIRECT("'T"&amp;$I127&amp;"'!$Q$"&amp;($J127+5),TRUE)+((1000-ROW())/10000000000000))</f>
        <v>0</v>
      </c>
      <c r="Q127" s="230">
        <f t="shared" ca="1" si="37"/>
        <v>1.1224285725509999E-6</v>
      </c>
      <c r="R127" s="230"/>
      <c r="S127" s="230"/>
      <c r="T127" s="230"/>
      <c r="U127" s="230"/>
      <c r="V127" s="230"/>
      <c r="W127" s="230"/>
      <c r="X127" s="229"/>
      <c r="Y127" s="229"/>
      <c r="Z127" s="229"/>
      <c r="AA127" s="230"/>
      <c r="AB127" s="230"/>
      <c r="AC127" s="230"/>
      <c r="AD127" s="229"/>
      <c r="AE127" s="230"/>
    </row>
    <row r="128" spans="1:31" ht="12.75" customHeight="1">
      <c r="A128" s="229" t="str">
        <f t="shared" ca="1" si="31"/>
        <v/>
      </c>
      <c r="B128" s="229" t="str">
        <f t="shared" ca="1" si="32"/>
        <v/>
      </c>
      <c r="C128" s="229" t="str">
        <f t="shared" ca="1" si="33"/>
        <v/>
      </c>
      <c r="D128" s="229" t="str">
        <f t="shared" ca="1" si="34"/>
        <v/>
      </c>
      <c r="E128" s="229" t="str">
        <f t="shared" ca="1" si="35"/>
        <v/>
      </c>
      <c r="F128" s="229" t="str">
        <f t="shared" ca="1" si="36"/>
        <v/>
      </c>
      <c r="G128" s="230" t="str">
        <f t="array" aca="1" ref="G128" ca="1">IF(INDEX(ExistsTx,$I128,2),IF(INDIRECT("'T"&amp;$I128&amp;"'!$D$"&amp;($J128+5),TRUE)=0,T_NoName,INDIRECT("'T"&amp;$I128&amp;"'!$D$"&amp;($J128+5),TRUE)),"")</f>
        <v>Claude of the Flies</v>
      </c>
      <c r="H128" s="230" t="str">
        <f t="array" aca="1" ref="H128" ca="1">IF(INDEX(ExistsTx,$I128,2),INDIRECT("'T"&amp;$I128&amp;"'!$E$"&amp;($J128+5),TRUE),0)</f>
        <v>Zombie</v>
      </c>
      <c r="I128" s="229">
        <v>8</v>
      </c>
      <c r="J128" s="229">
        <v>14</v>
      </c>
      <c r="K128" s="230" t="str">
        <f t="array" aca="1" ref="K128" ca="1">INDEX(ListTeams,$I128,1)</f>
        <v>Ashtown Villains</v>
      </c>
      <c r="L128" s="230">
        <f t="array" aca="1" ref="L128" ca="1">IF(OR(NOT(INDEX(ExistsTx,$I128,2)),$H128=0),0,INDIRECT("'T"&amp;$I128&amp;"'!$M$"&amp;($J128+5),TRUE)+((1000-ROW())/10000000000000))</f>
        <v>8.7199999999999994E-11</v>
      </c>
      <c r="M128" s="230">
        <f t="array" aca="1" ref="M128" ca="1">IF(OR(NOT(INDEX(ExistsTx,$I128,2)),$H128=0),0,INDIRECT("'T"&amp;$I128&amp;"'!$N$"&amp;($J128+5),TRUE)+((1000-ROW())/10000000000000))</f>
        <v>8.7199999999999994E-11</v>
      </c>
      <c r="N128" s="230">
        <f t="array" aca="1" ref="N128" ca="1">IF(OR(NOT(INDEX(ExistsTx,$I128,2)),$H128=0),0,INDIRECT("'T"&amp;$I128&amp;"'!$O$"&amp;($J128+5),TRUE)+((1000-ROW())/10000000000000))</f>
        <v>8.7199999999999994E-11</v>
      </c>
      <c r="O128" s="230">
        <f t="array" aca="1" ref="O128" ca="1">IF(OR(NOT(INDEX(ExistsTx,$I128,2)),$H128=0),0,INDIRECT("'T"&amp;$I128&amp;"'!$P$"&amp;($J128+5),TRUE)+((1000-ROW())/10000000000000))</f>
        <v>8.7199999999999994E-11</v>
      </c>
      <c r="P128" s="230">
        <f t="array" aca="1" ref="P128" ca="1">IF(OR(NOT(INDEX(ExistsTx,$I128,2)),$H128=0),0,INDIRECT("'T"&amp;$I128&amp;"'!$Q$"&amp;($J128+5),TRUE)+((1000-ROW())/10000000000000))</f>
        <v>8.7199999999999994E-11</v>
      </c>
      <c r="Q128" s="230">
        <f t="shared" ca="1" si="37"/>
        <v>1.122276458264E-6</v>
      </c>
      <c r="R128" s="230"/>
      <c r="S128" s="230"/>
      <c r="T128" s="230"/>
      <c r="U128" s="230"/>
      <c r="V128" s="230"/>
      <c r="W128" s="230"/>
      <c r="X128" s="229"/>
      <c r="Y128" s="229"/>
      <c r="Z128" s="229"/>
      <c r="AA128" s="230"/>
      <c r="AB128" s="230"/>
      <c r="AC128" s="230"/>
      <c r="AD128" s="229"/>
      <c r="AE128" s="230"/>
    </row>
    <row r="129" spans="1:31" ht="12.75" customHeight="1">
      <c r="A129" s="229" t="str">
        <f t="shared" ca="1" si="31"/>
        <v/>
      </c>
      <c r="B129" s="229" t="str">
        <f t="shared" ca="1" si="32"/>
        <v/>
      </c>
      <c r="C129" s="229" t="str">
        <f t="shared" ca="1" si="33"/>
        <v/>
      </c>
      <c r="D129" s="229" t="str">
        <f t="shared" ca="1" si="34"/>
        <v/>
      </c>
      <c r="E129" s="229" t="str">
        <f t="shared" ca="1" si="35"/>
        <v/>
      </c>
      <c r="F129" s="229" t="str">
        <f t="shared" ca="1" si="36"/>
        <v/>
      </c>
      <c r="G129" s="230" t="str">
        <f t="array" aca="1" ref="G129" ca="1">IF(INDEX(ExistsTx,$I129,2),IF(INDIRECT("'T"&amp;$I129&amp;"'!$D$"&amp;($J129+5),TRUE)=0,T_NoName,INDIRECT("'T"&amp;$I129&amp;"'!$D$"&amp;($J129+5),TRUE)),"")</f>
        <v>Fetid Grek</v>
      </c>
      <c r="H129" s="230" t="str">
        <f t="array" aca="1" ref="H129" ca="1">IF(INDEX(ExistsTx,$I129,2),INDIRECT("'T"&amp;$I129&amp;"'!$E$"&amp;($J129+5),TRUE),0)</f>
        <v>Zombie</v>
      </c>
      <c r="I129" s="229">
        <v>8</v>
      </c>
      <c r="J129" s="229">
        <v>15</v>
      </c>
      <c r="K129" s="230" t="str">
        <f t="array" aca="1" ref="K129" ca="1">INDEX(ListTeams,$I129,1)</f>
        <v>Ashtown Villains</v>
      </c>
      <c r="L129" s="230">
        <f t="array" aca="1" ref="L129" ca="1">IF(OR(NOT(INDEX(ExistsTx,$I129,2)),$H129=0),0,INDIRECT("'T"&amp;$I129&amp;"'!$M$"&amp;($J129+5),TRUE)+((1000-ROW())/10000000000000))</f>
        <v>8.7100000000000002E-11</v>
      </c>
      <c r="M129" s="230">
        <f t="array" aca="1" ref="M129" ca="1">IF(OR(NOT(INDEX(ExistsTx,$I129,2)),$H129=0),0,INDIRECT("'T"&amp;$I129&amp;"'!$N$"&amp;($J129+5),TRUE)+((1000-ROW())/10000000000000))</f>
        <v>8.7100000000000002E-11</v>
      </c>
      <c r="N129" s="230">
        <f t="array" aca="1" ref="N129" ca="1">IF(OR(NOT(INDEX(ExistsTx,$I129,2)),$H129=0),0,INDIRECT("'T"&amp;$I129&amp;"'!$O$"&amp;($J129+5),TRUE)+((1000-ROW())/10000000000000))</f>
        <v>8.7100000000000002E-11</v>
      </c>
      <c r="O129" s="230">
        <f t="array" aca="1" ref="O129" ca="1">IF(OR(NOT(INDEX(ExistsTx,$I129,2)),$H129=0),0,INDIRECT("'T"&amp;$I129&amp;"'!$P$"&amp;($J129+5),TRUE)+((1000-ROW())/10000000000000))</f>
        <v>8.7100000000000002E-11</v>
      </c>
      <c r="P129" s="230">
        <f t="array" aca="1" ref="P129" ca="1">IF(OR(NOT(INDEX(ExistsTx,$I129,2)),$H129=0),0,INDIRECT("'T"&amp;$I129&amp;"'!$Q$"&amp;($J129+5),TRUE)+((1000-ROW())/10000000000000))</f>
        <v>8.7100000000000002E-11</v>
      </c>
      <c r="Q129" s="230">
        <f t="shared" ca="1" si="37"/>
        <v>1.1209894439769999E-6</v>
      </c>
      <c r="R129" s="230"/>
      <c r="S129" s="230"/>
      <c r="T129" s="230"/>
      <c r="U129" s="230"/>
      <c r="V129" s="230"/>
      <c r="W129" s="230"/>
      <c r="X129" s="229"/>
      <c r="Y129" s="229"/>
      <c r="Z129" s="229"/>
      <c r="AA129" s="230"/>
      <c r="AB129" s="230"/>
      <c r="AC129" s="230"/>
      <c r="AD129" s="229"/>
      <c r="AE129" s="230"/>
    </row>
    <row r="130" spans="1:31" ht="12.75" customHeight="1">
      <c r="A130" s="229" t="str">
        <f t="shared" ca="1" si="31"/>
        <v/>
      </c>
      <c r="B130" s="229" t="str">
        <f t="shared" ca="1" si="32"/>
        <v/>
      </c>
      <c r="C130" s="229" t="str">
        <f t="shared" ca="1" si="33"/>
        <v/>
      </c>
      <c r="D130" s="229" t="str">
        <f t="shared" ca="1" si="34"/>
        <v/>
      </c>
      <c r="E130" s="229" t="str">
        <f t="shared" ca="1" si="35"/>
        <v/>
      </c>
      <c r="F130" s="229" t="str">
        <f t="shared" ca="1" si="36"/>
        <v/>
      </c>
      <c r="G130" s="230" t="str">
        <f t="array" aca="1" ref="G130" ca="1">IF(INDEX(ExistsTx,$I130,2),IF(INDIRECT("'T"&amp;$I130&amp;"'!$D$"&amp;($J130+5),TRUE)=0,T_NoName,INDIRECT("'T"&amp;$I130&amp;"'!$D$"&amp;($J130+5),TRUE)),"")</f>
        <v>Stinkfist</v>
      </c>
      <c r="H130" s="230" t="str">
        <f t="array" aca="1" ref="H130" ca="1">IF(INDEX(ExistsTx,$I130,2),INDIRECT("'T"&amp;$I130&amp;"'!$E$"&amp;($J130+5),TRUE),0)</f>
        <v>Zombie</v>
      </c>
      <c r="I130" s="229">
        <v>8</v>
      </c>
      <c r="J130" s="229">
        <v>16</v>
      </c>
      <c r="K130" s="230" t="str">
        <f t="array" aca="1" ref="K130" ca="1">INDEX(ListTeams,$I130,1)</f>
        <v>Ashtown Villains</v>
      </c>
      <c r="L130" s="230">
        <f t="array" aca="1" ref="L130" ca="1">IF(OR(NOT(INDEX(ExistsTx,$I130,2)),$H130=0),0,INDIRECT("'T"&amp;$I130&amp;"'!$M$"&amp;($J130+5),TRUE)+((1000-ROW())/10000000000000))</f>
        <v>8.6999999999999997E-11</v>
      </c>
      <c r="M130" s="230">
        <f t="array" aca="1" ref="M130" ca="1">IF(OR(NOT(INDEX(ExistsTx,$I130,2)),$H130=0),0,INDIRECT("'T"&amp;$I130&amp;"'!$N$"&amp;($J130+5),TRUE)+((1000-ROW())/10000000000000))</f>
        <v>8.6999999999999997E-11</v>
      </c>
      <c r="N130" s="230">
        <f t="array" aca="1" ref="N130" ca="1">IF(OR(NOT(INDEX(ExistsTx,$I130,2)),$H130=0),0,INDIRECT("'T"&amp;$I130&amp;"'!$O$"&amp;($J130+5),TRUE)+((1000-ROW())/10000000000000))</f>
        <v>8.6999999999999997E-11</v>
      </c>
      <c r="O130" s="230">
        <f t="array" aca="1" ref="O130" ca="1">IF(OR(NOT(INDEX(ExistsTx,$I130,2)),$H130=0),0,INDIRECT("'T"&amp;$I130&amp;"'!$P$"&amp;($J130+5),TRUE)+((1000-ROW())/10000000000000))</f>
        <v>8.6999999999999997E-11</v>
      </c>
      <c r="P130" s="230">
        <f t="array" aca="1" ref="P130" ca="1">IF(OR(NOT(INDEX(ExistsTx,$I130,2)),$H130=0),0,INDIRECT("'T"&amp;$I130&amp;"'!$Q$"&amp;($J130+5),TRUE)+((1000-ROW())/10000000000000))</f>
        <v>8.6999999999999997E-11</v>
      </c>
      <c r="Q130" s="230">
        <f t="shared" ca="1" si="37"/>
        <v>1.1197024296900001E-6</v>
      </c>
      <c r="R130" s="230"/>
      <c r="S130" s="230"/>
      <c r="T130" s="230"/>
      <c r="U130" s="230"/>
      <c r="V130" s="230"/>
      <c r="W130" s="230"/>
      <c r="X130" s="229"/>
      <c r="Y130" s="229"/>
      <c r="Z130" s="229"/>
      <c r="AA130" s="230"/>
      <c r="AB130" s="230"/>
      <c r="AC130" s="230"/>
      <c r="AD130" s="229"/>
      <c r="AE130" s="230"/>
    </row>
    <row r="131" spans="1:31" ht="12.75" customHeight="1">
      <c r="A131" s="229" t="str">
        <f t="shared" ref="A131:A194" ca="1" si="38">IF(L131&lt;1,"",RANK(L131,PSTAT_CP))</f>
        <v/>
      </c>
      <c r="B131" s="229" t="str">
        <f t="shared" ref="B131:B194" ca="1" si="39">IF(M131&lt;1,"",RANK(M131,PSTAT_TD))</f>
        <v/>
      </c>
      <c r="C131" s="229" t="str">
        <f t="shared" ref="C131:C194" ca="1" si="40">IF(N131&lt;1,"",RANK(N131,PSTAT_IN))</f>
        <v/>
      </c>
      <c r="D131" s="229" t="str">
        <f t="shared" ref="D131:D194" ca="1" si="41">IF(O131&lt;1,"",RANK(O131,PSTAT_CS))</f>
        <v/>
      </c>
      <c r="E131" s="229" t="str">
        <f t="shared" ref="E131:E194" ca="1" si="42">IF(P131&lt;1,"",RANK(P131,PSTAT_VP))</f>
        <v/>
      </c>
      <c r="F131" s="229" t="str">
        <f t="shared" ref="F131:F194" ca="1" si="43">IF(Q131&lt;1,"",RANK(Q131,PSTAT_SP))</f>
        <v/>
      </c>
      <c r="G131" s="230" t="str">
        <f t="array" aca="1" ref="G131" ca="1">IF(INDEX(ExistsTx,$I131,2),IF(INDIRECT("'T"&amp;$I131&amp;"'!$D$"&amp;($J131+5),TRUE)=0,T_NoName,INDIRECT("'T"&amp;$I131&amp;"'!$D$"&amp;($J131+5),TRUE)),"")</f>
        <v>Nameless</v>
      </c>
      <c r="H131" s="230">
        <f t="array" aca="1" ref="H131" ca="1">IF(INDEX(ExistsTx,$I131,2),INDIRECT("'T"&amp;$I131&amp;"'!$E$"&amp;($J131+5),TRUE),0)</f>
        <v>0</v>
      </c>
      <c r="I131" s="229">
        <v>9</v>
      </c>
      <c r="J131" s="229">
        <v>1</v>
      </c>
      <c r="K131" s="230" t="str">
        <f t="array" aca="1" ref="K131" ca="1">INDEX(ListTeams,$I131,1)</f>
        <v>Aedra &amp; Daedra</v>
      </c>
      <c r="L131" s="230">
        <f t="array" aca="1" ref="L131" ca="1">IF(OR(NOT(INDEX(ExistsTx,$I131,2)),$H131=0),0,INDIRECT("'T"&amp;$I131&amp;"'!$M$"&amp;($J131+5),TRUE)+((1000-ROW())/10000000000000))</f>
        <v>0</v>
      </c>
      <c r="M131" s="230">
        <f t="array" aca="1" ref="M131" ca="1">IF(OR(NOT(INDEX(ExistsTx,$I131,2)),$H131=0),0,INDIRECT("'T"&amp;$I131&amp;"'!$N$"&amp;($J131+5),TRUE)+((1000-ROW())/10000000000000))</f>
        <v>0</v>
      </c>
      <c r="N131" s="230">
        <f t="array" aca="1" ref="N131" ca="1">IF(OR(NOT(INDEX(ExistsTx,$I131,2)),$H131=0),0,INDIRECT("'T"&amp;$I131&amp;"'!$O$"&amp;($J131+5),TRUE)+((1000-ROW())/10000000000000))</f>
        <v>0</v>
      </c>
      <c r="O131" s="230">
        <f t="array" aca="1" ref="O131" ca="1">IF(OR(NOT(INDEX(ExistsTx,$I131,2)),$H131=0),0,INDIRECT("'T"&amp;$I131&amp;"'!$P$"&amp;($J131+5),TRUE)+((1000-ROW())/10000000000000))</f>
        <v>0</v>
      </c>
      <c r="P131" s="230">
        <f t="array" aca="1" ref="P131" ca="1">IF(OR(NOT(INDEX(ExistsTx,$I131,2)),$H131=0),0,INDIRECT("'T"&amp;$I131&amp;"'!$Q$"&amp;($J131+5),TRUE)+((1000-ROW())/10000000000000))</f>
        <v>0</v>
      </c>
      <c r="Q131" s="230">
        <f t="shared" ref="Q131:Q194" ca="1" si="44">L131*SPP_CP+M131*SPP_TD+N131*SPP_IN+O131*SPP_CS+P131*SPP_VP+((1000-ROW())/777777777)</f>
        <v>1.1172857154030001E-6</v>
      </c>
      <c r="R131" s="230"/>
      <c r="S131" s="230"/>
      <c r="T131" s="230"/>
      <c r="U131" s="230"/>
      <c r="V131" s="230"/>
      <c r="W131" s="230"/>
      <c r="X131" s="229"/>
      <c r="Y131" s="229"/>
      <c r="Z131" s="229"/>
      <c r="AA131" s="230"/>
      <c r="AB131" s="230"/>
      <c r="AC131" s="230"/>
      <c r="AD131" s="229"/>
      <c r="AE131" s="230"/>
    </row>
    <row r="132" spans="1:31" ht="12.75" customHeight="1">
      <c r="A132" s="229" t="str">
        <f t="shared" ca="1" si="38"/>
        <v/>
      </c>
      <c r="B132" s="229" t="str">
        <f t="shared" ca="1" si="39"/>
        <v/>
      </c>
      <c r="C132" s="229" t="str">
        <f t="shared" ca="1" si="40"/>
        <v/>
      </c>
      <c r="D132" s="229" t="str">
        <f t="shared" ca="1" si="41"/>
        <v/>
      </c>
      <c r="E132" s="229" t="str">
        <f t="shared" ca="1" si="42"/>
        <v/>
      </c>
      <c r="F132" s="229" t="str">
        <f t="shared" ca="1" si="43"/>
        <v/>
      </c>
      <c r="G132" s="230" t="str">
        <f t="array" aca="1" ref="G132" ca="1">IF(INDEX(ExistsTx,$I132,2),IF(INDIRECT("'T"&amp;$I132&amp;"'!$D$"&amp;($J132+5),TRUE)=0,T_NoName,INDIRECT("'T"&amp;$I132&amp;"'!$D$"&amp;($J132+5),TRUE)),"")</f>
        <v>Nameless</v>
      </c>
      <c r="H132" s="230">
        <f t="array" aca="1" ref="H132" ca="1">IF(INDEX(ExistsTx,$I132,2),INDIRECT("'T"&amp;$I132&amp;"'!$E$"&amp;($J132+5),TRUE),0)</f>
        <v>0</v>
      </c>
      <c r="I132" s="229">
        <v>9</v>
      </c>
      <c r="J132" s="229">
        <v>2</v>
      </c>
      <c r="K132" s="230" t="str">
        <f t="array" aca="1" ref="K132" ca="1">INDEX(ListTeams,$I132,1)</f>
        <v>Aedra &amp; Daedra</v>
      </c>
      <c r="L132" s="230">
        <f t="array" aca="1" ref="L132" ca="1">IF(OR(NOT(INDEX(ExistsTx,$I132,2)),$H132=0),0,INDIRECT("'T"&amp;$I132&amp;"'!$M$"&amp;($J132+5),TRUE)+((1000-ROW())/10000000000000))</f>
        <v>0</v>
      </c>
      <c r="M132" s="230">
        <f t="array" aca="1" ref="M132" ca="1">IF(OR(NOT(INDEX(ExistsTx,$I132,2)),$H132=0),0,INDIRECT("'T"&amp;$I132&amp;"'!$N$"&amp;($J132+5),TRUE)+((1000-ROW())/10000000000000))</f>
        <v>0</v>
      </c>
      <c r="N132" s="230">
        <f t="array" aca="1" ref="N132" ca="1">IF(OR(NOT(INDEX(ExistsTx,$I132,2)),$H132=0),0,INDIRECT("'T"&amp;$I132&amp;"'!$O$"&amp;($J132+5),TRUE)+((1000-ROW())/10000000000000))</f>
        <v>0</v>
      </c>
      <c r="O132" s="230">
        <f t="array" aca="1" ref="O132" ca="1">IF(OR(NOT(INDEX(ExistsTx,$I132,2)),$H132=0),0,INDIRECT("'T"&amp;$I132&amp;"'!$P$"&amp;($J132+5),TRUE)+((1000-ROW())/10000000000000))</f>
        <v>0</v>
      </c>
      <c r="P132" s="230">
        <f t="array" aca="1" ref="P132" ca="1">IF(OR(NOT(INDEX(ExistsTx,$I132,2)),$H132=0),0,INDIRECT("'T"&amp;$I132&amp;"'!$Q$"&amp;($J132+5),TRUE)+((1000-ROW())/10000000000000))</f>
        <v>0</v>
      </c>
      <c r="Q132" s="230">
        <f t="shared" ca="1" si="44"/>
        <v>1.116000001116E-6</v>
      </c>
      <c r="R132" s="230"/>
      <c r="S132" s="230"/>
      <c r="T132" s="230"/>
      <c r="U132" s="230"/>
      <c r="V132" s="230"/>
      <c r="W132" s="230"/>
      <c r="X132" s="229"/>
      <c r="Y132" s="229"/>
      <c r="Z132" s="229"/>
      <c r="AA132" s="230"/>
      <c r="AB132" s="230"/>
      <c r="AC132" s="230"/>
      <c r="AD132" s="229"/>
      <c r="AE132" s="230"/>
    </row>
    <row r="133" spans="1:31" ht="12.75" customHeight="1">
      <c r="A133" s="229" t="str">
        <f t="shared" ca="1" si="38"/>
        <v/>
      </c>
      <c r="B133" s="229" t="str">
        <f t="shared" ca="1" si="39"/>
        <v/>
      </c>
      <c r="C133" s="229" t="str">
        <f t="shared" ca="1" si="40"/>
        <v/>
      </c>
      <c r="D133" s="229" t="str">
        <f t="shared" ca="1" si="41"/>
        <v/>
      </c>
      <c r="E133" s="229" t="str">
        <f t="shared" ca="1" si="42"/>
        <v/>
      </c>
      <c r="F133" s="229" t="str">
        <f t="shared" ca="1" si="43"/>
        <v/>
      </c>
      <c r="G133" s="230" t="str">
        <f t="array" aca="1" ref="G133" ca="1">IF(INDEX(ExistsTx,$I133,2),IF(INDIRECT("'T"&amp;$I133&amp;"'!$D$"&amp;($J133+5),TRUE)=0,T_NoName,INDIRECT("'T"&amp;$I133&amp;"'!$D$"&amp;($J133+5),TRUE)),"")</f>
        <v>Nameless</v>
      </c>
      <c r="H133" s="230">
        <f t="array" aca="1" ref="H133" ca="1">IF(INDEX(ExistsTx,$I133,2),INDIRECT("'T"&amp;$I133&amp;"'!$E$"&amp;($J133+5),TRUE),0)</f>
        <v>0</v>
      </c>
      <c r="I133" s="229">
        <v>9</v>
      </c>
      <c r="J133" s="229">
        <v>3</v>
      </c>
      <c r="K133" s="230" t="str">
        <f t="array" aca="1" ref="K133" ca="1">INDEX(ListTeams,$I133,1)</f>
        <v>Aedra &amp; Daedra</v>
      </c>
      <c r="L133" s="230">
        <f t="array" aca="1" ref="L133" ca="1">IF(OR(NOT(INDEX(ExistsTx,$I133,2)),$H133=0),0,INDIRECT("'T"&amp;$I133&amp;"'!$M$"&amp;($J133+5),TRUE)+((1000-ROW())/10000000000000))</f>
        <v>0</v>
      </c>
      <c r="M133" s="230">
        <f t="array" aca="1" ref="M133" ca="1">IF(OR(NOT(INDEX(ExistsTx,$I133,2)),$H133=0),0,INDIRECT("'T"&amp;$I133&amp;"'!$N$"&amp;($J133+5),TRUE)+((1000-ROW())/10000000000000))</f>
        <v>0</v>
      </c>
      <c r="N133" s="230">
        <f t="array" aca="1" ref="N133" ca="1">IF(OR(NOT(INDEX(ExistsTx,$I133,2)),$H133=0),0,INDIRECT("'T"&amp;$I133&amp;"'!$O$"&amp;($J133+5),TRUE)+((1000-ROW())/10000000000000))</f>
        <v>0</v>
      </c>
      <c r="O133" s="230">
        <f t="array" aca="1" ref="O133" ca="1">IF(OR(NOT(INDEX(ExistsTx,$I133,2)),$H133=0),0,INDIRECT("'T"&amp;$I133&amp;"'!$P$"&amp;($J133+5),TRUE)+((1000-ROW())/10000000000000))</f>
        <v>0</v>
      </c>
      <c r="P133" s="230">
        <f t="array" aca="1" ref="P133" ca="1">IF(OR(NOT(INDEX(ExistsTx,$I133,2)),$H133=0),0,INDIRECT("'T"&amp;$I133&amp;"'!$Q$"&amp;($J133+5),TRUE)+((1000-ROW())/10000000000000))</f>
        <v>0</v>
      </c>
      <c r="Q133" s="230">
        <f t="shared" ca="1" si="44"/>
        <v>1.1147142868290001E-6</v>
      </c>
      <c r="R133" s="230"/>
      <c r="S133" s="230"/>
      <c r="T133" s="230"/>
      <c r="U133" s="230"/>
      <c r="V133" s="230"/>
      <c r="W133" s="230"/>
      <c r="X133" s="229"/>
      <c r="Y133" s="229"/>
      <c r="Z133" s="229"/>
      <c r="AA133" s="230"/>
      <c r="AB133" s="230"/>
      <c r="AC133" s="230"/>
      <c r="AD133" s="229"/>
      <c r="AE133" s="230"/>
    </row>
    <row r="134" spans="1:31" ht="12.75" customHeight="1">
      <c r="A134" s="229" t="str">
        <f t="shared" ca="1" si="38"/>
        <v/>
      </c>
      <c r="B134" s="229" t="str">
        <f t="shared" ca="1" si="39"/>
        <v/>
      </c>
      <c r="C134" s="229" t="str">
        <f t="shared" ca="1" si="40"/>
        <v/>
      </c>
      <c r="D134" s="229" t="str">
        <f t="shared" ca="1" si="41"/>
        <v/>
      </c>
      <c r="E134" s="229" t="str">
        <f t="shared" ca="1" si="42"/>
        <v/>
      </c>
      <c r="F134" s="229" t="str">
        <f t="shared" ca="1" si="43"/>
        <v/>
      </c>
      <c r="G134" s="230" t="str">
        <f t="array" aca="1" ref="G134" ca="1">IF(INDEX(ExistsTx,$I134,2),IF(INDIRECT("'T"&amp;$I134&amp;"'!$D$"&amp;($J134+5),TRUE)=0,T_NoName,INDIRECT("'T"&amp;$I134&amp;"'!$D$"&amp;($J134+5),TRUE)),"")</f>
        <v>Nameless</v>
      </c>
      <c r="H134" s="230">
        <f t="array" aca="1" ref="H134" ca="1">IF(INDEX(ExistsTx,$I134,2),INDIRECT("'T"&amp;$I134&amp;"'!$E$"&amp;($J134+5),TRUE),0)</f>
        <v>0</v>
      </c>
      <c r="I134" s="229">
        <v>9</v>
      </c>
      <c r="J134" s="229">
        <v>4</v>
      </c>
      <c r="K134" s="230" t="str">
        <f t="array" aca="1" ref="K134" ca="1">INDEX(ListTeams,$I134,1)</f>
        <v>Aedra &amp; Daedra</v>
      </c>
      <c r="L134" s="230">
        <f t="array" aca="1" ref="L134" ca="1">IF(OR(NOT(INDEX(ExistsTx,$I134,2)),$H134=0),0,INDIRECT("'T"&amp;$I134&amp;"'!$M$"&amp;($J134+5),TRUE)+((1000-ROW())/10000000000000))</f>
        <v>0</v>
      </c>
      <c r="M134" s="230">
        <f t="array" aca="1" ref="M134" ca="1">IF(OR(NOT(INDEX(ExistsTx,$I134,2)),$H134=0),0,INDIRECT("'T"&amp;$I134&amp;"'!$N$"&amp;($J134+5),TRUE)+((1000-ROW())/10000000000000))</f>
        <v>0</v>
      </c>
      <c r="N134" s="230">
        <f t="array" aca="1" ref="N134" ca="1">IF(OR(NOT(INDEX(ExistsTx,$I134,2)),$H134=0),0,INDIRECT("'T"&amp;$I134&amp;"'!$O$"&amp;($J134+5),TRUE)+((1000-ROW())/10000000000000))</f>
        <v>0</v>
      </c>
      <c r="O134" s="230">
        <f t="array" aca="1" ref="O134" ca="1">IF(OR(NOT(INDEX(ExistsTx,$I134,2)),$H134=0),0,INDIRECT("'T"&amp;$I134&amp;"'!$P$"&amp;($J134+5),TRUE)+((1000-ROW())/10000000000000))</f>
        <v>0</v>
      </c>
      <c r="P134" s="230">
        <f t="array" aca="1" ref="P134" ca="1">IF(OR(NOT(INDEX(ExistsTx,$I134,2)),$H134=0),0,INDIRECT("'T"&amp;$I134&amp;"'!$Q$"&amp;($J134+5),TRUE)+((1000-ROW())/10000000000000))</f>
        <v>0</v>
      </c>
      <c r="Q134" s="230">
        <f t="shared" ca="1" si="44"/>
        <v>1.113428572542E-6</v>
      </c>
      <c r="R134" s="230"/>
      <c r="S134" s="230"/>
      <c r="T134" s="230"/>
      <c r="U134" s="230"/>
      <c r="V134" s="230"/>
      <c r="W134" s="230"/>
      <c r="X134" s="229"/>
      <c r="Y134" s="229"/>
      <c r="Z134" s="229"/>
      <c r="AA134" s="230"/>
      <c r="AB134" s="230"/>
      <c r="AC134" s="230"/>
      <c r="AD134" s="229"/>
      <c r="AE134" s="230"/>
    </row>
    <row r="135" spans="1:31" ht="12.75" customHeight="1">
      <c r="A135" s="229" t="str">
        <f t="shared" ca="1" si="38"/>
        <v/>
      </c>
      <c r="B135" s="229" t="str">
        <f t="shared" ca="1" si="39"/>
        <v/>
      </c>
      <c r="C135" s="229" t="str">
        <f t="shared" ca="1" si="40"/>
        <v/>
      </c>
      <c r="D135" s="229" t="str">
        <f t="shared" ca="1" si="41"/>
        <v/>
      </c>
      <c r="E135" s="229" t="str">
        <f t="shared" ca="1" si="42"/>
        <v/>
      </c>
      <c r="F135" s="229" t="str">
        <f t="shared" ca="1" si="43"/>
        <v/>
      </c>
      <c r="G135" s="230" t="str">
        <f t="array" aca="1" ref="G135" ca="1">IF(INDEX(ExistsTx,$I135,2),IF(INDIRECT("'T"&amp;$I135&amp;"'!$D$"&amp;($J135+5),TRUE)=0,T_NoName,INDIRECT("'T"&amp;$I135&amp;"'!$D$"&amp;($J135+5),TRUE)),"")</f>
        <v>Nameless</v>
      </c>
      <c r="H135" s="230">
        <f t="array" aca="1" ref="H135" ca="1">IF(INDEX(ExistsTx,$I135,2),INDIRECT("'T"&amp;$I135&amp;"'!$E$"&amp;($J135+5),TRUE),0)</f>
        <v>0</v>
      </c>
      <c r="I135" s="229">
        <v>9</v>
      </c>
      <c r="J135" s="229">
        <v>5</v>
      </c>
      <c r="K135" s="230" t="str">
        <f t="array" aca="1" ref="K135" ca="1">INDEX(ListTeams,$I135,1)</f>
        <v>Aedra &amp; Daedra</v>
      </c>
      <c r="L135" s="230">
        <f t="array" aca="1" ref="L135" ca="1">IF(OR(NOT(INDEX(ExistsTx,$I135,2)),$H135=0),0,INDIRECT("'T"&amp;$I135&amp;"'!$M$"&amp;($J135+5),TRUE)+((1000-ROW())/10000000000000))</f>
        <v>0</v>
      </c>
      <c r="M135" s="230">
        <f t="array" aca="1" ref="M135" ca="1">IF(OR(NOT(INDEX(ExistsTx,$I135,2)),$H135=0),0,INDIRECT("'T"&amp;$I135&amp;"'!$N$"&amp;($J135+5),TRUE)+((1000-ROW())/10000000000000))</f>
        <v>0</v>
      </c>
      <c r="N135" s="230">
        <f t="array" aca="1" ref="N135" ca="1">IF(OR(NOT(INDEX(ExistsTx,$I135,2)),$H135=0),0,INDIRECT("'T"&amp;$I135&amp;"'!$O$"&amp;($J135+5),TRUE)+((1000-ROW())/10000000000000))</f>
        <v>0</v>
      </c>
      <c r="O135" s="230">
        <f t="array" aca="1" ref="O135" ca="1">IF(OR(NOT(INDEX(ExistsTx,$I135,2)),$H135=0),0,INDIRECT("'T"&amp;$I135&amp;"'!$P$"&amp;($J135+5),TRUE)+((1000-ROW())/10000000000000))</f>
        <v>0</v>
      </c>
      <c r="P135" s="230">
        <f t="array" aca="1" ref="P135" ca="1">IF(OR(NOT(INDEX(ExistsTx,$I135,2)),$H135=0),0,INDIRECT("'T"&amp;$I135&amp;"'!$Q$"&amp;($J135+5),TRUE)+((1000-ROW())/10000000000000))</f>
        <v>0</v>
      </c>
      <c r="Q135" s="230">
        <f t="shared" ca="1" si="44"/>
        <v>1.1121428582550001E-6</v>
      </c>
      <c r="R135" s="230"/>
      <c r="S135" s="230"/>
      <c r="T135" s="230"/>
      <c r="U135" s="230"/>
      <c r="V135" s="230"/>
      <c r="W135" s="230"/>
      <c r="X135" s="229"/>
      <c r="Y135" s="229"/>
      <c r="Z135" s="229"/>
      <c r="AA135" s="230"/>
      <c r="AB135" s="230"/>
      <c r="AC135" s="230"/>
      <c r="AD135" s="229"/>
      <c r="AE135" s="230"/>
    </row>
    <row r="136" spans="1:31" ht="12.75" customHeight="1">
      <c r="A136" s="229" t="str">
        <f t="shared" ca="1" si="38"/>
        <v/>
      </c>
      <c r="B136" s="229" t="str">
        <f t="shared" ca="1" si="39"/>
        <v/>
      </c>
      <c r="C136" s="229" t="str">
        <f t="shared" ca="1" si="40"/>
        <v/>
      </c>
      <c r="D136" s="229" t="str">
        <f t="shared" ca="1" si="41"/>
        <v/>
      </c>
      <c r="E136" s="229" t="str">
        <f t="shared" ca="1" si="42"/>
        <v/>
      </c>
      <c r="F136" s="229" t="str">
        <f t="shared" ca="1" si="43"/>
        <v/>
      </c>
      <c r="G136" s="230" t="str">
        <f t="array" aca="1" ref="G136" ca="1">IF(INDEX(ExistsTx,$I136,2),IF(INDIRECT("'T"&amp;$I136&amp;"'!$D$"&amp;($J136+5),TRUE)=0,T_NoName,INDIRECT("'T"&amp;$I136&amp;"'!$D$"&amp;($J136+5),TRUE)),"")</f>
        <v>Nameless</v>
      </c>
      <c r="H136" s="230">
        <f t="array" aca="1" ref="H136" ca="1">IF(INDEX(ExistsTx,$I136,2),INDIRECT("'T"&amp;$I136&amp;"'!$E$"&amp;($J136+5),TRUE),0)</f>
        <v>0</v>
      </c>
      <c r="I136" s="229">
        <v>9</v>
      </c>
      <c r="J136" s="229">
        <v>6</v>
      </c>
      <c r="K136" s="230" t="str">
        <f t="array" aca="1" ref="K136" ca="1">INDEX(ListTeams,$I136,1)</f>
        <v>Aedra &amp; Daedra</v>
      </c>
      <c r="L136" s="230">
        <f t="array" aca="1" ref="L136" ca="1">IF(OR(NOT(INDEX(ExistsTx,$I136,2)),$H136=0),0,INDIRECT("'T"&amp;$I136&amp;"'!$M$"&amp;($J136+5),TRUE)+((1000-ROW())/10000000000000))</f>
        <v>0</v>
      </c>
      <c r="M136" s="230">
        <f t="array" aca="1" ref="M136" ca="1">IF(OR(NOT(INDEX(ExistsTx,$I136,2)),$H136=0),0,INDIRECT("'T"&amp;$I136&amp;"'!$N$"&amp;($J136+5),TRUE)+((1000-ROW())/10000000000000))</f>
        <v>0</v>
      </c>
      <c r="N136" s="230">
        <f t="array" aca="1" ref="N136" ca="1">IF(OR(NOT(INDEX(ExistsTx,$I136,2)),$H136=0),0,INDIRECT("'T"&amp;$I136&amp;"'!$O$"&amp;($J136+5),TRUE)+((1000-ROW())/10000000000000))</f>
        <v>0</v>
      </c>
      <c r="O136" s="230">
        <f t="array" aca="1" ref="O136" ca="1">IF(OR(NOT(INDEX(ExistsTx,$I136,2)),$H136=0),0,INDIRECT("'T"&amp;$I136&amp;"'!$P$"&amp;($J136+5),TRUE)+((1000-ROW())/10000000000000))</f>
        <v>0</v>
      </c>
      <c r="P136" s="230">
        <f t="array" aca="1" ref="P136" ca="1">IF(OR(NOT(INDEX(ExistsTx,$I136,2)),$H136=0),0,INDIRECT("'T"&amp;$I136&amp;"'!$Q$"&amp;($J136+5),TRUE)+((1000-ROW())/10000000000000))</f>
        <v>0</v>
      </c>
      <c r="Q136" s="230">
        <f t="shared" ca="1" si="44"/>
        <v>1.1108571439679999E-6</v>
      </c>
      <c r="R136" s="230"/>
      <c r="S136" s="230"/>
      <c r="T136" s="230"/>
      <c r="U136" s="230"/>
      <c r="V136" s="230"/>
      <c r="W136" s="230"/>
      <c r="X136" s="229"/>
      <c r="Y136" s="229"/>
      <c r="Z136" s="229"/>
      <c r="AA136" s="230"/>
      <c r="AB136" s="230"/>
      <c r="AC136" s="230"/>
      <c r="AD136" s="229"/>
      <c r="AE136" s="230"/>
    </row>
    <row r="137" spans="1:31" ht="12.75" customHeight="1">
      <c r="A137" s="229" t="str">
        <f t="shared" ca="1" si="38"/>
        <v/>
      </c>
      <c r="B137" s="229" t="str">
        <f t="shared" ca="1" si="39"/>
        <v/>
      </c>
      <c r="C137" s="229" t="str">
        <f t="shared" ca="1" si="40"/>
        <v/>
      </c>
      <c r="D137" s="229" t="str">
        <f t="shared" ca="1" si="41"/>
        <v/>
      </c>
      <c r="E137" s="229" t="str">
        <f t="shared" ca="1" si="42"/>
        <v/>
      </c>
      <c r="F137" s="229" t="str">
        <f t="shared" ca="1" si="43"/>
        <v/>
      </c>
      <c r="G137" s="230" t="str">
        <f t="array" aca="1" ref="G137" ca="1">IF(INDEX(ExistsTx,$I137,2),IF(INDIRECT("'T"&amp;$I137&amp;"'!$D$"&amp;($J137+5),TRUE)=0,T_NoName,INDIRECT("'T"&amp;$I137&amp;"'!$D$"&amp;($J137+5),TRUE)),"")</f>
        <v>Nameless</v>
      </c>
      <c r="H137" s="230">
        <f t="array" aca="1" ref="H137" ca="1">IF(INDEX(ExistsTx,$I137,2),INDIRECT("'T"&amp;$I137&amp;"'!$E$"&amp;($J137+5),TRUE),0)</f>
        <v>0</v>
      </c>
      <c r="I137" s="229">
        <v>9</v>
      </c>
      <c r="J137" s="229">
        <v>7</v>
      </c>
      <c r="K137" s="230" t="str">
        <f t="array" aca="1" ref="K137" ca="1">INDEX(ListTeams,$I137,1)</f>
        <v>Aedra &amp; Daedra</v>
      </c>
      <c r="L137" s="230">
        <f t="array" aca="1" ref="L137" ca="1">IF(OR(NOT(INDEX(ExistsTx,$I137,2)),$H137=0),0,INDIRECT("'T"&amp;$I137&amp;"'!$M$"&amp;($J137+5),TRUE)+((1000-ROW())/10000000000000))</f>
        <v>0</v>
      </c>
      <c r="M137" s="230">
        <f t="array" aca="1" ref="M137" ca="1">IF(OR(NOT(INDEX(ExistsTx,$I137,2)),$H137=0),0,INDIRECT("'T"&amp;$I137&amp;"'!$N$"&amp;($J137+5),TRUE)+((1000-ROW())/10000000000000))</f>
        <v>0</v>
      </c>
      <c r="N137" s="230">
        <f t="array" aca="1" ref="N137" ca="1">IF(OR(NOT(INDEX(ExistsTx,$I137,2)),$H137=0),0,INDIRECT("'T"&amp;$I137&amp;"'!$O$"&amp;($J137+5),TRUE)+((1000-ROW())/10000000000000))</f>
        <v>0</v>
      </c>
      <c r="O137" s="230">
        <f t="array" aca="1" ref="O137" ca="1">IF(OR(NOT(INDEX(ExistsTx,$I137,2)),$H137=0),0,INDIRECT("'T"&amp;$I137&amp;"'!$P$"&amp;($J137+5),TRUE)+((1000-ROW())/10000000000000))</f>
        <v>0</v>
      </c>
      <c r="P137" s="230">
        <f t="array" aca="1" ref="P137" ca="1">IF(OR(NOT(INDEX(ExistsTx,$I137,2)),$H137=0),0,INDIRECT("'T"&amp;$I137&amp;"'!$Q$"&amp;($J137+5),TRUE)+((1000-ROW())/10000000000000))</f>
        <v>0</v>
      </c>
      <c r="Q137" s="230">
        <f t="shared" ca="1" si="44"/>
        <v>1.109571429681E-6</v>
      </c>
      <c r="R137" s="230"/>
      <c r="S137" s="230"/>
      <c r="T137" s="230"/>
      <c r="U137" s="230"/>
      <c r="V137" s="230"/>
      <c r="W137" s="230"/>
      <c r="X137" s="229"/>
      <c r="Y137" s="229"/>
      <c r="Z137" s="229"/>
      <c r="AA137" s="230"/>
      <c r="AB137" s="230"/>
      <c r="AC137" s="230"/>
      <c r="AD137" s="229"/>
      <c r="AE137" s="230"/>
    </row>
    <row r="138" spans="1:31" ht="12.75" customHeight="1">
      <c r="A138" s="229" t="str">
        <f t="shared" ca="1" si="38"/>
        <v/>
      </c>
      <c r="B138" s="229" t="str">
        <f t="shared" ca="1" si="39"/>
        <v/>
      </c>
      <c r="C138" s="229" t="str">
        <f t="shared" ca="1" si="40"/>
        <v/>
      </c>
      <c r="D138" s="229" t="str">
        <f t="shared" ca="1" si="41"/>
        <v/>
      </c>
      <c r="E138" s="229" t="str">
        <f t="shared" ca="1" si="42"/>
        <v/>
      </c>
      <c r="F138" s="229" t="str">
        <f t="shared" ca="1" si="43"/>
        <v/>
      </c>
      <c r="G138" s="230" t="str">
        <f t="array" aca="1" ref="G138" ca="1">IF(INDEX(ExistsTx,$I138,2),IF(INDIRECT("'T"&amp;$I138&amp;"'!$D$"&amp;($J138+5),TRUE)=0,T_NoName,INDIRECT("'T"&amp;$I138&amp;"'!$D$"&amp;($J138+5),TRUE)),"")</f>
        <v>Nameless</v>
      </c>
      <c r="H138" s="230">
        <f t="array" aca="1" ref="H138" ca="1">IF(INDEX(ExistsTx,$I138,2),INDIRECT("'T"&amp;$I138&amp;"'!$E$"&amp;($J138+5),TRUE),0)</f>
        <v>0</v>
      </c>
      <c r="I138" s="229">
        <v>9</v>
      </c>
      <c r="J138" s="229">
        <v>8</v>
      </c>
      <c r="K138" s="230" t="str">
        <f t="array" aca="1" ref="K138" ca="1">INDEX(ListTeams,$I138,1)</f>
        <v>Aedra &amp; Daedra</v>
      </c>
      <c r="L138" s="230">
        <f t="array" aca="1" ref="L138" ca="1">IF(OR(NOT(INDEX(ExistsTx,$I138,2)),$H138=0),0,INDIRECT("'T"&amp;$I138&amp;"'!$M$"&amp;($J138+5),TRUE)+((1000-ROW())/10000000000000))</f>
        <v>0</v>
      </c>
      <c r="M138" s="230">
        <f t="array" aca="1" ref="M138" ca="1">IF(OR(NOT(INDEX(ExistsTx,$I138,2)),$H138=0),0,INDIRECT("'T"&amp;$I138&amp;"'!$N$"&amp;($J138+5),TRUE)+((1000-ROW())/10000000000000))</f>
        <v>0</v>
      </c>
      <c r="N138" s="230">
        <f t="array" aca="1" ref="N138" ca="1">IF(OR(NOT(INDEX(ExistsTx,$I138,2)),$H138=0),0,INDIRECT("'T"&amp;$I138&amp;"'!$O$"&amp;($J138+5),TRUE)+((1000-ROW())/10000000000000))</f>
        <v>0</v>
      </c>
      <c r="O138" s="230">
        <f t="array" aca="1" ref="O138" ca="1">IF(OR(NOT(INDEX(ExistsTx,$I138,2)),$H138=0),0,INDIRECT("'T"&amp;$I138&amp;"'!$P$"&amp;($J138+5),TRUE)+((1000-ROW())/10000000000000))</f>
        <v>0</v>
      </c>
      <c r="P138" s="230">
        <f t="array" aca="1" ref="P138" ca="1">IF(OR(NOT(INDEX(ExistsTx,$I138,2)),$H138=0),0,INDIRECT("'T"&amp;$I138&amp;"'!$Q$"&amp;($J138+5),TRUE)+((1000-ROW())/10000000000000))</f>
        <v>0</v>
      </c>
      <c r="Q138" s="230">
        <f t="shared" ca="1" si="44"/>
        <v>1.1082857153939999E-6</v>
      </c>
      <c r="R138" s="230"/>
      <c r="S138" s="230"/>
      <c r="T138" s="230"/>
      <c r="U138" s="230"/>
      <c r="V138" s="230"/>
      <c r="W138" s="230"/>
      <c r="X138" s="229"/>
      <c r="Y138" s="229"/>
      <c r="Z138" s="229"/>
      <c r="AA138" s="230"/>
      <c r="AB138" s="230"/>
      <c r="AC138" s="230"/>
      <c r="AD138" s="229"/>
      <c r="AE138" s="230"/>
    </row>
    <row r="139" spans="1:31" ht="12.75" customHeight="1">
      <c r="A139" s="229" t="str">
        <f t="shared" ca="1" si="38"/>
        <v/>
      </c>
      <c r="B139" s="229" t="str">
        <f t="shared" ca="1" si="39"/>
        <v/>
      </c>
      <c r="C139" s="229" t="str">
        <f t="shared" ca="1" si="40"/>
        <v/>
      </c>
      <c r="D139" s="229" t="str">
        <f t="shared" ca="1" si="41"/>
        <v/>
      </c>
      <c r="E139" s="229" t="str">
        <f t="shared" ca="1" si="42"/>
        <v/>
      </c>
      <c r="F139" s="229" t="str">
        <f t="shared" ca="1" si="43"/>
        <v/>
      </c>
      <c r="G139" s="230" t="str">
        <f t="array" aca="1" ref="G139" ca="1">IF(INDEX(ExistsTx,$I139,2),IF(INDIRECT("'T"&amp;$I139&amp;"'!$D$"&amp;($J139+5),TRUE)=0,T_NoName,INDIRECT("'T"&amp;$I139&amp;"'!$D$"&amp;($J139+5),TRUE)),"")</f>
        <v>Nameless</v>
      </c>
      <c r="H139" s="230">
        <f t="array" aca="1" ref="H139" ca="1">IF(INDEX(ExistsTx,$I139,2),INDIRECT("'T"&amp;$I139&amp;"'!$E$"&amp;($J139+5),TRUE),0)</f>
        <v>0</v>
      </c>
      <c r="I139" s="229">
        <v>9</v>
      </c>
      <c r="J139" s="229">
        <v>9</v>
      </c>
      <c r="K139" s="230" t="str">
        <f t="array" aca="1" ref="K139" ca="1">INDEX(ListTeams,$I139,1)</f>
        <v>Aedra &amp; Daedra</v>
      </c>
      <c r="L139" s="230">
        <f t="array" aca="1" ref="L139" ca="1">IF(OR(NOT(INDEX(ExistsTx,$I139,2)),$H139=0),0,INDIRECT("'T"&amp;$I139&amp;"'!$M$"&amp;($J139+5),TRUE)+((1000-ROW())/10000000000000))</f>
        <v>0</v>
      </c>
      <c r="M139" s="230">
        <f t="array" aca="1" ref="M139" ca="1">IF(OR(NOT(INDEX(ExistsTx,$I139,2)),$H139=0),0,INDIRECT("'T"&amp;$I139&amp;"'!$N$"&amp;($J139+5),TRUE)+((1000-ROW())/10000000000000))</f>
        <v>0</v>
      </c>
      <c r="N139" s="230">
        <f t="array" aca="1" ref="N139" ca="1">IF(OR(NOT(INDEX(ExistsTx,$I139,2)),$H139=0),0,INDIRECT("'T"&amp;$I139&amp;"'!$O$"&amp;($J139+5),TRUE)+((1000-ROW())/10000000000000))</f>
        <v>0</v>
      </c>
      <c r="O139" s="230">
        <f t="array" aca="1" ref="O139" ca="1">IF(OR(NOT(INDEX(ExistsTx,$I139,2)),$H139=0),0,INDIRECT("'T"&amp;$I139&amp;"'!$P$"&amp;($J139+5),TRUE)+((1000-ROW())/10000000000000))</f>
        <v>0</v>
      </c>
      <c r="P139" s="230">
        <f t="array" aca="1" ref="P139" ca="1">IF(OR(NOT(INDEX(ExistsTx,$I139,2)),$H139=0),0,INDIRECT("'T"&amp;$I139&amp;"'!$Q$"&amp;($J139+5),TRUE)+((1000-ROW())/10000000000000))</f>
        <v>0</v>
      </c>
      <c r="Q139" s="230">
        <f t="shared" ca="1" si="44"/>
        <v>1.107000001107E-6</v>
      </c>
      <c r="R139" s="230"/>
      <c r="S139" s="230"/>
      <c r="T139" s="230"/>
      <c r="U139" s="230"/>
      <c r="V139" s="230"/>
      <c r="W139" s="230"/>
      <c r="X139" s="229"/>
      <c r="Y139" s="229"/>
      <c r="Z139" s="229"/>
      <c r="AA139" s="230"/>
      <c r="AB139" s="230"/>
      <c r="AC139" s="230"/>
      <c r="AD139" s="229"/>
      <c r="AE139" s="230"/>
    </row>
    <row r="140" spans="1:31" ht="12.75" customHeight="1">
      <c r="A140" s="229" t="str">
        <f t="shared" ca="1" si="38"/>
        <v/>
      </c>
      <c r="B140" s="229" t="str">
        <f t="shared" ca="1" si="39"/>
        <v/>
      </c>
      <c r="C140" s="229" t="str">
        <f t="shared" ca="1" si="40"/>
        <v/>
      </c>
      <c r="D140" s="229" t="str">
        <f t="shared" ca="1" si="41"/>
        <v/>
      </c>
      <c r="E140" s="229" t="str">
        <f t="shared" ca="1" si="42"/>
        <v/>
      </c>
      <c r="F140" s="229" t="str">
        <f t="shared" ca="1" si="43"/>
        <v/>
      </c>
      <c r="G140" s="230" t="str">
        <f t="array" aca="1" ref="G140" ca="1">IF(INDEX(ExistsTx,$I140,2),IF(INDIRECT("'T"&amp;$I140&amp;"'!$D$"&amp;($J140+5),TRUE)=0,T_NoName,INDIRECT("'T"&amp;$I140&amp;"'!$D$"&amp;($J140+5),TRUE)),"")</f>
        <v>Nameless</v>
      </c>
      <c r="H140" s="230">
        <f t="array" aca="1" ref="H140" ca="1">IF(INDEX(ExistsTx,$I140,2),INDIRECT("'T"&amp;$I140&amp;"'!$E$"&amp;($J140+5),TRUE),0)</f>
        <v>0</v>
      </c>
      <c r="I140" s="229">
        <v>9</v>
      </c>
      <c r="J140" s="229">
        <v>10</v>
      </c>
      <c r="K140" s="230" t="str">
        <f t="array" aca="1" ref="K140" ca="1">INDEX(ListTeams,$I140,1)</f>
        <v>Aedra &amp; Daedra</v>
      </c>
      <c r="L140" s="230">
        <f t="array" aca="1" ref="L140" ca="1">IF(OR(NOT(INDEX(ExistsTx,$I140,2)),$H140=0),0,INDIRECT("'T"&amp;$I140&amp;"'!$M$"&amp;($J140+5),TRUE)+((1000-ROW())/10000000000000))</f>
        <v>0</v>
      </c>
      <c r="M140" s="230">
        <f t="array" aca="1" ref="M140" ca="1">IF(OR(NOT(INDEX(ExistsTx,$I140,2)),$H140=0),0,INDIRECT("'T"&amp;$I140&amp;"'!$N$"&amp;($J140+5),TRUE)+((1000-ROW())/10000000000000))</f>
        <v>0</v>
      </c>
      <c r="N140" s="230">
        <f t="array" aca="1" ref="N140" ca="1">IF(OR(NOT(INDEX(ExistsTx,$I140,2)),$H140=0),0,INDIRECT("'T"&amp;$I140&amp;"'!$O$"&amp;($J140+5),TRUE)+((1000-ROW())/10000000000000))</f>
        <v>0</v>
      </c>
      <c r="O140" s="230">
        <f t="array" aca="1" ref="O140" ca="1">IF(OR(NOT(INDEX(ExistsTx,$I140,2)),$H140=0),0,INDIRECT("'T"&amp;$I140&amp;"'!$P$"&amp;($J140+5),TRUE)+((1000-ROW())/10000000000000))</f>
        <v>0</v>
      </c>
      <c r="P140" s="230">
        <f t="array" aca="1" ref="P140" ca="1">IF(OR(NOT(INDEX(ExistsTx,$I140,2)),$H140=0),0,INDIRECT("'T"&amp;$I140&amp;"'!$Q$"&amp;($J140+5),TRUE)+((1000-ROW())/10000000000000))</f>
        <v>0</v>
      </c>
      <c r="Q140" s="230">
        <f t="shared" ca="1" si="44"/>
        <v>1.1057142868200001E-6</v>
      </c>
      <c r="R140" s="230"/>
      <c r="S140" s="230"/>
      <c r="T140" s="230"/>
      <c r="U140" s="230"/>
      <c r="V140" s="230"/>
      <c r="W140" s="230"/>
      <c r="X140" s="229"/>
      <c r="Y140" s="229"/>
      <c r="Z140" s="229"/>
      <c r="AA140" s="230"/>
      <c r="AB140" s="230"/>
      <c r="AC140" s="230"/>
      <c r="AD140" s="229"/>
      <c r="AE140" s="230"/>
    </row>
    <row r="141" spans="1:31" ht="12.75" customHeight="1">
      <c r="A141" s="229" t="str">
        <f t="shared" ca="1" si="38"/>
        <v/>
      </c>
      <c r="B141" s="229" t="str">
        <f t="shared" ca="1" si="39"/>
        <v/>
      </c>
      <c r="C141" s="229" t="str">
        <f t="shared" ca="1" si="40"/>
        <v/>
      </c>
      <c r="D141" s="229" t="str">
        <f t="shared" ca="1" si="41"/>
        <v/>
      </c>
      <c r="E141" s="229" t="str">
        <f t="shared" ca="1" si="42"/>
        <v/>
      </c>
      <c r="F141" s="229" t="str">
        <f t="shared" ca="1" si="43"/>
        <v/>
      </c>
      <c r="G141" s="230" t="str">
        <f t="array" aca="1" ref="G141" ca="1">IF(INDEX(ExistsTx,$I141,2),IF(INDIRECT("'T"&amp;$I141&amp;"'!$D$"&amp;($J141+5),TRUE)=0,T_NoName,INDIRECT("'T"&amp;$I141&amp;"'!$D$"&amp;($J141+5),TRUE)),"")</f>
        <v>Nameless</v>
      </c>
      <c r="H141" s="230">
        <f t="array" aca="1" ref="H141" ca="1">IF(INDEX(ExistsTx,$I141,2),INDIRECT("'T"&amp;$I141&amp;"'!$E$"&amp;($J141+5),TRUE),0)</f>
        <v>0</v>
      </c>
      <c r="I141" s="229">
        <v>9</v>
      </c>
      <c r="J141" s="229">
        <v>11</v>
      </c>
      <c r="K141" s="230" t="str">
        <f t="array" aca="1" ref="K141" ca="1">INDEX(ListTeams,$I141,1)</f>
        <v>Aedra &amp; Daedra</v>
      </c>
      <c r="L141" s="230">
        <f t="array" aca="1" ref="L141" ca="1">IF(OR(NOT(INDEX(ExistsTx,$I141,2)),$H141=0),0,INDIRECT("'T"&amp;$I141&amp;"'!$M$"&amp;($J141+5),TRUE)+((1000-ROW())/10000000000000))</f>
        <v>0</v>
      </c>
      <c r="M141" s="230">
        <f t="array" aca="1" ref="M141" ca="1">IF(OR(NOT(INDEX(ExistsTx,$I141,2)),$H141=0),0,INDIRECT("'T"&amp;$I141&amp;"'!$N$"&amp;($J141+5),TRUE)+((1000-ROW())/10000000000000))</f>
        <v>0</v>
      </c>
      <c r="N141" s="230">
        <f t="array" aca="1" ref="N141" ca="1">IF(OR(NOT(INDEX(ExistsTx,$I141,2)),$H141=0),0,INDIRECT("'T"&amp;$I141&amp;"'!$O$"&amp;($J141+5),TRUE)+((1000-ROW())/10000000000000))</f>
        <v>0</v>
      </c>
      <c r="O141" s="230">
        <f t="array" aca="1" ref="O141" ca="1">IF(OR(NOT(INDEX(ExistsTx,$I141,2)),$H141=0),0,INDIRECT("'T"&amp;$I141&amp;"'!$P$"&amp;($J141+5),TRUE)+((1000-ROW())/10000000000000))</f>
        <v>0</v>
      </c>
      <c r="P141" s="230">
        <f t="array" aca="1" ref="P141" ca="1">IF(OR(NOT(INDEX(ExistsTx,$I141,2)),$H141=0),0,INDIRECT("'T"&amp;$I141&amp;"'!$Q$"&amp;($J141+5),TRUE)+((1000-ROW())/10000000000000))</f>
        <v>0</v>
      </c>
      <c r="Q141" s="230">
        <f t="shared" ca="1" si="44"/>
        <v>1.104428572533E-6</v>
      </c>
      <c r="R141" s="230"/>
      <c r="S141" s="230"/>
      <c r="T141" s="230"/>
      <c r="U141" s="230"/>
      <c r="V141" s="230"/>
      <c r="W141" s="230"/>
      <c r="X141" s="229"/>
      <c r="Y141" s="229"/>
      <c r="Z141" s="229"/>
      <c r="AA141" s="230"/>
      <c r="AB141" s="230"/>
      <c r="AC141" s="230"/>
      <c r="AD141" s="229"/>
      <c r="AE141" s="230"/>
    </row>
    <row r="142" spans="1:31" ht="12.75" customHeight="1">
      <c r="A142" s="229" t="str">
        <f t="shared" ca="1" si="38"/>
        <v/>
      </c>
      <c r="B142" s="229" t="str">
        <f t="shared" ca="1" si="39"/>
        <v/>
      </c>
      <c r="C142" s="229" t="str">
        <f t="shared" ca="1" si="40"/>
        <v/>
      </c>
      <c r="D142" s="229" t="str">
        <f t="shared" ca="1" si="41"/>
        <v/>
      </c>
      <c r="E142" s="229" t="str">
        <f t="shared" ca="1" si="42"/>
        <v/>
      </c>
      <c r="F142" s="229" t="str">
        <f t="shared" ca="1" si="43"/>
        <v/>
      </c>
      <c r="G142" s="230" t="str">
        <f t="array" aca="1" ref="G142" ca="1">IF(INDEX(ExistsTx,$I142,2),IF(INDIRECT("'T"&amp;$I142&amp;"'!$D$"&amp;($J142+5),TRUE)=0,T_NoName,INDIRECT("'T"&amp;$I142&amp;"'!$D$"&amp;($J142+5),TRUE)),"")</f>
        <v>Nameless</v>
      </c>
      <c r="H142" s="230">
        <f t="array" aca="1" ref="H142" ca="1">IF(INDEX(ExistsTx,$I142,2),INDIRECT("'T"&amp;$I142&amp;"'!$E$"&amp;($J142+5),TRUE),0)</f>
        <v>0</v>
      </c>
      <c r="I142" s="229">
        <v>9</v>
      </c>
      <c r="J142" s="229">
        <v>12</v>
      </c>
      <c r="K142" s="230" t="str">
        <f t="array" aca="1" ref="K142" ca="1">INDEX(ListTeams,$I142,1)</f>
        <v>Aedra &amp; Daedra</v>
      </c>
      <c r="L142" s="230">
        <f t="array" aca="1" ref="L142" ca="1">IF(OR(NOT(INDEX(ExistsTx,$I142,2)),$H142=0),0,INDIRECT("'T"&amp;$I142&amp;"'!$M$"&amp;($J142+5),TRUE)+((1000-ROW())/10000000000000))</f>
        <v>0</v>
      </c>
      <c r="M142" s="230">
        <f t="array" aca="1" ref="M142" ca="1">IF(OR(NOT(INDEX(ExistsTx,$I142,2)),$H142=0),0,INDIRECT("'T"&amp;$I142&amp;"'!$N$"&amp;($J142+5),TRUE)+((1000-ROW())/10000000000000))</f>
        <v>0</v>
      </c>
      <c r="N142" s="230">
        <f t="array" aca="1" ref="N142" ca="1">IF(OR(NOT(INDEX(ExistsTx,$I142,2)),$H142=0),0,INDIRECT("'T"&amp;$I142&amp;"'!$O$"&amp;($J142+5),TRUE)+((1000-ROW())/10000000000000))</f>
        <v>0</v>
      </c>
      <c r="O142" s="230">
        <f t="array" aca="1" ref="O142" ca="1">IF(OR(NOT(INDEX(ExistsTx,$I142,2)),$H142=0),0,INDIRECT("'T"&amp;$I142&amp;"'!$P$"&amp;($J142+5),TRUE)+((1000-ROW())/10000000000000))</f>
        <v>0</v>
      </c>
      <c r="P142" s="230">
        <f t="array" aca="1" ref="P142" ca="1">IF(OR(NOT(INDEX(ExistsTx,$I142,2)),$H142=0),0,INDIRECT("'T"&amp;$I142&amp;"'!$Q$"&amp;($J142+5),TRUE)+((1000-ROW())/10000000000000))</f>
        <v>0</v>
      </c>
      <c r="Q142" s="230">
        <f t="shared" ca="1" si="44"/>
        <v>1.1031428582460001E-6</v>
      </c>
      <c r="R142" s="230"/>
      <c r="S142" s="230"/>
      <c r="T142" s="230"/>
      <c r="U142" s="230"/>
      <c r="V142" s="230"/>
      <c r="W142" s="230"/>
      <c r="X142" s="229"/>
      <c r="Y142" s="229"/>
      <c r="Z142" s="229"/>
      <c r="AA142" s="230"/>
      <c r="AB142" s="230"/>
      <c r="AC142" s="230"/>
      <c r="AD142" s="229"/>
      <c r="AE142" s="230"/>
    </row>
    <row r="143" spans="1:31" ht="12.75" customHeight="1">
      <c r="A143" s="229" t="str">
        <f t="shared" ca="1" si="38"/>
        <v/>
      </c>
      <c r="B143" s="229" t="str">
        <f t="shared" ca="1" si="39"/>
        <v/>
      </c>
      <c r="C143" s="229" t="str">
        <f t="shared" ca="1" si="40"/>
        <v/>
      </c>
      <c r="D143" s="229" t="str">
        <f t="shared" ca="1" si="41"/>
        <v/>
      </c>
      <c r="E143" s="229" t="str">
        <f t="shared" ca="1" si="42"/>
        <v/>
      </c>
      <c r="F143" s="229" t="str">
        <f t="shared" ca="1" si="43"/>
        <v/>
      </c>
      <c r="G143" s="230" t="str">
        <f t="array" aca="1" ref="G143" ca="1">IF(INDEX(ExistsTx,$I143,2),IF(INDIRECT("'T"&amp;$I143&amp;"'!$D$"&amp;($J143+5),TRUE)=0,T_NoName,INDIRECT("'T"&amp;$I143&amp;"'!$D$"&amp;($J143+5),TRUE)),"")</f>
        <v>Nameless</v>
      </c>
      <c r="H143" s="230">
        <f t="array" aca="1" ref="H143" ca="1">IF(INDEX(ExistsTx,$I143,2),INDIRECT("'T"&amp;$I143&amp;"'!$E$"&amp;($J143+5),TRUE),0)</f>
        <v>0</v>
      </c>
      <c r="I143" s="229">
        <v>9</v>
      </c>
      <c r="J143" s="229">
        <v>13</v>
      </c>
      <c r="K143" s="230" t="str">
        <f t="array" aca="1" ref="K143" ca="1">INDEX(ListTeams,$I143,1)</f>
        <v>Aedra &amp; Daedra</v>
      </c>
      <c r="L143" s="230">
        <f t="array" aca="1" ref="L143" ca="1">IF(OR(NOT(INDEX(ExistsTx,$I143,2)),$H143=0),0,INDIRECT("'T"&amp;$I143&amp;"'!$M$"&amp;($J143+5),TRUE)+((1000-ROW())/10000000000000))</f>
        <v>0</v>
      </c>
      <c r="M143" s="230">
        <f t="array" aca="1" ref="M143" ca="1">IF(OR(NOT(INDEX(ExistsTx,$I143,2)),$H143=0),0,INDIRECT("'T"&amp;$I143&amp;"'!$N$"&amp;($J143+5),TRUE)+((1000-ROW())/10000000000000))</f>
        <v>0</v>
      </c>
      <c r="N143" s="230">
        <f t="array" aca="1" ref="N143" ca="1">IF(OR(NOT(INDEX(ExistsTx,$I143,2)),$H143=0),0,INDIRECT("'T"&amp;$I143&amp;"'!$O$"&amp;($J143+5),TRUE)+((1000-ROW())/10000000000000))</f>
        <v>0</v>
      </c>
      <c r="O143" s="230">
        <f t="array" aca="1" ref="O143" ca="1">IF(OR(NOT(INDEX(ExistsTx,$I143,2)),$H143=0),0,INDIRECT("'T"&amp;$I143&amp;"'!$P$"&amp;($J143+5),TRUE)+((1000-ROW())/10000000000000))</f>
        <v>0</v>
      </c>
      <c r="P143" s="230">
        <f t="array" aca="1" ref="P143" ca="1">IF(OR(NOT(INDEX(ExistsTx,$I143,2)),$H143=0),0,INDIRECT("'T"&amp;$I143&amp;"'!$Q$"&amp;($J143+5),TRUE)+((1000-ROW())/10000000000000))</f>
        <v>0</v>
      </c>
      <c r="Q143" s="230">
        <f t="shared" ca="1" si="44"/>
        <v>1.101857143959E-6</v>
      </c>
      <c r="R143" s="230"/>
      <c r="S143" s="230"/>
      <c r="T143" s="230"/>
      <c r="U143" s="230"/>
      <c r="V143" s="230"/>
      <c r="W143" s="230"/>
      <c r="X143" s="229"/>
      <c r="Y143" s="229"/>
      <c r="Z143" s="229"/>
      <c r="AA143" s="230"/>
      <c r="AB143" s="230"/>
      <c r="AC143" s="230"/>
      <c r="AD143" s="229"/>
      <c r="AE143" s="230"/>
    </row>
    <row r="144" spans="1:31" ht="12.75" customHeight="1">
      <c r="A144" s="229" t="str">
        <f t="shared" ca="1" si="38"/>
        <v/>
      </c>
      <c r="B144" s="229" t="str">
        <f t="shared" ca="1" si="39"/>
        <v/>
      </c>
      <c r="C144" s="229" t="str">
        <f t="shared" ca="1" si="40"/>
        <v/>
      </c>
      <c r="D144" s="229" t="str">
        <f t="shared" ca="1" si="41"/>
        <v/>
      </c>
      <c r="E144" s="229" t="str">
        <f t="shared" ca="1" si="42"/>
        <v/>
      </c>
      <c r="F144" s="229" t="str">
        <f t="shared" ca="1" si="43"/>
        <v/>
      </c>
      <c r="G144" s="230" t="str">
        <f t="array" aca="1" ref="G144" ca="1">IF(INDEX(ExistsTx,$I144,2),IF(INDIRECT("'T"&amp;$I144&amp;"'!$D$"&amp;($J144+5),TRUE)=0,T_NoName,INDIRECT("'T"&amp;$I144&amp;"'!$D$"&amp;($J144+5),TRUE)),"")</f>
        <v>Nameless</v>
      </c>
      <c r="H144" s="230">
        <f t="array" aca="1" ref="H144" ca="1">IF(INDEX(ExistsTx,$I144,2),INDIRECT("'T"&amp;$I144&amp;"'!$E$"&amp;($J144+5),TRUE),0)</f>
        <v>0</v>
      </c>
      <c r="I144" s="229">
        <v>9</v>
      </c>
      <c r="J144" s="229">
        <v>14</v>
      </c>
      <c r="K144" s="230" t="str">
        <f t="array" aca="1" ref="K144" ca="1">INDEX(ListTeams,$I144,1)</f>
        <v>Aedra &amp; Daedra</v>
      </c>
      <c r="L144" s="230">
        <f t="array" aca="1" ref="L144" ca="1">IF(OR(NOT(INDEX(ExistsTx,$I144,2)),$H144=0),0,INDIRECT("'T"&amp;$I144&amp;"'!$M$"&amp;($J144+5),TRUE)+((1000-ROW())/10000000000000))</f>
        <v>0</v>
      </c>
      <c r="M144" s="230">
        <f t="array" aca="1" ref="M144" ca="1">IF(OR(NOT(INDEX(ExistsTx,$I144,2)),$H144=0),0,INDIRECT("'T"&amp;$I144&amp;"'!$N$"&amp;($J144+5),TRUE)+((1000-ROW())/10000000000000))</f>
        <v>0</v>
      </c>
      <c r="N144" s="230">
        <f t="array" aca="1" ref="N144" ca="1">IF(OR(NOT(INDEX(ExistsTx,$I144,2)),$H144=0),0,INDIRECT("'T"&amp;$I144&amp;"'!$O$"&amp;($J144+5),TRUE)+((1000-ROW())/10000000000000))</f>
        <v>0</v>
      </c>
      <c r="O144" s="230">
        <f t="array" aca="1" ref="O144" ca="1">IF(OR(NOT(INDEX(ExistsTx,$I144,2)),$H144=0),0,INDIRECT("'T"&amp;$I144&amp;"'!$P$"&amp;($J144+5),TRUE)+((1000-ROW())/10000000000000))</f>
        <v>0</v>
      </c>
      <c r="P144" s="230">
        <f t="array" aca="1" ref="P144" ca="1">IF(OR(NOT(INDEX(ExistsTx,$I144,2)),$H144=0),0,INDIRECT("'T"&amp;$I144&amp;"'!$Q$"&amp;($J144+5),TRUE)+((1000-ROW())/10000000000000))</f>
        <v>0</v>
      </c>
      <c r="Q144" s="230">
        <f t="shared" ca="1" si="44"/>
        <v>1.1005714296720001E-6</v>
      </c>
      <c r="R144" s="230"/>
      <c r="S144" s="230"/>
      <c r="T144" s="230"/>
      <c r="U144" s="230"/>
      <c r="V144" s="230"/>
      <c r="W144" s="230"/>
      <c r="X144" s="229"/>
      <c r="Y144" s="229"/>
      <c r="Z144" s="229"/>
      <c r="AA144" s="230"/>
      <c r="AB144" s="230"/>
      <c r="AC144" s="230"/>
      <c r="AD144" s="229"/>
      <c r="AE144" s="230"/>
    </row>
    <row r="145" spans="1:31" ht="12.75" customHeight="1">
      <c r="A145" s="229" t="str">
        <f t="shared" ca="1" si="38"/>
        <v/>
      </c>
      <c r="B145" s="229" t="str">
        <f t="shared" ca="1" si="39"/>
        <v/>
      </c>
      <c r="C145" s="229" t="str">
        <f t="shared" ca="1" si="40"/>
        <v/>
      </c>
      <c r="D145" s="229" t="str">
        <f t="shared" ca="1" si="41"/>
        <v/>
      </c>
      <c r="E145" s="229" t="str">
        <f t="shared" ca="1" si="42"/>
        <v/>
      </c>
      <c r="F145" s="229" t="str">
        <f t="shared" ca="1" si="43"/>
        <v/>
      </c>
      <c r="G145" s="230" t="str">
        <f t="array" aca="1" ref="G145" ca="1">IF(INDEX(ExistsTx,$I145,2),IF(INDIRECT("'T"&amp;$I145&amp;"'!$D$"&amp;($J145+5),TRUE)=0,T_NoName,INDIRECT("'T"&amp;$I145&amp;"'!$D$"&amp;($J145+5),TRUE)),"")</f>
        <v>Nameless</v>
      </c>
      <c r="H145" s="230">
        <f t="array" aca="1" ref="H145" ca="1">IF(INDEX(ExistsTx,$I145,2),INDIRECT("'T"&amp;$I145&amp;"'!$E$"&amp;($J145+5),TRUE),0)</f>
        <v>0</v>
      </c>
      <c r="I145" s="229">
        <v>9</v>
      </c>
      <c r="J145" s="229">
        <v>15</v>
      </c>
      <c r="K145" s="230" t="str">
        <f t="array" aca="1" ref="K145" ca="1">INDEX(ListTeams,$I145,1)</f>
        <v>Aedra &amp; Daedra</v>
      </c>
      <c r="L145" s="230">
        <f t="array" aca="1" ref="L145" ca="1">IF(OR(NOT(INDEX(ExistsTx,$I145,2)),$H145=0),0,INDIRECT("'T"&amp;$I145&amp;"'!$M$"&amp;($J145+5),TRUE)+((1000-ROW())/10000000000000))</f>
        <v>0</v>
      </c>
      <c r="M145" s="230">
        <f t="array" aca="1" ref="M145" ca="1">IF(OR(NOT(INDEX(ExistsTx,$I145,2)),$H145=0),0,INDIRECT("'T"&amp;$I145&amp;"'!$N$"&amp;($J145+5),TRUE)+((1000-ROW())/10000000000000))</f>
        <v>0</v>
      </c>
      <c r="N145" s="230">
        <f t="array" aca="1" ref="N145" ca="1">IF(OR(NOT(INDEX(ExistsTx,$I145,2)),$H145=0),0,INDIRECT("'T"&amp;$I145&amp;"'!$O$"&amp;($J145+5),TRUE)+((1000-ROW())/10000000000000))</f>
        <v>0</v>
      </c>
      <c r="O145" s="230">
        <f t="array" aca="1" ref="O145" ca="1">IF(OR(NOT(INDEX(ExistsTx,$I145,2)),$H145=0),0,INDIRECT("'T"&amp;$I145&amp;"'!$P$"&amp;($J145+5),TRUE)+((1000-ROW())/10000000000000))</f>
        <v>0</v>
      </c>
      <c r="P145" s="230">
        <f t="array" aca="1" ref="P145" ca="1">IF(OR(NOT(INDEX(ExistsTx,$I145,2)),$H145=0),0,INDIRECT("'T"&amp;$I145&amp;"'!$Q$"&amp;($J145+5),TRUE)+((1000-ROW())/10000000000000))</f>
        <v>0</v>
      </c>
      <c r="Q145" s="230">
        <f t="shared" ca="1" si="44"/>
        <v>1.0992857153849999E-6</v>
      </c>
      <c r="R145" s="230"/>
      <c r="S145" s="230"/>
      <c r="T145" s="230"/>
      <c r="U145" s="230"/>
      <c r="V145" s="230"/>
      <c r="W145" s="230"/>
      <c r="X145" s="229"/>
      <c r="Y145" s="229"/>
      <c r="Z145" s="229"/>
      <c r="AA145" s="230"/>
      <c r="AB145" s="230"/>
      <c r="AC145" s="230"/>
      <c r="AD145" s="229"/>
      <c r="AE145" s="230"/>
    </row>
    <row r="146" spans="1:31" ht="12.75" customHeight="1">
      <c r="A146" s="229" t="str">
        <f t="shared" ca="1" si="38"/>
        <v/>
      </c>
      <c r="B146" s="229" t="str">
        <f t="shared" ca="1" si="39"/>
        <v/>
      </c>
      <c r="C146" s="229" t="str">
        <f t="shared" ca="1" si="40"/>
        <v/>
      </c>
      <c r="D146" s="229" t="str">
        <f t="shared" ca="1" si="41"/>
        <v/>
      </c>
      <c r="E146" s="229" t="str">
        <f t="shared" ca="1" si="42"/>
        <v/>
      </c>
      <c r="F146" s="229" t="str">
        <f t="shared" ca="1" si="43"/>
        <v/>
      </c>
      <c r="G146" s="230" t="str">
        <f t="array" aca="1" ref="G146" ca="1">IF(INDEX(ExistsTx,$I146,2),IF(INDIRECT("'T"&amp;$I146&amp;"'!$D$"&amp;($J146+5),TRUE)=0,T_NoName,INDIRECT("'T"&amp;$I146&amp;"'!$D$"&amp;($J146+5),TRUE)),"")</f>
        <v>Nameless</v>
      </c>
      <c r="H146" s="230">
        <f t="array" aca="1" ref="H146" ca="1">IF(INDEX(ExistsTx,$I146,2),INDIRECT("'T"&amp;$I146&amp;"'!$E$"&amp;($J146+5),TRUE),0)</f>
        <v>0</v>
      </c>
      <c r="I146" s="229">
        <v>9</v>
      </c>
      <c r="J146" s="229">
        <v>16</v>
      </c>
      <c r="K146" s="230" t="str">
        <f t="array" aca="1" ref="K146" ca="1">INDEX(ListTeams,$I146,1)</f>
        <v>Aedra &amp; Daedra</v>
      </c>
      <c r="L146" s="230">
        <f t="array" aca="1" ref="L146" ca="1">IF(OR(NOT(INDEX(ExistsTx,$I146,2)),$H146=0),0,INDIRECT("'T"&amp;$I146&amp;"'!$M$"&amp;($J146+5),TRUE)+((1000-ROW())/10000000000000))</f>
        <v>0</v>
      </c>
      <c r="M146" s="230">
        <f t="array" aca="1" ref="M146" ca="1">IF(OR(NOT(INDEX(ExistsTx,$I146,2)),$H146=0),0,INDIRECT("'T"&amp;$I146&amp;"'!$N$"&amp;($J146+5),TRUE)+((1000-ROW())/10000000000000))</f>
        <v>0</v>
      </c>
      <c r="N146" s="230">
        <f t="array" aca="1" ref="N146" ca="1">IF(OR(NOT(INDEX(ExistsTx,$I146,2)),$H146=0),0,INDIRECT("'T"&amp;$I146&amp;"'!$O$"&amp;($J146+5),TRUE)+((1000-ROW())/10000000000000))</f>
        <v>0</v>
      </c>
      <c r="O146" s="230">
        <f t="array" aca="1" ref="O146" ca="1">IF(OR(NOT(INDEX(ExistsTx,$I146,2)),$H146=0),0,INDIRECT("'T"&amp;$I146&amp;"'!$P$"&amp;($J146+5),TRUE)+((1000-ROW())/10000000000000))</f>
        <v>0</v>
      </c>
      <c r="P146" s="230">
        <f t="array" aca="1" ref="P146" ca="1">IF(OR(NOT(INDEX(ExistsTx,$I146,2)),$H146=0),0,INDIRECT("'T"&amp;$I146&amp;"'!$Q$"&amp;($J146+5),TRUE)+((1000-ROW())/10000000000000))</f>
        <v>0</v>
      </c>
      <c r="Q146" s="230">
        <f t="shared" ca="1" si="44"/>
        <v>1.098000001098E-6</v>
      </c>
      <c r="R146" s="230"/>
      <c r="S146" s="230"/>
      <c r="T146" s="230"/>
      <c r="U146" s="230"/>
      <c r="V146" s="230"/>
      <c r="W146" s="230"/>
      <c r="X146" s="229"/>
      <c r="Y146" s="229"/>
      <c r="Z146" s="229"/>
      <c r="AA146" s="230"/>
      <c r="AB146" s="230"/>
      <c r="AC146" s="230"/>
      <c r="AD146" s="229"/>
      <c r="AE146" s="230"/>
    </row>
    <row r="147" spans="1:31" ht="12.75" customHeight="1">
      <c r="A147" s="229" t="str">
        <f t="shared" ca="1" si="38"/>
        <v/>
      </c>
      <c r="B147" s="229" t="str">
        <f t="shared" ca="1" si="39"/>
        <v/>
      </c>
      <c r="C147" s="229" t="str">
        <f t="shared" ca="1" si="40"/>
        <v/>
      </c>
      <c r="D147" s="229" t="str">
        <f t="shared" ca="1" si="41"/>
        <v/>
      </c>
      <c r="E147" s="229" t="str">
        <f t="shared" ca="1" si="42"/>
        <v/>
      </c>
      <c r="F147" s="229" t="str">
        <f t="shared" ca="1" si="43"/>
        <v/>
      </c>
      <c r="G147" s="230" t="str">
        <f t="array" aca="1" ref="G147" ca="1">IF(INDEX(ExistsTx,$I147,2),IF(INDIRECT("'T"&amp;$I147&amp;"'!$D$"&amp;($J147+5),TRUE)=0,T_NoName,INDIRECT("'T"&amp;$I147&amp;"'!$D$"&amp;($J147+5),TRUE)),"")</f>
        <v>Nameless</v>
      </c>
      <c r="H147" s="230">
        <f t="array" aca="1" ref="H147" ca="1">IF(INDEX(ExistsTx,$I147,2),INDIRECT("'T"&amp;$I147&amp;"'!$E$"&amp;($J147+5),TRUE),0)</f>
        <v>0</v>
      </c>
      <c r="I147" s="229">
        <v>10</v>
      </c>
      <c r="J147" s="229">
        <v>1</v>
      </c>
      <c r="K147" s="230" t="str">
        <f t="array" aca="1" ref="K147" ca="1">INDEX(ListTeams,$I147,1)</f>
        <v>Hellions of Troy</v>
      </c>
      <c r="L147" s="230">
        <f t="array" aca="1" ref="L147" ca="1">IF(OR(NOT(INDEX(ExistsTx,$I147,2)),$H147=0),0,INDIRECT("'T"&amp;$I147&amp;"'!$M$"&amp;($J147+5),TRUE)+((1000-ROW())/10000000000000))</f>
        <v>0</v>
      </c>
      <c r="M147" s="230">
        <f t="array" aca="1" ref="M147" ca="1">IF(OR(NOT(INDEX(ExistsTx,$I147,2)),$H147=0),0,INDIRECT("'T"&amp;$I147&amp;"'!$N$"&amp;($J147+5),TRUE)+((1000-ROW())/10000000000000))</f>
        <v>0</v>
      </c>
      <c r="N147" s="230">
        <f t="array" aca="1" ref="N147" ca="1">IF(OR(NOT(INDEX(ExistsTx,$I147,2)),$H147=0),0,INDIRECT("'T"&amp;$I147&amp;"'!$O$"&amp;($J147+5),TRUE)+((1000-ROW())/10000000000000))</f>
        <v>0</v>
      </c>
      <c r="O147" s="230">
        <f t="array" aca="1" ref="O147" ca="1">IF(OR(NOT(INDEX(ExistsTx,$I147,2)),$H147=0),0,INDIRECT("'T"&amp;$I147&amp;"'!$P$"&amp;($J147+5),TRUE)+((1000-ROW())/10000000000000))</f>
        <v>0</v>
      </c>
      <c r="P147" s="230">
        <f t="array" aca="1" ref="P147" ca="1">IF(OR(NOT(INDEX(ExistsTx,$I147,2)),$H147=0),0,INDIRECT("'T"&amp;$I147&amp;"'!$Q$"&amp;($J147+5),TRUE)+((1000-ROW())/10000000000000))</f>
        <v>0</v>
      </c>
      <c r="Q147" s="230">
        <f t="shared" ca="1" si="44"/>
        <v>1.0967142868109999E-6</v>
      </c>
      <c r="R147" s="230"/>
      <c r="S147" s="230"/>
      <c r="T147" s="230"/>
      <c r="U147" s="230"/>
      <c r="V147" s="230"/>
      <c r="W147" s="230"/>
      <c r="X147" s="229"/>
      <c r="Y147" s="229"/>
      <c r="Z147" s="229"/>
      <c r="AA147" s="230"/>
      <c r="AB147" s="230"/>
      <c r="AC147" s="230"/>
      <c r="AD147" s="229"/>
      <c r="AE147" s="230"/>
    </row>
    <row r="148" spans="1:31" ht="12.75" customHeight="1">
      <c r="A148" s="229" t="str">
        <f t="shared" ca="1" si="38"/>
        <v/>
      </c>
      <c r="B148" s="229" t="str">
        <f t="shared" ca="1" si="39"/>
        <v/>
      </c>
      <c r="C148" s="229" t="str">
        <f t="shared" ca="1" si="40"/>
        <v/>
      </c>
      <c r="D148" s="229" t="str">
        <f t="shared" ca="1" si="41"/>
        <v/>
      </c>
      <c r="E148" s="229" t="str">
        <f t="shared" ca="1" si="42"/>
        <v/>
      </c>
      <c r="F148" s="229" t="str">
        <f t="shared" ca="1" si="43"/>
        <v/>
      </c>
      <c r="G148" s="230" t="str">
        <f t="array" aca="1" ref="G148" ca="1">IF(INDEX(ExistsTx,$I148,2),IF(INDIRECT("'T"&amp;$I148&amp;"'!$D$"&amp;($J148+5),TRUE)=0,T_NoName,INDIRECT("'T"&amp;$I148&amp;"'!$D$"&amp;($J148+5),TRUE)),"")</f>
        <v>Nameless</v>
      </c>
      <c r="H148" s="230">
        <f t="array" aca="1" ref="H148" ca="1">IF(INDEX(ExistsTx,$I148,2),INDIRECT("'T"&amp;$I148&amp;"'!$E$"&amp;($J148+5),TRUE),0)</f>
        <v>0</v>
      </c>
      <c r="I148" s="229">
        <v>10</v>
      </c>
      <c r="J148" s="229">
        <v>2</v>
      </c>
      <c r="K148" s="230" t="str">
        <f t="array" aca="1" ref="K148" ca="1">INDEX(ListTeams,$I148,1)</f>
        <v>Hellions of Troy</v>
      </c>
      <c r="L148" s="230">
        <f t="array" aca="1" ref="L148" ca="1">IF(OR(NOT(INDEX(ExistsTx,$I148,2)),$H148=0),0,INDIRECT("'T"&amp;$I148&amp;"'!$M$"&amp;($J148+5),TRUE)+((1000-ROW())/10000000000000))</f>
        <v>0</v>
      </c>
      <c r="M148" s="230">
        <f t="array" aca="1" ref="M148" ca="1">IF(OR(NOT(INDEX(ExistsTx,$I148,2)),$H148=0),0,INDIRECT("'T"&amp;$I148&amp;"'!$N$"&amp;($J148+5),TRUE)+((1000-ROW())/10000000000000))</f>
        <v>0</v>
      </c>
      <c r="N148" s="230">
        <f t="array" aca="1" ref="N148" ca="1">IF(OR(NOT(INDEX(ExistsTx,$I148,2)),$H148=0),0,INDIRECT("'T"&amp;$I148&amp;"'!$O$"&amp;($J148+5),TRUE)+((1000-ROW())/10000000000000))</f>
        <v>0</v>
      </c>
      <c r="O148" s="230">
        <f t="array" aca="1" ref="O148" ca="1">IF(OR(NOT(INDEX(ExistsTx,$I148,2)),$H148=0),0,INDIRECT("'T"&amp;$I148&amp;"'!$P$"&amp;($J148+5),TRUE)+((1000-ROW())/10000000000000))</f>
        <v>0</v>
      </c>
      <c r="P148" s="230">
        <f t="array" aca="1" ref="P148" ca="1">IF(OR(NOT(INDEX(ExistsTx,$I148,2)),$H148=0),0,INDIRECT("'T"&amp;$I148&amp;"'!$Q$"&amp;($J148+5),TRUE)+((1000-ROW())/10000000000000))</f>
        <v>0</v>
      </c>
      <c r="Q148" s="230">
        <f t="shared" ca="1" si="44"/>
        <v>1.095428572524E-6</v>
      </c>
      <c r="R148" s="230"/>
      <c r="S148" s="230"/>
      <c r="T148" s="230"/>
      <c r="U148" s="230"/>
      <c r="V148" s="230"/>
      <c r="W148" s="230"/>
      <c r="X148" s="229"/>
      <c r="Y148" s="229"/>
      <c r="Z148" s="229"/>
      <c r="AA148" s="230"/>
      <c r="AB148" s="230"/>
      <c r="AC148" s="230"/>
      <c r="AD148" s="229"/>
      <c r="AE148" s="230"/>
    </row>
    <row r="149" spans="1:31" ht="12.75" customHeight="1">
      <c r="A149" s="229" t="str">
        <f t="shared" ca="1" si="38"/>
        <v/>
      </c>
      <c r="B149" s="229" t="str">
        <f t="shared" ca="1" si="39"/>
        <v/>
      </c>
      <c r="C149" s="229" t="str">
        <f t="shared" ca="1" si="40"/>
        <v/>
      </c>
      <c r="D149" s="229" t="str">
        <f t="shared" ca="1" si="41"/>
        <v/>
      </c>
      <c r="E149" s="229" t="str">
        <f t="shared" ca="1" si="42"/>
        <v/>
      </c>
      <c r="F149" s="229" t="str">
        <f t="shared" ca="1" si="43"/>
        <v/>
      </c>
      <c r="G149" s="230" t="str">
        <f t="array" aca="1" ref="G149" ca="1">IF(INDEX(ExistsTx,$I149,2),IF(INDIRECT("'T"&amp;$I149&amp;"'!$D$"&amp;($J149+5),TRUE)=0,T_NoName,INDIRECT("'T"&amp;$I149&amp;"'!$D$"&amp;($J149+5),TRUE)),"")</f>
        <v>Nameless</v>
      </c>
      <c r="H149" s="230">
        <f t="array" aca="1" ref="H149" ca="1">IF(INDEX(ExistsTx,$I149,2),INDIRECT("'T"&amp;$I149&amp;"'!$E$"&amp;($J149+5),TRUE),0)</f>
        <v>0</v>
      </c>
      <c r="I149" s="229">
        <v>10</v>
      </c>
      <c r="J149" s="229">
        <v>3</v>
      </c>
      <c r="K149" s="230" t="str">
        <f t="array" aca="1" ref="K149" ca="1">INDEX(ListTeams,$I149,1)</f>
        <v>Hellions of Troy</v>
      </c>
      <c r="L149" s="230">
        <f t="array" aca="1" ref="L149" ca="1">IF(OR(NOT(INDEX(ExistsTx,$I149,2)),$H149=0),0,INDIRECT("'T"&amp;$I149&amp;"'!$M$"&amp;($J149+5),TRUE)+((1000-ROW())/10000000000000))</f>
        <v>0</v>
      </c>
      <c r="M149" s="230">
        <f t="array" aca="1" ref="M149" ca="1">IF(OR(NOT(INDEX(ExistsTx,$I149,2)),$H149=0),0,INDIRECT("'T"&amp;$I149&amp;"'!$N$"&amp;($J149+5),TRUE)+((1000-ROW())/10000000000000))</f>
        <v>0</v>
      </c>
      <c r="N149" s="230">
        <f t="array" aca="1" ref="N149" ca="1">IF(OR(NOT(INDEX(ExistsTx,$I149,2)),$H149=0),0,INDIRECT("'T"&amp;$I149&amp;"'!$O$"&amp;($J149+5),TRUE)+((1000-ROW())/10000000000000))</f>
        <v>0</v>
      </c>
      <c r="O149" s="230">
        <f t="array" aca="1" ref="O149" ca="1">IF(OR(NOT(INDEX(ExistsTx,$I149,2)),$H149=0),0,INDIRECT("'T"&amp;$I149&amp;"'!$P$"&amp;($J149+5),TRUE)+((1000-ROW())/10000000000000))</f>
        <v>0</v>
      </c>
      <c r="P149" s="230">
        <f t="array" aca="1" ref="P149" ca="1">IF(OR(NOT(INDEX(ExistsTx,$I149,2)),$H149=0),0,INDIRECT("'T"&amp;$I149&amp;"'!$Q$"&amp;($J149+5),TRUE)+((1000-ROW())/10000000000000))</f>
        <v>0</v>
      </c>
      <c r="Q149" s="230">
        <f t="shared" ca="1" si="44"/>
        <v>1.0941428582370001E-6</v>
      </c>
      <c r="R149" s="230"/>
      <c r="S149" s="230"/>
      <c r="T149" s="230"/>
      <c r="U149" s="230"/>
      <c r="V149" s="230"/>
      <c r="W149" s="230"/>
      <c r="X149" s="229"/>
      <c r="Y149" s="229"/>
      <c r="Z149" s="229"/>
      <c r="AA149" s="230"/>
      <c r="AB149" s="230"/>
      <c r="AC149" s="230"/>
      <c r="AD149" s="229"/>
      <c r="AE149" s="230"/>
    </row>
    <row r="150" spans="1:31" ht="12.75" customHeight="1">
      <c r="A150" s="229" t="str">
        <f t="shared" ca="1" si="38"/>
        <v/>
      </c>
      <c r="B150" s="229" t="str">
        <f t="shared" ca="1" si="39"/>
        <v/>
      </c>
      <c r="C150" s="229" t="str">
        <f t="shared" ca="1" si="40"/>
        <v/>
      </c>
      <c r="D150" s="229" t="str">
        <f t="shared" ca="1" si="41"/>
        <v/>
      </c>
      <c r="E150" s="229" t="str">
        <f t="shared" ca="1" si="42"/>
        <v/>
      </c>
      <c r="F150" s="229" t="str">
        <f t="shared" ca="1" si="43"/>
        <v/>
      </c>
      <c r="G150" s="230" t="str">
        <f t="array" aca="1" ref="G150" ca="1">IF(INDEX(ExistsTx,$I150,2),IF(INDIRECT("'T"&amp;$I150&amp;"'!$D$"&amp;($J150+5),TRUE)=0,T_NoName,INDIRECT("'T"&amp;$I150&amp;"'!$D$"&amp;($J150+5),TRUE)),"")</f>
        <v>Nameless</v>
      </c>
      <c r="H150" s="230">
        <f t="array" aca="1" ref="H150" ca="1">IF(INDEX(ExistsTx,$I150,2),INDIRECT("'T"&amp;$I150&amp;"'!$E$"&amp;($J150+5),TRUE),0)</f>
        <v>0</v>
      </c>
      <c r="I150" s="229">
        <v>10</v>
      </c>
      <c r="J150" s="229">
        <v>4</v>
      </c>
      <c r="K150" s="230" t="str">
        <f t="array" aca="1" ref="K150" ca="1">INDEX(ListTeams,$I150,1)</f>
        <v>Hellions of Troy</v>
      </c>
      <c r="L150" s="230">
        <f t="array" aca="1" ref="L150" ca="1">IF(OR(NOT(INDEX(ExistsTx,$I150,2)),$H150=0),0,INDIRECT("'T"&amp;$I150&amp;"'!$M$"&amp;($J150+5),TRUE)+((1000-ROW())/10000000000000))</f>
        <v>0</v>
      </c>
      <c r="M150" s="230">
        <f t="array" aca="1" ref="M150" ca="1">IF(OR(NOT(INDEX(ExistsTx,$I150,2)),$H150=0),0,INDIRECT("'T"&amp;$I150&amp;"'!$N$"&amp;($J150+5),TRUE)+((1000-ROW())/10000000000000))</f>
        <v>0</v>
      </c>
      <c r="N150" s="230">
        <f t="array" aca="1" ref="N150" ca="1">IF(OR(NOT(INDEX(ExistsTx,$I150,2)),$H150=0),0,INDIRECT("'T"&amp;$I150&amp;"'!$O$"&amp;($J150+5),TRUE)+((1000-ROW())/10000000000000))</f>
        <v>0</v>
      </c>
      <c r="O150" s="230">
        <f t="array" aca="1" ref="O150" ca="1">IF(OR(NOT(INDEX(ExistsTx,$I150,2)),$H150=0),0,INDIRECT("'T"&amp;$I150&amp;"'!$P$"&amp;($J150+5),TRUE)+((1000-ROW())/10000000000000))</f>
        <v>0</v>
      </c>
      <c r="P150" s="230">
        <f t="array" aca="1" ref="P150" ca="1">IF(OR(NOT(INDEX(ExistsTx,$I150,2)),$H150=0),0,INDIRECT("'T"&amp;$I150&amp;"'!$Q$"&amp;($J150+5),TRUE)+((1000-ROW())/10000000000000))</f>
        <v>0</v>
      </c>
      <c r="Q150" s="230">
        <f t="shared" ca="1" si="44"/>
        <v>1.09285714395E-6</v>
      </c>
      <c r="R150" s="230"/>
      <c r="S150" s="230"/>
      <c r="T150" s="230"/>
      <c r="U150" s="230"/>
      <c r="V150" s="230"/>
      <c r="W150" s="230"/>
      <c r="X150" s="229"/>
      <c r="Y150" s="229"/>
      <c r="Z150" s="229"/>
      <c r="AA150" s="230"/>
      <c r="AB150" s="230"/>
      <c r="AC150" s="230"/>
      <c r="AD150" s="229"/>
      <c r="AE150" s="230"/>
    </row>
    <row r="151" spans="1:31" ht="12.75" customHeight="1">
      <c r="A151" s="229" t="str">
        <f t="shared" ca="1" si="38"/>
        <v/>
      </c>
      <c r="B151" s="229" t="str">
        <f t="shared" ca="1" si="39"/>
        <v/>
      </c>
      <c r="C151" s="229" t="str">
        <f t="shared" ca="1" si="40"/>
        <v/>
      </c>
      <c r="D151" s="229" t="str">
        <f t="shared" ca="1" si="41"/>
        <v/>
      </c>
      <c r="E151" s="229" t="str">
        <f t="shared" ca="1" si="42"/>
        <v/>
      </c>
      <c r="F151" s="229" t="str">
        <f t="shared" ca="1" si="43"/>
        <v/>
      </c>
      <c r="G151" s="230" t="str">
        <f t="array" aca="1" ref="G151" ca="1">IF(INDEX(ExistsTx,$I151,2),IF(INDIRECT("'T"&amp;$I151&amp;"'!$D$"&amp;($J151+5),TRUE)=0,T_NoName,INDIRECT("'T"&amp;$I151&amp;"'!$D$"&amp;($J151+5),TRUE)),"")</f>
        <v>Nameless</v>
      </c>
      <c r="H151" s="230">
        <f t="array" aca="1" ref="H151" ca="1">IF(INDEX(ExistsTx,$I151,2),INDIRECT("'T"&amp;$I151&amp;"'!$E$"&amp;($J151+5),TRUE),0)</f>
        <v>0</v>
      </c>
      <c r="I151" s="229">
        <v>10</v>
      </c>
      <c r="J151" s="229">
        <v>5</v>
      </c>
      <c r="K151" s="230" t="str">
        <f t="array" aca="1" ref="K151" ca="1">INDEX(ListTeams,$I151,1)</f>
        <v>Hellions of Troy</v>
      </c>
      <c r="L151" s="230">
        <f t="array" aca="1" ref="L151" ca="1">IF(OR(NOT(INDEX(ExistsTx,$I151,2)),$H151=0),0,INDIRECT("'T"&amp;$I151&amp;"'!$M$"&amp;($J151+5),TRUE)+((1000-ROW())/10000000000000))</f>
        <v>0</v>
      </c>
      <c r="M151" s="230">
        <f t="array" aca="1" ref="M151" ca="1">IF(OR(NOT(INDEX(ExistsTx,$I151,2)),$H151=0),0,INDIRECT("'T"&amp;$I151&amp;"'!$N$"&amp;($J151+5),TRUE)+((1000-ROW())/10000000000000))</f>
        <v>0</v>
      </c>
      <c r="N151" s="230">
        <f t="array" aca="1" ref="N151" ca="1">IF(OR(NOT(INDEX(ExistsTx,$I151,2)),$H151=0),0,INDIRECT("'T"&amp;$I151&amp;"'!$O$"&amp;($J151+5),TRUE)+((1000-ROW())/10000000000000))</f>
        <v>0</v>
      </c>
      <c r="O151" s="230">
        <f t="array" aca="1" ref="O151" ca="1">IF(OR(NOT(INDEX(ExistsTx,$I151,2)),$H151=0),0,INDIRECT("'T"&amp;$I151&amp;"'!$P$"&amp;($J151+5),TRUE)+((1000-ROW())/10000000000000))</f>
        <v>0</v>
      </c>
      <c r="P151" s="230">
        <f t="array" aca="1" ref="P151" ca="1">IF(OR(NOT(INDEX(ExistsTx,$I151,2)),$H151=0),0,INDIRECT("'T"&amp;$I151&amp;"'!$Q$"&amp;($J151+5),TRUE)+((1000-ROW())/10000000000000))</f>
        <v>0</v>
      </c>
      <c r="Q151" s="230">
        <f t="shared" ca="1" si="44"/>
        <v>1.0915714296630001E-6</v>
      </c>
      <c r="R151" s="230"/>
      <c r="S151" s="230"/>
      <c r="T151" s="230"/>
      <c r="U151" s="230"/>
      <c r="V151" s="230"/>
      <c r="W151" s="230"/>
      <c r="X151" s="229"/>
      <c r="Y151" s="229"/>
      <c r="Z151" s="229"/>
      <c r="AA151" s="230"/>
      <c r="AB151" s="230"/>
      <c r="AC151" s="230"/>
      <c r="AD151" s="229"/>
      <c r="AE151" s="230"/>
    </row>
    <row r="152" spans="1:31" ht="12.75" customHeight="1">
      <c r="A152" s="229" t="str">
        <f t="shared" ca="1" si="38"/>
        <v/>
      </c>
      <c r="B152" s="229" t="str">
        <f t="shared" ca="1" si="39"/>
        <v/>
      </c>
      <c r="C152" s="229" t="str">
        <f t="shared" ca="1" si="40"/>
        <v/>
      </c>
      <c r="D152" s="229" t="str">
        <f t="shared" ca="1" si="41"/>
        <v/>
      </c>
      <c r="E152" s="229" t="str">
        <f t="shared" ca="1" si="42"/>
        <v/>
      </c>
      <c r="F152" s="229" t="str">
        <f t="shared" ca="1" si="43"/>
        <v/>
      </c>
      <c r="G152" s="230" t="str">
        <f t="array" aca="1" ref="G152" ca="1">IF(INDEX(ExistsTx,$I152,2),IF(INDIRECT("'T"&amp;$I152&amp;"'!$D$"&amp;($J152+5),TRUE)=0,T_NoName,INDIRECT("'T"&amp;$I152&amp;"'!$D$"&amp;($J152+5),TRUE)),"")</f>
        <v>Nameless</v>
      </c>
      <c r="H152" s="230">
        <f t="array" aca="1" ref="H152" ca="1">IF(INDEX(ExistsTx,$I152,2),INDIRECT("'T"&amp;$I152&amp;"'!$E$"&amp;($J152+5),TRUE),0)</f>
        <v>0</v>
      </c>
      <c r="I152" s="229">
        <v>10</v>
      </c>
      <c r="J152" s="229">
        <v>6</v>
      </c>
      <c r="K152" s="230" t="str">
        <f t="array" aca="1" ref="K152" ca="1">INDEX(ListTeams,$I152,1)</f>
        <v>Hellions of Troy</v>
      </c>
      <c r="L152" s="230">
        <f t="array" aca="1" ref="L152" ca="1">IF(OR(NOT(INDEX(ExistsTx,$I152,2)),$H152=0),0,INDIRECT("'T"&amp;$I152&amp;"'!$M$"&amp;($J152+5),TRUE)+((1000-ROW())/10000000000000))</f>
        <v>0</v>
      </c>
      <c r="M152" s="230">
        <f t="array" aca="1" ref="M152" ca="1">IF(OR(NOT(INDEX(ExistsTx,$I152,2)),$H152=0),0,INDIRECT("'T"&amp;$I152&amp;"'!$N$"&amp;($J152+5),TRUE)+((1000-ROW())/10000000000000))</f>
        <v>0</v>
      </c>
      <c r="N152" s="230">
        <f t="array" aca="1" ref="N152" ca="1">IF(OR(NOT(INDEX(ExistsTx,$I152,2)),$H152=0),0,INDIRECT("'T"&amp;$I152&amp;"'!$O$"&amp;($J152+5),TRUE)+((1000-ROW())/10000000000000))</f>
        <v>0</v>
      </c>
      <c r="O152" s="230">
        <f t="array" aca="1" ref="O152" ca="1">IF(OR(NOT(INDEX(ExistsTx,$I152,2)),$H152=0),0,INDIRECT("'T"&amp;$I152&amp;"'!$P$"&amp;($J152+5),TRUE)+((1000-ROW())/10000000000000))</f>
        <v>0</v>
      </c>
      <c r="P152" s="230">
        <f t="array" aca="1" ref="P152" ca="1">IF(OR(NOT(INDEX(ExistsTx,$I152,2)),$H152=0),0,INDIRECT("'T"&amp;$I152&amp;"'!$Q$"&amp;($J152+5),TRUE)+((1000-ROW())/10000000000000))</f>
        <v>0</v>
      </c>
      <c r="Q152" s="230">
        <f t="shared" ca="1" si="44"/>
        <v>1.090285715376E-6</v>
      </c>
      <c r="R152" s="230"/>
      <c r="S152" s="230"/>
      <c r="T152" s="230"/>
      <c r="U152" s="230"/>
      <c r="V152" s="230"/>
      <c r="W152" s="230"/>
      <c r="X152" s="229"/>
      <c r="Y152" s="229"/>
      <c r="Z152" s="229"/>
      <c r="AA152" s="230"/>
      <c r="AB152" s="230"/>
      <c r="AC152" s="230"/>
      <c r="AD152" s="229"/>
      <c r="AE152" s="230"/>
    </row>
    <row r="153" spans="1:31" ht="12.75" customHeight="1">
      <c r="A153" s="229" t="str">
        <f t="shared" ca="1" si="38"/>
        <v/>
      </c>
      <c r="B153" s="229" t="str">
        <f t="shared" ca="1" si="39"/>
        <v/>
      </c>
      <c r="C153" s="229" t="str">
        <f t="shared" ca="1" si="40"/>
        <v/>
      </c>
      <c r="D153" s="229" t="str">
        <f t="shared" ca="1" si="41"/>
        <v/>
      </c>
      <c r="E153" s="229" t="str">
        <f t="shared" ca="1" si="42"/>
        <v/>
      </c>
      <c r="F153" s="229" t="str">
        <f t="shared" ca="1" si="43"/>
        <v/>
      </c>
      <c r="G153" s="230" t="str">
        <f t="array" aca="1" ref="G153" ca="1">IF(INDEX(ExistsTx,$I153,2),IF(INDIRECT("'T"&amp;$I153&amp;"'!$D$"&amp;($J153+5),TRUE)=0,T_NoName,INDIRECT("'T"&amp;$I153&amp;"'!$D$"&amp;($J153+5),TRUE)),"")</f>
        <v>Nameless</v>
      </c>
      <c r="H153" s="230">
        <f t="array" aca="1" ref="H153" ca="1">IF(INDEX(ExistsTx,$I153,2),INDIRECT("'T"&amp;$I153&amp;"'!$E$"&amp;($J153+5),TRUE),0)</f>
        <v>0</v>
      </c>
      <c r="I153" s="229">
        <v>10</v>
      </c>
      <c r="J153" s="229">
        <v>7</v>
      </c>
      <c r="K153" s="230" t="str">
        <f t="array" aca="1" ref="K153" ca="1">INDEX(ListTeams,$I153,1)</f>
        <v>Hellions of Troy</v>
      </c>
      <c r="L153" s="230">
        <f t="array" aca="1" ref="L153" ca="1">IF(OR(NOT(INDEX(ExistsTx,$I153,2)),$H153=0),0,INDIRECT("'T"&amp;$I153&amp;"'!$M$"&amp;($J153+5),TRUE)+((1000-ROW())/10000000000000))</f>
        <v>0</v>
      </c>
      <c r="M153" s="230">
        <f t="array" aca="1" ref="M153" ca="1">IF(OR(NOT(INDEX(ExistsTx,$I153,2)),$H153=0),0,INDIRECT("'T"&amp;$I153&amp;"'!$N$"&amp;($J153+5),TRUE)+((1000-ROW())/10000000000000))</f>
        <v>0</v>
      </c>
      <c r="N153" s="230">
        <f t="array" aca="1" ref="N153" ca="1">IF(OR(NOT(INDEX(ExistsTx,$I153,2)),$H153=0),0,INDIRECT("'T"&amp;$I153&amp;"'!$O$"&amp;($J153+5),TRUE)+((1000-ROW())/10000000000000))</f>
        <v>0</v>
      </c>
      <c r="O153" s="230">
        <f t="array" aca="1" ref="O153" ca="1">IF(OR(NOT(INDEX(ExistsTx,$I153,2)),$H153=0),0,INDIRECT("'T"&amp;$I153&amp;"'!$P$"&amp;($J153+5),TRUE)+((1000-ROW())/10000000000000))</f>
        <v>0</v>
      </c>
      <c r="P153" s="230">
        <f t="array" aca="1" ref="P153" ca="1">IF(OR(NOT(INDEX(ExistsTx,$I153,2)),$H153=0),0,INDIRECT("'T"&amp;$I153&amp;"'!$Q$"&amp;($J153+5),TRUE)+((1000-ROW())/10000000000000))</f>
        <v>0</v>
      </c>
      <c r="Q153" s="230">
        <f t="shared" ca="1" si="44"/>
        <v>1.0890000010890001E-6</v>
      </c>
      <c r="R153" s="230"/>
      <c r="S153" s="230"/>
      <c r="T153" s="230"/>
      <c r="U153" s="230"/>
      <c r="V153" s="230"/>
      <c r="W153" s="230"/>
      <c r="X153" s="229"/>
      <c r="Y153" s="229"/>
      <c r="Z153" s="229"/>
      <c r="AA153" s="230"/>
      <c r="AB153" s="230"/>
      <c r="AC153" s="230"/>
      <c r="AD153" s="229"/>
      <c r="AE153" s="230"/>
    </row>
    <row r="154" spans="1:31" ht="12.75" customHeight="1">
      <c r="A154" s="229" t="str">
        <f t="shared" ca="1" si="38"/>
        <v/>
      </c>
      <c r="B154" s="229" t="str">
        <f t="shared" ca="1" si="39"/>
        <v/>
      </c>
      <c r="C154" s="229" t="str">
        <f t="shared" ca="1" si="40"/>
        <v/>
      </c>
      <c r="D154" s="229" t="str">
        <f t="shared" ca="1" si="41"/>
        <v/>
      </c>
      <c r="E154" s="229" t="str">
        <f t="shared" ca="1" si="42"/>
        <v/>
      </c>
      <c r="F154" s="229" t="str">
        <f t="shared" ca="1" si="43"/>
        <v/>
      </c>
      <c r="G154" s="230" t="str">
        <f t="array" aca="1" ref="G154" ca="1">IF(INDEX(ExistsTx,$I154,2),IF(INDIRECT("'T"&amp;$I154&amp;"'!$D$"&amp;($J154+5),TRUE)=0,T_NoName,INDIRECT("'T"&amp;$I154&amp;"'!$D$"&amp;($J154+5),TRUE)),"")</f>
        <v>Nameless</v>
      </c>
      <c r="H154" s="230">
        <f t="array" aca="1" ref="H154" ca="1">IF(INDEX(ExistsTx,$I154,2),INDIRECT("'T"&amp;$I154&amp;"'!$E$"&amp;($J154+5),TRUE),0)</f>
        <v>0</v>
      </c>
      <c r="I154" s="229">
        <v>10</v>
      </c>
      <c r="J154" s="229">
        <v>8</v>
      </c>
      <c r="K154" s="230" t="str">
        <f t="array" aca="1" ref="K154" ca="1">INDEX(ListTeams,$I154,1)</f>
        <v>Hellions of Troy</v>
      </c>
      <c r="L154" s="230">
        <f t="array" aca="1" ref="L154" ca="1">IF(OR(NOT(INDEX(ExistsTx,$I154,2)),$H154=0),0,INDIRECT("'T"&amp;$I154&amp;"'!$M$"&amp;($J154+5),TRUE)+((1000-ROW())/10000000000000))</f>
        <v>0</v>
      </c>
      <c r="M154" s="230">
        <f t="array" aca="1" ref="M154" ca="1">IF(OR(NOT(INDEX(ExistsTx,$I154,2)),$H154=0),0,INDIRECT("'T"&amp;$I154&amp;"'!$N$"&amp;($J154+5),TRUE)+((1000-ROW())/10000000000000))</f>
        <v>0</v>
      </c>
      <c r="N154" s="230">
        <f t="array" aca="1" ref="N154" ca="1">IF(OR(NOT(INDEX(ExistsTx,$I154,2)),$H154=0),0,INDIRECT("'T"&amp;$I154&amp;"'!$O$"&amp;($J154+5),TRUE)+((1000-ROW())/10000000000000))</f>
        <v>0</v>
      </c>
      <c r="O154" s="230">
        <f t="array" aca="1" ref="O154" ca="1">IF(OR(NOT(INDEX(ExistsTx,$I154,2)),$H154=0),0,INDIRECT("'T"&amp;$I154&amp;"'!$P$"&amp;($J154+5),TRUE)+((1000-ROW())/10000000000000))</f>
        <v>0</v>
      </c>
      <c r="P154" s="230">
        <f t="array" aca="1" ref="P154" ca="1">IF(OR(NOT(INDEX(ExistsTx,$I154,2)),$H154=0),0,INDIRECT("'T"&amp;$I154&amp;"'!$Q$"&amp;($J154+5),TRUE)+((1000-ROW())/10000000000000))</f>
        <v>0</v>
      </c>
      <c r="Q154" s="230">
        <f t="shared" ca="1" si="44"/>
        <v>1.0877142868019999E-6</v>
      </c>
      <c r="R154" s="230"/>
      <c r="S154" s="230"/>
      <c r="T154" s="230"/>
      <c r="U154" s="230"/>
      <c r="V154" s="230"/>
      <c r="W154" s="230"/>
      <c r="X154" s="229"/>
      <c r="Y154" s="229"/>
      <c r="Z154" s="229"/>
      <c r="AA154" s="230"/>
      <c r="AB154" s="230"/>
      <c r="AC154" s="230"/>
      <c r="AD154" s="229"/>
      <c r="AE154" s="230"/>
    </row>
    <row r="155" spans="1:31" ht="12.75" customHeight="1">
      <c r="A155" s="229" t="str">
        <f t="shared" ca="1" si="38"/>
        <v/>
      </c>
      <c r="B155" s="229" t="str">
        <f t="shared" ca="1" si="39"/>
        <v/>
      </c>
      <c r="C155" s="229" t="str">
        <f t="shared" ca="1" si="40"/>
        <v/>
      </c>
      <c r="D155" s="229" t="str">
        <f t="shared" ca="1" si="41"/>
        <v/>
      </c>
      <c r="E155" s="229" t="str">
        <f t="shared" ca="1" si="42"/>
        <v/>
      </c>
      <c r="F155" s="229" t="str">
        <f t="shared" ca="1" si="43"/>
        <v/>
      </c>
      <c r="G155" s="230" t="str">
        <f t="array" aca="1" ref="G155" ca="1">IF(INDEX(ExistsTx,$I155,2),IF(INDIRECT("'T"&amp;$I155&amp;"'!$D$"&amp;($J155+5),TRUE)=0,T_NoName,INDIRECT("'T"&amp;$I155&amp;"'!$D$"&amp;($J155+5),TRUE)),"")</f>
        <v>Nameless</v>
      </c>
      <c r="H155" s="230">
        <f t="array" aca="1" ref="H155" ca="1">IF(INDEX(ExistsTx,$I155,2),INDIRECT("'T"&amp;$I155&amp;"'!$E$"&amp;($J155+5),TRUE),0)</f>
        <v>0</v>
      </c>
      <c r="I155" s="229">
        <v>10</v>
      </c>
      <c r="J155" s="229">
        <v>9</v>
      </c>
      <c r="K155" s="230" t="str">
        <f t="array" aca="1" ref="K155" ca="1">INDEX(ListTeams,$I155,1)</f>
        <v>Hellions of Troy</v>
      </c>
      <c r="L155" s="230">
        <f t="array" aca="1" ref="L155" ca="1">IF(OR(NOT(INDEX(ExistsTx,$I155,2)),$H155=0),0,INDIRECT("'T"&amp;$I155&amp;"'!$M$"&amp;($J155+5),TRUE)+((1000-ROW())/10000000000000))</f>
        <v>0</v>
      </c>
      <c r="M155" s="230">
        <f t="array" aca="1" ref="M155" ca="1">IF(OR(NOT(INDEX(ExistsTx,$I155,2)),$H155=0),0,INDIRECT("'T"&amp;$I155&amp;"'!$N$"&amp;($J155+5),TRUE)+((1000-ROW())/10000000000000))</f>
        <v>0</v>
      </c>
      <c r="N155" s="230">
        <f t="array" aca="1" ref="N155" ca="1">IF(OR(NOT(INDEX(ExistsTx,$I155,2)),$H155=0),0,INDIRECT("'T"&amp;$I155&amp;"'!$O$"&amp;($J155+5),TRUE)+((1000-ROW())/10000000000000))</f>
        <v>0</v>
      </c>
      <c r="O155" s="230">
        <f t="array" aca="1" ref="O155" ca="1">IF(OR(NOT(INDEX(ExistsTx,$I155,2)),$H155=0),0,INDIRECT("'T"&amp;$I155&amp;"'!$P$"&amp;($J155+5),TRUE)+((1000-ROW())/10000000000000))</f>
        <v>0</v>
      </c>
      <c r="P155" s="230">
        <f t="array" aca="1" ref="P155" ca="1">IF(OR(NOT(INDEX(ExistsTx,$I155,2)),$H155=0),0,INDIRECT("'T"&amp;$I155&amp;"'!$Q$"&amp;($J155+5),TRUE)+((1000-ROW())/10000000000000))</f>
        <v>0</v>
      </c>
      <c r="Q155" s="230">
        <f t="shared" ca="1" si="44"/>
        <v>1.086428572515E-6</v>
      </c>
      <c r="R155" s="230"/>
      <c r="S155" s="230"/>
      <c r="T155" s="230"/>
      <c r="U155" s="230"/>
      <c r="V155" s="230"/>
      <c r="W155" s="230"/>
      <c r="X155" s="229"/>
      <c r="Y155" s="229"/>
      <c r="Z155" s="229"/>
      <c r="AA155" s="230"/>
      <c r="AB155" s="230"/>
      <c r="AC155" s="230"/>
      <c r="AD155" s="229"/>
      <c r="AE155" s="230"/>
    </row>
    <row r="156" spans="1:31" ht="12.75" customHeight="1">
      <c r="A156" s="229" t="str">
        <f t="shared" ca="1" si="38"/>
        <v/>
      </c>
      <c r="B156" s="229" t="str">
        <f t="shared" ca="1" si="39"/>
        <v/>
      </c>
      <c r="C156" s="229" t="str">
        <f t="shared" ca="1" si="40"/>
        <v/>
      </c>
      <c r="D156" s="229" t="str">
        <f t="shared" ca="1" si="41"/>
        <v/>
      </c>
      <c r="E156" s="229" t="str">
        <f t="shared" ca="1" si="42"/>
        <v/>
      </c>
      <c r="F156" s="229" t="str">
        <f t="shared" ca="1" si="43"/>
        <v/>
      </c>
      <c r="G156" s="230" t="str">
        <f t="array" aca="1" ref="G156" ca="1">IF(INDEX(ExistsTx,$I156,2),IF(INDIRECT("'T"&amp;$I156&amp;"'!$D$"&amp;($J156+5),TRUE)=0,T_NoName,INDIRECT("'T"&amp;$I156&amp;"'!$D$"&amp;($J156+5),TRUE)),"")</f>
        <v>Nameless</v>
      </c>
      <c r="H156" s="230">
        <f t="array" aca="1" ref="H156" ca="1">IF(INDEX(ExistsTx,$I156,2),INDIRECT("'T"&amp;$I156&amp;"'!$E$"&amp;($J156+5),TRUE),0)</f>
        <v>0</v>
      </c>
      <c r="I156" s="229">
        <v>10</v>
      </c>
      <c r="J156" s="229">
        <v>10</v>
      </c>
      <c r="K156" s="230" t="str">
        <f t="array" aca="1" ref="K156" ca="1">INDEX(ListTeams,$I156,1)</f>
        <v>Hellions of Troy</v>
      </c>
      <c r="L156" s="230">
        <f t="array" aca="1" ref="L156" ca="1">IF(OR(NOT(INDEX(ExistsTx,$I156,2)),$H156=0),0,INDIRECT("'T"&amp;$I156&amp;"'!$M$"&amp;($J156+5),TRUE)+((1000-ROW())/10000000000000))</f>
        <v>0</v>
      </c>
      <c r="M156" s="230">
        <f t="array" aca="1" ref="M156" ca="1">IF(OR(NOT(INDEX(ExistsTx,$I156,2)),$H156=0),0,INDIRECT("'T"&amp;$I156&amp;"'!$N$"&amp;($J156+5),TRUE)+((1000-ROW())/10000000000000))</f>
        <v>0</v>
      </c>
      <c r="N156" s="230">
        <f t="array" aca="1" ref="N156" ca="1">IF(OR(NOT(INDEX(ExistsTx,$I156,2)),$H156=0),0,INDIRECT("'T"&amp;$I156&amp;"'!$O$"&amp;($J156+5),TRUE)+((1000-ROW())/10000000000000))</f>
        <v>0</v>
      </c>
      <c r="O156" s="230">
        <f t="array" aca="1" ref="O156" ca="1">IF(OR(NOT(INDEX(ExistsTx,$I156,2)),$H156=0),0,INDIRECT("'T"&amp;$I156&amp;"'!$P$"&amp;($J156+5),TRUE)+((1000-ROW())/10000000000000))</f>
        <v>0</v>
      </c>
      <c r="P156" s="230">
        <f t="array" aca="1" ref="P156" ca="1">IF(OR(NOT(INDEX(ExistsTx,$I156,2)),$H156=0),0,INDIRECT("'T"&amp;$I156&amp;"'!$Q$"&amp;($J156+5),TRUE)+((1000-ROW())/10000000000000))</f>
        <v>0</v>
      </c>
      <c r="Q156" s="230">
        <f t="shared" ca="1" si="44"/>
        <v>1.0851428582279999E-6</v>
      </c>
      <c r="R156" s="230"/>
      <c r="S156" s="230"/>
      <c r="T156" s="230"/>
      <c r="U156" s="230"/>
      <c r="V156" s="230"/>
      <c r="W156" s="230"/>
      <c r="X156" s="229"/>
      <c r="Y156" s="229"/>
      <c r="Z156" s="229"/>
      <c r="AA156" s="230"/>
      <c r="AB156" s="230"/>
      <c r="AC156" s="230"/>
      <c r="AD156" s="229"/>
      <c r="AE156" s="230"/>
    </row>
    <row r="157" spans="1:31" ht="12.75" customHeight="1">
      <c r="A157" s="229" t="str">
        <f t="shared" ca="1" si="38"/>
        <v/>
      </c>
      <c r="B157" s="229" t="str">
        <f t="shared" ca="1" si="39"/>
        <v/>
      </c>
      <c r="C157" s="229" t="str">
        <f t="shared" ca="1" si="40"/>
        <v/>
      </c>
      <c r="D157" s="229" t="str">
        <f t="shared" ca="1" si="41"/>
        <v/>
      </c>
      <c r="E157" s="229" t="str">
        <f t="shared" ca="1" si="42"/>
        <v/>
      </c>
      <c r="F157" s="229" t="str">
        <f t="shared" ca="1" si="43"/>
        <v/>
      </c>
      <c r="G157" s="230" t="str">
        <f t="array" aca="1" ref="G157" ca="1">IF(INDEX(ExistsTx,$I157,2),IF(INDIRECT("'T"&amp;$I157&amp;"'!$D$"&amp;($J157+5),TRUE)=0,T_NoName,INDIRECT("'T"&amp;$I157&amp;"'!$D$"&amp;($J157+5),TRUE)),"")</f>
        <v>Nameless</v>
      </c>
      <c r="H157" s="230">
        <f t="array" aca="1" ref="H157" ca="1">IF(INDEX(ExistsTx,$I157,2),INDIRECT("'T"&amp;$I157&amp;"'!$E$"&amp;($J157+5),TRUE),0)</f>
        <v>0</v>
      </c>
      <c r="I157" s="229">
        <v>10</v>
      </c>
      <c r="J157" s="229">
        <v>11</v>
      </c>
      <c r="K157" s="230" t="str">
        <f t="array" aca="1" ref="K157" ca="1">INDEX(ListTeams,$I157,1)</f>
        <v>Hellions of Troy</v>
      </c>
      <c r="L157" s="230">
        <f t="array" aca="1" ref="L157" ca="1">IF(OR(NOT(INDEX(ExistsTx,$I157,2)),$H157=0),0,INDIRECT("'T"&amp;$I157&amp;"'!$M$"&amp;($J157+5),TRUE)+((1000-ROW())/10000000000000))</f>
        <v>0</v>
      </c>
      <c r="M157" s="230">
        <f t="array" aca="1" ref="M157" ca="1">IF(OR(NOT(INDEX(ExistsTx,$I157,2)),$H157=0),0,INDIRECT("'T"&amp;$I157&amp;"'!$N$"&amp;($J157+5),TRUE)+((1000-ROW())/10000000000000))</f>
        <v>0</v>
      </c>
      <c r="N157" s="230">
        <f t="array" aca="1" ref="N157" ca="1">IF(OR(NOT(INDEX(ExistsTx,$I157,2)),$H157=0),0,INDIRECT("'T"&amp;$I157&amp;"'!$O$"&amp;($J157+5),TRUE)+((1000-ROW())/10000000000000))</f>
        <v>0</v>
      </c>
      <c r="O157" s="230">
        <f t="array" aca="1" ref="O157" ca="1">IF(OR(NOT(INDEX(ExistsTx,$I157,2)),$H157=0),0,INDIRECT("'T"&amp;$I157&amp;"'!$P$"&amp;($J157+5),TRUE)+((1000-ROW())/10000000000000))</f>
        <v>0</v>
      </c>
      <c r="P157" s="230">
        <f t="array" aca="1" ref="P157" ca="1">IF(OR(NOT(INDEX(ExistsTx,$I157,2)),$H157=0),0,INDIRECT("'T"&amp;$I157&amp;"'!$Q$"&amp;($J157+5),TRUE)+((1000-ROW())/10000000000000))</f>
        <v>0</v>
      </c>
      <c r="Q157" s="230">
        <f t="shared" ca="1" si="44"/>
        <v>1.083857143941E-6</v>
      </c>
      <c r="R157" s="230"/>
      <c r="S157" s="230"/>
      <c r="T157" s="230"/>
      <c r="U157" s="230"/>
      <c r="V157" s="230"/>
      <c r="W157" s="230"/>
      <c r="X157" s="229"/>
      <c r="Y157" s="229"/>
      <c r="Z157" s="229"/>
      <c r="AA157" s="230"/>
      <c r="AB157" s="230"/>
      <c r="AC157" s="230"/>
      <c r="AD157" s="229"/>
      <c r="AE157" s="230"/>
    </row>
    <row r="158" spans="1:31" ht="12.75" customHeight="1">
      <c r="A158" s="229" t="str">
        <f t="shared" ca="1" si="38"/>
        <v/>
      </c>
      <c r="B158" s="229" t="str">
        <f t="shared" ca="1" si="39"/>
        <v/>
      </c>
      <c r="C158" s="229" t="str">
        <f t="shared" ca="1" si="40"/>
        <v/>
      </c>
      <c r="D158" s="229" t="str">
        <f t="shared" ca="1" si="41"/>
        <v/>
      </c>
      <c r="E158" s="229" t="str">
        <f t="shared" ca="1" si="42"/>
        <v/>
      </c>
      <c r="F158" s="229" t="str">
        <f t="shared" ca="1" si="43"/>
        <v/>
      </c>
      <c r="G158" s="230" t="str">
        <f t="array" aca="1" ref="G158" ca="1">IF(INDEX(ExistsTx,$I158,2),IF(INDIRECT("'T"&amp;$I158&amp;"'!$D$"&amp;($J158+5),TRUE)=0,T_NoName,INDIRECT("'T"&amp;$I158&amp;"'!$D$"&amp;($J158+5),TRUE)),"")</f>
        <v>Nameless</v>
      </c>
      <c r="H158" s="230">
        <f t="array" aca="1" ref="H158" ca="1">IF(INDEX(ExistsTx,$I158,2),INDIRECT("'T"&amp;$I158&amp;"'!$E$"&amp;($J158+5),TRUE),0)</f>
        <v>0</v>
      </c>
      <c r="I158" s="229">
        <v>10</v>
      </c>
      <c r="J158" s="229">
        <v>12</v>
      </c>
      <c r="K158" s="230" t="str">
        <f t="array" aca="1" ref="K158" ca="1">INDEX(ListTeams,$I158,1)</f>
        <v>Hellions of Troy</v>
      </c>
      <c r="L158" s="230">
        <f t="array" aca="1" ref="L158" ca="1">IF(OR(NOT(INDEX(ExistsTx,$I158,2)),$H158=0),0,INDIRECT("'T"&amp;$I158&amp;"'!$M$"&amp;($J158+5),TRUE)+((1000-ROW())/10000000000000))</f>
        <v>0</v>
      </c>
      <c r="M158" s="230">
        <f t="array" aca="1" ref="M158" ca="1">IF(OR(NOT(INDEX(ExistsTx,$I158,2)),$H158=0),0,INDIRECT("'T"&amp;$I158&amp;"'!$N$"&amp;($J158+5),TRUE)+((1000-ROW())/10000000000000))</f>
        <v>0</v>
      </c>
      <c r="N158" s="230">
        <f t="array" aca="1" ref="N158" ca="1">IF(OR(NOT(INDEX(ExistsTx,$I158,2)),$H158=0),0,INDIRECT("'T"&amp;$I158&amp;"'!$O$"&amp;($J158+5),TRUE)+((1000-ROW())/10000000000000))</f>
        <v>0</v>
      </c>
      <c r="O158" s="230">
        <f t="array" aca="1" ref="O158" ca="1">IF(OR(NOT(INDEX(ExistsTx,$I158,2)),$H158=0),0,INDIRECT("'T"&amp;$I158&amp;"'!$P$"&amp;($J158+5),TRUE)+((1000-ROW())/10000000000000))</f>
        <v>0</v>
      </c>
      <c r="P158" s="230">
        <f t="array" aca="1" ref="P158" ca="1">IF(OR(NOT(INDEX(ExistsTx,$I158,2)),$H158=0),0,INDIRECT("'T"&amp;$I158&amp;"'!$Q$"&amp;($J158+5),TRUE)+((1000-ROW())/10000000000000))</f>
        <v>0</v>
      </c>
      <c r="Q158" s="230">
        <f t="shared" ca="1" si="44"/>
        <v>1.0825714296540001E-6</v>
      </c>
      <c r="R158" s="230"/>
      <c r="S158" s="230"/>
      <c r="T158" s="230"/>
      <c r="U158" s="230"/>
      <c r="V158" s="230"/>
      <c r="W158" s="230"/>
      <c r="X158" s="229"/>
      <c r="Y158" s="229"/>
      <c r="Z158" s="229"/>
      <c r="AA158" s="230"/>
      <c r="AB158" s="230"/>
      <c r="AC158" s="230"/>
      <c r="AD158" s="229"/>
      <c r="AE158" s="230"/>
    </row>
    <row r="159" spans="1:31" ht="12.75" customHeight="1">
      <c r="A159" s="229" t="str">
        <f t="shared" ca="1" si="38"/>
        <v/>
      </c>
      <c r="B159" s="229" t="str">
        <f t="shared" ca="1" si="39"/>
        <v/>
      </c>
      <c r="C159" s="229" t="str">
        <f t="shared" ca="1" si="40"/>
        <v/>
      </c>
      <c r="D159" s="229" t="str">
        <f t="shared" ca="1" si="41"/>
        <v/>
      </c>
      <c r="E159" s="229" t="str">
        <f t="shared" ca="1" si="42"/>
        <v/>
      </c>
      <c r="F159" s="229" t="str">
        <f t="shared" ca="1" si="43"/>
        <v/>
      </c>
      <c r="G159" s="230" t="str">
        <f t="array" aca="1" ref="G159" ca="1">IF(INDEX(ExistsTx,$I159,2),IF(INDIRECT("'T"&amp;$I159&amp;"'!$D$"&amp;($J159+5),TRUE)=0,T_NoName,INDIRECT("'T"&amp;$I159&amp;"'!$D$"&amp;($J159+5),TRUE)),"")</f>
        <v>Nameless</v>
      </c>
      <c r="H159" s="230">
        <f t="array" aca="1" ref="H159" ca="1">IF(INDEX(ExistsTx,$I159,2),INDIRECT("'T"&amp;$I159&amp;"'!$E$"&amp;($J159+5),TRUE),0)</f>
        <v>0</v>
      </c>
      <c r="I159" s="229">
        <v>10</v>
      </c>
      <c r="J159" s="229">
        <v>13</v>
      </c>
      <c r="K159" s="230" t="str">
        <f t="array" aca="1" ref="K159" ca="1">INDEX(ListTeams,$I159,1)</f>
        <v>Hellions of Troy</v>
      </c>
      <c r="L159" s="230">
        <f t="array" aca="1" ref="L159" ca="1">IF(OR(NOT(INDEX(ExistsTx,$I159,2)),$H159=0),0,INDIRECT("'T"&amp;$I159&amp;"'!$M$"&amp;($J159+5),TRUE)+((1000-ROW())/10000000000000))</f>
        <v>0</v>
      </c>
      <c r="M159" s="230">
        <f t="array" aca="1" ref="M159" ca="1">IF(OR(NOT(INDEX(ExistsTx,$I159,2)),$H159=0),0,INDIRECT("'T"&amp;$I159&amp;"'!$N$"&amp;($J159+5),TRUE)+((1000-ROW())/10000000000000))</f>
        <v>0</v>
      </c>
      <c r="N159" s="230">
        <f t="array" aca="1" ref="N159" ca="1">IF(OR(NOT(INDEX(ExistsTx,$I159,2)),$H159=0),0,INDIRECT("'T"&amp;$I159&amp;"'!$O$"&amp;($J159+5),TRUE)+((1000-ROW())/10000000000000))</f>
        <v>0</v>
      </c>
      <c r="O159" s="230">
        <f t="array" aca="1" ref="O159" ca="1">IF(OR(NOT(INDEX(ExistsTx,$I159,2)),$H159=0),0,INDIRECT("'T"&amp;$I159&amp;"'!$P$"&amp;($J159+5),TRUE)+((1000-ROW())/10000000000000))</f>
        <v>0</v>
      </c>
      <c r="P159" s="230">
        <f t="array" aca="1" ref="P159" ca="1">IF(OR(NOT(INDEX(ExistsTx,$I159,2)),$H159=0),0,INDIRECT("'T"&amp;$I159&amp;"'!$Q$"&amp;($J159+5),TRUE)+((1000-ROW())/10000000000000))</f>
        <v>0</v>
      </c>
      <c r="Q159" s="230">
        <f t="shared" ca="1" si="44"/>
        <v>1.081285715367E-6</v>
      </c>
      <c r="R159" s="230"/>
      <c r="S159" s="230"/>
      <c r="T159" s="230"/>
      <c r="U159" s="230"/>
      <c r="V159" s="230"/>
      <c r="W159" s="230"/>
      <c r="X159" s="229"/>
      <c r="Y159" s="229"/>
      <c r="Z159" s="229"/>
      <c r="AA159" s="230"/>
      <c r="AB159" s="230"/>
      <c r="AC159" s="230"/>
      <c r="AD159" s="229"/>
      <c r="AE159" s="230"/>
    </row>
    <row r="160" spans="1:31" ht="12.75" customHeight="1">
      <c r="A160" s="229" t="str">
        <f t="shared" ca="1" si="38"/>
        <v/>
      </c>
      <c r="B160" s="229" t="str">
        <f t="shared" ca="1" si="39"/>
        <v/>
      </c>
      <c r="C160" s="229" t="str">
        <f t="shared" ca="1" si="40"/>
        <v/>
      </c>
      <c r="D160" s="229" t="str">
        <f t="shared" ca="1" si="41"/>
        <v/>
      </c>
      <c r="E160" s="229" t="str">
        <f t="shared" ca="1" si="42"/>
        <v/>
      </c>
      <c r="F160" s="229" t="str">
        <f t="shared" ca="1" si="43"/>
        <v/>
      </c>
      <c r="G160" s="230" t="str">
        <f t="array" aca="1" ref="G160" ca="1">IF(INDEX(ExistsTx,$I160,2),IF(INDIRECT("'T"&amp;$I160&amp;"'!$D$"&amp;($J160+5),TRUE)=0,T_NoName,INDIRECT("'T"&amp;$I160&amp;"'!$D$"&amp;($J160+5),TRUE)),"")</f>
        <v>Nameless</v>
      </c>
      <c r="H160" s="230">
        <f t="array" aca="1" ref="H160" ca="1">IF(INDEX(ExistsTx,$I160,2),INDIRECT("'T"&amp;$I160&amp;"'!$E$"&amp;($J160+5),TRUE),0)</f>
        <v>0</v>
      </c>
      <c r="I160" s="229">
        <v>10</v>
      </c>
      <c r="J160" s="229">
        <v>14</v>
      </c>
      <c r="K160" s="230" t="str">
        <f t="array" aca="1" ref="K160" ca="1">INDEX(ListTeams,$I160,1)</f>
        <v>Hellions of Troy</v>
      </c>
      <c r="L160" s="230">
        <f t="array" aca="1" ref="L160" ca="1">IF(OR(NOT(INDEX(ExistsTx,$I160,2)),$H160=0),0,INDIRECT("'T"&amp;$I160&amp;"'!$M$"&amp;($J160+5),TRUE)+((1000-ROW())/10000000000000))</f>
        <v>0</v>
      </c>
      <c r="M160" s="230">
        <f t="array" aca="1" ref="M160" ca="1">IF(OR(NOT(INDEX(ExistsTx,$I160,2)),$H160=0),0,INDIRECT("'T"&amp;$I160&amp;"'!$N$"&amp;($J160+5),TRUE)+((1000-ROW())/10000000000000))</f>
        <v>0</v>
      </c>
      <c r="N160" s="230">
        <f t="array" aca="1" ref="N160" ca="1">IF(OR(NOT(INDEX(ExistsTx,$I160,2)),$H160=0),0,INDIRECT("'T"&amp;$I160&amp;"'!$O$"&amp;($J160+5),TRUE)+((1000-ROW())/10000000000000))</f>
        <v>0</v>
      </c>
      <c r="O160" s="230">
        <f t="array" aca="1" ref="O160" ca="1">IF(OR(NOT(INDEX(ExistsTx,$I160,2)),$H160=0),0,INDIRECT("'T"&amp;$I160&amp;"'!$P$"&amp;($J160+5),TRUE)+((1000-ROW())/10000000000000))</f>
        <v>0</v>
      </c>
      <c r="P160" s="230">
        <f t="array" aca="1" ref="P160" ca="1">IF(OR(NOT(INDEX(ExistsTx,$I160,2)),$H160=0),0,INDIRECT("'T"&amp;$I160&amp;"'!$Q$"&amp;($J160+5),TRUE)+((1000-ROW())/10000000000000))</f>
        <v>0</v>
      </c>
      <c r="Q160" s="230">
        <f t="shared" ca="1" si="44"/>
        <v>1.0800000010800001E-6</v>
      </c>
      <c r="R160" s="230"/>
      <c r="S160" s="230"/>
      <c r="T160" s="230"/>
      <c r="U160" s="230"/>
      <c r="V160" s="230"/>
      <c r="W160" s="230"/>
      <c r="X160" s="229"/>
      <c r="Y160" s="229"/>
      <c r="Z160" s="229"/>
      <c r="AA160" s="230"/>
      <c r="AB160" s="230"/>
      <c r="AC160" s="230"/>
      <c r="AD160" s="229"/>
      <c r="AE160" s="230"/>
    </row>
    <row r="161" spans="1:31" ht="12.75" customHeight="1">
      <c r="A161" s="229" t="str">
        <f t="shared" ca="1" si="38"/>
        <v/>
      </c>
      <c r="B161" s="229" t="str">
        <f t="shared" ca="1" si="39"/>
        <v/>
      </c>
      <c r="C161" s="229" t="str">
        <f t="shared" ca="1" si="40"/>
        <v/>
      </c>
      <c r="D161" s="229" t="str">
        <f t="shared" ca="1" si="41"/>
        <v/>
      </c>
      <c r="E161" s="229" t="str">
        <f t="shared" ca="1" si="42"/>
        <v/>
      </c>
      <c r="F161" s="229" t="str">
        <f t="shared" ca="1" si="43"/>
        <v/>
      </c>
      <c r="G161" s="230" t="str">
        <f t="array" aca="1" ref="G161" ca="1">IF(INDEX(ExistsTx,$I161,2),IF(INDIRECT("'T"&amp;$I161&amp;"'!$D$"&amp;($J161+5),TRUE)=0,T_NoName,INDIRECT("'T"&amp;$I161&amp;"'!$D$"&amp;($J161+5),TRUE)),"")</f>
        <v>Nameless</v>
      </c>
      <c r="H161" s="230">
        <f t="array" aca="1" ref="H161" ca="1">IF(INDEX(ExistsTx,$I161,2),INDIRECT("'T"&amp;$I161&amp;"'!$E$"&amp;($J161+5),TRUE),0)</f>
        <v>0</v>
      </c>
      <c r="I161" s="229">
        <v>10</v>
      </c>
      <c r="J161" s="229">
        <v>15</v>
      </c>
      <c r="K161" s="230" t="str">
        <f t="array" aca="1" ref="K161" ca="1">INDEX(ListTeams,$I161,1)</f>
        <v>Hellions of Troy</v>
      </c>
      <c r="L161" s="230">
        <f t="array" aca="1" ref="L161" ca="1">IF(OR(NOT(INDEX(ExistsTx,$I161,2)),$H161=0),0,INDIRECT("'T"&amp;$I161&amp;"'!$M$"&amp;($J161+5),TRUE)+((1000-ROW())/10000000000000))</f>
        <v>0</v>
      </c>
      <c r="M161" s="230">
        <f t="array" aca="1" ref="M161" ca="1">IF(OR(NOT(INDEX(ExistsTx,$I161,2)),$H161=0),0,INDIRECT("'T"&amp;$I161&amp;"'!$N$"&amp;($J161+5),TRUE)+((1000-ROW())/10000000000000))</f>
        <v>0</v>
      </c>
      <c r="N161" s="230">
        <f t="array" aca="1" ref="N161" ca="1">IF(OR(NOT(INDEX(ExistsTx,$I161,2)),$H161=0),0,INDIRECT("'T"&amp;$I161&amp;"'!$O$"&amp;($J161+5),TRUE)+((1000-ROW())/10000000000000))</f>
        <v>0</v>
      </c>
      <c r="O161" s="230">
        <f t="array" aca="1" ref="O161" ca="1">IF(OR(NOT(INDEX(ExistsTx,$I161,2)),$H161=0),0,INDIRECT("'T"&amp;$I161&amp;"'!$P$"&amp;($J161+5),TRUE)+((1000-ROW())/10000000000000))</f>
        <v>0</v>
      </c>
      <c r="P161" s="230">
        <f t="array" aca="1" ref="P161" ca="1">IF(OR(NOT(INDEX(ExistsTx,$I161,2)),$H161=0),0,INDIRECT("'T"&amp;$I161&amp;"'!$Q$"&amp;($J161+5),TRUE)+((1000-ROW())/10000000000000))</f>
        <v>0</v>
      </c>
      <c r="Q161" s="230">
        <f t="shared" ca="1" si="44"/>
        <v>1.078714286793E-6</v>
      </c>
      <c r="R161" s="230"/>
      <c r="S161" s="230"/>
      <c r="T161" s="230"/>
      <c r="U161" s="230"/>
      <c r="V161" s="230"/>
      <c r="W161" s="230"/>
      <c r="X161" s="229"/>
      <c r="Y161" s="229"/>
      <c r="Z161" s="229"/>
      <c r="AA161" s="230"/>
      <c r="AB161" s="230"/>
      <c r="AC161" s="230"/>
      <c r="AD161" s="229"/>
      <c r="AE161" s="230"/>
    </row>
    <row r="162" spans="1:31" ht="12.75" customHeight="1">
      <c r="A162" s="229" t="str">
        <f t="shared" ca="1" si="38"/>
        <v/>
      </c>
      <c r="B162" s="229" t="str">
        <f t="shared" ca="1" si="39"/>
        <v/>
      </c>
      <c r="C162" s="229" t="str">
        <f t="shared" ca="1" si="40"/>
        <v/>
      </c>
      <c r="D162" s="229" t="str">
        <f t="shared" ca="1" si="41"/>
        <v/>
      </c>
      <c r="E162" s="229" t="str">
        <f t="shared" ca="1" si="42"/>
        <v/>
      </c>
      <c r="F162" s="229" t="str">
        <f t="shared" ca="1" si="43"/>
        <v/>
      </c>
      <c r="G162" s="230" t="str">
        <f t="array" aca="1" ref="G162" ca="1">IF(INDEX(ExistsTx,$I162,2),IF(INDIRECT("'T"&amp;$I162&amp;"'!$D$"&amp;($J162+5),TRUE)=0,T_NoName,INDIRECT("'T"&amp;$I162&amp;"'!$D$"&amp;($J162+5),TRUE)),"")</f>
        <v>Nameless</v>
      </c>
      <c r="H162" s="230">
        <f t="array" aca="1" ref="H162" ca="1">IF(INDEX(ExistsTx,$I162,2),INDIRECT("'T"&amp;$I162&amp;"'!$E$"&amp;($J162+5),TRUE),0)</f>
        <v>0</v>
      </c>
      <c r="I162" s="229">
        <v>10</v>
      </c>
      <c r="J162" s="229">
        <v>16</v>
      </c>
      <c r="K162" s="230" t="str">
        <f t="array" aca="1" ref="K162" ca="1">INDEX(ListTeams,$I162,1)</f>
        <v>Hellions of Troy</v>
      </c>
      <c r="L162" s="230">
        <f t="array" aca="1" ref="L162" ca="1">IF(OR(NOT(INDEX(ExistsTx,$I162,2)),$H162=0),0,INDIRECT("'T"&amp;$I162&amp;"'!$M$"&amp;($J162+5),TRUE)+((1000-ROW())/10000000000000))</f>
        <v>0</v>
      </c>
      <c r="M162" s="230">
        <f t="array" aca="1" ref="M162" ca="1">IF(OR(NOT(INDEX(ExistsTx,$I162,2)),$H162=0),0,INDIRECT("'T"&amp;$I162&amp;"'!$N$"&amp;($J162+5),TRUE)+((1000-ROW())/10000000000000))</f>
        <v>0</v>
      </c>
      <c r="N162" s="230">
        <f t="array" aca="1" ref="N162" ca="1">IF(OR(NOT(INDEX(ExistsTx,$I162,2)),$H162=0),0,INDIRECT("'T"&amp;$I162&amp;"'!$O$"&amp;($J162+5),TRUE)+((1000-ROW())/10000000000000))</f>
        <v>0</v>
      </c>
      <c r="O162" s="230">
        <f t="array" aca="1" ref="O162" ca="1">IF(OR(NOT(INDEX(ExistsTx,$I162,2)),$H162=0),0,INDIRECT("'T"&amp;$I162&amp;"'!$P$"&amp;($J162+5),TRUE)+((1000-ROW())/10000000000000))</f>
        <v>0</v>
      </c>
      <c r="P162" s="230">
        <f t="array" aca="1" ref="P162" ca="1">IF(OR(NOT(INDEX(ExistsTx,$I162,2)),$H162=0),0,INDIRECT("'T"&amp;$I162&amp;"'!$Q$"&amp;($J162+5),TRUE)+((1000-ROW())/10000000000000))</f>
        <v>0</v>
      </c>
      <c r="Q162" s="230">
        <f t="shared" ca="1" si="44"/>
        <v>1.0774285725060001E-6</v>
      </c>
      <c r="R162" s="230"/>
      <c r="S162" s="230"/>
      <c r="T162" s="230"/>
      <c r="U162" s="230"/>
      <c r="V162" s="230"/>
      <c r="W162" s="230"/>
      <c r="X162" s="229"/>
      <c r="Y162" s="229"/>
      <c r="Z162" s="229"/>
      <c r="AA162" s="230"/>
      <c r="AB162" s="230"/>
      <c r="AC162" s="230"/>
      <c r="AD162" s="229"/>
      <c r="AE162" s="230"/>
    </row>
    <row r="163" spans="1:31" ht="12.75" customHeight="1">
      <c r="A163" s="229" t="str">
        <f t="shared" ca="1" si="38"/>
        <v/>
      </c>
      <c r="B163" s="229" t="str">
        <f t="shared" ca="1" si="39"/>
        <v/>
      </c>
      <c r="C163" s="229" t="str">
        <f t="shared" ca="1" si="40"/>
        <v/>
      </c>
      <c r="D163" s="229" t="str">
        <f t="shared" ca="1" si="41"/>
        <v/>
      </c>
      <c r="E163" s="229" t="str">
        <f t="shared" ca="1" si="42"/>
        <v/>
      </c>
      <c r="F163" s="229" t="str">
        <f t="shared" ca="1" si="43"/>
        <v/>
      </c>
      <c r="G163" s="230" t="str">
        <f t="array" aca="1" ref="G163" ca="1">IF(INDEX(ExistsTx,$I163,2),IF(INDIRECT("'T"&amp;$I163&amp;"'!$D$"&amp;($J163+5),TRUE)=0,T_NoName,INDIRECT("'T"&amp;$I163&amp;"'!$D$"&amp;($J163+5),TRUE)),"")</f>
        <v/>
      </c>
      <c r="H163" s="230">
        <f t="array" aca="1" ref="H163" ca="1">IF(INDEX(ExistsTx,$I163,2),INDIRECT("'T"&amp;$I163&amp;"'!$E$"&amp;($J163+5),TRUE),0)</f>
        <v>0</v>
      </c>
      <c r="I163" s="229">
        <v>11</v>
      </c>
      <c r="J163" s="229">
        <v>1</v>
      </c>
      <c r="K163" s="230" t="str">
        <f t="array" aca="1" ref="K163" ca="1">INDEX(ListTeams,$I163,1)</f>
        <v/>
      </c>
      <c r="L163" s="230">
        <f t="array" aca="1" ref="L163" ca="1">IF(OR(NOT(INDEX(ExistsTx,$I163,2)),$H163=0),0,INDIRECT("'T"&amp;$I163&amp;"'!$M$"&amp;($J163+5),TRUE)+((1000-ROW())/10000000000000))</f>
        <v>0</v>
      </c>
      <c r="M163" s="230">
        <f t="array" aca="1" ref="M163" ca="1">IF(OR(NOT(INDEX(ExistsTx,$I163,2)),$H163=0),0,INDIRECT("'T"&amp;$I163&amp;"'!$N$"&amp;($J163+5),TRUE)+((1000-ROW())/10000000000000))</f>
        <v>0</v>
      </c>
      <c r="N163" s="230">
        <f t="array" aca="1" ref="N163" ca="1">IF(OR(NOT(INDEX(ExistsTx,$I163,2)),$H163=0),0,INDIRECT("'T"&amp;$I163&amp;"'!$O$"&amp;($J163+5),TRUE)+((1000-ROW())/10000000000000))</f>
        <v>0</v>
      </c>
      <c r="O163" s="230">
        <f t="array" aca="1" ref="O163" ca="1">IF(OR(NOT(INDEX(ExistsTx,$I163,2)),$H163=0),0,INDIRECT("'T"&amp;$I163&amp;"'!$P$"&amp;($J163+5),TRUE)+((1000-ROW())/10000000000000))</f>
        <v>0</v>
      </c>
      <c r="P163" s="230">
        <f t="array" aca="1" ref="P163" ca="1">IF(OR(NOT(INDEX(ExistsTx,$I163,2)),$H163=0),0,INDIRECT("'T"&amp;$I163&amp;"'!$Q$"&amp;($J163+5),TRUE)+((1000-ROW())/10000000000000))</f>
        <v>0</v>
      </c>
      <c r="Q163" s="230">
        <f t="shared" ca="1" si="44"/>
        <v>1.0761428582189999E-6</v>
      </c>
      <c r="R163" s="230"/>
      <c r="S163" s="230"/>
      <c r="T163" s="230"/>
      <c r="U163" s="230"/>
      <c r="V163" s="230"/>
      <c r="W163" s="230"/>
      <c r="X163" s="229"/>
      <c r="Y163" s="229"/>
      <c r="Z163" s="229"/>
      <c r="AA163" s="230"/>
      <c r="AB163" s="230"/>
      <c r="AC163" s="230"/>
      <c r="AD163" s="229"/>
      <c r="AE163" s="230"/>
    </row>
    <row r="164" spans="1:31" ht="12.75" customHeight="1">
      <c r="A164" s="229" t="str">
        <f t="shared" ca="1" si="38"/>
        <v/>
      </c>
      <c r="B164" s="229" t="str">
        <f t="shared" ca="1" si="39"/>
        <v/>
      </c>
      <c r="C164" s="229" t="str">
        <f t="shared" ca="1" si="40"/>
        <v/>
      </c>
      <c r="D164" s="229" t="str">
        <f t="shared" ca="1" si="41"/>
        <v/>
      </c>
      <c r="E164" s="229" t="str">
        <f t="shared" ca="1" si="42"/>
        <v/>
      </c>
      <c r="F164" s="229" t="str">
        <f t="shared" ca="1" si="43"/>
        <v/>
      </c>
      <c r="G164" s="230" t="str">
        <f t="array" aca="1" ref="G164" ca="1">IF(INDEX(ExistsTx,$I164,2),IF(INDIRECT("'T"&amp;$I164&amp;"'!$D$"&amp;($J164+5),TRUE)=0,T_NoName,INDIRECT("'T"&amp;$I164&amp;"'!$D$"&amp;($J164+5),TRUE)),"")</f>
        <v/>
      </c>
      <c r="H164" s="230">
        <f t="array" aca="1" ref="H164" ca="1">IF(INDEX(ExistsTx,$I164,2),INDIRECT("'T"&amp;$I164&amp;"'!$E$"&amp;($J164+5),TRUE),0)</f>
        <v>0</v>
      </c>
      <c r="I164" s="229">
        <v>11</v>
      </c>
      <c r="J164" s="229">
        <v>2</v>
      </c>
      <c r="K164" s="230" t="str">
        <f t="array" aca="1" ref="K164" ca="1">INDEX(ListTeams,$I164,1)</f>
        <v/>
      </c>
      <c r="L164" s="230">
        <f t="array" aca="1" ref="L164" ca="1">IF(OR(NOT(INDEX(ExistsTx,$I164,2)),$H164=0),0,INDIRECT("'T"&amp;$I164&amp;"'!$M$"&amp;($J164+5),TRUE)+((1000-ROW())/10000000000000))</f>
        <v>0</v>
      </c>
      <c r="M164" s="230">
        <f t="array" aca="1" ref="M164" ca="1">IF(OR(NOT(INDEX(ExistsTx,$I164,2)),$H164=0),0,INDIRECT("'T"&amp;$I164&amp;"'!$N$"&amp;($J164+5),TRUE)+((1000-ROW())/10000000000000))</f>
        <v>0</v>
      </c>
      <c r="N164" s="230">
        <f t="array" aca="1" ref="N164" ca="1">IF(OR(NOT(INDEX(ExistsTx,$I164,2)),$H164=0),0,INDIRECT("'T"&amp;$I164&amp;"'!$O$"&amp;($J164+5),TRUE)+((1000-ROW())/10000000000000))</f>
        <v>0</v>
      </c>
      <c r="O164" s="230">
        <f t="array" aca="1" ref="O164" ca="1">IF(OR(NOT(INDEX(ExistsTx,$I164,2)),$H164=0),0,INDIRECT("'T"&amp;$I164&amp;"'!$P$"&amp;($J164+5),TRUE)+((1000-ROW())/10000000000000))</f>
        <v>0</v>
      </c>
      <c r="P164" s="230">
        <f t="array" aca="1" ref="P164" ca="1">IF(OR(NOT(INDEX(ExistsTx,$I164,2)),$H164=0),0,INDIRECT("'T"&amp;$I164&amp;"'!$Q$"&amp;($J164+5),TRUE)+((1000-ROW())/10000000000000))</f>
        <v>0</v>
      </c>
      <c r="Q164" s="230">
        <f t="shared" ca="1" si="44"/>
        <v>1.074857143932E-6</v>
      </c>
      <c r="R164" s="230"/>
      <c r="S164" s="230"/>
      <c r="T164" s="230"/>
      <c r="U164" s="230"/>
      <c r="V164" s="230"/>
      <c r="W164" s="230"/>
      <c r="X164" s="229"/>
      <c r="Y164" s="229"/>
      <c r="Z164" s="229"/>
      <c r="AA164" s="230"/>
      <c r="AB164" s="230"/>
      <c r="AC164" s="230"/>
      <c r="AD164" s="229"/>
      <c r="AE164" s="230"/>
    </row>
    <row r="165" spans="1:31" ht="12.75" customHeight="1">
      <c r="A165" s="229" t="str">
        <f t="shared" ca="1" si="38"/>
        <v/>
      </c>
      <c r="B165" s="229" t="str">
        <f t="shared" ca="1" si="39"/>
        <v/>
      </c>
      <c r="C165" s="229" t="str">
        <f t="shared" ca="1" si="40"/>
        <v/>
      </c>
      <c r="D165" s="229" t="str">
        <f t="shared" ca="1" si="41"/>
        <v/>
      </c>
      <c r="E165" s="229" t="str">
        <f t="shared" ca="1" si="42"/>
        <v/>
      </c>
      <c r="F165" s="229" t="str">
        <f t="shared" ca="1" si="43"/>
        <v/>
      </c>
      <c r="G165" s="230" t="str">
        <f t="array" aca="1" ref="G165" ca="1">IF(INDEX(ExistsTx,$I165,2),IF(INDIRECT("'T"&amp;$I165&amp;"'!$D$"&amp;($J165+5),TRUE)=0,T_NoName,INDIRECT("'T"&amp;$I165&amp;"'!$D$"&amp;($J165+5),TRUE)),"")</f>
        <v/>
      </c>
      <c r="H165" s="230">
        <f t="array" aca="1" ref="H165" ca="1">IF(INDEX(ExistsTx,$I165,2),INDIRECT("'T"&amp;$I165&amp;"'!$E$"&amp;($J165+5),TRUE),0)</f>
        <v>0</v>
      </c>
      <c r="I165" s="229">
        <v>11</v>
      </c>
      <c r="J165" s="229">
        <v>3</v>
      </c>
      <c r="K165" s="230" t="str">
        <f t="array" aca="1" ref="K165" ca="1">INDEX(ListTeams,$I165,1)</f>
        <v/>
      </c>
      <c r="L165" s="230">
        <f t="array" aca="1" ref="L165" ca="1">IF(OR(NOT(INDEX(ExistsTx,$I165,2)),$H165=0),0,INDIRECT("'T"&amp;$I165&amp;"'!$M$"&amp;($J165+5),TRUE)+((1000-ROW())/10000000000000))</f>
        <v>0</v>
      </c>
      <c r="M165" s="230">
        <f t="array" aca="1" ref="M165" ca="1">IF(OR(NOT(INDEX(ExistsTx,$I165,2)),$H165=0),0,INDIRECT("'T"&amp;$I165&amp;"'!$N$"&amp;($J165+5),TRUE)+((1000-ROW())/10000000000000))</f>
        <v>0</v>
      </c>
      <c r="N165" s="230">
        <f t="array" aca="1" ref="N165" ca="1">IF(OR(NOT(INDEX(ExistsTx,$I165,2)),$H165=0),0,INDIRECT("'T"&amp;$I165&amp;"'!$O$"&amp;($J165+5),TRUE)+((1000-ROW())/10000000000000))</f>
        <v>0</v>
      </c>
      <c r="O165" s="230">
        <f t="array" aca="1" ref="O165" ca="1">IF(OR(NOT(INDEX(ExistsTx,$I165,2)),$H165=0),0,INDIRECT("'T"&amp;$I165&amp;"'!$P$"&amp;($J165+5),TRUE)+((1000-ROW())/10000000000000))</f>
        <v>0</v>
      </c>
      <c r="P165" s="230">
        <f t="array" aca="1" ref="P165" ca="1">IF(OR(NOT(INDEX(ExistsTx,$I165,2)),$H165=0),0,INDIRECT("'T"&amp;$I165&amp;"'!$Q$"&amp;($J165+5),TRUE)+((1000-ROW())/10000000000000))</f>
        <v>0</v>
      </c>
      <c r="Q165" s="230">
        <f t="shared" ca="1" si="44"/>
        <v>1.0735714296449999E-6</v>
      </c>
      <c r="R165" s="230"/>
      <c r="S165" s="230"/>
      <c r="T165" s="230"/>
      <c r="U165" s="230"/>
      <c r="V165" s="230"/>
      <c r="W165" s="230"/>
      <c r="X165" s="229"/>
      <c r="Y165" s="229"/>
      <c r="Z165" s="229"/>
      <c r="AA165" s="230"/>
      <c r="AB165" s="230"/>
      <c r="AC165" s="230"/>
      <c r="AD165" s="229"/>
      <c r="AE165" s="230"/>
    </row>
    <row r="166" spans="1:31" ht="12.75" customHeight="1">
      <c r="A166" s="229" t="str">
        <f t="shared" ca="1" si="38"/>
        <v/>
      </c>
      <c r="B166" s="229" t="str">
        <f t="shared" ca="1" si="39"/>
        <v/>
      </c>
      <c r="C166" s="229" t="str">
        <f t="shared" ca="1" si="40"/>
        <v/>
      </c>
      <c r="D166" s="229" t="str">
        <f t="shared" ca="1" si="41"/>
        <v/>
      </c>
      <c r="E166" s="229" t="str">
        <f t="shared" ca="1" si="42"/>
        <v/>
      </c>
      <c r="F166" s="229" t="str">
        <f t="shared" ca="1" si="43"/>
        <v/>
      </c>
      <c r="G166" s="230" t="str">
        <f t="array" aca="1" ref="G166" ca="1">IF(INDEX(ExistsTx,$I166,2),IF(INDIRECT("'T"&amp;$I166&amp;"'!$D$"&amp;($J166+5),TRUE)=0,T_NoName,INDIRECT("'T"&amp;$I166&amp;"'!$D$"&amp;($J166+5),TRUE)),"")</f>
        <v/>
      </c>
      <c r="H166" s="230">
        <f t="array" aca="1" ref="H166" ca="1">IF(INDEX(ExistsTx,$I166,2),INDIRECT("'T"&amp;$I166&amp;"'!$E$"&amp;($J166+5),TRUE),0)</f>
        <v>0</v>
      </c>
      <c r="I166" s="229">
        <v>11</v>
      </c>
      <c r="J166" s="229">
        <v>4</v>
      </c>
      <c r="K166" s="230" t="str">
        <f t="array" aca="1" ref="K166" ca="1">INDEX(ListTeams,$I166,1)</f>
        <v/>
      </c>
      <c r="L166" s="230">
        <f t="array" aca="1" ref="L166" ca="1">IF(OR(NOT(INDEX(ExistsTx,$I166,2)),$H166=0),0,INDIRECT("'T"&amp;$I166&amp;"'!$M$"&amp;($J166+5),TRUE)+((1000-ROW())/10000000000000))</f>
        <v>0</v>
      </c>
      <c r="M166" s="230">
        <f t="array" aca="1" ref="M166" ca="1">IF(OR(NOT(INDEX(ExistsTx,$I166,2)),$H166=0),0,INDIRECT("'T"&amp;$I166&amp;"'!$N$"&amp;($J166+5),TRUE)+((1000-ROW())/10000000000000))</f>
        <v>0</v>
      </c>
      <c r="N166" s="230">
        <f t="array" aca="1" ref="N166" ca="1">IF(OR(NOT(INDEX(ExistsTx,$I166,2)),$H166=0),0,INDIRECT("'T"&amp;$I166&amp;"'!$O$"&amp;($J166+5),TRUE)+((1000-ROW())/10000000000000))</f>
        <v>0</v>
      </c>
      <c r="O166" s="230">
        <f t="array" aca="1" ref="O166" ca="1">IF(OR(NOT(INDEX(ExistsTx,$I166,2)),$H166=0),0,INDIRECT("'T"&amp;$I166&amp;"'!$P$"&amp;($J166+5),TRUE)+((1000-ROW())/10000000000000))</f>
        <v>0</v>
      </c>
      <c r="P166" s="230">
        <f t="array" aca="1" ref="P166" ca="1">IF(OR(NOT(INDEX(ExistsTx,$I166,2)),$H166=0),0,INDIRECT("'T"&amp;$I166&amp;"'!$Q$"&amp;($J166+5),TRUE)+((1000-ROW())/10000000000000))</f>
        <v>0</v>
      </c>
      <c r="Q166" s="230">
        <f t="shared" ca="1" si="44"/>
        <v>1.072285715358E-6</v>
      </c>
      <c r="R166" s="230"/>
      <c r="S166" s="230"/>
      <c r="T166" s="230"/>
      <c r="U166" s="230"/>
      <c r="V166" s="230"/>
      <c r="W166" s="230"/>
      <c r="X166" s="229"/>
      <c r="Y166" s="229"/>
      <c r="Z166" s="229"/>
      <c r="AA166" s="230"/>
      <c r="AB166" s="230"/>
      <c r="AC166" s="230"/>
      <c r="AD166" s="229"/>
      <c r="AE166" s="230"/>
    </row>
    <row r="167" spans="1:31" ht="12.75" customHeight="1">
      <c r="A167" s="229" t="str">
        <f t="shared" ca="1" si="38"/>
        <v/>
      </c>
      <c r="B167" s="229" t="str">
        <f t="shared" ca="1" si="39"/>
        <v/>
      </c>
      <c r="C167" s="229" t="str">
        <f t="shared" ca="1" si="40"/>
        <v/>
      </c>
      <c r="D167" s="229" t="str">
        <f t="shared" ca="1" si="41"/>
        <v/>
      </c>
      <c r="E167" s="229" t="str">
        <f t="shared" ca="1" si="42"/>
        <v/>
      </c>
      <c r="F167" s="229" t="str">
        <f t="shared" ca="1" si="43"/>
        <v/>
      </c>
      <c r="G167" s="230" t="str">
        <f t="array" aca="1" ref="G167" ca="1">IF(INDEX(ExistsTx,$I167,2),IF(INDIRECT("'T"&amp;$I167&amp;"'!$D$"&amp;($J167+5),TRUE)=0,T_NoName,INDIRECT("'T"&amp;$I167&amp;"'!$D$"&amp;($J167+5),TRUE)),"")</f>
        <v/>
      </c>
      <c r="H167" s="230">
        <f t="array" aca="1" ref="H167" ca="1">IF(INDEX(ExistsTx,$I167,2),INDIRECT("'T"&amp;$I167&amp;"'!$E$"&amp;($J167+5),TRUE),0)</f>
        <v>0</v>
      </c>
      <c r="I167" s="229">
        <v>11</v>
      </c>
      <c r="J167" s="229">
        <v>5</v>
      </c>
      <c r="K167" s="230" t="str">
        <f t="array" aca="1" ref="K167" ca="1">INDEX(ListTeams,$I167,1)</f>
        <v/>
      </c>
      <c r="L167" s="230">
        <f t="array" aca="1" ref="L167" ca="1">IF(OR(NOT(INDEX(ExistsTx,$I167,2)),$H167=0),0,INDIRECT("'T"&amp;$I167&amp;"'!$M$"&amp;($J167+5),TRUE)+((1000-ROW())/10000000000000))</f>
        <v>0</v>
      </c>
      <c r="M167" s="230">
        <f t="array" aca="1" ref="M167" ca="1">IF(OR(NOT(INDEX(ExistsTx,$I167,2)),$H167=0),0,INDIRECT("'T"&amp;$I167&amp;"'!$N$"&amp;($J167+5),TRUE)+((1000-ROW())/10000000000000))</f>
        <v>0</v>
      </c>
      <c r="N167" s="230">
        <f t="array" aca="1" ref="N167" ca="1">IF(OR(NOT(INDEX(ExistsTx,$I167,2)),$H167=0),0,INDIRECT("'T"&amp;$I167&amp;"'!$O$"&amp;($J167+5),TRUE)+((1000-ROW())/10000000000000))</f>
        <v>0</v>
      </c>
      <c r="O167" s="230">
        <f t="array" aca="1" ref="O167" ca="1">IF(OR(NOT(INDEX(ExistsTx,$I167,2)),$H167=0),0,INDIRECT("'T"&amp;$I167&amp;"'!$P$"&amp;($J167+5),TRUE)+((1000-ROW())/10000000000000))</f>
        <v>0</v>
      </c>
      <c r="P167" s="230">
        <f t="array" aca="1" ref="P167" ca="1">IF(OR(NOT(INDEX(ExistsTx,$I167,2)),$H167=0),0,INDIRECT("'T"&amp;$I167&amp;"'!$Q$"&amp;($J167+5),TRUE)+((1000-ROW())/10000000000000))</f>
        <v>0</v>
      </c>
      <c r="Q167" s="230">
        <f t="shared" ca="1" si="44"/>
        <v>1.0710000010710001E-6</v>
      </c>
      <c r="R167" s="230"/>
      <c r="S167" s="230"/>
      <c r="T167" s="230"/>
      <c r="U167" s="230"/>
      <c r="V167" s="230"/>
      <c r="W167" s="230"/>
      <c r="X167" s="229"/>
      <c r="Y167" s="229"/>
      <c r="Z167" s="229"/>
      <c r="AA167" s="230"/>
      <c r="AB167" s="230"/>
      <c r="AC167" s="230"/>
      <c r="AD167" s="229"/>
      <c r="AE167" s="230"/>
    </row>
    <row r="168" spans="1:31" ht="12.75" customHeight="1">
      <c r="A168" s="229" t="str">
        <f t="shared" ca="1" si="38"/>
        <v/>
      </c>
      <c r="B168" s="229" t="str">
        <f t="shared" ca="1" si="39"/>
        <v/>
      </c>
      <c r="C168" s="229" t="str">
        <f t="shared" ca="1" si="40"/>
        <v/>
      </c>
      <c r="D168" s="229" t="str">
        <f t="shared" ca="1" si="41"/>
        <v/>
      </c>
      <c r="E168" s="229" t="str">
        <f t="shared" ca="1" si="42"/>
        <v/>
      </c>
      <c r="F168" s="229" t="str">
        <f t="shared" ca="1" si="43"/>
        <v/>
      </c>
      <c r="G168" s="230" t="str">
        <f t="array" aca="1" ref="G168" ca="1">IF(INDEX(ExistsTx,$I168,2),IF(INDIRECT("'T"&amp;$I168&amp;"'!$D$"&amp;($J168+5),TRUE)=0,T_NoName,INDIRECT("'T"&amp;$I168&amp;"'!$D$"&amp;($J168+5),TRUE)),"")</f>
        <v/>
      </c>
      <c r="H168" s="230">
        <f t="array" aca="1" ref="H168" ca="1">IF(INDEX(ExistsTx,$I168,2),INDIRECT("'T"&amp;$I168&amp;"'!$E$"&amp;($J168+5),TRUE),0)</f>
        <v>0</v>
      </c>
      <c r="I168" s="229">
        <v>11</v>
      </c>
      <c r="J168" s="229">
        <v>6</v>
      </c>
      <c r="K168" s="230" t="str">
        <f t="array" aca="1" ref="K168" ca="1">INDEX(ListTeams,$I168,1)</f>
        <v/>
      </c>
      <c r="L168" s="230">
        <f t="array" aca="1" ref="L168" ca="1">IF(OR(NOT(INDEX(ExistsTx,$I168,2)),$H168=0),0,INDIRECT("'T"&amp;$I168&amp;"'!$M$"&amp;($J168+5),TRUE)+((1000-ROW())/10000000000000))</f>
        <v>0</v>
      </c>
      <c r="M168" s="230">
        <f t="array" aca="1" ref="M168" ca="1">IF(OR(NOT(INDEX(ExistsTx,$I168,2)),$H168=0),0,INDIRECT("'T"&amp;$I168&amp;"'!$N$"&amp;($J168+5),TRUE)+((1000-ROW())/10000000000000))</f>
        <v>0</v>
      </c>
      <c r="N168" s="230">
        <f t="array" aca="1" ref="N168" ca="1">IF(OR(NOT(INDEX(ExistsTx,$I168,2)),$H168=0),0,INDIRECT("'T"&amp;$I168&amp;"'!$O$"&amp;($J168+5),TRUE)+((1000-ROW())/10000000000000))</f>
        <v>0</v>
      </c>
      <c r="O168" s="230">
        <f t="array" aca="1" ref="O168" ca="1">IF(OR(NOT(INDEX(ExistsTx,$I168,2)),$H168=0),0,INDIRECT("'T"&amp;$I168&amp;"'!$P$"&amp;($J168+5),TRUE)+((1000-ROW())/10000000000000))</f>
        <v>0</v>
      </c>
      <c r="P168" s="230">
        <f t="array" aca="1" ref="P168" ca="1">IF(OR(NOT(INDEX(ExistsTx,$I168,2)),$H168=0),0,INDIRECT("'T"&amp;$I168&amp;"'!$Q$"&amp;($J168+5),TRUE)+((1000-ROW())/10000000000000))</f>
        <v>0</v>
      </c>
      <c r="Q168" s="230">
        <f t="shared" ca="1" si="44"/>
        <v>1.069714286784E-6</v>
      </c>
      <c r="R168" s="230"/>
      <c r="S168" s="230"/>
      <c r="T168" s="230"/>
      <c r="U168" s="230"/>
      <c r="V168" s="230"/>
      <c r="W168" s="230"/>
      <c r="X168" s="229"/>
      <c r="Y168" s="229"/>
      <c r="Z168" s="229"/>
      <c r="AA168" s="230"/>
      <c r="AB168" s="230"/>
      <c r="AC168" s="230"/>
      <c r="AD168" s="229"/>
      <c r="AE168" s="230"/>
    </row>
    <row r="169" spans="1:31" ht="12.75" customHeight="1">
      <c r="A169" s="229" t="str">
        <f t="shared" ca="1" si="38"/>
        <v/>
      </c>
      <c r="B169" s="229" t="str">
        <f t="shared" ca="1" si="39"/>
        <v/>
      </c>
      <c r="C169" s="229" t="str">
        <f t="shared" ca="1" si="40"/>
        <v/>
      </c>
      <c r="D169" s="229" t="str">
        <f t="shared" ca="1" si="41"/>
        <v/>
      </c>
      <c r="E169" s="229" t="str">
        <f t="shared" ca="1" si="42"/>
        <v/>
      </c>
      <c r="F169" s="229" t="str">
        <f t="shared" ca="1" si="43"/>
        <v/>
      </c>
      <c r="G169" s="230" t="str">
        <f t="array" aca="1" ref="G169" ca="1">IF(INDEX(ExistsTx,$I169,2),IF(INDIRECT("'T"&amp;$I169&amp;"'!$D$"&amp;($J169+5),TRUE)=0,T_NoName,INDIRECT("'T"&amp;$I169&amp;"'!$D$"&amp;($J169+5),TRUE)),"")</f>
        <v/>
      </c>
      <c r="H169" s="230">
        <f t="array" aca="1" ref="H169" ca="1">IF(INDEX(ExistsTx,$I169,2),INDIRECT("'T"&amp;$I169&amp;"'!$E$"&amp;($J169+5),TRUE),0)</f>
        <v>0</v>
      </c>
      <c r="I169" s="229">
        <v>11</v>
      </c>
      <c r="J169" s="229">
        <v>7</v>
      </c>
      <c r="K169" s="230" t="str">
        <f t="array" aca="1" ref="K169" ca="1">INDEX(ListTeams,$I169,1)</f>
        <v/>
      </c>
      <c r="L169" s="230">
        <f t="array" aca="1" ref="L169" ca="1">IF(OR(NOT(INDEX(ExistsTx,$I169,2)),$H169=0),0,INDIRECT("'T"&amp;$I169&amp;"'!$M$"&amp;($J169+5),TRUE)+((1000-ROW())/10000000000000))</f>
        <v>0</v>
      </c>
      <c r="M169" s="230">
        <f t="array" aca="1" ref="M169" ca="1">IF(OR(NOT(INDEX(ExistsTx,$I169,2)),$H169=0),0,INDIRECT("'T"&amp;$I169&amp;"'!$N$"&amp;($J169+5),TRUE)+((1000-ROW())/10000000000000))</f>
        <v>0</v>
      </c>
      <c r="N169" s="230">
        <f t="array" aca="1" ref="N169" ca="1">IF(OR(NOT(INDEX(ExistsTx,$I169,2)),$H169=0),0,INDIRECT("'T"&amp;$I169&amp;"'!$O$"&amp;($J169+5),TRUE)+((1000-ROW())/10000000000000))</f>
        <v>0</v>
      </c>
      <c r="O169" s="230">
        <f t="array" aca="1" ref="O169" ca="1">IF(OR(NOT(INDEX(ExistsTx,$I169,2)),$H169=0),0,INDIRECT("'T"&amp;$I169&amp;"'!$P$"&amp;($J169+5),TRUE)+((1000-ROW())/10000000000000))</f>
        <v>0</v>
      </c>
      <c r="P169" s="230">
        <f t="array" aca="1" ref="P169" ca="1">IF(OR(NOT(INDEX(ExistsTx,$I169,2)),$H169=0),0,INDIRECT("'T"&amp;$I169&amp;"'!$Q$"&amp;($J169+5),TRUE)+((1000-ROW())/10000000000000))</f>
        <v>0</v>
      </c>
      <c r="Q169" s="230">
        <f t="shared" ca="1" si="44"/>
        <v>1.0684285724970001E-6</v>
      </c>
      <c r="R169" s="230"/>
      <c r="S169" s="230"/>
      <c r="T169" s="230"/>
      <c r="U169" s="230"/>
      <c r="V169" s="230"/>
      <c r="W169" s="230"/>
      <c r="X169" s="229"/>
      <c r="Y169" s="229"/>
      <c r="Z169" s="229"/>
      <c r="AA169" s="230"/>
      <c r="AB169" s="230"/>
      <c r="AC169" s="230"/>
      <c r="AD169" s="229"/>
      <c r="AE169" s="230"/>
    </row>
    <row r="170" spans="1:31" ht="12.75" customHeight="1">
      <c r="A170" s="229" t="str">
        <f t="shared" ca="1" si="38"/>
        <v/>
      </c>
      <c r="B170" s="229" t="str">
        <f t="shared" ca="1" si="39"/>
        <v/>
      </c>
      <c r="C170" s="229" t="str">
        <f t="shared" ca="1" si="40"/>
        <v/>
      </c>
      <c r="D170" s="229" t="str">
        <f t="shared" ca="1" si="41"/>
        <v/>
      </c>
      <c r="E170" s="229" t="str">
        <f t="shared" ca="1" si="42"/>
        <v/>
      </c>
      <c r="F170" s="229" t="str">
        <f t="shared" ca="1" si="43"/>
        <v/>
      </c>
      <c r="G170" s="230" t="str">
        <f t="array" aca="1" ref="G170" ca="1">IF(INDEX(ExistsTx,$I170,2),IF(INDIRECT("'T"&amp;$I170&amp;"'!$D$"&amp;($J170+5),TRUE)=0,T_NoName,INDIRECT("'T"&amp;$I170&amp;"'!$D$"&amp;($J170+5),TRUE)),"")</f>
        <v/>
      </c>
      <c r="H170" s="230">
        <f t="array" aca="1" ref="H170" ca="1">IF(INDEX(ExistsTx,$I170,2),INDIRECT("'T"&amp;$I170&amp;"'!$E$"&amp;($J170+5),TRUE),0)</f>
        <v>0</v>
      </c>
      <c r="I170" s="229">
        <v>11</v>
      </c>
      <c r="J170" s="229">
        <v>8</v>
      </c>
      <c r="K170" s="230" t="str">
        <f t="array" aca="1" ref="K170" ca="1">INDEX(ListTeams,$I170,1)</f>
        <v/>
      </c>
      <c r="L170" s="230">
        <f t="array" aca="1" ref="L170" ca="1">IF(OR(NOT(INDEX(ExistsTx,$I170,2)),$H170=0),0,INDIRECT("'T"&amp;$I170&amp;"'!$M$"&amp;($J170+5),TRUE)+((1000-ROW())/10000000000000))</f>
        <v>0</v>
      </c>
      <c r="M170" s="230">
        <f t="array" aca="1" ref="M170" ca="1">IF(OR(NOT(INDEX(ExistsTx,$I170,2)),$H170=0),0,INDIRECT("'T"&amp;$I170&amp;"'!$N$"&amp;($J170+5),TRUE)+((1000-ROW())/10000000000000))</f>
        <v>0</v>
      </c>
      <c r="N170" s="230">
        <f t="array" aca="1" ref="N170" ca="1">IF(OR(NOT(INDEX(ExistsTx,$I170,2)),$H170=0),0,INDIRECT("'T"&amp;$I170&amp;"'!$O$"&amp;($J170+5),TRUE)+((1000-ROW())/10000000000000))</f>
        <v>0</v>
      </c>
      <c r="O170" s="230">
        <f t="array" aca="1" ref="O170" ca="1">IF(OR(NOT(INDEX(ExistsTx,$I170,2)),$H170=0),0,INDIRECT("'T"&amp;$I170&amp;"'!$P$"&amp;($J170+5),TRUE)+((1000-ROW())/10000000000000))</f>
        <v>0</v>
      </c>
      <c r="P170" s="230">
        <f t="array" aca="1" ref="P170" ca="1">IF(OR(NOT(INDEX(ExistsTx,$I170,2)),$H170=0),0,INDIRECT("'T"&amp;$I170&amp;"'!$Q$"&amp;($J170+5),TRUE)+((1000-ROW())/10000000000000))</f>
        <v>0</v>
      </c>
      <c r="Q170" s="230">
        <f t="shared" ca="1" si="44"/>
        <v>1.06714285821E-6</v>
      </c>
      <c r="R170" s="230"/>
      <c r="S170" s="230"/>
      <c r="T170" s="230"/>
      <c r="U170" s="230"/>
      <c r="V170" s="230"/>
      <c r="W170" s="230"/>
      <c r="X170" s="229"/>
      <c r="Y170" s="229"/>
      <c r="Z170" s="229"/>
      <c r="AA170" s="230"/>
      <c r="AB170" s="230"/>
      <c r="AC170" s="230"/>
      <c r="AD170" s="229"/>
      <c r="AE170" s="230"/>
    </row>
    <row r="171" spans="1:31" ht="12.75" customHeight="1">
      <c r="A171" s="229" t="str">
        <f t="shared" ca="1" si="38"/>
        <v/>
      </c>
      <c r="B171" s="229" t="str">
        <f t="shared" ca="1" si="39"/>
        <v/>
      </c>
      <c r="C171" s="229" t="str">
        <f t="shared" ca="1" si="40"/>
        <v/>
      </c>
      <c r="D171" s="229" t="str">
        <f t="shared" ca="1" si="41"/>
        <v/>
      </c>
      <c r="E171" s="229" t="str">
        <f t="shared" ca="1" si="42"/>
        <v/>
      </c>
      <c r="F171" s="229" t="str">
        <f t="shared" ca="1" si="43"/>
        <v/>
      </c>
      <c r="G171" s="230" t="str">
        <f t="array" aca="1" ref="G171" ca="1">IF(INDEX(ExistsTx,$I171,2),IF(INDIRECT("'T"&amp;$I171&amp;"'!$D$"&amp;($J171+5),TRUE)=0,T_NoName,INDIRECT("'T"&amp;$I171&amp;"'!$D$"&amp;($J171+5),TRUE)),"")</f>
        <v/>
      </c>
      <c r="H171" s="230">
        <f t="array" aca="1" ref="H171" ca="1">IF(INDEX(ExistsTx,$I171,2),INDIRECT("'T"&amp;$I171&amp;"'!$E$"&amp;($J171+5),TRUE),0)</f>
        <v>0</v>
      </c>
      <c r="I171" s="229">
        <v>11</v>
      </c>
      <c r="J171" s="229">
        <v>9</v>
      </c>
      <c r="K171" s="230" t="str">
        <f t="array" aca="1" ref="K171" ca="1">INDEX(ListTeams,$I171,1)</f>
        <v/>
      </c>
      <c r="L171" s="230">
        <f t="array" aca="1" ref="L171" ca="1">IF(OR(NOT(INDEX(ExistsTx,$I171,2)),$H171=0),0,INDIRECT("'T"&amp;$I171&amp;"'!$M$"&amp;($J171+5),TRUE)+((1000-ROW())/10000000000000))</f>
        <v>0</v>
      </c>
      <c r="M171" s="230">
        <f t="array" aca="1" ref="M171" ca="1">IF(OR(NOT(INDEX(ExistsTx,$I171,2)),$H171=0),0,INDIRECT("'T"&amp;$I171&amp;"'!$N$"&amp;($J171+5),TRUE)+((1000-ROW())/10000000000000))</f>
        <v>0</v>
      </c>
      <c r="N171" s="230">
        <f t="array" aca="1" ref="N171" ca="1">IF(OR(NOT(INDEX(ExistsTx,$I171,2)),$H171=0),0,INDIRECT("'T"&amp;$I171&amp;"'!$O$"&amp;($J171+5),TRUE)+((1000-ROW())/10000000000000))</f>
        <v>0</v>
      </c>
      <c r="O171" s="230">
        <f t="array" aca="1" ref="O171" ca="1">IF(OR(NOT(INDEX(ExistsTx,$I171,2)),$H171=0),0,INDIRECT("'T"&amp;$I171&amp;"'!$P$"&amp;($J171+5),TRUE)+((1000-ROW())/10000000000000))</f>
        <v>0</v>
      </c>
      <c r="P171" s="230">
        <f t="array" aca="1" ref="P171" ca="1">IF(OR(NOT(INDEX(ExistsTx,$I171,2)),$H171=0),0,INDIRECT("'T"&amp;$I171&amp;"'!$Q$"&amp;($J171+5),TRUE)+((1000-ROW())/10000000000000))</f>
        <v>0</v>
      </c>
      <c r="Q171" s="230">
        <f t="shared" ca="1" si="44"/>
        <v>1.0658571439230001E-6</v>
      </c>
      <c r="R171" s="230"/>
      <c r="S171" s="230"/>
      <c r="T171" s="230"/>
      <c r="U171" s="230"/>
      <c r="V171" s="230"/>
      <c r="W171" s="230"/>
      <c r="X171" s="229"/>
      <c r="Y171" s="229"/>
      <c r="Z171" s="229"/>
      <c r="AA171" s="230"/>
      <c r="AB171" s="230"/>
      <c r="AC171" s="230"/>
      <c r="AD171" s="229"/>
      <c r="AE171" s="230"/>
    </row>
    <row r="172" spans="1:31" ht="12.75" customHeight="1">
      <c r="A172" s="229" t="str">
        <f t="shared" ca="1" si="38"/>
        <v/>
      </c>
      <c r="B172" s="229" t="str">
        <f t="shared" ca="1" si="39"/>
        <v/>
      </c>
      <c r="C172" s="229" t="str">
        <f t="shared" ca="1" si="40"/>
        <v/>
      </c>
      <c r="D172" s="229" t="str">
        <f t="shared" ca="1" si="41"/>
        <v/>
      </c>
      <c r="E172" s="229" t="str">
        <f t="shared" ca="1" si="42"/>
        <v/>
      </c>
      <c r="F172" s="229" t="str">
        <f t="shared" ca="1" si="43"/>
        <v/>
      </c>
      <c r="G172" s="230" t="str">
        <f t="array" aca="1" ref="G172" ca="1">IF(INDEX(ExistsTx,$I172,2),IF(INDIRECT("'T"&amp;$I172&amp;"'!$D$"&amp;($J172+5),TRUE)=0,T_NoName,INDIRECT("'T"&amp;$I172&amp;"'!$D$"&amp;($J172+5),TRUE)),"")</f>
        <v/>
      </c>
      <c r="H172" s="230">
        <f t="array" aca="1" ref="H172" ca="1">IF(INDEX(ExistsTx,$I172,2),INDIRECT("'T"&amp;$I172&amp;"'!$E$"&amp;($J172+5),TRUE),0)</f>
        <v>0</v>
      </c>
      <c r="I172" s="229">
        <v>11</v>
      </c>
      <c r="J172" s="229">
        <v>10</v>
      </c>
      <c r="K172" s="230" t="str">
        <f t="array" aca="1" ref="K172" ca="1">INDEX(ListTeams,$I172,1)</f>
        <v/>
      </c>
      <c r="L172" s="230">
        <f t="array" aca="1" ref="L172" ca="1">IF(OR(NOT(INDEX(ExistsTx,$I172,2)),$H172=0),0,INDIRECT("'T"&amp;$I172&amp;"'!$M$"&amp;($J172+5),TRUE)+((1000-ROW())/10000000000000))</f>
        <v>0</v>
      </c>
      <c r="M172" s="230">
        <f t="array" aca="1" ref="M172" ca="1">IF(OR(NOT(INDEX(ExistsTx,$I172,2)),$H172=0),0,INDIRECT("'T"&amp;$I172&amp;"'!$N$"&amp;($J172+5),TRUE)+((1000-ROW())/10000000000000))</f>
        <v>0</v>
      </c>
      <c r="N172" s="230">
        <f t="array" aca="1" ref="N172" ca="1">IF(OR(NOT(INDEX(ExistsTx,$I172,2)),$H172=0),0,INDIRECT("'T"&amp;$I172&amp;"'!$O$"&amp;($J172+5),TRUE)+((1000-ROW())/10000000000000))</f>
        <v>0</v>
      </c>
      <c r="O172" s="230">
        <f t="array" aca="1" ref="O172" ca="1">IF(OR(NOT(INDEX(ExistsTx,$I172,2)),$H172=0),0,INDIRECT("'T"&amp;$I172&amp;"'!$P$"&amp;($J172+5),TRUE)+((1000-ROW())/10000000000000))</f>
        <v>0</v>
      </c>
      <c r="P172" s="230">
        <f t="array" aca="1" ref="P172" ca="1">IF(OR(NOT(INDEX(ExistsTx,$I172,2)),$H172=0),0,INDIRECT("'T"&amp;$I172&amp;"'!$Q$"&amp;($J172+5),TRUE)+((1000-ROW())/10000000000000))</f>
        <v>0</v>
      </c>
      <c r="Q172" s="230">
        <f t="shared" ca="1" si="44"/>
        <v>1.0645714296359999E-6</v>
      </c>
      <c r="R172" s="230"/>
      <c r="S172" s="230"/>
      <c r="T172" s="230"/>
      <c r="U172" s="230"/>
      <c r="V172" s="230"/>
      <c r="W172" s="230"/>
      <c r="X172" s="229"/>
      <c r="Y172" s="229"/>
      <c r="Z172" s="229"/>
      <c r="AA172" s="230"/>
      <c r="AB172" s="230"/>
      <c r="AC172" s="230"/>
      <c r="AD172" s="229"/>
      <c r="AE172" s="230"/>
    </row>
    <row r="173" spans="1:31" ht="12.75" customHeight="1">
      <c r="A173" s="229" t="str">
        <f t="shared" ca="1" si="38"/>
        <v/>
      </c>
      <c r="B173" s="229" t="str">
        <f t="shared" ca="1" si="39"/>
        <v/>
      </c>
      <c r="C173" s="229" t="str">
        <f t="shared" ca="1" si="40"/>
        <v/>
      </c>
      <c r="D173" s="229" t="str">
        <f t="shared" ca="1" si="41"/>
        <v/>
      </c>
      <c r="E173" s="229" t="str">
        <f t="shared" ca="1" si="42"/>
        <v/>
      </c>
      <c r="F173" s="229" t="str">
        <f t="shared" ca="1" si="43"/>
        <v/>
      </c>
      <c r="G173" s="230" t="str">
        <f t="array" aca="1" ref="G173" ca="1">IF(INDEX(ExistsTx,$I173,2),IF(INDIRECT("'T"&amp;$I173&amp;"'!$D$"&amp;($J173+5),TRUE)=0,T_NoName,INDIRECT("'T"&amp;$I173&amp;"'!$D$"&amp;($J173+5),TRUE)),"")</f>
        <v/>
      </c>
      <c r="H173" s="230">
        <f t="array" aca="1" ref="H173" ca="1">IF(INDEX(ExistsTx,$I173,2),INDIRECT("'T"&amp;$I173&amp;"'!$E$"&amp;($J173+5),TRUE),0)</f>
        <v>0</v>
      </c>
      <c r="I173" s="229">
        <v>11</v>
      </c>
      <c r="J173" s="229">
        <v>11</v>
      </c>
      <c r="K173" s="230" t="str">
        <f t="array" aca="1" ref="K173" ca="1">INDEX(ListTeams,$I173,1)</f>
        <v/>
      </c>
      <c r="L173" s="230">
        <f t="array" aca="1" ref="L173" ca="1">IF(OR(NOT(INDEX(ExistsTx,$I173,2)),$H173=0),0,INDIRECT("'T"&amp;$I173&amp;"'!$M$"&amp;($J173+5),TRUE)+((1000-ROW())/10000000000000))</f>
        <v>0</v>
      </c>
      <c r="M173" s="230">
        <f t="array" aca="1" ref="M173" ca="1">IF(OR(NOT(INDEX(ExistsTx,$I173,2)),$H173=0),0,INDIRECT("'T"&amp;$I173&amp;"'!$N$"&amp;($J173+5),TRUE)+((1000-ROW())/10000000000000))</f>
        <v>0</v>
      </c>
      <c r="N173" s="230">
        <f t="array" aca="1" ref="N173" ca="1">IF(OR(NOT(INDEX(ExistsTx,$I173,2)),$H173=0),0,INDIRECT("'T"&amp;$I173&amp;"'!$O$"&amp;($J173+5),TRUE)+((1000-ROW())/10000000000000))</f>
        <v>0</v>
      </c>
      <c r="O173" s="230">
        <f t="array" aca="1" ref="O173" ca="1">IF(OR(NOT(INDEX(ExistsTx,$I173,2)),$H173=0),0,INDIRECT("'T"&amp;$I173&amp;"'!$P$"&amp;($J173+5),TRUE)+((1000-ROW())/10000000000000))</f>
        <v>0</v>
      </c>
      <c r="P173" s="230">
        <f t="array" aca="1" ref="P173" ca="1">IF(OR(NOT(INDEX(ExistsTx,$I173,2)),$H173=0),0,INDIRECT("'T"&amp;$I173&amp;"'!$Q$"&amp;($J173+5),TRUE)+((1000-ROW())/10000000000000))</f>
        <v>0</v>
      </c>
      <c r="Q173" s="230">
        <f t="shared" ca="1" si="44"/>
        <v>1.063285715349E-6</v>
      </c>
      <c r="R173" s="230"/>
      <c r="S173" s="230"/>
      <c r="T173" s="230"/>
      <c r="U173" s="230"/>
      <c r="V173" s="230"/>
      <c r="W173" s="230"/>
      <c r="X173" s="229"/>
      <c r="Y173" s="229"/>
      <c r="Z173" s="229"/>
      <c r="AA173" s="230"/>
      <c r="AB173" s="230"/>
      <c r="AC173" s="230"/>
      <c r="AD173" s="229"/>
      <c r="AE173" s="230"/>
    </row>
    <row r="174" spans="1:31" ht="12.75" customHeight="1">
      <c r="A174" s="229" t="str">
        <f t="shared" ca="1" si="38"/>
        <v/>
      </c>
      <c r="B174" s="229" t="str">
        <f t="shared" ca="1" si="39"/>
        <v/>
      </c>
      <c r="C174" s="229" t="str">
        <f t="shared" ca="1" si="40"/>
        <v/>
      </c>
      <c r="D174" s="229" t="str">
        <f t="shared" ca="1" si="41"/>
        <v/>
      </c>
      <c r="E174" s="229" t="str">
        <f t="shared" ca="1" si="42"/>
        <v/>
      </c>
      <c r="F174" s="229" t="str">
        <f t="shared" ca="1" si="43"/>
        <v/>
      </c>
      <c r="G174" s="230" t="str">
        <f t="array" aca="1" ref="G174" ca="1">IF(INDEX(ExistsTx,$I174,2),IF(INDIRECT("'T"&amp;$I174&amp;"'!$D$"&amp;($J174+5),TRUE)=0,T_NoName,INDIRECT("'T"&amp;$I174&amp;"'!$D$"&amp;($J174+5),TRUE)),"")</f>
        <v/>
      </c>
      <c r="H174" s="230">
        <f t="array" aca="1" ref="H174" ca="1">IF(INDEX(ExistsTx,$I174,2),INDIRECT("'T"&amp;$I174&amp;"'!$E$"&amp;($J174+5),TRUE),0)</f>
        <v>0</v>
      </c>
      <c r="I174" s="229">
        <v>11</v>
      </c>
      <c r="J174" s="229">
        <v>12</v>
      </c>
      <c r="K174" s="230" t="str">
        <f t="array" aca="1" ref="K174" ca="1">INDEX(ListTeams,$I174,1)</f>
        <v/>
      </c>
      <c r="L174" s="230">
        <f t="array" aca="1" ref="L174" ca="1">IF(OR(NOT(INDEX(ExistsTx,$I174,2)),$H174=0),0,INDIRECT("'T"&amp;$I174&amp;"'!$M$"&amp;($J174+5),TRUE)+((1000-ROW())/10000000000000))</f>
        <v>0</v>
      </c>
      <c r="M174" s="230">
        <f t="array" aca="1" ref="M174" ca="1">IF(OR(NOT(INDEX(ExistsTx,$I174,2)),$H174=0),0,INDIRECT("'T"&amp;$I174&amp;"'!$N$"&amp;($J174+5),TRUE)+((1000-ROW())/10000000000000))</f>
        <v>0</v>
      </c>
      <c r="N174" s="230">
        <f t="array" aca="1" ref="N174" ca="1">IF(OR(NOT(INDEX(ExistsTx,$I174,2)),$H174=0),0,INDIRECT("'T"&amp;$I174&amp;"'!$O$"&amp;($J174+5),TRUE)+((1000-ROW())/10000000000000))</f>
        <v>0</v>
      </c>
      <c r="O174" s="230">
        <f t="array" aca="1" ref="O174" ca="1">IF(OR(NOT(INDEX(ExistsTx,$I174,2)),$H174=0),0,INDIRECT("'T"&amp;$I174&amp;"'!$P$"&amp;($J174+5),TRUE)+((1000-ROW())/10000000000000))</f>
        <v>0</v>
      </c>
      <c r="P174" s="230">
        <f t="array" aca="1" ref="P174" ca="1">IF(OR(NOT(INDEX(ExistsTx,$I174,2)),$H174=0),0,INDIRECT("'T"&amp;$I174&amp;"'!$Q$"&amp;($J174+5),TRUE)+((1000-ROW())/10000000000000))</f>
        <v>0</v>
      </c>
      <c r="Q174" s="230">
        <f t="shared" ca="1" si="44"/>
        <v>1.0620000010619999E-6</v>
      </c>
      <c r="R174" s="230"/>
      <c r="S174" s="230"/>
      <c r="T174" s="230"/>
      <c r="U174" s="230"/>
      <c r="V174" s="230"/>
      <c r="W174" s="230"/>
      <c r="X174" s="229"/>
      <c r="Y174" s="229"/>
      <c r="Z174" s="229"/>
      <c r="AA174" s="230"/>
      <c r="AB174" s="230"/>
      <c r="AC174" s="230"/>
      <c r="AD174" s="229"/>
      <c r="AE174" s="230"/>
    </row>
    <row r="175" spans="1:31" ht="12.75" customHeight="1">
      <c r="A175" s="229" t="str">
        <f t="shared" ca="1" si="38"/>
        <v/>
      </c>
      <c r="B175" s="229" t="str">
        <f t="shared" ca="1" si="39"/>
        <v/>
      </c>
      <c r="C175" s="229" t="str">
        <f t="shared" ca="1" si="40"/>
        <v/>
      </c>
      <c r="D175" s="229" t="str">
        <f t="shared" ca="1" si="41"/>
        <v/>
      </c>
      <c r="E175" s="229" t="str">
        <f t="shared" ca="1" si="42"/>
        <v/>
      </c>
      <c r="F175" s="229" t="str">
        <f t="shared" ca="1" si="43"/>
        <v/>
      </c>
      <c r="G175" s="230" t="str">
        <f t="array" aca="1" ref="G175" ca="1">IF(INDEX(ExistsTx,$I175,2),IF(INDIRECT("'T"&amp;$I175&amp;"'!$D$"&amp;($J175+5),TRUE)=0,T_NoName,INDIRECT("'T"&amp;$I175&amp;"'!$D$"&amp;($J175+5),TRUE)),"")</f>
        <v/>
      </c>
      <c r="H175" s="230">
        <f t="array" aca="1" ref="H175" ca="1">IF(INDEX(ExistsTx,$I175,2),INDIRECT("'T"&amp;$I175&amp;"'!$E$"&amp;($J175+5),TRUE),0)</f>
        <v>0</v>
      </c>
      <c r="I175" s="229">
        <v>11</v>
      </c>
      <c r="J175" s="229">
        <v>13</v>
      </c>
      <c r="K175" s="230" t="str">
        <f t="array" aca="1" ref="K175" ca="1">INDEX(ListTeams,$I175,1)</f>
        <v/>
      </c>
      <c r="L175" s="230">
        <f t="array" aca="1" ref="L175" ca="1">IF(OR(NOT(INDEX(ExistsTx,$I175,2)),$H175=0),0,INDIRECT("'T"&amp;$I175&amp;"'!$M$"&amp;($J175+5),TRUE)+((1000-ROW())/10000000000000))</f>
        <v>0</v>
      </c>
      <c r="M175" s="230">
        <f t="array" aca="1" ref="M175" ca="1">IF(OR(NOT(INDEX(ExistsTx,$I175,2)),$H175=0),0,INDIRECT("'T"&amp;$I175&amp;"'!$N$"&amp;($J175+5),TRUE)+((1000-ROW())/10000000000000))</f>
        <v>0</v>
      </c>
      <c r="N175" s="230">
        <f t="array" aca="1" ref="N175" ca="1">IF(OR(NOT(INDEX(ExistsTx,$I175,2)),$H175=0),0,INDIRECT("'T"&amp;$I175&amp;"'!$O$"&amp;($J175+5),TRUE)+((1000-ROW())/10000000000000))</f>
        <v>0</v>
      </c>
      <c r="O175" s="230">
        <f t="array" aca="1" ref="O175" ca="1">IF(OR(NOT(INDEX(ExistsTx,$I175,2)),$H175=0),0,INDIRECT("'T"&amp;$I175&amp;"'!$P$"&amp;($J175+5),TRUE)+((1000-ROW())/10000000000000))</f>
        <v>0</v>
      </c>
      <c r="P175" s="230">
        <f t="array" aca="1" ref="P175" ca="1">IF(OR(NOT(INDEX(ExistsTx,$I175,2)),$H175=0),0,INDIRECT("'T"&amp;$I175&amp;"'!$Q$"&amp;($J175+5),TRUE)+((1000-ROW())/10000000000000))</f>
        <v>0</v>
      </c>
      <c r="Q175" s="230">
        <f t="shared" ca="1" si="44"/>
        <v>1.060714286775E-6</v>
      </c>
      <c r="R175" s="230"/>
      <c r="S175" s="230"/>
      <c r="T175" s="230"/>
      <c r="U175" s="230"/>
      <c r="V175" s="230"/>
      <c r="W175" s="230"/>
      <c r="X175" s="229"/>
      <c r="Y175" s="229"/>
      <c r="Z175" s="229"/>
      <c r="AA175" s="230"/>
      <c r="AB175" s="230"/>
      <c r="AC175" s="230"/>
      <c r="AD175" s="229"/>
      <c r="AE175" s="230"/>
    </row>
    <row r="176" spans="1:31" ht="12.75" customHeight="1">
      <c r="A176" s="229" t="str">
        <f t="shared" ca="1" si="38"/>
        <v/>
      </c>
      <c r="B176" s="229" t="str">
        <f t="shared" ca="1" si="39"/>
        <v/>
      </c>
      <c r="C176" s="229" t="str">
        <f t="shared" ca="1" si="40"/>
        <v/>
      </c>
      <c r="D176" s="229" t="str">
        <f t="shared" ca="1" si="41"/>
        <v/>
      </c>
      <c r="E176" s="229" t="str">
        <f t="shared" ca="1" si="42"/>
        <v/>
      </c>
      <c r="F176" s="229" t="str">
        <f t="shared" ca="1" si="43"/>
        <v/>
      </c>
      <c r="G176" s="230" t="str">
        <f t="array" aca="1" ref="G176" ca="1">IF(INDEX(ExistsTx,$I176,2),IF(INDIRECT("'T"&amp;$I176&amp;"'!$D$"&amp;($J176+5),TRUE)=0,T_NoName,INDIRECT("'T"&amp;$I176&amp;"'!$D$"&amp;($J176+5),TRUE)),"")</f>
        <v/>
      </c>
      <c r="H176" s="230">
        <f t="array" aca="1" ref="H176" ca="1">IF(INDEX(ExistsTx,$I176,2),INDIRECT("'T"&amp;$I176&amp;"'!$E$"&amp;($J176+5),TRUE),0)</f>
        <v>0</v>
      </c>
      <c r="I176" s="229">
        <v>11</v>
      </c>
      <c r="J176" s="229">
        <v>14</v>
      </c>
      <c r="K176" s="230" t="str">
        <f t="array" aca="1" ref="K176" ca="1">INDEX(ListTeams,$I176,1)</f>
        <v/>
      </c>
      <c r="L176" s="230">
        <f t="array" aca="1" ref="L176" ca="1">IF(OR(NOT(INDEX(ExistsTx,$I176,2)),$H176=0),0,INDIRECT("'T"&amp;$I176&amp;"'!$M$"&amp;($J176+5),TRUE)+((1000-ROW())/10000000000000))</f>
        <v>0</v>
      </c>
      <c r="M176" s="230">
        <f t="array" aca="1" ref="M176" ca="1">IF(OR(NOT(INDEX(ExistsTx,$I176,2)),$H176=0),0,INDIRECT("'T"&amp;$I176&amp;"'!$N$"&amp;($J176+5),TRUE)+((1000-ROW())/10000000000000))</f>
        <v>0</v>
      </c>
      <c r="N176" s="230">
        <f t="array" aca="1" ref="N176" ca="1">IF(OR(NOT(INDEX(ExistsTx,$I176,2)),$H176=0),0,INDIRECT("'T"&amp;$I176&amp;"'!$O$"&amp;($J176+5),TRUE)+((1000-ROW())/10000000000000))</f>
        <v>0</v>
      </c>
      <c r="O176" s="230">
        <f t="array" aca="1" ref="O176" ca="1">IF(OR(NOT(INDEX(ExistsTx,$I176,2)),$H176=0),0,INDIRECT("'T"&amp;$I176&amp;"'!$P$"&amp;($J176+5),TRUE)+((1000-ROW())/10000000000000))</f>
        <v>0</v>
      </c>
      <c r="P176" s="230">
        <f t="array" aca="1" ref="P176" ca="1">IF(OR(NOT(INDEX(ExistsTx,$I176,2)),$H176=0),0,INDIRECT("'T"&amp;$I176&amp;"'!$Q$"&amp;($J176+5),TRUE)+((1000-ROW())/10000000000000))</f>
        <v>0</v>
      </c>
      <c r="Q176" s="230">
        <f t="shared" ca="1" si="44"/>
        <v>1.0594285724880001E-6</v>
      </c>
      <c r="R176" s="230"/>
      <c r="S176" s="230"/>
      <c r="T176" s="230"/>
      <c r="U176" s="230"/>
      <c r="V176" s="230"/>
      <c r="W176" s="230"/>
      <c r="X176" s="229"/>
      <c r="Y176" s="229"/>
      <c r="Z176" s="229"/>
      <c r="AA176" s="230"/>
      <c r="AB176" s="230"/>
      <c r="AC176" s="230"/>
      <c r="AD176" s="229"/>
      <c r="AE176" s="230"/>
    </row>
    <row r="177" spans="1:31" ht="12.75" customHeight="1">
      <c r="A177" s="229" t="str">
        <f t="shared" ca="1" si="38"/>
        <v/>
      </c>
      <c r="B177" s="229" t="str">
        <f t="shared" ca="1" si="39"/>
        <v/>
      </c>
      <c r="C177" s="229" t="str">
        <f t="shared" ca="1" si="40"/>
        <v/>
      </c>
      <c r="D177" s="229" t="str">
        <f t="shared" ca="1" si="41"/>
        <v/>
      </c>
      <c r="E177" s="229" t="str">
        <f t="shared" ca="1" si="42"/>
        <v/>
      </c>
      <c r="F177" s="229" t="str">
        <f t="shared" ca="1" si="43"/>
        <v/>
      </c>
      <c r="G177" s="230" t="str">
        <f t="array" aca="1" ref="G177" ca="1">IF(INDEX(ExistsTx,$I177,2),IF(INDIRECT("'T"&amp;$I177&amp;"'!$D$"&amp;($J177+5),TRUE)=0,T_NoName,INDIRECT("'T"&amp;$I177&amp;"'!$D$"&amp;($J177+5),TRUE)),"")</f>
        <v/>
      </c>
      <c r="H177" s="230">
        <f t="array" aca="1" ref="H177" ca="1">IF(INDEX(ExistsTx,$I177,2),INDIRECT("'T"&amp;$I177&amp;"'!$E$"&amp;($J177+5),TRUE),0)</f>
        <v>0</v>
      </c>
      <c r="I177" s="229">
        <v>11</v>
      </c>
      <c r="J177" s="229">
        <v>15</v>
      </c>
      <c r="K177" s="230" t="str">
        <f t="array" aca="1" ref="K177" ca="1">INDEX(ListTeams,$I177,1)</f>
        <v/>
      </c>
      <c r="L177" s="230">
        <f t="array" aca="1" ref="L177" ca="1">IF(OR(NOT(INDEX(ExistsTx,$I177,2)),$H177=0),0,INDIRECT("'T"&amp;$I177&amp;"'!$M$"&amp;($J177+5),TRUE)+((1000-ROW())/10000000000000))</f>
        <v>0</v>
      </c>
      <c r="M177" s="230">
        <f t="array" aca="1" ref="M177" ca="1">IF(OR(NOT(INDEX(ExistsTx,$I177,2)),$H177=0),0,INDIRECT("'T"&amp;$I177&amp;"'!$N$"&amp;($J177+5),TRUE)+((1000-ROW())/10000000000000))</f>
        <v>0</v>
      </c>
      <c r="N177" s="230">
        <f t="array" aca="1" ref="N177" ca="1">IF(OR(NOT(INDEX(ExistsTx,$I177,2)),$H177=0),0,INDIRECT("'T"&amp;$I177&amp;"'!$O$"&amp;($J177+5),TRUE)+((1000-ROW())/10000000000000))</f>
        <v>0</v>
      </c>
      <c r="O177" s="230">
        <f t="array" aca="1" ref="O177" ca="1">IF(OR(NOT(INDEX(ExistsTx,$I177,2)),$H177=0),0,INDIRECT("'T"&amp;$I177&amp;"'!$P$"&amp;($J177+5),TRUE)+((1000-ROW())/10000000000000))</f>
        <v>0</v>
      </c>
      <c r="P177" s="230">
        <f t="array" aca="1" ref="P177" ca="1">IF(OR(NOT(INDEX(ExistsTx,$I177,2)),$H177=0),0,INDIRECT("'T"&amp;$I177&amp;"'!$Q$"&amp;($J177+5),TRUE)+((1000-ROW())/10000000000000))</f>
        <v>0</v>
      </c>
      <c r="Q177" s="230">
        <f t="shared" ca="1" si="44"/>
        <v>1.058142858201E-6</v>
      </c>
      <c r="R177" s="230"/>
      <c r="S177" s="230"/>
      <c r="T177" s="230"/>
      <c r="U177" s="230"/>
      <c r="V177" s="230"/>
      <c r="W177" s="230"/>
      <c r="X177" s="229"/>
      <c r="Y177" s="229"/>
      <c r="Z177" s="229"/>
      <c r="AA177" s="230"/>
      <c r="AB177" s="230"/>
      <c r="AC177" s="230"/>
      <c r="AD177" s="229"/>
      <c r="AE177" s="230"/>
    </row>
    <row r="178" spans="1:31" ht="12.75" customHeight="1">
      <c r="A178" s="229" t="str">
        <f t="shared" ca="1" si="38"/>
        <v/>
      </c>
      <c r="B178" s="229" t="str">
        <f t="shared" ca="1" si="39"/>
        <v/>
      </c>
      <c r="C178" s="229" t="str">
        <f t="shared" ca="1" si="40"/>
        <v/>
      </c>
      <c r="D178" s="229" t="str">
        <f t="shared" ca="1" si="41"/>
        <v/>
      </c>
      <c r="E178" s="229" t="str">
        <f t="shared" ca="1" si="42"/>
        <v/>
      </c>
      <c r="F178" s="229" t="str">
        <f t="shared" ca="1" si="43"/>
        <v/>
      </c>
      <c r="G178" s="230" t="str">
        <f t="array" aca="1" ref="G178" ca="1">IF(INDEX(ExistsTx,$I178,2),IF(INDIRECT("'T"&amp;$I178&amp;"'!$D$"&amp;($J178+5),TRUE)=0,T_NoName,INDIRECT("'T"&amp;$I178&amp;"'!$D$"&amp;($J178+5),TRUE)),"")</f>
        <v/>
      </c>
      <c r="H178" s="230">
        <f t="array" aca="1" ref="H178" ca="1">IF(INDEX(ExistsTx,$I178,2),INDIRECT("'T"&amp;$I178&amp;"'!$E$"&amp;($J178+5),TRUE),0)</f>
        <v>0</v>
      </c>
      <c r="I178" s="229">
        <v>11</v>
      </c>
      <c r="J178" s="229">
        <v>16</v>
      </c>
      <c r="K178" s="230" t="str">
        <f t="array" aca="1" ref="K178" ca="1">INDEX(ListTeams,$I178,1)</f>
        <v/>
      </c>
      <c r="L178" s="230">
        <f t="array" aca="1" ref="L178" ca="1">IF(OR(NOT(INDEX(ExistsTx,$I178,2)),$H178=0),0,INDIRECT("'T"&amp;$I178&amp;"'!$M$"&amp;($J178+5),TRUE)+((1000-ROW())/10000000000000))</f>
        <v>0</v>
      </c>
      <c r="M178" s="230">
        <f t="array" aca="1" ref="M178" ca="1">IF(OR(NOT(INDEX(ExistsTx,$I178,2)),$H178=0),0,INDIRECT("'T"&amp;$I178&amp;"'!$N$"&amp;($J178+5),TRUE)+((1000-ROW())/10000000000000))</f>
        <v>0</v>
      </c>
      <c r="N178" s="230">
        <f t="array" aca="1" ref="N178" ca="1">IF(OR(NOT(INDEX(ExistsTx,$I178,2)),$H178=0),0,INDIRECT("'T"&amp;$I178&amp;"'!$O$"&amp;($J178+5),TRUE)+((1000-ROW())/10000000000000))</f>
        <v>0</v>
      </c>
      <c r="O178" s="230">
        <f t="array" aca="1" ref="O178" ca="1">IF(OR(NOT(INDEX(ExistsTx,$I178,2)),$H178=0),0,INDIRECT("'T"&amp;$I178&amp;"'!$P$"&amp;($J178+5),TRUE)+((1000-ROW())/10000000000000))</f>
        <v>0</v>
      </c>
      <c r="P178" s="230">
        <f t="array" aca="1" ref="P178" ca="1">IF(OR(NOT(INDEX(ExistsTx,$I178,2)),$H178=0),0,INDIRECT("'T"&amp;$I178&amp;"'!$Q$"&amp;($J178+5),TRUE)+((1000-ROW())/10000000000000))</f>
        <v>0</v>
      </c>
      <c r="Q178" s="230">
        <f t="shared" ca="1" si="44"/>
        <v>1.0568571439140001E-6</v>
      </c>
      <c r="R178" s="230"/>
      <c r="S178" s="230"/>
      <c r="T178" s="230"/>
      <c r="U178" s="230"/>
      <c r="V178" s="230"/>
      <c r="W178" s="230"/>
      <c r="X178" s="229"/>
      <c r="Y178" s="229"/>
      <c r="Z178" s="229"/>
      <c r="AA178" s="230"/>
      <c r="AB178" s="230"/>
      <c r="AC178" s="230"/>
      <c r="AD178" s="229"/>
      <c r="AE178" s="230"/>
    </row>
    <row r="179" spans="1:31" ht="12.75" customHeight="1">
      <c r="A179" s="229" t="str">
        <f t="shared" ca="1" si="38"/>
        <v/>
      </c>
      <c r="B179" s="229" t="str">
        <f t="shared" ca="1" si="39"/>
        <v/>
      </c>
      <c r="C179" s="229" t="str">
        <f t="shared" ca="1" si="40"/>
        <v/>
      </c>
      <c r="D179" s="229" t="str">
        <f t="shared" ca="1" si="41"/>
        <v/>
      </c>
      <c r="E179" s="229" t="str">
        <f t="shared" ca="1" si="42"/>
        <v/>
      </c>
      <c r="F179" s="229" t="str">
        <f t="shared" ca="1" si="43"/>
        <v/>
      </c>
      <c r="G179" s="230" t="str">
        <f t="array" aca="1" ref="G179" ca="1">IF(INDEX(ExistsTx,$I179,2),IF(INDIRECT("'T"&amp;$I179&amp;"'!$D$"&amp;($J179+5),TRUE)=0,T_NoName,INDIRECT("'T"&amp;$I179&amp;"'!$D$"&amp;($J179+5),TRUE)),"")</f>
        <v/>
      </c>
      <c r="H179" s="230">
        <f t="array" aca="1" ref="H179" ca="1">IF(INDEX(ExistsTx,$I179,2),INDIRECT("'T"&amp;$I179&amp;"'!$E$"&amp;($J179+5),TRUE),0)</f>
        <v>0</v>
      </c>
      <c r="I179" s="229">
        <v>12</v>
      </c>
      <c r="J179" s="229">
        <v>1</v>
      </c>
      <c r="K179" s="230" t="str">
        <f t="array" aca="1" ref="K179" ca="1">INDEX(ListTeams,$I179,1)</f>
        <v/>
      </c>
      <c r="L179" s="230">
        <f t="array" aca="1" ref="L179" ca="1">IF(OR(NOT(INDEX(ExistsTx,$I179,2)),$H179=0),0,INDIRECT("'T"&amp;$I179&amp;"'!$M$"&amp;($J179+5),TRUE)+((1000-ROW())/10000000000000))</f>
        <v>0</v>
      </c>
      <c r="M179" s="230">
        <f t="array" aca="1" ref="M179" ca="1">IF(OR(NOT(INDEX(ExistsTx,$I179,2)),$H179=0),0,INDIRECT("'T"&amp;$I179&amp;"'!$N$"&amp;($J179+5),TRUE)+((1000-ROW())/10000000000000))</f>
        <v>0</v>
      </c>
      <c r="N179" s="230">
        <f t="array" aca="1" ref="N179" ca="1">IF(OR(NOT(INDEX(ExistsTx,$I179,2)),$H179=0),0,INDIRECT("'T"&amp;$I179&amp;"'!$O$"&amp;($J179+5),TRUE)+((1000-ROW())/10000000000000))</f>
        <v>0</v>
      </c>
      <c r="O179" s="230">
        <f t="array" aca="1" ref="O179" ca="1">IF(OR(NOT(INDEX(ExistsTx,$I179,2)),$H179=0),0,INDIRECT("'T"&amp;$I179&amp;"'!$P$"&amp;($J179+5),TRUE)+((1000-ROW())/10000000000000))</f>
        <v>0</v>
      </c>
      <c r="P179" s="230">
        <f t="array" aca="1" ref="P179" ca="1">IF(OR(NOT(INDEX(ExistsTx,$I179,2)),$H179=0),0,INDIRECT("'T"&amp;$I179&amp;"'!$Q$"&amp;($J179+5),TRUE)+((1000-ROW())/10000000000000))</f>
        <v>0</v>
      </c>
      <c r="Q179" s="230">
        <f t="shared" ca="1" si="44"/>
        <v>1.055571429627E-6</v>
      </c>
      <c r="R179" s="230"/>
      <c r="S179" s="230"/>
      <c r="T179" s="230"/>
      <c r="U179" s="230"/>
      <c r="V179" s="230"/>
      <c r="W179" s="230"/>
      <c r="X179" s="229"/>
      <c r="Y179" s="229"/>
      <c r="Z179" s="229"/>
      <c r="AA179" s="230"/>
      <c r="AB179" s="230"/>
      <c r="AC179" s="230"/>
      <c r="AD179" s="229"/>
      <c r="AE179" s="230"/>
    </row>
    <row r="180" spans="1:31" ht="12.75" customHeight="1">
      <c r="A180" s="229" t="str">
        <f t="shared" ca="1" si="38"/>
        <v/>
      </c>
      <c r="B180" s="229" t="str">
        <f t="shared" ca="1" si="39"/>
        <v/>
      </c>
      <c r="C180" s="229" t="str">
        <f t="shared" ca="1" si="40"/>
        <v/>
      </c>
      <c r="D180" s="229" t="str">
        <f t="shared" ca="1" si="41"/>
        <v/>
      </c>
      <c r="E180" s="229" t="str">
        <f t="shared" ca="1" si="42"/>
        <v/>
      </c>
      <c r="F180" s="229" t="str">
        <f t="shared" ca="1" si="43"/>
        <v/>
      </c>
      <c r="G180" s="230" t="str">
        <f t="array" aca="1" ref="G180" ca="1">IF(INDEX(ExistsTx,$I180,2),IF(INDIRECT("'T"&amp;$I180&amp;"'!$D$"&amp;($J180+5),TRUE)=0,T_NoName,INDIRECT("'T"&amp;$I180&amp;"'!$D$"&amp;($J180+5),TRUE)),"")</f>
        <v/>
      </c>
      <c r="H180" s="230">
        <f t="array" aca="1" ref="H180" ca="1">IF(INDEX(ExistsTx,$I180,2),INDIRECT("'T"&amp;$I180&amp;"'!$E$"&amp;($J180+5),TRUE),0)</f>
        <v>0</v>
      </c>
      <c r="I180" s="229">
        <v>12</v>
      </c>
      <c r="J180" s="229">
        <v>2</v>
      </c>
      <c r="K180" s="230" t="str">
        <f t="array" aca="1" ref="K180" ca="1">INDEX(ListTeams,$I180,1)</f>
        <v/>
      </c>
      <c r="L180" s="230">
        <f t="array" aca="1" ref="L180" ca="1">IF(OR(NOT(INDEX(ExistsTx,$I180,2)),$H180=0),0,INDIRECT("'T"&amp;$I180&amp;"'!$M$"&amp;($J180+5),TRUE)+((1000-ROW())/10000000000000))</f>
        <v>0</v>
      </c>
      <c r="M180" s="230">
        <f t="array" aca="1" ref="M180" ca="1">IF(OR(NOT(INDEX(ExistsTx,$I180,2)),$H180=0),0,INDIRECT("'T"&amp;$I180&amp;"'!$N$"&amp;($J180+5),TRUE)+((1000-ROW())/10000000000000))</f>
        <v>0</v>
      </c>
      <c r="N180" s="230">
        <f t="array" aca="1" ref="N180" ca="1">IF(OR(NOT(INDEX(ExistsTx,$I180,2)),$H180=0),0,INDIRECT("'T"&amp;$I180&amp;"'!$O$"&amp;($J180+5),TRUE)+((1000-ROW())/10000000000000))</f>
        <v>0</v>
      </c>
      <c r="O180" s="230">
        <f t="array" aca="1" ref="O180" ca="1">IF(OR(NOT(INDEX(ExistsTx,$I180,2)),$H180=0),0,INDIRECT("'T"&amp;$I180&amp;"'!$P$"&amp;($J180+5),TRUE)+((1000-ROW())/10000000000000))</f>
        <v>0</v>
      </c>
      <c r="P180" s="230">
        <f t="array" aca="1" ref="P180" ca="1">IF(OR(NOT(INDEX(ExistsTx,$I180,2)),$H180=0),0,INDIRECT("'T"&amp;$I180&amp;"'!$Q$"&amp;($J180+5),TRUE)+((1000-ROW())/10000000000000))</f>
        <v>0</v>
      </c>
      <c r="Q180" s="230">
        <f t="shared" ca="1" si="44"/>
        <v>1.0542857153400001E-6</v>
      </c>
      <c r="R180" s="230"/>
      <c r="S180" s="230"/>
      <c r="T180" s="230"/>
      <c r="U180" s="230"/>
      <c r="V180" s="230"/>
      <c r="W180" s="230"/>
      <c r="X180" s="229"/>
      <c r="Y180" s="229"/>
      <c r="Z180" s="229"/>
      <c r="AA180" s="230"/>
      <c r="AB180" s="230"/>
      <c r="AC180" s="230"/>
      <c r="AD180" s="229"/>
      <c r="AE180" s="230"/>
    </row>
    <row r="181" spans="1:31" ht="12.75" customHeight="1">
      <c r="A181" s="229" t="str">
        <f t="shared" ca="1" si="38"/>
        <v/>
      </c>
      <c r="B181" s="229" t="str">
        <f t="shared" ca="1" si="39"/>
        <v/>
      </c>
      <c r="C181" s="229" t="str">
        <f t="shared" ca="1" si="40"/>
        <v/>
      </c>
      <c r="D181" s="229" t="str">
        <f t="shared" ca="1" si="41"/>
        <v/>
      </c>
      <c r="E181" s="229" t="str">
        <f t="shared" ca="1" si="42"/>
        <v/>
      </c>
      <c r="F181" s="229" t="str">
        <f t="shared" ca="1" si="43"/>
        <v/>
      </c>
      <c r="G181" s="230" t="str">
        <f t="array" aca="1" ref="G181" ca="1">IF(INDEX(ExistsTx,$I181,2),IF(INDIRECT("'T"&amp;$I181&amp;"'!$D$"&amp;($J181+5),TRUE)=0,T_NoName,INDIRECT("'T"&amp;$I181&amp;"'!$D$"&amp;($J181+5),TRUE)),"")</f>
        <v/>
      </c>
      <c r="H181" s="230">
        <f t="array" aca="1" ref="H181" ca="1">IF(INDEX(ExistsTx,$I181,2),INDIRECT("'T"&amp;$I181&amp;"'!$E$"&amp;($J181+5),TRUE),0)</f>
        <v>0</v>
      </c>
      <c r="I181" s="229">
        <v>12</v>
      </c>
      <c r="J181" s="229">
        <v>3</v>
      </c>
      <c r="K181" s="230" t="str">
        <f t="array" aca="1" ref="K181" ca="1">INDEX(ListTeams,$I181,1)</f>
        <v/>
      </c>
      <c r="L181" s="230">
        <f t="array" aca="1" ref="L181" ca="1">IF(OR(NOT(INDEX(ExistsTx,$I181,2)),$H181=0),0,INDIRECT("'T"&amp;$I181&amp;"'!$M$"&amp;($J181+5),TRUE)+((1000-ROW())/10000000000000))</f>
        <v>0</v>
      </c>
      <c r="M181" s="230">
        <f t="array" aca="1" ref="M181" ca="1">IF(OR(NOT(INDEX(ExistsTx,$I181,2)),$H181=0),0,INDIRECT("'T"&amp;$I181&amp;"'!$N$"&amp;($J181+5),TRUE)+((1000-ROW())/10000000000000))</f>
        <v>0</v>
      </c>
      <c r="N181" s="230">
        <f t="array" aca="1" ref="N181" ca="1">IF(OR(NOT(INDEX(ExistsTx,$I181,2)),$H181=0),0,INDIRECT("'T"&amp;$I181&amp;"'!$O$"&amp;($J181+5),TRUE)+((1000-ROW())/10000000000000))</f>
        <v>0</v>
      </c>
      <c r="O181" s="230">
        <f t="array" aca="1" ref="O181" ca="1">IF(OR(NOT(INDEX(ExistsTx,$I181,2)),$H181=0),0,INDIRECT("'T"&amp;$I181&amp;"'!$P$"&amp;($J181+5),TRUE)+((1000-ROW())/10000000000000))</f>
        <v>0</v>
      </c>
      <c r="P181" s="230">
        <f t="array" aca="1" ref="P181" ca="1">IF(OR(NOT(INDEX(ExistsTx,$I181,2)),$H181=0),0,INDIRECT("'T"&amp;$I181&amp;"'!$Q$"&amp;($J181+5),TRUE)+((1000-ROW())/10000000000000))</f>
        <v>0</v>
      </c>
      <c r="Q181" s="230">
        <f t="shared" ca="1" si="44"/>
        <v>1.0530000010529999E-6</v>
      </c>
      <c r="R181" s="230"/>
      <c r="S181" s="230"/>
      <c r="T181" s="230"/>
      <c r="U181" s="230"/>
      <c r="V181" s="230"/>
      <c r="W181" s="230"/>
      <c r="X181" s="229"/>
      <c r="Y181" s="229"/>
      <c r="Z181" s="229"/>
      <c r="AA181" s="230"/>
      <c r="AB181" s="230"/>
      <c r="AC181" s="230"/>
      <c r="AD181" s="229"/>
      <c r="AE181" s="230"/>
    </row>
    <row r="182" spans="1:31" ht="12.75" customHeight="1">
      <c r="A182" s="229" t="str">
        <f t="shared" ca="1" si="38"/>
        <v/>
      </c>
      <c r="B182" s="229" t="str">
        <f t="shared" ca="1" si="39"/>
        <v/>
      </c>
      <c r="C182" s="229" t="str">
        <f t="shared" ca="1" si="40"/>
        <v/>
      </c>
      <c r="D182" s="229" t="str">
        <f t="shared" ca="1" si="41"/>
        <v/>
      </c>
      <c r="E182" s="229" t="str">
        <f t="shared" ca="1" si="42"/>
        <v/>
      </c>
      <c r="F182" s="229" t="str">
        <f t="shared" ca="1" si="43"/>
        <v/>
      </c>
      <c r="G182" s="230" t="str">
        <f t="array" aca="1" ref="G182" ca="1">IF(INDEX(ExistsTx,$I182,2),IF(INDIRECT("'T"&amp;$I182&amp;"'!$D$"&amp;($J182+5),TRUE)=0,T_NoName,INDIRECT("'T"&amp;$I182&amp;"'!$D$"&amp;($J182+5),TRUE)),"")</f>
        <v/>
      </c>
      <c r="H182" s="230">
        <f t="array" aca="1" ref="H182" ca="1">IF(INDEX(ExistsTx,$I182,2),INDIRECT("'T"&amp;$I182&amp;"'!$E$"&amp;($J182+5),TRUE),0)</f>
        <v>0</v>
      </c>
      <c r="I182" s="229">
        <v>12</v>
      </c>
      <c r="J182" s="229">
        <v>4</v>
      </c>
      <c r="K182" s="230" t="str">
        <f t="array" aca="1" ref="K182" ca="1">INDEX(ListTeams,$I182,1)</f>
        <v/>
      </c>
      <c r="L182" s="230">
        <f t="array" aca="1" ref="L182" ca="1">IF(OR(NOT(INDEX(ExistsTx,$I182,2)),$H182=0),0,INDIRECT("'T"&amp;$I182&amp;"'!$M$"&amp;($J182+5),TRUE)+((1000-ROW())/10000000000000))</f>
        <v>0</v>
      </c>
      <c r="M182" s="230">
        <f t="array" aca="1" ref="M182" ca="1">IF(OR(NOT(INDEX(ExistsTx,$I182,2)),$H182=0),0,INDIRECT("'T"&amp;$I182&amp;"'!$N$"&amp;($J182+5),TRUE)+((1000-ROW())/10000000000000))</f>
        <v>0</v>
      </c>
      <c r="N182" s="230">
        <f t="array" aca="1" ref="N182" ca="1">IF(OR(NOT(INDEX(ExistsTx,$I182,2)),$H182=0),0,INDIRECT("'T"&amp;$I182&amp;"'!$O$"&amp;($J182+5),TRUE)+((1000-ROW())/10000000000000))</f>
        <v>0</v>
      </c>
      <c r="O182" s="230">
        <f t="array" aca="1" ref="O182" ca="1">IF(OR(NOT(INDEX(ExistsTx,$I182,2)),$H182=0),0,INDIRECT("'T"&amp;$I182&amp;"'!$P$"&amp;($J182+5),TRUE)+((1000-ROW())/10000000000000))</f>
        <v>0</v>
      </c>
      <c r="P182" s="230">
        <f t="array" aca="1" ref="P182" ca="1">IF(OR(NOT(INDEX(ExistsTx,$I182,2)),$H182=0),0,INDIRECT("'T"&amp;$I182&amp;"'!$Q$"&amp;($J182+5),TRUE)+((1000-ROW())/10000000000000))</f>
        <v>0</v>
      </c>
      <c r="Q182" s="230">
        <f t="shared" ca="1" si="44"/>
        <v>1.051714286766E-6</v>
      </c>
      <c r="R182" s="230"/>
      <c r="S182" s="230"/>
      <c r="T182" s="230"/>
      <c r="U182" s="230"/>
      <c r="V182" s="230"/>
      <c r="W182" s="230"/>
      <c r="X182" s="229"/>
      <c r="Y182" s="229"/>
      <c r="Z182" s="229"/>
      <c r="AA182" s="230"/>
      <c r="AB182" s="230"/>
      <c r="AC182" s="230"/>
      <c r="AD182" s="229"/>
      <c r="AE182" s="230"/>
    </row>
    <row r="183" spans="1:31" ht="12.75" customHeight="1">
      <c r="A183" s="229" t="str">
        <f t="shared" ca="1" si="38"/>
        <v/>
      </c>
      <c r="B183" s="229" t="str">
        <f t="shared" ca="1" si="39"/>
        <v/>
      </c>
      <c r="C183" s="229" t="str">
        <f t="shared" ca="1" si="40"/>
        <v/>
      </c>
      <c r="D183" s="229" t="str">
        <f t="shared" ca="1" si="41"/>
        <v/>
      </c>
      <c r="E183" s="229" t="str">
        <f t="shared" ca="1" si="42"/>
        <v/>
      </c>
      <c r="F183" s="229" t="str">
        <f t="shared" ca="1" si="43"/>
        <v/>
      </c>
      <c r="G183" s="230" t="str">
        <f t="array" aca="1" ref="G183" ca="1">IF(INDEX(ExistsTx,$I183,2),IF(INDIRECT("'T"&amp;$I183&amp;"'!$D$"&amp;($J183+5),TRUE)=0,T_NoName,INDIRECT("'T"&amp;$I183&amp;"'!$D$"&amp;($J183+5),TRUE)),"")</f>
        <v/>
      </c>
      <c r="H183" s="230">
        <f t="array" aca="1" ref="H183" ca="1">IF(INDEX(ExistsTx,$I183,2),INDIRECT("'T"&amp;$I183&amp;"'!$E$"&amp;($J183+5),TRUE),0)</f>
        <v>0</v>
      </c>
      <c r="I183" s="229">
        <v>12</v>
      </c>
      <c r="J183" s="229">
        <v>5</v>
      </c>
      <c r="K183" s="230" t="str">
        <f t="array" aca="1" ref="K183" ca="1">INDEX(ListTeams,$I183,1)</f>
        <v/>
      </c>
      <c r="L183" s="230">
        <f t="array" aca="1" ref="L183" ca="1">IF(OR(NOT(INDEX(ExistsTx,$I183,2)),$H183=0),0,INDIRECT("'T"&amp;$I183&amp;"'!$M$"&amp;($J183+5),TRUE)+((1000-ROW())/10000000000000))</f>
        <v>0</v>
      </c>
      <c r="M183" s="230">
        <f t="array" aca="1" ref="M183" ca="1">IF(OR(NOT(INDEX(ExistsTx,$I183,2)),$H183=0),0,INDIRECT("'T"&amp;$I183&amp;"'!$N$"&amp;($J183+5),TRUE)+((1000-ROW())/10000000000000))</f>
        <v>0</v>
      </c>
      <c r="N183" s="230">
        <f t="array" aca="1" ref="N183" ca="1">IF(OR(NOT(INDEX(ExistsTx,$I183,2)),$H183=0),0,INDIRECT("'T"&amp;$I183&amp;"'!$O$"&amp;($J183+5),TRUE)+((1000-ROW())/10000000000000))</f>
        <v>0</v>
      </c>
      <c r="O183" s="230">
        <f t="array" aca="1" ref="O183" ca="1">IF(OR(NOT(INDEX(ExistsTx,$I183,2)),$H183=0),0,INDIRECT("'T"&amp;$I183&amp;"'!$P$"&amp;($J183+5),TRUE)+((1000-ROW())/10000000000000))</f>
        <v>0</v>
      </c>
      <c r="P183" s="230">
        <f t="array" aca="1" ref="P183" ca="1">IF(OR(NOT(INDEX(ExistsTx,$I183,2)),$H183=0),0,INDIRECT("'T"&amp;$I183&amp;"'!$Q$"&amp;($J183+5),TRUE)+((1000-ROW())/10000000000000))</f>
        <v>0</v>
      </c>
      <c r="Q183" s="230">
        <f t="shared" ca="1" si="44"/>
        <v>1.0504285724789999E-6</v>
      </c>
      <c r="R183" s="230"/>
      <c r="S183" s="230"/>
      <c r="T183" s="230"/>
      <c r="U183" s="230"/>
      <c r="V183" s="230"/>
      <c r="W183" s="230"/>
      <c r="X183" s="229"/>
      <c r="Y183" s="229"/>
      <c r="Z183" s="229"/>
      <c r="AA183" s="230"/>
      <c r="AB183" s="230"/>
      <c r="AC183" s="230"/>
      <c r="AD183" s="229"/>
      <c r="AE183" s="230"/>
    </row>
    <row r="184" spans="1:31" ht="12.75" customHeight="1">
      <c r="A184" s="229" t="str">
        <f t="shared" ca="1" si="38"/>
        <v/>
      </c>
      <c r="B184" s="229" t="str">
        <f t="shared" ca="1" si="39"/>
        <v/>
      </c>
      <c r="C184" s="229" t="str">
        <f t="shared" ca="1" si="40"/>
        <v/>
      </c>
      <c r="D184" s="229" t="str">
        <f t="shared" ca="1" si="41"/>
        <v/>
      </c>
      <c r="E184" s="229" t="str">
        <f t="shared" ca="1" si="42"/>
        <v/>
      </c>
      <c r="F184" s="229" t="str">
        <f t="shared" ca="1" si="43"/>
        <v/>
      </c>
      <c r="G184" s="230" t="str">
        <f t="array" aca="1" ref="G184" ca="1">IF(INDEX(ExistsTx,$I184,2),IF(INDIRECT("'T"&amp;$I184&amp;"'!$D$"&amp;($J184+5),TRUE)=0,T_NoName,INDIRECT("'T"&amp;$I184&amp;"'!$D$"&amp;($J184+5),TRUE)),"")</f>
        <v/>
      </c>
      <c r="H184" s="230">
        <f t="array" aca="1" ref="H184" ca="1">IF(INDEX(ExistsTx,$I184,2),INDIRECT("'T"&amp;$I184&amp;"'!$E$"&amp;($J184+5),TRUE),0)</f>
        <v>0</v>
      </c>
      <c r="I184" s="229">
        <v>12</v>
      </c>
      <c r="J184" s="229">
        <v>6</v>
      </c>
      <c r="K184" s="230" t="str">
        <f t="array" aca="1" ref="K184" ca="1">INDEX(ListTeams,$I184,1)</f>
        <v/>
      </c>
      <c r="L184" s="230">
        <f t="array" aca="1" ref="L184" ca="1">IF(OR(NOT(INDEX(ExistsTx,$I184,2)),$H184=0),0,INDIRECT("'T"&amp;$I184&amp;"'!$M$"&amp;($J184+5),TRUE)+((1000-ROW())/10000000000000))</f>
        <v>0</v>
      </c>
      <c r="M184" s="230">
        <f t="array" aca="1" ref="M184" ca="1">IF(OR(NOT(INDEX(ExistsTx,$I184,2)),$H184=0),0,INDIRECT("'T"&amp;$I184&amp;"'!$N$"&amp;($J184+5),TRUE)+((1000-ROW())/10000000000000))</f>
        <v>0</v>
      </c>
      <c r="N184" s="230">
        <f t="array" aca="1" ref="N184" ca="1">IF(OR(NOT(INDEX(ExistsTx,$I184,2)),$H184=0),0,INDIRECT("'T"&amp;$I184&amp;"'!$O$"&amp;($J184+5),TRUE)+((1000-ROW())/10000000000000))</f>
        <v>0</v>
      </c>
      <c r="O184" s="230">
        <f t="array" aca="1" ref="O184" ca="1">IF(OR(NOT(INDEX(ExistsTx,$I184,2)),$H184=0),0,INDIRECT("'T"&amp;$I184&amp;"'!$P$"&amp;($J184+5),TRUE)+((1000-ROW())/10000000000000))</f>
        <v>0</v>
      </c>
      <c r="P184" s="230">
        <f t="array" aca="1" ref="P184" ca="1">IF(OR(NOT(INDEX(ExistsTx,$I184,2)),$H184=0),0,INDIRECT("'T"&amp;$I184&amp;"'!$Q$"&amp;($J184+5),TRUE)+((1000-ROW())/10000000000000))</f>
        <v>0</v>
      </c>
      <c r="Q184" s="230">
        <f t="shared" ca="1" si="44"/>
        <v>1.049142858192E-6</v>
      </c>
      <c r="R184" s="230"/>
      <c r="S184" s="230"/>
      <c r="T184" s="230"/>
      <c r="U184" s="230"/>
      <c r="V184" s="230"/>
      <c r="W184" s="230"/>
      <c r="X184" s="229"/>
      <c r="Y184" s="229"/>
      <c r="Z184" s="229"/>
      <c r="AA184" s="230"/>
      <c r="AB184" s="230"/>
      <c r="AC184" s="230"/>
      <c r="AD184" s="229"/>
      <c r="AE184" s="230"/>
    </row>
    <row r="185" spans="1:31" ht="12.75" customHeight="1">
      <c r="A185" s="229" t="str">
        <f t="shared" ca="1" si="38"/>
        <v/>
      </c>
      <c r="B185" s="229" t="str">
        <f t="shared" ca="1" si="39"/>
        <v/>
      </c>
      <c r="C185" s="229" t="str">
        <f t="shared" ca="1" si="40"/>
        <v/>
      </c>
      <c r="D185" s="229" t="str">
        <f t="shared" ca="1" si="41"/>
        <v/>
      </c>
      <c r="E185" s="229" t="str">
        <f t="shared" ca="1" si="42"/>
        <v/>
      </c>
      <c r="F185" s="229" t="str">
        <f t="shared" ca="1" si="43"/>
        <v/>
      </c>
      <c r="G185" s="230" t="str">
        <f t="array" aca="1" ref="G185" ca="1">IF(INDEX(ExistsTx,$I185,2),IF(INDIRECT("'T"&amp;$I185&amp;"'!$D$"&amp;($J185+5),TRUE)=0,T_NoName,INDIRECT("'T"&amp;$I185&amp;"'!$D$"&amp;($J185+5),TRUE)),"")</f>
        <v/>
      </c>
      <c r="H185" s="230">
        <f t="array" aca="1" ref="H185" ca="1">IF(INDEX(ExistsTx,$I185,2),INDIRECT("'T"&amp;$I185&amp;"'!$E$"&amp;($J185+5),TRUE),0)</f>
        <v>0</v>
      </c>
      <c r="I185" s="229">
        <v>12</v>
      </c>
      <c r="J185" s="229">
        <v>7</v>
      </c>
      <c r="K185" s="230" t="str">
        <f t="array" aca="1" ref="K185" ca="1">INDEX(ListTeams,$I185,1)</f>
        <v/>
      </c>
      <c r="L185" s="230">
        <f t="array" aca="1" ref="L185" ca="1">IF(OR(NOT(INDEX(ExistsTx,$I185,2)),$H185=0),0,INDIRECT("'T"&amp;$I185&amp;"'!$M$"&amp;($J185+5),TRUE)+((1000-ROW())/10000000000000))</f>
        <v>0</v>
      </c>
      <c r="M185" s="230">
        <f t="array" aca="1" ref="M185" ca="1">IF(OR(NOT(INDEX(ExistsTx,$I185,2)),$H185=0),0,INDIRECT("'T"&amp;$I185&amp;"'!$N$"&amp;($J185+5),TRUE)+((1000-ROW())/10000000000000))</f>
        <v>0</v>
      </c>
      <c r="N185" s="230">
        <f t="array" aca="1" ref="N185" ca="1">IF(OR(NOT(INDEX(ExistsTx,$I185,2)),$H185=0),0,INDIRECT("'T"&amp;$I185&amp;"'!$O$"&amp;($J185+5),TRUE)+((1000-ROW())/10000000000000))</f>
        <v>0</v>
      </c>
      <c r="O185" s="230">
        <f t="array" aca="1" ref="O185" ca="1">IF(OR(NOT(INDEX(ExistsTx,$I185,2)),$H185=0),0,INDIRECT("'T"&amp;$I185&amp;"'!$P$"&amp;($J185+5),TRUE)+((1000-ROW())/10000000000000))</f>
        <v>0</v>
      </c>
      <c r="P185" s="230">
        <f t="array" aca="1" ref="P185" ca="1">IF(OR(NOT(INDEX(ExistsTx,$I185,2)),$H185=0),0,INDIRECT("'T"&amp;$I185&amp;"'!$Q$"&amp;($J185+5),TRUE)+((1000-ROW())/10000000000000))</f>
        <v>0</v>
      </c>
      <c r="Q185" s="230">
        <f t="shared" ca="1" si="44"/>
        <v>1.0478571439050001E-6</v>
      </c>
      <c r="R185" s="230"/>
      <c r="S185" s="230"/>
      <c r="T185" s="230"/>
      <c r="U185" s="230"/>
      <c r="V185" s="230"/>
      <c r="W185" s="230"/>
      <c r="X185" s="229"/>
      <c r="Y185" s="229"/>
      <c r="Z185" s="229"/>
      <c r="AA185" s="230"/>
      <c r="AB185" s="230"/>
      <c r="AC185" s="230"/>
      <c r="AD185" s="229"/>
      <c r="AE185" s="230"/>
    </row>
    <row r="186" spans="1:31" ht="12.75" customHeight="1">
      <c r="A186" s="229" t="str">
        <f t="shared" ca="1" si="38"/>
        <v/>
      </c>
      <c r="B186" s="229" t="str">
        <f t="shared" ca="1" si="39"/>
        <v/>
      </c>
      <c r="C186" s="229" t="str">
        <f t="shared" ca="1" si="40"/>
        <v/>
      </c>
      <c r="D186" s="229" t="str">
        <f t="shared" ca="1" si="41"/>
        <v/>
      </c>
      <c r="E186" s="229" t="str">
        <f t="shared" ca="1" si="42"/>
        <v/>
      </c>
      <c r="F186" s="229" t="str">
        <f t="shared" ca="1" si="43"/>
        <v/>
      </c>
      <c r="G186" s="230" t="str">
        <f t="array" aca="1" ref="G186" ca="1">IF(INDEX(ExistsTx,$I186,2),IF(INDIRECT("'T"&amp;$I186&amp;"'!$D$"&amp;($J186+5),TRUE)=0,T_NoName,INDIRECT("'T"&amp;$I186&amp;"'!$D$"&amp;($J186+5),TRUE)),"")</f>
        <v/>
      </c>
      <c r="H186" s="230">
        <f t="array" aca="1" ref="H186" ca="1">IF(INDEX(ExistsTx,$I186,2),INDIRECT("'T"&amp;$I186&amp;"'!$E$"&amp;($J186+5),TRUE),0)</f>
        <v>0</v>
      </c>
      <c r="I186" s="229">
        <v>12</v>
      </c>
      <c r="J186" s="229">
        <v>8</v>
      </c>
      <c r="K186" s="230" t="str">
        <f t="array" aca="1" ref="K186" ca="1">INDEX(ListTeams,$I186,1)</f>
        <v/>
      </c>
      <c r="L186" s="230">
        <f t="array" aca="1" ref="L186" ca="1">IF(OR(NOT(INDEX(ExistsTx,$I186,2)),$H186=0),0,INDIRECT("'T"&amp;$I186&amp;"'!$M$"&amp;($J186+5),TRUE)+((1000-ROW())/10000000000000))</f>
        <v>0</v>
      </c>
      <c r="M186" s="230">
        <f t="array" aca="1" ref="M186" ca="1">IF(OR(NOT(INDEX(ExistsTx,$I186,2)),$H186=0),0,INDIRECT("'T"&amp;$I186&amp;"'!$N$"&amp;($J186+5),TRUE)+((1000-ROW())/10000000000000))</f>
        <v>0</v>
      </c>
      <c r="N186" s="230">
        <f t="array" aca="1" ref="N186" ca="1">IF(OR(NOT(INDEX(ExistsTx,$I186,2)),$H186=0),0,INDIRECT("'T"&amp;$I186&amp;"'!$O$"&amp;($J186+5),TRUE)+((1000-ROW())/10000000000000))</f>
        <v>0</v>
      </c>
      <c r="O186" s="230">
        <f t="array" aca="1" ref="O186" ca="1">IF(OR(NOT(INDEX(ExistsTx,$I186,2)),$H186=0),0,INDIRECT("'T"&amp;$I186&amp;"'!$P$"&amp;($J186+5),TRUE)+((1000-ROW())/10000000000000))</f>
        <v>0</v>
      </c>
      <c r="P186" s="230">
        <f t="array" aca="1" ref="P186" ca="1">IF(OR(NOT(INDEX(ExistsTx,$I186,2)),$H186=0),0,INDIRECT("'T"&amp;$I186&amp;"'!$Q$"&amp;($J186+5),TRUE)+((1000-ROW())/10000000000000))</f>
        <v>0</v>
      </c>
      <c r="Q186" s="230">
        <f t="shared" ca="1" si="44"/>
        <v>1.046571429618E-6</v>
      </c>
      <c r="R186" s="230"/>
      <c r="S186" s="230"/>
      <c r="T186" s="230"/>
      <c r="U186" s="230"/>
      <c r="V186" s="230"/>
      <c r="W186" s="230"/>
      <c r="X186" s="229"/>
      <c r="Y186" s="229"/>
      <c r="Z186" s="229"/>
      <c r="AA186" s="230"/>
      <c r="AB186" s="230"/>
      <c r="AC186" s="230"/>
      <c r="AD186" s="229"/>
      <c r="AE186" s="230"/>
    </row>
    <row r="187" spans="1:31" ht="12.75" customHeight="1">
      <c r="A187" s="229" t="str">
        <f t="shared" ca="1" si="38"/>
        <v/>
      </c>
      <c r="B187" s="229" t="str">
        <f t="shared" ca="1" si="39"/>
        <v/>
      </c>
      <c r="C187" s="229" t="str">
        <f t="shared" ca="1" si="40"/>
        <v/>
      </c>
      <c r="D187" s="229" t="str">
        <f t="shared" ca="1" si="41"/>
        <v/>
      </c>
      <c r="E187" s="229" t="str">
        <f t="shared" ca="1" si="42"/>
        <v/>
      </c>
      <c r="F187" s="229" t="str">
        <f t="shared" ca="1" si="43"/>
        <v/>
      </c>
      <c r="G187" s="230" t="str">
        <f t="array" aca="1" ref="G187" ca="1">IF(INDEX(ExistsTx,$I187,2),IF(INDIRECT("'T"&amp;$I187&amp;"'!$D$"&amp;($J187+5),TRUE)=0,T_NoName,INDIRECT("'T"&amp;$I187&amp;"'!$D$"&amp;($J187+5),TRUE)),"")</f>
        <v/>
      </c>
      <c r="H187" s="230">
        <f t="array" aca="1" ref="H187" ca="1">IF(INDEX(ExistsTx,$I187,2),INDIRECT("'T"&amp;$I187&amp;"'!$E$"&amp;($J187+5),TRUE),0)</f>
        <v>0</v>
      </c>
      <c r="I187" s="229">
        <v>12</v>
      </c>
      <c r="J187" s="229">
        <v>9</v>
      </c>
      <c r="K187" s="230" t="str">
        <f t="array" aca="1" ref="K187" ca="1">INDEX(ListTeams,$I187,1)</f>
        <v/>
      </c>
      <c r="L187" s="230">
        <f t="array" aca="1" ref="L187" ca="1">IF(OR(NOT(INDEX(ExistsTx,$I187,2)),$H187=0),0,INDIRECT("'T"&amp;$I187&amp;"'!$M$"&amp;($J187+5),TRUE)+((1000-ROW())/10000000000000))</f>
        <v>0</v>
      </c>
      <c r="M187" s="230">
        <f t="array" aca="1" ref="M187" ca="1">IF(OR(NOT(INDEX(ExistsTx,$I187,2)),$H187=0),0,INDIRECT("'T"&amp;$I187&amp;"'!$N$"&amp;($J187+5),TRUE)+((1000-ROW())/10000000000000))</f>
        <v>0</v>
      </c>
      <c r="N187" s="230">
        <f t="array" aca="1" ref="N187" ca="1">IF(OR(NOT(INDEX(ExistsTx,$I187,2)),$H187=0),0,INDIRECT("'T"&amp;$I187&amp;"'!$O$"&amp;($J187+5),TRUE)+((1000-ROW())/10000000000000))</f>
        <v>0</v>
      </c>
      <c r="O187" s="230">
        <f t="array" aca="1" ref="O187" ca="1">IF(OR(NOT(INDEX(ExistsTx,$I187,2)),$H187=0),0,INDIRECT("'T"&amp;$I187&amp;"'!$P$"&amp;($J187+5),TRUE)+((1000-ROW())/10000000000000))</f>
        <v>0</v>
      </c>
      <c r="P187" s="230">
        <f t="array" aca="1" ref="P187" ca="1">IF(OR(NOT(INDEX(ExistsTx,$I187,2)),$H187=0),0,INDIRECT("'T"&amp;$I187&amp;"'!$Q$"&amp;($J187+5),TRUE)+((1000-ROW())/10000000000000))</f>
        <v>0</v>
      </c>
      <c r="Q187" s="230">
        <f t="shared" ca="1" si="44"/>
        <v>1.0452857153310001E-6</v>
      </c>
      <c r="R187" s="230"/>
      <c r="S187" s="230"/>
      <c r="T187" s="230"/>
      <c r="U187" s="230"/>
      <c r="V187" s="230"/>
      <c r="W187" s="230"/>
      <c r="X187" s="229"/>
      <c r="Y187" s="229"/>
      <c r="Z187" s="229"/>
      <c r="AA187" s="230"/>
      <c r="AB187" s="230"/>
      <c r="AC187" s="230"/>
      <c r="AD187" s="229"/>
      <c r="AE187" s="230"/>
    </row>
    <row r="188" spans="1:31" ht="12.75" customHeight="1">
      <c r="A188" s="229" t="str">
        <f t="shared" ca="1" si="38"/>
        <v/>
      </c>
      <c r="B188" s="229" t="str">
        <f t="shared" ca="1" si="39"/>
        <v/>
      </c>
      <c r="C188" s="229" t="str">
        <f t="shared" ca="1" si="40"/>
        <v/>
      </c>
      <c r="D188" s="229" t="str">
        <f t="shared" ca="1" si="41"/>
        <v/>
      </c>
      <c r="E188" s="229" t="str">
        <f t="shared" ca="1" si="42"/>
        <v/>
      </c>
      <c r="F188" s="229" t="str">
        <f t="shared" ca="1" si="43"/>
        <v/>
      </c>
      <c r="G188" s="230" t="str">
        <f t="array" aca="1" ref="G188" ca="1">IF(INDEX(ExistsTx,$I188,2),IF(INDIRECT("'T"&amp;$I188&amp;"'!$D$"&amp;($J188+5),TRUE)=0,T_NoName,INDIRECT("'T"&amp;$I188&amp;"'!$D$"&amp;($J188+5),TRUE)),"")</f>
        <v/>
      </c>
      <c r="H188" s="230">
        <f t="array" aca="1" ref="H188" ca="1">IF(INDEX(ExistsTx,$I188,2),INDIRECT("'T"&amp;$I188&amp;"'!$E$"&amp;($J188+5),TRUE),0)</f>
        <v>0</v>
      </c>
      <c r="I188" s="229">
        <v>12</v>
      </c>
      <c r="J188" s="229">
        <v>10</v>
      </c>
      <c r="K188" s="230" t="str">
        <f t="array" aca="1" ref="K188" ca="1">INDEX(ListTeams,$I188,1)</f>
        <v/>
      </c>
      <c r="L188" s="230">
        <f t="array" aca="1" ref="L188" ca="1">IF(OR(NOT(INDEX(ExistsTx,$I188,2)),$H188=0),0,INDIRECT("'T"&amp;$I188&amp;"'!$M$"&amp;($J188+5),TRUE)+((1000-ROW())/10000000000000))</f>
        <v>0</v>
      </c>
      <c r="M188" s="230">
        <f t="array" aca="1" ref="M188" ca="1">IF(OR(NOT(INDEX(ExistsTx,$I188,2)),$H188=0),0,INDIRECT("'T"&amp;$I188&amp;"'!$N$"&amp;($J188+5),TRUE)+((1000-ROW())/10000000000000))</f>
        <v>0</v>
      </c>
      <c r="N188" s="230">
        <f t="array" aca="1" ref="N188" ca="1">IF(OR(NOT(INDEX(ExistsTx,$I188,2)),$H188=0),0,INDIRECT("'T"&amp;$I188&amp;"'!$O$"&amp;($J188+5),TRUE)+((1000-ROW())/10000000000000))</f>
        <v>0</v>
      </c>
      <c r="O188" s="230">
        <f t="array" aca="1" ref="O188" ca="1">IF(OR(NOT(INDEX(ExistsTx,$I188,2)),$H188=0),0,INDIRECT("'T"&amp;$I188&amp;"'!$P$"&amp;($J188+5),TRUE)+((1000-ROW())/10000000000000))</f>
        <v>0</v>
      </c>
      <c r="P188" s="230">
        <f t="array" aca="1" ref="P188" ca="1">IF(OR(NOT(INDEX(ExistsTx,$I188,2)),$H188=0),0,INDIRECT("'T"&amp;$I188&amp;"'!$Q$"&amp;($J188+5),TRUE)+((1000-ROW())/10000000000000))</f>
        <v>0</v>
      </c>
      <c r="Q188" s="230">
        <f t="shared" ca="1" si="44"/>
        <v>1.044000001044E-6</v>
      </c>
      <c r="R188" s="230"/>
      <c r="S188" s="230"/>
      <c r="T188" s="230"/>
      <c r="U188" s="230"/>
      <c r="V188" s="230"/>
      <c r="W188" s="230"/>
      <c r="X188" s="229"/>
      <c r="Y188" s="229"/>
      <c r="Z188" s="229"/>
      <c r="AA188" s="230"/>
      <c r="AB188" s="230"/>
      <c r="AC188" s="230"/>
      <c r="AD188" s="229"/>
      <c r="AE188" s="230"/>
    </row>
    <row r="189" spans="1:31" ht="12.75" customHeight="1">
      <c r="A189" s="229" t="str">
        <f t="shared" ca="1" si="38"/>
        <v/>
      </c>
      <c r="B189" s="229" t="str">
        <f t="shared" ca="1" si="39"/>
        <v/>
      </c>
      <c r="C189" s="229" t="str">
        <f t="shared" ca="1" si="40"/>
        <v/>
      </c>
      <c r="D189" s="229" t="str">
        <f t="shared" ca="1" si="41"/>
        <v/>
      </c>
      <c r="E189" s="229" t="str">
        <f t="shared" ca="1" si="42"/>
        <v/>
      </c>
      <c r="F189" s="229" t="str">
        <f t="shared" ca="1" si="43"/>
        <v/>
      </c>
      <c r="G189" s="230" t="str">
        <f t="array" aca="1" ref="G189" ca="1">IF(INDEX(ExistsTx,$I189,2),IF(INDIRECT("'T"&amp;$I189&amp;"'!$D$"&amp;($J189+5),TRUE)=0,T_NoName,INDIRECT("'T"&amp;$I189&amp;"'!$D$"&amp;($J189+5),TRUE)),"")</f>
        <v/>
      </c>
      <c r="H189" s="230">
        <f t="array" aca="1" ref="H189" ca="1">IF(INDEX(ExistsTx,$I189,2),INDIRECT("'T"&amp;$I189&amp;"'!$E$"&amp;($J189+5),TRUE),0)</f>
        <v>0</v>
      </c>
      <c r="I189" s="229">
        <v>12</v>
      </c>
      <c r="J189" s="229">
        <v>11</v>
      </c>
      <c r="K189" s="230" t="str">
        <f t="array" aca="1" ref="K189" ca="1">INDEX(ListTeams,$I189,1)</f>
        <v/>
      </c>
      <c r="L189" s="230">
        <f t="array" aca="1" ref="L189" ca="1">IF(OR(NOT(INDEX(ExistsTx,$I189,2)),$H189=0),0,INDIRECT("'T"&amp;$I189&amp;"'!$M$"&amp;($J189+5),TRUE)+((1000-ROW())/10000000000000))</f>
        <v>0</v>
      </c>
      <c r="M189" s="230">
        <f t="array" aca="1" ref="M189" ca="1">IF(OR(NOT(INDEX(ExistsTx,$I189,2)),$H189=0),0,INDIRECT("'T"&amp;$I189&amp;"'!$N$"&amp;($J189+5),TRUE)+((1000-ROW())/10000000000000))</f>
        <v>0</v>
      </c>
      <c r="N189" s="230">
        <f t="array" aca="1" ref="N189" ca="1">IF(OR(NOT(INDEX(ExistsTx,$I189,2)),$H189=0),0,INDIRECT("'T"&amp;$I189&amp;"'!$O$"&amp;($J189+5),TRUE)+((1000-ROW())/10000000000000))</f>
        <v>0</v>
      </c>
      <c r="O189" s="230">
        <f t="array" aca="1" ref="O189" ca="1">IF(OR(NOT(INDEX(ExistsTx,$I189,2)),$H189=0),0,INDIRECT("'T"&amp;$I189&amp;"'!$P$"&amp;($J189+5),TRUE)+((1000-ROW())/10000000000000))</f>
        <v>0</v>
      </c>
      <c r="P189" s="230">
        <f t="array" aca="1" ref="P189" ca="1">IF(OR(NOT(INDEX(ExistsTx,$I189,2)),$H189=0),0,INDIRECT("'T"&amp;$I189&amp;"'!$Q$"&amp;($J189+5),TRUE)+((1000-ROW())/10000000000000))</f>
        <v>0</v>
      </c>
      <c r="Q189" s="230">
        <f t="shared" ca="1" si="44"/>
        <v>1.042714286757E-6</v>
      </c>
      <c r="R189" s="230"/>
      <c r="S189" s="230"/>
      <c r="T189" s="230"/>
      <c r="U189" s="230"/>
      <c r="V189" s="230"/>
      <c r="W189" s="230"/>
      <c r="X189" s="229"/>
      <c r="Y189" s="229"/>
      <c r="Z189" s="229"/>
      <c r="AA189" s="230"/>
      <c r="AB189" s="230"/>
      <c r="AC189" s="230"/>
      <c r="AD189" s="229"/>
      <c r="AE189" s="230"/>
    </row>
    <row r="190" spans="1:31" ht="12.75" customHeight="1">
      <c r="A190" s="229" t="str">
        <f t="shared" ca="1" si="38"/>
        <v/>
      </c>
      <c r="B190" s="229" t="str">
        <f t="shared" ca="1" si="39"/>
        <v/>
      </c>
      <c r="C190" s="229" t="str">
        <f t="shared" ca="1" si="40"/>
        <v/>
      </c>
      <c r="D190" s="229" t="str">
        <f t="shared" ca="1" si="41"/>
        <v/>
      </c>
      <c r="E190" s="229" t="str">
        <f t="shared" ca="1" si="42"/>
        <v/>
      </c>
      <c r="F190" s="229" t="str">
        <f t="shared" ca="1" si="43"/>
        <v/>
      </c>
      <c r="G190" s="230" t="str">
        <f t="array" aca="1" ref="G190" ca="1">IF(INDEX(ExistsTx,$I190,2),IF(INDIRECT("'T"&amp;$I190&amp;"'!$D$"&amp;($J190+5),TRUE)=0,T_NoName,INDIRECT("'T"&amp;$I190&amp;"'!$D$"&amp;($J190+5),TRUE)),"")</f>
        <v/>
      </c>
      <c r="H190" s="230">
        <f t="array" aca="1" ref="H190" ca="1">IF(INDEX(ExistsTx,$I190,2),INDIRECT("'T"&amp;$I190&amp;"'!$E$"&amp;($J190+5),TRUE),0)</f>
        <v>0</v>
      </c>
      <c r="I190" s="229">
        <v>12</v>
      </c>
      <c r="J190" s="229">
        <v>12</v>
      </c>
      <c r="K190" s="230" t="str">
        <f t="array" aca="1" ref="K190" ca="1">INDEX(ListTeams,$I190,1)</f>
        <v/>
      </c>
      <c r="L190" s="230">
        <f t="array" aca="1" ref="L190" ca="1">IF(OR(NOT(INDEX(ExistsTx,$I190,2)),$H190=0),0,INDIRECT("'T"&amp;$I190&amp;"'!$M$"&amp;($J190+5),TRUE)+((1000-ROW())/10000000000000))</f>
        <v>0</v>
      </c>
      <c r="M190" s="230">
        <f t="array" aca="1" ref="M190" ca="1">IF(OR(NOT(INDEX(ExistsTx,$I190,2)),$H190=0),0,INDIRECT("'T"&amp;$I190&amp;"'!$N$"&amp;($J190+5),TRUE)+((1000-ROW())/10000000000000))</f>
        <v>0</v>
      </c>
      <c r="N190" s="230">
        <f t="array" aca="1" ref="N190" ca="1">IF(OR(NOT(INDEX(ExistsTx,$I190,2)),$H190=0),0,INDIRECT("'T"&amp;$I190&amp;"'!$O$"&amp;($J190+5),TRUE)+((1000-ROW())/10000000000000))</f>
        <v>0</v>
      </c>
      <c r="O190" s="230">
        <f t="array" aca="1" ref="O190" ca="1">IF(OR(NOT(INDEX(ExistsTx,$I190,2)),$H190=0),0,INDIRECT("'T"&amp;$I190&amp;"'!$P$"&amp;($J190+5),TRUE)+((1000-ROW())/10000000000000))</f>
        <v>0</v>
      </c>
      <c r="P190" s="230">
        <f t="array" aca="1" ref="P190" ca="1">IF(OR(NOT(INDEX(ExistsTx,$I190,2)),$H190=0),0,INDIRECT("'T"&amp;$I190&amp;"'!$Q$"&amp;($J190+5),TRUE)+((1000-ROW())/10000000000000))</f>
        <v>0</v>
      </c>
      <c r="Q190" s="230">
        <f t="shared" ca="1" si="44"/>
        <v>1.0414285724699999E-6</v>
      </c>
      <c r="R190" s="230"/>
      <c r="S190" s="230"/>
      <c r="T190" s="230"/>
      <c r="U190" s="230"/>
      <c r="V190" s="230"/>
      <c r="W190" s="230"/>
      <c r="X190" s="229"/>
      <c r="Y190" s="229"/>
      <c r="Z190" s="229"/>
      <c r="AA190" s="230"/>
      <c r="AB190" s="230"/>
      <c r="AC190" s="230"/>
      <c r="AD190" s="229"/>
      <c r="AE190" s="230"/>
    </row>
    <row r="191" spans="1:31" ht="12.75" customHeight="1">
      <c r="A191" s="229" t="str">
        <f t="shared" ca="1" si="38"/>
        <v/>
      </c>
      <c r="B191" s="229" t="str">
        <f t="shared" ca="1" si="39"/>
        <v/>
      </c>
      <c r="C191" s="229" t="str">
        <f t="shared" ca="1" si="40"/>
        <v/>
      </c>
      <c r="D191" s="229" t="str">
        <f t="shared" ca="1" si="41"/>
        <v/>
      </c>
      <c r="E191" s="229" t="str">
        <f t="shared" ca="1" si="42"/>
        <v/>
      </c>
      <c r="F191" s="229" t="str">
        <f t="shared" ca="1" si="43"/>
        <v/>
      </c>
      <c r="G191" s="230" t="str">
        <f t="array" aca="1" ref="G191" ca="1">IF(INDEX(ExistsTx,$I191,2),IF(INDIRECT("'T"&amp;$I191&amp;"'!$D$"&amp;($J191+5),TRUE)=0,T_NoName,INDIRECT("'T"&amp;$I191&amp;"'!$D$"&amp;($J191+5),TRUE)),"")</f>
        <v/>
      </c>
      <c r="H191" s="230">
        <f t="array" aca="1" ref="H191" ca="1">IF(INDEX(ExistsTx,$I191,2),INDIRECT("'T"&amp;$I191&amp;"'!$E$"&amp;($J191+5),TRUE),0)</f>
        <v>0</v>
      </c>
      <c r="I191" s="229">
        <v>12</v>
      </c>
      <c r="J191" s="229">
        <v>13</v>
      </c>
      <c r="K191" s="230" t="str">
        <f t="array" aca="1" ref="K191" ca="1">INDEX(ListTeams,$I191,1)</f>
        <v/>
      </c>
      <c r="L191" s="230">
        <f t="array" aca="1" ref="L191" ca="1">IF(OR(NOT(INDEX(ExistsTx,$I191,2)),$H191=0),0,INDIRECT("'T"&amp;$I191&amp;"'!$M$"&amp;($J191+5),TRUE)+((1000-ROW())/10000000000000))</f>
        <v>0</v>
      </c>
      <c r="M191" s="230">
        <f t="array" aca="1" ref="M191" ca="1">IF(OR(NOT(INDEX(ExistsTx,$I191,2)),$H191=0),0,INDIRECT("'T"&amp;$I191&amp;"'!$N$"&amp;($J191+5),TRUE)+((1000-ROW())/10000000000000))</f>
        <v>0</v>
      </c>
      <c r="N191" s="230">
        <f t="array" aca="1" ref="N191" ca="1">IF(OR(NOT(INDEX(ExistsTx,$I191,2)),$H191=0),0,INDIRECT("'T"&amp;$I191&amp;"'!$O$"&amp;($J191+5),TRUE)+((1000-ROW())/10000000000000))</f>
        <v>0</v>
      </c>
      <c r="O191" s="230">
        <f t="array" aca="1" ref="O191" ca="1">IF(OR(NOT(INDEX(ExistsTx,$I191,2)),$H191=0),0,INDIRECT("'T"&amp;$I191&amp;"'!$P$"&amp;($J191+5),TRUE)+((1000-ROW())/10000000000000))</f>
        <v>0</v>
      </c>
      <c r="P191" s="230">
        <f t="array" aca="1" ref="P191" ca="1">IF(OR(NOT(INDEX(ExistsTx,$I191,2)),$H191=0),0,INDIRECT("'T"&amp;$I191&amp;"'!$Q$"&amp;($J191+5),TRUE)+((1000-ROW())/10000000000000))</f>
        <v>0</v>
      </c>
      <c r="Q191" s="230">
        <f t="shared" ca="1" si="44"/>
        <v>1.040142858183E-6</v>
      </c>
      <c r="R191" s="230"/>
      <c r="S191" s="230"/>
      <c r="T191" s="230"/>
      <c r="U191" s="230"/>
      <c r="V191" s="230"/>
      <c r="W191" s="230"/>
      <c r="X191" s="229"/>
      <c r="Y191" s="229"/>
      <c r="Z191" s="229"/>
      <c r="AA191" s="230"/>
      <c r="AB191" s="230"/>
      <c r="AC191" s="230"/>
      <c r="AD191" s="229"/>
      <c r="AE191" s="230"/>
    </row>
    <row r="192" spans="1:31" ht="12.75" customHeight="1">
      <c r="A192" s="229" t="str">
        <f t="shared" ca="1" si="38"/>
        <v/>
      </c>
      <c r="B192" s="229" t="str">
        <f t="shared" ca="1" si="39"/>
        <v/>
      </c>
      <c r="C192" s="229" t="str">
        <f t="shared" ca="1" si="40"/>
        <v/>
      </c>
      <c r="D192" s="229" t="str">
        <f t="shared" ca="1" si="41"/>
        <v/>
      </c>
      <c r="E192" s="229" t="str">
        <f t="shared" ca="1" si="42"/>
        <v/>
      </c>
      <c r="F192" s="229" t="str">
        <f t="shared" ca="1" si="43"/>
        <v/>
      </c>
      <c r="G192" s="230" t="str">
        <f t="array" aca="1" ref="G192" ca="1">IF(INDEX(ExistsTx,$I192,2),IF(INDIRECT("'T"&amp;$I192&amp;"'!$D$"&amp;($J192+5),TRUE)=0,T_NoName,INDIRECT("'T"&amp;$I192&amp;"'!$D$"&amp;($J192+5),TRUE)),"")</f>
        <v/>
      </c>
      <c r="H192" s="230">
        <f t="array" aca="1" ref="H192" ca="1">IF(INDEX(ExistsTx,$I192,2),INDIRECT("'T"&amp;$I192&amp;"'!$E$"&amp;($J192+5),TRUE),0)</f>
        <v>0</v>
      </c>
      <c r="I192" s="229">
        <v>12</v>
      </c>
      <c r="J192" s="229">
        <v>14</v>
      </c>
      <c r="K192" s="230" t="str">
        <f t="array" aca="1" ref="K192" ca="1">INDEX(ListTeams,$I192,1)</f>
        <v/>
      </c>
      <c r="L192" s="230">
        <f t="array" aca="1" ref="L192" ca="1">IF(OR(NOT(INDEX(ExistsTx,$I192,2)),$H192=0),0,INDIRECT("'T"&amp;$I192&amp;"'!$M$"&amp;($J192+5),TRUE)+((1000-ROW())/10000000000000))</f>
        <v>0</v>
      </c>
      <c r="M192" s="230">
        <f t="array" aca="1" ref="M192" ca="1">IF(OR(NOT(INDEX(ExistsTx,$I192,2)),$H192=0),0,INDIRECT("'T"&amp;$I192&amp;"'!$N$"&amp;($J192+5),TRUE)+((1000-ROW())/10000000000000))</f>
        <v>0</v>
      </c>
      <c r="N192" s="230">
        <f t="array" aca="1" ref="N192" ca="1">IF(OR(NOT(INDEX(ExistsTx,$I192,2)),$H192=0),0,INDIRECT("'T"&amp;$I192&amp;"'!$O$"&amp;($J192+5),TRUE)+((1000-ROW())/10000000000000))</f>
        <v>0</v>
      </c>
      <c r="O192" s="230">
        <f t="array" aca="1" ref="O192" ca="1">IF(OR(NOT(INDEX(ExistsTx,$I192,2)),$H192=0),0,INDIRECT("'T"&amp;$I192&amp;"'!$P$"&amp;($J192+5),TRUE)+((1000-ROW())/10000000000000))</f>
        <v>0</v>
      </c>
      <c r="P192" s="230">
        <f t="array" aca="1" ref="P192" ca="1">IF(OR(NOT(INDEX(ExistsTx,$I192,2)),$H192=0),0,INDIRECT("'T"&amp;$I192&amp;"'!$Q$"&amp;($J192+5),TRUE)+((1000-ROW())/10000000000000))</f>
        <v>0</v>
      </c>
      <c r="Q192" s="230">
        <f t="shared" ca="1" si="44"/>
        <v>1.0388571438959999E-6</v>
      </c>
      <c r="R192" s="230"/>
      <c r="S192" s="230"/>
      <c r="T192" s="230"/>
      <c r="U192" s="230"/>
      <c r="V192" s="230"/>
      <c r="W192" s="230"/>
      <c r="X192" s="229"/>
      <c r="Y192" s="229"/>
      <c r="Z192" s="229"/>
      <c r="AA192" s="230"/>
      <c r="AB192" s="230"/>
      <c r="AC192" s="230"/>
      <c r="AD192" s="229"/>
      <c r="AE192" s="230"/>
    </row>
    <row r="193" spans="1:31" ht="12.75" customHeight="1">
      <c r="A193" s="229" t="str">
        <f t="shared" ca="1" si="38"/>
        <v/>
      </c>
      <c r="B193" s="229" t="str">
        <f t="shared" ca="1" si="39"/>
        <v/>
      </c>
      <c r="C193" s="229" t="str">
        <f t="shared" ca="1" si="40"/>
        <v/>
      </c>
      <c r="D193" s="229" t="str">
        <f t="shared" ca="1" si="41"/>
        <v/>
      </c>
      <c r="E193" s="229" t="str">
        <f t="shared" ca="1" si="42"/>
        <v/>
      </c>
      <c r="F193" s="229" t="str">
        <f t="shared" ca="1" si="43"/>
        <v/>
      </c>
      <c r="G193" s="230" t="str">
        <f t="array" aca="1" ref="G193" ca="1">IF(INDEX(ExistsTx,$I193,2),IF(INDIRECT("'T"&amp;$I193&amp;"'!$D$"&amp;($J193+5),TRUE)=0,T_NoName,INDIRECT("'T"&amp;$I193&amp;"'!$D$"&amp;($J193+5),TRUE)),"")</f>
        <v/>
      </c>
      <c r="H193" s="230">
        <f t="array" aca="1" ref="H193" ca="1">IF(INDEX(ExistsTx,$I193,2),INDIRECT("'T"&amp;$I193&amp;"'!$E$"&amp;($J193+5),TRUE),0)</f>
        <v>0</v>
      </c>
      <c r="I193" s="229">
        <v>12</v>
      </c>
      <c r="J193" s="229">
        <v>15</v>
      </c>
      <c r="K193" s="230" t="str">
        <f t="array" aca="1" ref="K193" ca="1">INDEX(ListTeams,$I193,1)</f>
        <v/>
      </c>
      <c r="L193" s="230">
        <f t="array" aca="1" ref="L193" ca="1">IF(OR(NOT(INDEX(ExistsTx,$I193,2)),$H193=0),0,INDIRECT("'T"&amp;$I193&amp;"'!$M$"&amp;($J193+5),TRUE)+((1000-ROW())/10000000000000))</f>
        <v>0</v>
      </c>
      <c r="M193" s="230">
        <f t="array" aca="1" ref="M193" ca="1">IF(OR(NOT(INDEX(ExistsTx,$I193,2)),$H193=0),0,INDIRECT("'T"&amp;$I193&amp;"'!$N$"&amp;($J193+5),TRUE)+((1000-ROW())/10000000000000))</f>
        <v>0</v>
      </c>
      <c r="N193" s="230">
        <f t="array" aca="1" ref="N193" ca="1">IF(OR(NOT(INDEX(ExistsTx,$I193,2)),$H193=0),0,INDIRECT("'T"&amp;$I193&amp;"'!$O$"&amp;($J193+5),TRUE)+((1000-ROW())/10000000000000))</f>
        <v>0</v>
      </c>
      <c r="O193" s="230">
        <f t="array" aca="1" ref="O193" ca="1">IF(OR(NOT(INDEX(ExistsTx,$I193,2)),$H193=0),0,INDIRECT("'T"&amp;$I193&amp;"'!$P$"&amp;($J193+5),TRUE)+((1000-ROW())/10000000000000))</f>
        <v>0</v>
      </c>
      <c r="P193" s="230">
        <f t="array" aca="1" ref="P193" ca="1">IF(OR(NOT(INDEX(ExistsTx,$I193,2)),$H193=0),0,INDIRECT("'T"&amp;$I193&amp;"'!$Q$"&amp;($J193+5),TRUE)+((1000-ROW())/10000000000000))</f>
        <v>0</v>
      </c>
      <c r="Q193" s="230">
        <f t="shared" ca="1" si="44"/>
        <v>1.037571429609E-6</v>
      </c>
      <c r="R193" s="230"/>
      <c r="S193" s="230"/>
      <c r="T193" s="230"/>
      <c r="U193" s="230"/>
      <c r="V193" s="230"/>
      <c r="W193" s="230"/>
      <c r="X193" s="229"/>
      <c r="Y193" s="229"/>
      <c r="Z193" s="229"/>
      <c r="AA193" s="230"/>
      <c r="AB193" s="230"/>
      <c r="AC193" s="230"/>
      <c r="AD193" s="229"/>
      <c r="AE193" s="230"/>
    </row>
    <row r="194" spans="1:31" ht="12.75" customHeight="1">
      <c r="A194" s="229" t="str">
        <f t="shared" ca="1" si="38"/>
        <v/>
      </c>
      <c r="B194" s="229" t="str">
        <f t="shared" ca="1" si="39"/>
        <v/>
      </c>
      <c r="C194" s="229" t="str">
        <f t="shared" ca="1" si="40"/>
        <v/>
      </c>
      <c r="D194" s="229" t="str">
        <f t="shared" ca="1" si="41"/>
        <v/>
      </c>
      <c r="E194" s="229" t="str">
        <f t="shared" ca="1" si="42"/>
        <v/>
      </c>
      <c r="F194" s="229" t="str">
        <f t="shared" ca="1" si="43"/>
        <v/>
      </c>
      <c r="G194" s="230" t="str">
        <f t="array" aca="1" ref="G194" ca="1">IF(INDEX(ExistsTx,$I194,2),IF(INDIRECT("'T"&amp;$I194&amp;"'!$D$"&amp;($J194+5),TRUE)=0,T_NoName,INDIRECT("'T"&amp;$I194&amp;"'!$D$"&amp;($J194+5),TRUE)),"")</f>
        <v/>
      </c>
      <c r="H194" s="230">
        <f t="array" aca="1" ref="H194" ca="1">IF(INDEX(ExistsTx,$I194,2),INDIRECT("'T"&amp;$I194&amp;"'!$E$"&amp;($J194+5),TRUE),0)</f>
        <v>0</v>
      </c>
      <c r="I194" s="229">
        <v>12</v>
      </c>
      <c r="J194" s="229">
        <v>16</v>
      </c>
      <c r="K194" s="230" t="str">
        <f t="array" aca="1" ref="K194" ca="1">INDEX(ListTeams,$I194,1)</f>
        <v/>
      </c>
      <c r="L194" s="230">
        <f t="array" aca="1" ref="L194" ca="1">IF(OR(NOT(INDEX(ExistsTx,$I194,2)),$H194=0),0,INDIRECT("'T"&amp;$I194&amp;"'!$M$"&amp;($J194+5),TRUE)+((1000-ROW())/10000000000000))</f>
        <v>0</v>
      </c>
      <c r="M194" s="230">
        <f t="array" aca="1" ref="M194" ca="1">IF(OR(NOT(INDEX(ExistsTx,$I194,2)),$H194=0),0,INDIRECT("'T"&amp;$I194&amp;"'!$N$"&amp;($J194+5),TRUE)+((1000-ROW())/10000000000000))</f>
        <v>0</v>
      </c>
      <c r="N194" s="230">
        <f t="array" aca="1" ref="N194" ca="1">IF(OR(NOT(INDEX(ExistsTx,$I194,2)),$H194=0),0,INDIRECT("'T"&amp;$I194&amp;"'!$O$"&amp;($J194+5),TRUE)+((1000-ROW())/10000000000000))</f>
        <v>0</v>
      </c>
      <c r="O194" s="230">
        <f t="array" aca="1" ref="O194" ca="1">IF(OR(NOT(INDEX(ExistsTx,$I194,2)),$H194=0),0,INDIRECT("'T"&amp;$I194&amp;"'!$P$"&amp;($J194+5),TRUE)+((1000-ROW())/10000000000000))</f>
        <v>0</v>
      </c>
      <c r="P194" s="230">
        <f t="array" aca="1" ref="P194" ca="1">IF(OR(NOT(INDEX(ExistsTx,$I194,2)),$H194=0),0,INDIRECT("'T"&amp;$I194&amp;"'!$Q$"&amp;($J194+5),TRUE)+((1000-ROW())/10000000000000))</f>
        <v>0</v>
      </c>
      <c r="Q194" s="230">
        <f t="shared" ca="1" si="44"/>
        <v>1.0362857153220001E-6</v>
      </c>
      <c r="R194" s="230"/>
      <c r="S194" s="230"/>
      <c r="T194" s="230"/>
      <c r="U194" s="230"/>
      <c r="V194" s="230"/>
      <c r="W194" s="230"/>
      <c r="X194" s="229"/>
      <c r="Y194" s="229"/>
      <c r="Z194" s="229"/>
      <c r="AA194" s="230"/>
      <c r="AB194" s="230"/>
      <c r="AC194" s="230"/>
      <c r="AD194" s="229"/>
      <c r="AE194" s="230"/>
    </row>
    <row r="195" spans="1:31" ht="12.75" customHeight="1">
      <c r="A195" s="229" t="str">
        <f t="shared" ref="A195:A258" ca="1" si="45">IF(L195&lt;1,"",RANK(L195,PSTAT_CP))</f>
        <v/>
      </c>
      <c r="B195" s="229" t="str">
        <f t="shared" ref="B195:B258" ca="1" si="46">IF(M195&lt;1,"",RANK(M195,PSTAT_TD))</f>
        <v/>
      </c>
      <c r="C195" s="229" t="str">
        <f t="shared" ref="C195:C258" ca="1" si="47">IF(N195&lt;1,"",RANK(N195,PSTAT_IN))</f>
        <v/>
      </c>
      <c r="D195" s="229" t="str">
        <f t="shared" ref="D195:D258" ca="1" si="48">IF(O195&lt;1,"",RANK(O195,PSTAT_CS))</f>
        <v/>
      </c>
      <c r="E195" s="229" t="str">
        <f t="shared" ref="E195:E258" ca="1" si="49">IF(P195&lt;1,"",RANK(P195,PSTAT_VP))</f>
        <v/>
      </c>
      <c r="F195" s="229" t="str">
        <f t="shared" ref="F195:F258" ca="1" si="50">IF(Q195&lt;1,"",RANK(Q195,PSTAT_SP))</f>
        <v/>
      </c>
      <c r="G195" s="230" t="str">
        <f t="array" aca="1" ref="G195" ca="1">IF(INDEX(ExistsTx,$I195,2),IF(INDIRECT("'T"&amp;$I195&amp;"'!$D$"&amp;($J195+5),TRUE)=0,T_NoName,INDIRECT("'T"&amp;$I195&amp;"'!$D$"&amp;($J195+5),TRUE)),"")</f>
        <v/>
      </c>
      <c r="H195" s="230">
        <f t="array" aca="1" ref="H195" ca="1">IF(INDEX(ExistsTx,$I195,2),INDIRECT("'T"&amp;$I195&amp;"'!$E$"&amp;($J195+5),TRUE),0)</f>
        <v>0</v>
      </c>
      <c r="I195" s="229">
        <v>13</v>
      </c>
      <c r="J195" s="229">
        <v>1</v>
      </c>
      <c r="K195" s="230" t="str">
        <f t="array" aca="1" ref="K195" ca="1">INDEX(ListTeams,$I195,1)</f>
        <v/>
      </c>
      <c r="L195" s="230">
        <f t="array" aca="1" ref="L195" ca="1">IF(OR(NOT(INDEX(ExistsTx,$I195,2)),$H195=0),0,INDIRECT("'T"&amp;$I195&amp;"'!$M$"&amp;($J195+5),TRUE)+((1000-ROW())/10000000000000))</f>
        <v>0</v>
      </c>
      <c r="M195" s="230">
        <f t="array" aca="1" ref="M195" ca="1">IF(OR(NOT(INDEX(ExistsTx,$I195,2)),$H195=0),0,INDIRECT("'T"&amp;$I195&amp;"'!$N$"&amp;($J195+5),TRUE)+((1000-ROW())/10000000000000))</f>
        <v>0</v>
      </c>
      <c r="N195" s="230">
        <f t="array" aca="1" ref="N195" ca="1">IF(OR(NOT(INDEX(ExistsTx,$I195,2)),$H195=0),0,INDIRECT("'T"&amp;$I195&amp;"'!$O$"&amp;($J195+5),TRUE)+((1000-ROW())/10000000000000))</f>
        <v>0</v>
      </c>
      <c r="O195" s="230">
        <f t="array" aca="1" ref="O195" ca="1">IF(OR(NOT(INDEX(ExistsTx,$I195,2)),$H195=0),0,INDIRECT("'T"&amp;$I195&amp;"'!$P$"&amp;($J195+5),TRUE)+((1000-ROW())/10000000000000))</f>
        <v>0</v>
      </c>
      <c r="P195" s="230">
        <f t="array" aca="1" ref="P195" ca="1">IF(OR(NOT(INDEX(ExistsTx,$I195,2)),$H195=0),0,INDIRECT("'T"&amp;$I195&amp;"'!$Q$"&amp;($J195+5),TRUE)+((1000-ROW())/10000000000000))</f>
        <v>0</v>
      </c>
      <c r="Q195" s="230">
        <f t="shared" ref="Q195:Q258" ca="1" si="51">L195*SPP_CP+M195*SPP_TD+N195*SPP_IN+O195*SPP_CS+P195*SPP_VP+((1000-ROW())/777777777)</f>
        <v>1.035000001035E-6</v>
      </c>
      <c r="R195" s="230"/>
      <c r="S195" s="230"/>
      <c r="T195" s="230"/>
      <c r="U195" s="230"/>
      <c r="V195" s="230"/>
      <c r="W195" s="230"/>
      <c r="X195" s="229"/>
      <c r="Y195" s="229"/>
      <c r="Z195" s="229"/>
      <c r="AA195" s="230"/>
      <c r="AB195" s="230"/>
      <c r="AC195" s="230"/>
      <c r="AD195" s="229"/>
      <c r="AE195" s="230"/>
    </row>
    <row r="196" spans="1:31" ht="12.75" customHeight="1">
      <c r="A196" s="229" t="str">
        <f t="shared" ca="1" si="45"/>
        <v/>
      </c>
      <c r="B196" s="229" t="str">
        <f t="shared" ca="1" si="46"/>
        <v/>
      </c>
      <c r="C196" s="229" t="str">
        <f t="shared" ca="1" si="47"/>
        <v/>
      </c>
      <c r="D196" s="229" t="str">
        <f t="shared" ca="1" si="48"/>
        <v/>
      </c>
      <c r="E196" s="229" t="str">
        <f t="shared" ca="1" si="49"/>
        <v/>
      </c>
      <c r="F196" s="229" t="str">
        <f t="shared" ca="1" si="50"/>
        <v/>
      </c>
      <c r="G196" s="230" t="str">
        <f t="array" aca="1" ref="G196" ca="1">IF(INDEX(ExistsTx,$I196,2),IF(INDIRECT("'T"&amp;$I196&amp;"'!$D$"&amp;($J196+5),TRUE)=0,T_NoName,INDIRECT("'T"&amp;$I196&amp;"'!$D$"&amp;($J196+5),TRUE)),"")</f>
        <v/>
      </c>
      <c r="H196" s="230">
        <f t="array" aca="1" ref="H196" ca="1">IF(INDEX(ExistsTx,$I196,2),INDIRECT("'T"&amp;$I196&amp;"'!$E$"&amp;($J196+5),TRUE),0)</f>
        <v>0</v>
      </c>
      <c r="I196" s="229">
        <v>13</v>
      </c>
      <c r="J196" s="229">
        <v>2</v>
      </c>
      <c r="K196" s="230" t="str">
        <f t="array" aca="1" ref="K196" ca="1">INDEX(ListTeams,$I196,1)</f>
        <v/>
      </c>
      <c r="L196" s="230">
        <f t="array" aca="1" ref="L196" ca="1">IF(OR(NOT(INDEX(ExistsTx,$I196,2)),$H196=0),0,INDIRECT("'T"&amp;$I196&amp;"'!$M$"&amp;($J196+5),TRUE)+((1000-ROW())/10000000000000))</f>
        <v>0</v>
      </c>
      <c r="M196" s="230">
        <f t="array" aca="1" ref="M196" ca="1">IF(OR(NOT(INDEX(ExistsTx,$I196,2)),$H196=0),0,INDIRECT("'T"&amp;$I196&amp;"'!$N$"&amp;($J196+5),TRUE)+((1000-ROW())/10000000000000))</f>
        <v>0</v>
      </c>
      <c r="N196" s="230">
        <f t="array" aca="1" ref="N196" ca="1">IF(OR(NOT(INDEX(ExistsTx,$I196,2)),$H196=0),0,INDIRECT("'T"&amp;$I196&amp;"'!$O$"&amp;($J196+5),TRUE)+((1000-ROW())/10000000000000))</f>
        <v>0</v>
      </c>
      <c r="O196" s="230">
        <f t="array" aca="1" ref="O196" ca="1">IF(OR(NOT(INDEX(ExistsTx,$I196,2)),$H196=0),0,INDIRECT("'T"&amp;$I196&amp;"'!$P$"&amp;($J196+5),TRUE)+((1000-ROW())/10000000000000))</f>
        <v>0</v>
      </c>
      <c r="P196" s="230">
        <f t="array" aca="1" ref="P196" ca="1">IF(OR(NOT(INDEX(ExistsTx,$I196,2)),$H196=0),0,INDIRECT("'T"&amp;$I196&amp;"'!$Q$"&amp;($J196+5),TRUE)+((1000-ROW())/10000000000000))</f>
        <v>0</v>
      </c>
      <c r="Q196" s="230">
        <f t="shared" ca="1" si="51"/>
        <v>1.0337142867480001E-6</v>
      </c>
      <c r="R196" s="230"/>
      <c r="S196" s="230"/>
      <c r="T196" s="230"/>
      <c r="U196" s="230"/>
      <c r="V196" s="230"/>
      <c r="W196" s="230"/>
      <c r="X196" s="229"/>
      <c r="Y196" s="229"/>
      <c r="Z196" s="229"/>
      <c r="AA196" s="230"/>
      <c r="AB196" s="230"/>
      <c r="AC196" s="230"/>
      <c r="AD196" s="229"/>
      <c r="AE196" s="230"/>
    </row>
    <row r="197" spans="1:31" ht="12.75" customHeight="1">
      <c r="A197" s="229" t="str">
        <f t="shared" ca="1" si="45"/>
        <v/>
      </c>
      <c r="B197" s="229" t="str">
        <f t="shared" ca="1" si="46"/>
        <v/>
      </c>
      <c r="C197" s="229" t="str">
        <f t="shared" ca="1" si="47"/>
        <v/>
      </c>
      <c r="D197" s="229" t="str">
        <f t="shared" ca="1" si="48"/>
        <v/>
      </c>
      <c r="E197" s="229" t="str">
        <f t="shared" ca="1" si="49"/>
        <v/>
      </c>
      <c r="F197" s="229" t="str">
        <f t="shared" ca="1" si="50"/>
        <v/>
      </c>
      <c r="G197" s="230" t="str">
        <f t="array" aca="1" ref="G197" ca="1">IF(INDEX(ExistsTx,$I197,2),IF(INDIRECT("'T"&amp;$I197&amp;"'!$D$"&amp;($J197+5),TRUE)=0,T_NoName,INDIRECT("'T"&amp;$I197&amp;"'!$D$"&amp;($J197+5),TRUE)),"")</f>
        <v/>
      </c>
      <c r="H197" s="230">
        <f t="array" aca="1" ref="H197" ca="1">IF(INDEX(ExistsTx,$I197,2),INDIRECT("'T"&amp;$I197&amp;"'!$E$"&amp;($J197+5),TRUE),0)</f>
        <v>0</v>
      </c>
      <c r="I197" s="229">
        <v>13</v>
      </c>
      <c r="J197" s="229">
        <v>3</v>
      </c>
      <c r="K197" s="230" t="str">
        <f t="array" aca="1" ref="K197" ca="1">INDEX(ListTeams,$I197,1)</f>
        <v/>
      </c>
      <c r="L197" s="230">
        <f t="array" aca="1" ref="L197" ca="1">IF(OR(NOT(INDEX(ExistsTx,$I197,2)),$H197=0),0,INDIRECT("'T"&amp;$I197&amp;"'!$M$"&amp;($J197+5),TRUE)+((1000-ROW())/10000000000000))</f>
        <v>0</v>
      </c>
      <c r="M197" s="230">
        <f t="array" aca="1" ref="M197" ca="1">IF(OR(NOT(INDEX(ExistsTx,$I197,2)),$H197=0),0,INDIRECT("'T"&amp;$I197&amp;"'!$N$"&amp;($J197+5),TRUE)+((1000-ROW())/10000000000000))</f>
        <v>0</v>
      </c>
      <c r="N197" s="230">
        <f t="array" aca="1" ref="N197" ca="1">IF(OR(NOT(INDEX(ExistsTx,$I197,2)),$H197=0),0,INDIRECT("'T"&amp;$I197&amp;"'!$O$"&amp;($J197+5),TRUE)+((1000-ROW())/10000000000000))</f>
        <v>0</v>
      </c>
      <c r="O197" s="230">
        <f t="array" aca="1" ref="O197" ca="1">IF(OR(NOT(INDEX(ExistsTx,$I197,2)),$H197=0),0,INDIRECT("'T"&amp;$I197&amp;"'!$P$"&amp;($J197+5),TRUE)+((1000-ROW())/10000000000000))</f>
        <v>0</v>
      </c>
      <c r="P197" s="230">
        <f t="array" aca="1" ref="P197" ca="1">IF(OR(NOT(INDEX(ExistsTx,$I197,2)),$H197=0),0,INDIRECT("'T"&amp;$I197&amp;"'!$Q$"&amp;($J197+5),TRUE)+((1000-ROW())/10000000000000))</f>
        <v>0</v>
      </c>
      <c r="Q197" s="230">
        <f t="shared" ca="1" si="51"/>
        <v>1.032428572461E-6</v>
      </c>
      <c r="R197" s="230"/>
      <c r="S197" s="230"/>
      <c r="T197" s="230"/>
      <c r="U197" s="230"/>
      <c r="V197" s="230"/>
      <c r="W197" s="230"/>
      <c r="X197" s="229"/>
      <c r="Y197" s="229"/>
      <c r="Z197" s="229"/>
      <c r="AA197" s="230"/>
      <c r="AB197" s="230"/>
      <c r="AC197" s="230"/>
      <c r="AD197" s="229"/>
      <c r="AE197" s="230"/>
    </row>
    <row r="198" spans="1:31" ht="12.75" customHeight="1">
      <c r="A198" s="229" t="str">
        <f t="shared" ca="1" si="45"/>
        <v/>
      </c>
      <c r="B198" s="229" t="str">
        <f t="shared" ca="1" si="46"/>
        <v/>
      </c>
      <c r="C198" s="229" t="str">
        <f t="shared" ca="1" si="47"/>
        <v/>
      </c>
      <c r="D198" s="229" t="str">
        <f t="shared" ca="1" si="48"/>
        <v/>
      </c>
      <c r="E198" s="229" t="str">
        <f t="shared" ca="1" si="49"/>
        <v/>
      </c>
      <c r="F198" s="229" t="str">
        <f t="shared" ca="1" si="50"/>
        <v/>
      </c>
      <c r="G198" s="230" t="str">
        <f t="array" aca="1" ref="G198" ca="1">IF(INDEX(ExistsTx,$I198,2),IF(INDIRECT("'T"&amp;$I198&amp;"'!$D$"&amp;($J198+5),TRUE)=0,T_NoName,INDIRECT("'T"&amp;$I198&amp;"'!$D$"&amp;($J198+5),TRUE)),"")</f>
        <v/>
      </c>
      <c r="H198" s="230">
        <f t="array" aca="1" ref="H198" ca="1">IF(INDEX(ExistsTx,$I198,2),INDIRECT("'T"&amp;$I198&amp;"'!$E$"&amp;($J198+5),TRUE),0)</f>
        <v>0</v>
      </c>
      <c r="I198" s="229">
        <v>13</v>
      </c>
      <c r="J198" s="229">
        <v>4</v>
      </c>
      <c r="K198" s="230" t="str">
        <f t="array" aca="1" ref="K198" ca="1">INDEX(ListTeams,$I198,1)</f>
        <v/>
      </c>
      <c r="L198" s="230">
        <f t="array" aca="1" ref="L198" ca="1">IF(OR(NOT(INDEX(ExistsTx,$I198,2)),$H198=0),0,INDIRECT("'T"&amp;$I198&amp;"'!$M$"&amp;($J198+5),TRUE)+((1000-ROW())/10000000000000))</f>
        <v>0</v>
      </c>
      <c r="M198" s="230">
        <f t="array" aca="1" ref="M198" ca="1">IF(OR(NOT(INDEX(ExistsTx,$I198,2)),$H198=0),0,INDIRECT("'T"&amp;$I198&amp;"'!$N$"&amp;($J198+5),TRUE)+((1000-ROW())/10000000000000))</f>
        <v>0</v>
      </c>
      <c r="N198" s="230">
        <f t="array" aca="1" ref="N198" ca="1">IF(OR(NOT(INDEX(ExistsTx,$I198,2)),$H198=0),0,INDIRECT("'T"&amp;$I198&amp;"'!$O$"&amp;($J198+5),TRUE)+((1000-ROW())/10000000000000))</f>
        <v>0</v>
      </c>
      <c r="O198" s="230">
        <f t="array" aca="1" ref="O198" ca="1">IF(OR(NOT(INDEX(ExistsTx,$I198,2)),$H198=0),0,INDIRECT("'T"&amp;$I198&amp;"'!$P$"&amp;($J198+5),TRUE)+((1000-ROW())/10000000000000))</f>
        <v>0</v>
      </c>
      <c r="P198" s="230">
        <f t="array" aca="1" ref="P198" ca="1">IF(OR(NOT(INDEX(ExistsTx,$I198,2)),$H198=0),0,INDIRECT("'T"&amp;$I198&amp;"'!$Q$"&amp;($J198+5),TRUE)+((1000-ROW())/10000000000000))</f>
        <v>0</v>
      </c>
      <c r="Q198" s="230">
        <f t="shared" ca="1" si="51"/>
        <v>1.031142858174E-6</v>
      </c>
      <c r="R198" s="230"/>
      <c r="S198" s="230"/>
      <c r="T198" s="230"/>
      <c r="U198" s="230"/>
      <c r="V198" s="230"/>
      <c r="W198" s="230"/>
      <c r="X198" s="229"/>
      <c r="Y198" s="229"/>
      <c r="Z198" s="229"/>
      <c r="AA198" s="230"/>
      <c r="AB198" s="230"/>
      <c r="AC198" s="230"/>
      <c r="AD198" s="229"/>
      <c r="AE198" s="230"/>
    </row>
    <row r="199" spans="1:31" ht="12.75" customHeight="1">
      <c r="A199" s="229" t="str">
        <f t="shared" ca="1" si="45"/>
        <v/>
      </c>
      <c r="B199" s="229" t="str">
        <f t="shared" ca="1" si="46"/>
        <v/>
      </c>
      <c r="C199" s="229" t="str">
        <f t="shared" ca="1" si="47"/>
        <v/>
      </c>
      <c r="D199" s="229" t="str">
        <f t="shared" ca="1" si="48"/>
        <v/>
      </c>
      <c r="E199" s="229" t="str">
        <f t="shared" ca="1" si="49"/>
        <v/>
      </c>
      <c r="F199" s="229" t="str">
        <f t="shared" ca="1" si="50"/>
        <v/>
      </c>
      <c r="G199" s="230" t="str">
        <f t="array" aca="1" ref="G199" ca="1">IF(INDEX(ExistsTx,$I199,2),IF(INDIRECT("'T"&amp;$I199&amp;"'!$D$"&amp;($J199+5),TRUE)=0,T_NoName,INDIRECT("'T"&amp;$I199&amp;"'!$D$"&amp;($J199+5),TRUE)),"")</f>
        <v/>
      </c>
      <c r="H199" s="230">
        <f t="array" aca="1" ref="H199" ca="1">IF(INDEX(ExistsTx,$I199,2),INDIRECT("'T"&amp;$I199&amp;"'!$E$"&amp;($J199+5),TRUE),0)</f>
        <v>0</v>
      </c>
      <c r="I199" s="229">
        <v>13</v>
      </c>
      <c r="J199" s="229">
        <v>5</v>
      </c>
      <c r="K199" s="230" t="str">
        <f t="array" aca="1" ref="K199" ca="1">INDEX(ListTeams,$I199,1)</f>
        <v/>
      </c>
      <c r="L199" s="230">
        <f t="array" aca="1" ref="L199" ca="1">IF(OR(NOT(INDEX(ExistsTx,$I199,2)),$H199=0),0,INDIRECT("'T"&amp;$I199&amp;"'!$M$"&amp;($J199+5),TRUE)+((1000-ROW())/10000000000000))</f>
        <v>0</v>
      </c>
      <c r="M199" s="230">
        <f t="array" aca="1" ref="M199" ca="1">IF(OR(NOT(INDEX(ExistsTx,$I199,2)),$H199=0),0,INDIRECT("'T"&amp;$I199&amp;"'!$N$"&amp;($J199+5),TRUE)+((1000-ROW())/10000000000000))</f>
        <v>0</v>
      </c>
      <c r="N199" s="230">
        <f t="array" aca="1" ref="N199" ca="1">IF(OR(NOT(INDEX(ExistsTx,$I199,2)),$H199=0),0,INDIRECT("'T"&amp;$I199&amp;"'!$O$"&amp;($J199+5),TRUE)+((1000-ROW())/10000000000000))</f>
        <v>0</v>
      </c>
      <c r="O199" s="230">
        <f t="array" aca="1" ref="O199" ca="1">IF(OR(NOT(INDEX(ExistsTx,$I199,2)),$H199=0),0,INDIRECT("'T"&amp;$I199&amp;"'!$P$"&amp;($J199+5),TRUE)+((1000-ROW())/10000000000000))</f>
        <v>0</v>
      </c>
      <c r="P199" s="230">
        <f t="array" aca="1" ref="P199" ca="1">IF(OR(NOT(INDEX(ExistsTx,$I199,2)),$H199=0),0,INDIRECT("'T"&amp;$I199&amp;"'!$Q$"&amp;($J199+5),TRUE)+((1000-ROW())/10000000000000))</f>
        <v>0</v>
      </c>
      <c r="Q199" s="230">
        <f t="shared" ca="1" si="51"/>
        <v>1.0298571438869999E-6</v>
      </c>
      <c r="R199" s="230"/>
      <c r="S199" s="230"/>
      <c r="T199" s="230"/>
      <c r="U199" s="230"/>
      <c r="V199" s="230"/>
      <c r="W199" s="230"/>
      <c r="X199" s="229"/>
      <c r="Y199" s="229"/>
      <c r="Z199" s="229"/>
      <c r="AA199" s="230"/>
      <c r="AB199" s="230"/>
      <c r="AC199" s="230"/>
      <c r="AD199" s="229"/>
      <c r="AE199" s="230"/>
    </row>
    <row r="200" spans="1:31" ht="12.75" customHeight="1">
      <c r="A200" s="229" t="str">
        <f t="shared" ca="1" si="45"/>
        <v/>
      </c>
      <c r="B200" s="229" t="str">
        <f t="shared" ca="1" si="46"/>
        <v/>
      </c>
      <c r="C200" s="229" t="str">
        <f t="shared" ca="1" si="47"/>
        <v/>
      </c>
      <c r="D200" s="229" t="str">
        <f t="shared" ca="1" si="48"/>
        <v/>
      </c>
      <c r="E200" s="229" t="str">
        <f t="shared" ca="1" si="49"/>
        <v/>
      </c>
      <c r="F200" s="229" t="str">
        <f t="shared" ca="1" si="50"/>
        <v/>
      </c>
      <c r="G200" s="230" t="str">
        <f t="array" aca="1" ref="G200" ca="1">IF(INDEX(ExistsTx,$I200,2),IF(INDIRECT("'T"&amp;$I200&amp;"'!$D$"&amp;($J200+5),TRUE)=0,T_NoName,INDIRECT("'T"&amp;$I200&amp;"'!$D$"&amp;($J200+5),TRUE)),"")</f>
        <v/>
      </c>
      <c r="H200" s="230">
        <f t="array" aca="1" ref="H200" ca="1">IF(INDEX(ExistsTx,$I200,2),INDIRECT("'T"&amp;$I200&amp;"'!$E$"&amp;($J200+5),TRUE),0)</f>
        <v>0</v>
      </c>
      <c r="I200" s="229">
        <v>13</v>
      </c>
      <c r="J200" s="229">
        <v>6</v>
      </c>
      <c r="K200" s="230" t="str">
        <f t="array" aca="1" ref="K200" ca="1">INDEX(ListTeams,$I200,1)</f>
        <v/>
      </c>
      <c r="L200" s="230">
        <f t="array" aca="1" ref="L200" ca="1">IF(OR(NOT(INDEX(ExistsTx,$I200,2)),$H200=0),0,INDIRECT("'T"&amp;$I200&amp;"'!$M$"&amp;($J200+5),TRUE)+((1000-ROW())/10000000000000))</f>
        <v>0</v>
      </c>
      <c r="M200" s="230">
        <f t="array" aca="1" ref="M200" ca="1">IF(OR(NOT(INDEX(ExistsTx,$I200,2)),$H200=0),0,INDIRECT("'T"&amp;$I200&amp;"'!$N$"&amp;($J200+5),TRUE)+((1000-ROW())/10000000000000))</f>
        <v>0</v>
      </c>
      <c r="N200" s="230">
        <f t="array" aca="1" ref="N200" ca="1">IF(OR(NOT(INDEX(ExistsTx,$I200,2)),$H200=0),0,INDIRECT("'T"&amp;$I200&amp;"'!$O$"&amp;($J200+5),TRUE)+((1000-ROW())/10000000000000))</f>
        <v>0</v>
      </c>
      <c r="O200" s="230">
        <f t="array" aca="1" ref="O200" ca="1">IF(OR(NOT(INDEX(ExistsTx,$I200,2)),$H200=0),0,INDIRECT("'T"&amp;$I200&amp;"'!$P$"&amp;($J200+5),TRUE)+((1000-ROW())/10000000000000))</f>
        <v>0</v>
      </c>
      <c r="P200" s="230">
        <f t="array" aca="1" ref="P200" ca="1">IF(OR(NOT(INDEX(ExistsTx,$I200,2)),$H200=0),0,INDIRECT("'T"&amp;$I200&amp;"'!$Q$"&amp;($J200+5),TRUE)+((1000-ROW())/10000000000000))</f>
        <v>0</v>
      </c>
      <c r="Q200" s="230">
        <f t="shared" ca="1" si="51"/>
        <v>1.0285714296E-6</v>
      </c>
      <c r="R200" s="230"/>
      <c r="S200" s="230"/>
      <c r="T200" s="230"/>
      <c r="U200" s="230"/>
      <c r="V200" s="230"/>
      <c r="W200" s="230"/>
      <c r="X200" s="229"/>
      <c r="Y200" s="229"/>
      <c r="Z200" s="229"/>
      <c r="AA200" s="230"/>
      <c r="AB200" s="230"/>
      <c r="AC200" s="230"/>
      <c r="AD200" s="229"/>
      <c r="AE200" s="230"/>
    </row>
    <row r="201" spans="1:31" ht="12.75" customHeight="1">
      <c r="A201" s="229" t="str">
        <f t="shared" ca="1" si="45"/>
        <v/>
      </c>
      <c r="B201" s="229" t="str">
        <f t="shared" ca="1" si="46"/>
        <v/>
      </c>
      <c r="C201" s="229" t="str">
        <f t="shared" ca="1" si="47"/>
        <v/>
      </c>
      <c r="D201" s="229" t="str">
        <f t="shared" ca="1" si="48"/>
        <v/>
      </c>
      <c r="E201" s="229" t="str">
        <f t="shared" ca="1" si="49"/>
        <v/>
      </c>
      <c r="F201" s="229" t="str">
        <f t="shared" ca="1" si="50"/>
        <v/>
      </c>
      <c r="G201" s="230" t="str">
        <f t="array" aca="1" ref="G201" ca="1">IF(INDEX(ExistsTx,$I201,2),IF(INDIRECT("'T"&amp;$I201&amp;"'!$D$"&amp;($J201+5),TRUE)=0,T_NoName,INDIRECT("'T"&amp;$I201&amp;"'!$D$"&amp;($J201+5),TRUE)),"")</f>
        <v/>
      </c>
      <c r="H201" s="230">
        <f t="array" aca="1" ref="H201" ca="1">IF(INDEX(ExistsTx,$I201,2),INDIRECT("'T"&amp;$I201&amp;"'!$E$"&amp;($J201+5),TRUE),0)</f>
        <v>0</v>
      </c>
      <c r="I201" s="229">
        <v>13</v>
      </c>
      <c r="J201" s="229">
        <v>7</v>
      </c>
      <c r="K201" s="230" t="str">
        <f t="array" aca="1" ref="K201" ca="1">INDEX(ListTeams,$I201,1)</f>
        <v/>
      </c>
      <c r="L201" s="230">
        <f t="array" aca="1" ref="L201" ca="1">IF(OR(NOT(INDEX(ExistsTx,$I201,2)),$H201=0),0,INDIRECT("'T"&amp;$I201&amp;"'!$M$"&amp;($J201+5),TRUE)+((1000-ROW())/10000000000000))</f>
        <v>0</v>
      </c>
      <c r="M201" s="230">
        <f t="array" aca="1" ref="M201" ca="1">IF(OR(NOT(INDEX(ExistsTx,$I201,2)),$H201=0),0,INDIRECT("'T"&amp;$I201&amp;"'!$N$"&amp;($J201+5),TRUE)+((1000-ROW())/10000000000000))</f>
        <v>0</v>
      </c>
      <c r="N201" s="230">
        <f t="array" aca="1" ref="N201" ca="1">IF(OR(NOT(INDEX(ExistsTx,$I201,2)),$H201=0),0,INDIRECT("'T"&amp;$I201&amp;"'!$O$"&amp;($J201+5),TRUE)+((1000-ROW())/10000000000000))</f>
        <v>0</v>
      </c>
      <c r="O201" s="230">
        <f t="array" aca="1" ref="O201" ca="1">IF(OR(NOT(INDEX(ExistsTx,$I201,2)),$H201=0),0,INDIRECT("'T"&amp;$I201&amp;"'!$P$"&amp;($J201+5),TRUE)+((1000-ROW())/10000000000000))</f>
        <v>0</v>
      </c>
      <c r="P201" s="230">
        <f t="array" aca="1" ref="P201" ca="1">IF(OR(NOT(INDEX(ExistsTx,$I201,2)),$H201=0),0,INDIRECT("'T"&amp;$I201&amp;"'!$Q$"&amp;($J201+5),TRUE)+((1000-ROW())/10000000000000))</f>
        <v>0</v>
      </c>
      <c r="Q201" s="230">
        <f t="shared" ca="1" si="51"/>
        <v>1.0272857153129999E-6</v>
      </c>
      <c r="R201" s="230"/>
      <c r="S201" s="230"/>
      <c r="T201" s="230"/>
      <c r="U201" s="230"/>
      <c r="V201" s="230"/>
      <c r="W201" s="230"/>
      <c r="X201" s="229"/>
      <c r="Y201" s="229"/>
      <c r="Z201" s="229"/>
      <c r="AA201" s="230"/>
      <c r="AB201" s="230"/>
      <c r="AC201" s="230"/>
      <c r="AD201" s="229"/>
      <c r="AE201" s="230"/>
    </row>
    <row r="202" spans="1:31" ht="12.75" customHeight="1">
      <c r="A202" s="229" t="str">
        <f t="shared" ca="1" si="45"/>
        <v/>
      </c>
      <c r="B202" s="229" t="str">
        <f t="shared" ca="1" si="46"/>
        <v/>
      </c>
      <c r="C202" s="229" t="str">
        <f t="shared" ca="1" si="47"/>
        <v/>
      </c>
      <c r="D202" s="229" t="str">
        <f t="shared" ca="1" si="48"/>
        <v/>
      </c>
      <c r="E202" s="229" t="str">
        <f t="shared" ca="1" si="49"/>
        <v/>
      </c>
      <c r="F202" s="229" t="str">
        <f t="shared" ca="1" si="50"/>
        <v/>
      </c>
      <c r="G202" s="230" t="str">
        <f t="array" aca="1" ref="G202" ca="1">IF(INDEX(ExistsTx,$I202,2),IF(INDIRECT("'T"&amp;$I202&amp;"'!$D$"&amp;($J202+5),TRUE)=0,T_NoName,INDIRECT("'T"&amp;$I202&amp;"'!$D$"&amp;($J202+5),TRUE)),"")</f>
        <v/>
      </c>
      <c r="H202" s="230">
        <f t="array" aca="1" ref="H202" ca="1">IF(INDEX(ExistsTx,$I202,2),INDIRECT("'T"&amp;$I202&amp;"'!$E$"&amp;($J202+5),TRUE),0)</f>
        <v>0</v>
      </c>
      <c r="I202" s="229">
        <v>13</v>
      </c>
      <c r="J202" s="229">
        <v>8</v>
      </c>
      <c r="K202" s="230" t="str">
        <f t="array" aca="1" ref="K202" ca="1">INDEX(ListTeams,$I202,1)</f>
        <v/>
      </c>
      <c r="L202" s="230">
        <f t="array" aca="1" ref="L202" ca="1">IF(OR(NOT(INDEX(ExistsTx,$I202,2)),$H202=0),0,INDIRECT("'T"&amp;$I202&amp;"'!$M$"&amp;($J202+5),TRUE)+((1000-ROW())/10000000000000))</f>
        <v>0</v>
      </c>
      <c r="M202" s="230">
        <f t="array" aca="1" ref="M202" ca="1">IF(OR(NOT(INDEX(ExistsTx,$I202,2)),$H202=0),0,INDIRECT("'T"&amp;$I202&amp;"'!$N$"&amp;($J202+5),TRUE)+((1000-ROW())/10000000000000))</f>
        <v>0</v>
      </c>
      <c r="N202" s="230">
        <f t="array" aca="1" ref="N202" ca="1">IF(OR(NOT(INDEX(ExistsTx,$I202,2)),$H202=0),0,INDIRECT("'T"&amp;$I202&amp;"'!$O$"&amp;($J202+5),TRUE)+((1000-ROW())/10000000000000))</f>
        <v>0</v>
      </c>
      <c r="O202" s="230">
        <f t="array" aca="1" ref="O202" ca="1">IF(OR(NOT(INDEX(ExistsTx,$I202,2)),$H202=0),0,INDIRECT("'T"&amp;$I202&amp;"'!$P$"&amp;($J202+5),TRUE)+((1000-ROW())/10000000000000))</f>
        <v>0</v>
      </c>
      <c r="P202" s="230">
        <f t="array" aca="1" ref="P202" ca="1">IF(OR(NOT(INDEX(ExistsTx,$I202,2)),$H202=0),0,INDIRECT("'T"&amp;$I202&amp;"'!$Q$"&amp;($J202+5),TRUE)+((1000-ROW())/10000000000000))</f>
        <v>0</v>
      </c>
      <c r="Q202" s="230">
        <f t="shared" ca="1" si="51"/>
        <v>1.026000001026E-6</v>
      </c>
      <c r="R202" s="230"/>
      <c r="S202" s="230"/>
      <c r="T202" s="230"/>
      <c r="U202" s="230"/>
      <c r="V202" s="230"/>
      <c r="W202" s="230"/>
      <c r="X202" s="229"/>
      <c r="Y202" s="229"/>
      <c r="Z202" s="229"/>
      <c r="AA202" s="230"/>
      <c r="AB202" s="230"/>
      <c r="AC202" s="230"/>
      <c r="AD202" s="229"/>
      <c r="AE202" s="230"/>
    </row>
    <row r="203" spans="1:31" ht="12.75" customHeight="1">
      <c r="A203" s="229" t="str">
        <f t="shared" ca="1" si="45"/>
        <v/>
      </c>
      <c r="B203" s="229" t="str">
        <f t="shared" ca="1" si="46"/>
        <v/>
      </c>
      <c r="C203" s="229" t="str">
        <f t="shared" ca="1" si="47"/>
        <v/>
      </c>
      <c r="D203" s="229" t="str">
        <f t="shared" ca="1" si="48"/>
        <v/>
      </c>
      <c r="E203" s="229" t="str">
        <f t="shared" ca="1" si="49"/>
        <v/>
      </c>
      <c r="F203" s="229" t="str">
        <f t="shared" ca="1" si="50"/>
        <v/>
      </c>
      <c r="G203" s="230" t="str">
        <f t="array" aca="1" ref="G203" ca="1">IF(INDEX(ExistsTx,$I203,2),IF(INDIRECT("'T"&amp;$I203&amp;"'!$D$"&amp;($J203+5),TRUE)=0,T_NoName,INDIRECT("'T"&amp;$I203&amp;"'!$D$"&amp;($J203+5),TRUE)),"")</f>
        <v/>
      </c>
      <c r="H203" s="230">
        <f t="array" aca="1" ref="H203" ca="1">IF(INDEX(ExistsTx,$I203,2),INDIRECT("'T"&amp;$I203&amp;"'!$E$"&amp;($J203+5),TRUE),0)</f>
        <v>0</v>
      </c>
      <c r="I203" s="229">
        <v>13</v>
      </c>
      <c r="J203" s="229">
        <v>9</v>
      </c>
      <c r="K203" s="230" t="str">
        <f t="array" aca="1" ref="K203" ca="1">INDEX(ListTeams,$I203,1)</f>
        <v/>
      </c>
      <c r="L203" s="230">
        <f t="array" aca="1" ref="L203" ca="1">IF(OR(NOT(INDEX(ExistsTx,$I203,2)),$H203=0),0,INDIRECT("'T"&amp;$I203&amp;"'!$M$"&amp;($J203+5),TRUE)+((1000-ROW())/10000000000000))</f>
        <v>0</v>
      </c>
      <c r="M203" s="230">
        <f t="array" aca="1" ref="M203" ca="1">IF(OR(NOT(INDEX(ExistsTx,$I203,2)),$H203=0),0,INDIRECT("'T"&amp;$I203&amp;"'!$N$"&amp;($J203+5),TRUE)+((1000-ROW())/10000000000000))</f>
        <v>0</v>
      </c>
      <c r="N203" s="230">
        <f t="array" aca="1" ref="N203" ca="1">IF(OR(NOT(INDEX(ExistsTx,$I203,2)),$H203=0),0,INDIRECT("'T"&amp;$I203&amp;"'!$O$"&amp;($J203+5),TRUE)+((1000-ROW())/10000000000000))</f>
        <v>0</v>
      </c>
      <c r="O203" s="230">
        <f t="array" aca="1" ref="O203" ca="1">IF(OR(NOT(INDEX(ExistsTx,$I203,2)),$H203=0),0,INDIRECT("'T"&amp;$I203&amp;"'!$P$"&amp;($J203+5),TRUE)+((1000-ROW())/10000000000000))</f>
        <v>0</v>
      </c>
      <c r="P203" s="230">
        <f t="array" aca="1" ref="P203" ca="1">IF(OR(NOT(INDEX(ExistsTx,$I203,2)),$H203=0),0,INDIRECT("'T"&amp;$I203&amp;"'!$Q$"&amp;($J203+5),TRUE)+((1000-ROW())/10000000000000))</f>
        <v>0</v>
      </c>
      <c r="Q203" s="230">
        <f t="shared" ca="1" si="51"/>
        <v>1.0247142867390001E-6</v>
      </c>
      <c r="R203" s="230"/>
      <c r="S203" s="230"/>
      <c r="T203" s="230"/>
      <c r="U203" s="230"/>
      <c r="V203" s="230"/>
      <c r="W203" s="230"/>
      <c r="X203" s="229"/>
      <c r="Y203" s="229"/>
      <c r="Z203" s="229"/>
      <c r="AA203" s="230"/>
      <c r="AB203" s="230"/>
      <c r="AC203" s="230"/>
      <c r="AD203" s="229"/>
      <c r="AE203" s="230"/>
    </row>
    <row r="204" spans="1:31" ht="12.75" customHeight="1">
      <c r="A204" s="229" t="str">
        <f t="shared" ca="1" si="45"/>
        <v/>
      </c>
      <c r="B204" s="229" t="str">
        <f t="shared" ca="1" si="46"/>
        <v/>
      </c>
      <c r="C204" s="229" t="str">
        <f t="shared" ca="1" si="47"/>
        <v/>
      </c>
      <c r="D204" s="229" t="str">
        <f t="shared" ca="1" si="48"/>
        <v/>
      </c>
      <c r="E204" s="229" t="str">
        <f t="shared" ca="1" si="49"/>
        <v/>
      </c>
      <c r="F204" s="229" t="str">
        <f t="shared" ca="1" si="50"/>
        <v/>
      </c>
      <c r="G204" s="230" t="str">
        <f t="array" aca="1" ref="G204" ca="1">IF(INDEX(ExistsTx,$I204,2),IF(INDIRECT("'T"&amp;$I204&amp;"'!$D$"&amp;($J204+5),TRUE)=0,T_NoName,INDIRECT("'T"&amp;$I204&amp;"'!$D$"&amp;($J204+5),TRUE)),"")</f>
        <v/>
      </c>
      <c r="H204" s="230">
        <f t="array" aca="1" ref="H204" ca="1">IF(INDEX(ExistsTx,$I204,2),INDIRECT("'T"&amp;$I204&amp;"'!$E$"&amp;($J204+5),TRUE),0)</f>
        <v>0</v>
      </c>
      <c r="I204" s="229">
        <v>13</v>
      </c>
      <c r="J204" s="229">
        <v>10</v>
      </c>
      <c r="K204" s="230" t="str">
        <f t="array" aca="1" ref="K204" ca="1">INDEX(ListTeams,$I204,1)</f>
        <v/>
      </c>
      <c r="L204" s="230">
        <f t="array" aca="1" ref="L204" ca="1">IF(OR(NOT(INDEX(ExistsTx,$I204,2)),$H204=0),0,INDIRECT("'T"&amp;$I204&amp;"'!$M$"&amp;($J204+5),TRUE)+((1000-ROW())/10000000000000))</f>
        <v>0</v>
      </c>
      <c r="M204" s="230">
        <f t="array" aca="1" ref="M204" ca="1">IF(OR(NOT(INDEX(ExistsTx,$I204,2)),$H204=0),0,INDIRECT("'T"&amp;$I204&amp;"'!$N$"&amp;($J204+5),TRUE)+((1000-ROW())/10000000000000))</f>
        <v>0</v>
      </c>
      <c r="N204" s="230">
        <f t="array" aca="1" ref="N204" ca="1">IF(OR(NOT(INDEX(ExistsTx,$I204,2)),$H204=0),0,INDIRECT("'T"&amp;$I204&amp;"'!$O$"&amp;($J204+5),TRUE)+((1000-ROW())/10000000000000))</f>
        <v>0</v>
      </c>
      <c r="O204" s="230">
        <f t="array" aca="1" ref="O204" ca="1">IF(OR(NOT(INDEX(ExistsTx,$I204,2)),$H204=0),0,INDIRECT("'T"&amp;$I204&amp;"'!$P$"&amp;($J204+5),TRUE)+((1000-ROW())/10000000000000))</f>
        <v>0</v>
      </c>
      <c r="P204" s="230">
        <f t="array" aca="1" ref="P204" ca="1">IF(OR(NOT(INDEX(ExistsTx,$I204,2)),$H204=0),0,INDIRECT("'T"&amp;$I204&amp;"'!$Q$"&amp;($J204+5),TRUE)+((1000-ROW())/10000000000000))</f>
        <v>0</v>
      </c>
      <c r="Q204" s="230">
        <f t="shared" ca="1" si="51"/>
        <v>1.023428572452E-6</v>
      </c>
      <c r="R204" s="230"/>
      <c r="S204" s="230"/>
      <c r="T204" s="230"/>
      <c r="U204" s="230"/>
      <c r="V204" s="230"/>
      <c r="W204" s="230"/>
      <c r="X204" s="229"/>
      <c r="Y204" s="229"/>
      <c r="Z204" s="229"/>
      <c r="AA204" s="230"/>
      <c r="AB204" s="230"/>
      <c r="AC204" s="230"/>
      <c r="AD204" s="229"/>
      <c r="AE204" s="230"/>
    </row>
    <row r="205" spans="1:31" ht="12.75" customHeight="1">
      <c r="A205" s="229" t="str">
        <f t="shared" ca="1" si="45"/>
        <v/>
      </c>
      <c r="B205" s="229" t="str">
        <f t="shared" ca="1" si="46"/>
        <v/>
      </c>
      <c r="C205" s="229" t="str">
        <f t="shared" ca="1" si="47"/>
        <v/>
      </c>
      <c r="D205" s="229" t="str">
        <f t="shared" ca="1" si="48"/>
        <v/>
      </c>
      <c r="E205" s="229" t="str">
        <f t="shared" ca="1" si="49"/>
        <v/>
      </c>
      <c r="F205" s="229" t="str">
        <f t="shared" ca="1" si="50"/>
        <v/>
      </c>
      <c r="G205" s="230" t="str">
        <f t="array" aca="1" ref="G205" ca="1">IF(INDEX(ExistsTx,$I205,2),IF(INDIRECT("'T"&amp;$I205&amp;"'!$D$"&amp;($J205+5),TRUE)=0,T_NoName,INDIRECT("'T"&amp;$I205&amp;"'!$D$"&amp;($J205+5),TRUE)),"")</f>
        <v/>
      </c>
      <c r="H205" s="230">
        <f t="array" aca="1" ref="H205" ca="1">IF(INDEX(ExistsTx,$I205,2),INDIRECT("'T"&amp;$I205&amp;"'!$E$"&amp;($J205+5),TRUE),0)</f>
        <v>0</v>
      </c>
      <c r="I205" s="229">
        <v>13</v>
      </c>
      <c r="J205" s="229">
        <v>11</v>
      </c>
      <c r="K205" s="230" t="str">
        <f t="array" aca="1" ref="K205" ca="1">INDEX(ListTeams,$I205,1)</f>
        <v/>
      </c>
      <c r="L205" s="230">
        <f t="array" aca="1" ref="L205" ca="1">IF(OR(NOT(INDEX(ExistsTx,$I205,2)),$H205=0),0,INDIRECT("'T"&amp;$I205&amp;"'!$M$"&amp;($J205+5),TRUE)+((1000-ROW())/10000000000000))</f>
        <v>0</v>
      </c>
      <c r="M205" s="230">
        <f t="array" aca="1" ref="M205" ca="1">IF(OR(NOT(INDEX(ExistsTx,$I205,2)),$H205=0),0,INDIRECT("'T"&amp;$I205&amp;"'!$N$"&amp;($J205+5),TRUE)+((1000-ROW())/10000000000000))</f>
        <v>0</v>
      </c>
      <c r="N205" s="230">
        <f t="array" aca="1" ref="N205" ca="1">IF(OR(NOT(INDEX(ExistsTx,$I205,2)),$H205=0),0,INDIRECT("'T"&amp;$I205&amp;"'!$O$"&amp;($J205+5),TRUE)+((1000-ROW())/10000000000000))</f>
        <v>0</v>
      </c>
      <c r="O205" s="230">
        <f t="array" aca="1" ref="O205" ca="1">IF(OR(NOT(INDEX(ExistsTx,$I205,2)),$H205=0),0,INDIRECT("'T"&amp;$I205&amp;"'!$P$"&amp;($J205+5),TRUE)+((1000-ROW())/10000000000000))</f>
        <v>0</v>
      </c>
      <c r="P205" s="230">
        <f t="array" aca="1" ref="P205" ca="1">IF(OR(NOT(INDEX(ExistsTx,$I205,2)),$H205=0),0,INDIRECT("'T"&amp;$I205&amp;"'!$Q$"&amp;($J205+5),TRUE)+((1000-ROW())/10000000000000))</f>
        <v>0</v>
      </c>
      <c r="Q205" s="230">
        <f t="shared" ca="1" si="51"/>
        <v>1.0221428581650001E-6</v>
      </c>
      <c r="R205" s="230"/>
      <c r="S205" s="230"/>
      <c r="T205" s="230"/>
      <c r="U205" s="230"/>
      <c r="V205" s="230"/>
      <c r="W205" s="230"/>
      <c r="X205" s="229"/>
      <c r="Y205" s="229"/>
      <c r="Z205" s="229"/>
      <c r="AA205" s="230"/>
      <c r="AB205" s="230"/>
      <c r="AC205" s="230"/>
      <c r="AD205" s="229"/>
      <c r="AE205" s="230"/>
    </row>
    <row r="206" spans="1:31" ht="12.75" customHeight="1">
      <c r="A206" s="229" t="str">
        <f t="shared" ca="1" si="45"/>
        <v/>
      </c>
      <c r="B206" s="229" t="str">
        <f t="shared" ca="1" si="46"/>
        <v/>
      </c>
      <c r="C206" s="229" t="str">
        <f t="shared" ca="1" si="47"/>
        <v/>
      </c>
      <c r="D206" s="229" t="str">
        <f t="shared" ca="1" si="48"/>
        <v/>
      </c>
      <c r="E206" s="229" t="str">
        <f t="shared" ca="1" si="49"/>
        <v/>
      </c>
      <c r="F206" s="229" t="str">
        <f t="shared" ca="1" si="50"/>
        <v/>
      </c>
      <c r="G206" s="230" t="str">
        <f t="array" aca="1" ref="G206" ca="1">IF(INDEX(ExistsTx,$I206,2),IF(INDIRECT("'T"&amp;$I206&amp;"'!$D$"&amp;($J206+5),TRUE)=0,T_NoName,INDIRECT("'T"&amp;$I206&amp;"'!$D$"&amp;($J206+5),TRUE)),"")</f>
        <v/>
      </c>
      <c r="H206" s="230">
        <f t="array" aca="1" ref="H206" ca="1">IF(INDEX(ExistsTx,$I206,2),INDIRECT("'T"&amp;$I206&amp;"'!$E$"&amp;($J206+5),TRUE),0)</f>
        <v>0</v>
      </c>
      <c r="I206" s="229">
        <v>13</v>
      </c>
      <c r="J206" s="229">
        <v>12</v>
      </c>
      <c r="K206" s="230" t="str">
        <f t="array" aca="1" ref="K206" ca="1">INDEX(ListTeams,$I206,1)</f>
        <v/>
      </c>
      <c r="L206" s="230">
        <f t="array" aca="1" ref="L206" ca="1">IF(OR(NOT(INDEX(ExistsTx,$I206,2)),$H206=0),0,INDIRECT("'T"&amp;$I206&amp;"'!$M$"&amp;($J206+5),TRUE)+((1000-ROW())/10000000000000))</f>
        <v>0</v>
      </c>
      <c r="M206" s="230">
        <f t="array" aca="1" ref="M206" ca="1">IF(OR(NOT(INDEX(ExistsTx,$I206,2)),$H206=0),0,INDIRECT("'T"&amp;$I206&amp;"'!$N$"&amp;($J206+5),TRUE)+((1000-ROW())/10000000000000))</f>
        <v>0</v>
      </c>
      <c r="N206" s="230">
        <f t="array" aca="1" ref="N206" ca="1">IF(OR(NOT(INDEX(ExistsTx,$I206,2)),$H206=0),0,INDIRECT("'T"&amp;$I206&amp;"'!$O$"&amp;($J206+5),TRUE)+((1000-ROW())/10000000000000))</f>
        <v>0</v>
      </c>
      <c r="O206" s="230">
        <f t="array" aca="1" ref="O206" ca="1">IF(OR(NOT(INDEX(ExistsTx,$I206,2)),$H206=0),0,INDIRECT("'T"&amp;$I206&amp;"'!$P$"&amp;($J206+5),TRUE)+((1000-ROW())/10000000000000))</f>
        <v>0</v>
      </c>
      <c r="P206" s="230">
        <f t="array" aca="1" ref="P206" ca="1">IF(OR(NOT(INDEX(ExistsTx,$I206,2)),$H206=0),0,INDIRECT("'T"&amp;$I206&amp;"'!$Q$"&amp;($J206+5),TRUE)+((1000-ROW())/10000000000000))</f>
        <v>0</v>
      </c>
      <c r="Q206" s="230">
        <f t="shared" ca="1" si="51"/>
        <v>1.020857143878E-6</v>
      </c>
      <c r="R206" s="230"/>
      <c r="S206" s="230"/>
      <c r="T206" s="230"/>
      <c r="U206" s="230"/>
      <c r="V206" s="230"/>
      <c r="W206" s="230"/>
      <c r="X206" s="229"/>
      <c r="Y206" s="229"/>
      <c r="Z206" s="229"/>
      <c r="AA206" s="230"/>
      <c r="AB206" s="230"/>
      <c r="AC206" s="230"/>
      <c r="AD206" s="229"/>
      <c r="AE206" s="230"/>
    </row>
    <row r="207" spans="1:31" ht="12.75" customHeight="1">
      <c r="A207" s="229" t="str">
        <f t="shared" ca="1" si="45"/>
        <v/>
      </c>
      <c r="B207" s="229" t="str">
        <f t="shared" ca="1" si="46"/>
        <v/>
      </c>
      <c r="C207" s="229" t="str">
        <f t="shared" ca="1" si="47"/>
        <v/>
      </c>
      <c r="D207" s="229" t="str">
        <f t="shared" ca="1" si="48"/>
        <v/>
      </c>
      <c r="E207" s="229" t="str">
        <f t="shared" ca="1" si="49"/>
        <v/>
      </c>
      <c r="F207" s="229" t="str">
        <f t="shared" ca="1" si="50"/>
        <v/>
      </c>
      <c r="G207" s="230" t="str">
        <f t="array" aca="1" ref="G207" ca="1">IF(INDEX(ExistsTx,$I207,2),IF(INDIRECT("'T"&amp;$I207&amp;"'!$D$"&amp;($J207+5),TRUE)=0,T_NoName,INDIRECT("'T"&amp;$I207&amp;"'!$D$"&amp;($J207+5),TRUE)),"")</f>
        <v/>
      </c>
      <c r="H207" s="230">
        <f t="array" aca="1" ref="H207" ca="1">IF(INDEX(ExistsTx,$I207,2),INDIRECT("'T"&amp;$I207&amp;"'!$E$"&amp;($J207+5),TRUE),0)</f>
        <v>0</v>
      </c>
      <c r="I207" s="229">
        <v>13</v>
      </c>
      <c r="J207" s="229">
        <v>13</v>
      </c>
      <c r="K207" s="230" t="str">
        <f t="array" aca="1" ref="K207" ca="1">INDEX(ListTeams,$I207,1)</f>
        <v/>
      </c>
      <c r="L207" s="230">
        <f t="array" aca="1" ref="L207" ca="1">IF(OR(NOT(INDEX(ExistsTx,$I207,2)),$H207=0),0,INDIRECT("'T"&amp;$I207&amp;"'!$M$"&amp;($J207+5),TRUE)+((1000-ROW())/10000000000000))</f>
        <v>0</v>
      </c>
      <c r="M207" s="230">
        <f t="array" aca="1" ref="M207" ca="1">IF(OR(NOT(INDEX(ExistsTx,$I207,2)),$H207=0),0,INDIRECT("'T"&amp;$I207&amp;"'!$N$"&amp;($J207+5),TRUE)+((1000-ROW())/10000000000000))</f>
        <v>0</v>
      </c>
      <c r="N207" s="230">
        <f t="array" aca="1" ref="N207" ca="1">IF(OR(NOT(INDEX(ExistsTx,$I207,2)),$H207=0),0,INDIRECT("'T"&amp;$I207&amp;"'!$O$"&amp;($J207+5),TRUE)+((1000-ROW())/10000000000000))</f>
        <v>0</v>
      </c>
      <c r="O207" s="230">
        <f t="array" aca="1" ref="O207" ca="1">IF(OR(NOT(INDEX(ExistsTx,$I207,2)),$H207=0),0,INDIRECT("'T"&amp;$I207&amp;"'!$P$"&amp;($J207+5),TRUE)+((1000-ROW())/10000000000000))</f>
        <v>0</v>
      </c>
      <c r="P207" s="230">
        <f t="array" aca="1" ref="P207" ca="1">IF(OR(NOT(INDEX(ExistsTx,$I207,2)),$H207=0),0,INDIRECT("'T"&amp;$I207&amp;"'!$Q$"&amp;($J207+5),TRUE)+((1000-ROW())/10000000000000))</f>
        <v>0</v>
      </c>
      <c r="Q207" s="230">
        <f t="shared" ca="1" si="51"/>
        <v>1.019571429591E-6</v>
      </c>
      <c r="R207" s="230"/>
      <c r="S207" s="230"/>
      <c r="T207" s="230"/>
      <c r="U207" s="230"/>
      <c r="V207" s="230"/>
      <c r="W207" s="230"/>
      <c r="X207" s="229"/>
      <c r="Y207" s="229"/>
      <c r="Z207" s="229"/>
      <c r="AA207" s="230"/>
      <c r="AB207" s="230"/>
      <c r="AC207" s="230"/>
      <c r="AD207" s="229"/>
      <c r="AE207" s="230"/>
    </row>
    <row r="208" spans="1:31" ht="12.75" customHeight="1">
      <c r="A208" s="229" t="str">
        <f t="shared" ca="1" si="45"/>
        <v/>
      </c>
      <c r="B208" s="229" t="str">
        <f t="shared" ca="1" si="46"/>
        <v/>
      </c>
      <c r="C208" s="229" t="str">
        <f t="shared" ca="1" si="47"/>
        <v/>
      </c>
      <c r="D208" s="229" t="str">
        <f t="shared" ca="1" si="48"/>
        <v/>
      </c>
      <c r="E208" s="229" t="str">
        <f t="shared" ca="1" si="49"/>
        <v/>
      </c>
      <c r="F208" s="229" t="str">
        <f t="shared" ca="1" si="50"/>
        <v/>
      </c>
      <c r="G208" s="230" t="str">
        <f t="array" aca="1" ref="G208" ca="1">IF(INDEX(ExistsTx,$I208,2),IF(INDIRECT("'T"&amp;$I208&amp;"'!$D$"&amp;($J208+5),TRUE)=0,T_NoName,INDIRECT("'T"&amp;$I208&amp;"'!$D$"&amp;($J208+5),TRUE)),"")</f>
        <v/>
      </c>
      <c r="H208" s="230">
        <f t="array" aca="1" ref="H208" ca="1">IF(INDEX(ExistsTx,$I208,2),INDIRECT("'T"&amp;$I208&amp;"'!$E$"&amp;($J208+5),TRUE),0)</f>
        <v>0</v>
      </c>
      <c r="I208" s="229">
        <v>13</v>
      </c>
      <c r="J208" s="229">
        <v>14</v>
      </c>
      <c r="K208" s="230" t="str">
        <f t="array" aca="1" ref="K208" ca="1">INDEX(ListTeams,$I208,1)</f>
        <v/>
      </c>
      <c r="L208" s="230">
        <f t="array" aca="1" ref="L208" ca="1">IF(OR(NOT(INDEX(ExistsTx,$I208,2)),$H208=0),0,INDIRECT("'T"&amp;$I208&amp;"'!$M$"&amp;($J208+5),TRUE)+((1000-ROW())/10000000000000))</f>
        <v>0</v>
      </c>
      <c r="M208" s="230">
        <f t="array" aca="1" ref="M208" ca="1">IF(OR(NOT(INDEX(ExistsTx,$I208,2)),$H208=0),0,INDIRECT("'T"&amp;$I208&amp;"'!$N$"&amp;($J208+5),TRUE)+((1000-ROW())/10000000000000))</f>
        <v>0</v>
      </c>
      <c r="N208" s="230">
        <f t="array" aca="1" ref="N208" ca="1">IF(OR(NOT(INDEX(ExistsTx,$I208,2)),$H208=0),0,INDIRECT("'T"&amp;$I208&amp;"'!$O$"&amp;($J208+5),TRUE)+((1000-ROW())/10000000000000))</f>
        <v>0</v>
      </c>
      <c r="O208" s="230">
        <f t="array" aca="1" ref="O208" ca="1">IF(OR(NOT(INDEX(ExistsTx,$I208,2)),$H208=0),0,INDIRECT("'T"&amp;$I208&amp;"'!$P$"&amp;($J208+5),TRUE)+((1000-ROW())/10000000000000))</f>
        <v>0</v>
      </c>
      <c r="P208" s="230">
        <f t="array" aca="1" ref="P208" ca="1">IF(OR(NOT(INDEX(ExistsTx,$I208,2)),$H208=0),0,INDIRECT("'T"&amp;$I208&amp;"'!$Q$"&amp;($J208+5),TRUE)+((1000-ROW())/10000000000000))</f>
        <v>0</v>
      </c>
      <c r="Q208" s="230">
        <f t="shared" ca="1" si="51"/>
        <v>1.0182857153039999E-6</v>
      </c>
      <c r="R208" s="230"/>
      <c r="S208" s="230"/>
      <c r="T208" s="230"/>
      <c r="U208" s="230"/>
      <c r="V208" s="230"/>
      <c r="W208" s="230"/>
      <c r="X208" s="229"/>
      <c r="Y208" s="229"/>
      <c r="Z208" s="229"/>
      <c r="AA208" s="230"/>
      <c r="AB208" s="230"/>
      <c r="AC208" s="230"/>
      <c r="AD208" s="229"/>
      <c r="AE208" s="230"/>
    </row>
    <row r="209" spans="1:31" ht="12.75" customHeight="1">
      <c r="A209" s="229" t="str">
        <f t="shared" ca="1" si="45"/>
        <v/>
      </c>
      <c r="B209" s="229" t="str">
        <f t="shared" ca="1" si="46"/>
        <v/>
      </c>
      <c r="C209" s="229" t="str">
        <f t="shared" ca="1" si="47"/>
        <v/>
      </c>
      <c r="D209" s="229" t="str">
        <f t="shared" ca="1" si="48"/>
        <v/>
      </c>
      <c r="E209" s="229" t="str">
        <f t="shared" ca="1" si="49"/>
        <v/>
      </c>
      <c r="F209" s="229" t="str">
        <f t="shared" ca="1" si="50"/>
        <v/>
      </c>
      <c r="G209" s="230" t="str">
        <f t="array" aca="1" ref="G209" ca="1">IF(INDEX(ExistsTx,$I209,2),IF(INDIRECT("'T"&amp;$I209&amp;"'!$D$"&amp;($J209+5),TRUE)=0,T_NoName,INDIRECT("'T"&amp;$I209&amp;"'!$D$"&amp;($J209+5),TRUE)),"")</f>
        <v/>
      </c>
      <c r="H209" s="230">
        <f t="array" aca="1" ref="H209" ca="1">IF(INDEX(ExistsTx,$I209,2),INDIRECT("'T"&amp;$I209&amp;"'!$E$"&amp;($J209+5),TRUE),0)</f>
        <v>0</v>
      </c>
      <c r="I209" s="229">
        <v>13</v>
      </c>
      <c r="J209" s="229">
        <v>15</v>
      </c>
      <c r="K209" s="230" t="str">
        <f t="array" aca="1" ref="K209" ca="1">INDEX(ListTeams,$I209,1)</f>
        <v/>
      </c>
      <c r="L209" s="230">
        <f t="array" aca="1" ref="L209" ca="1">IF(OR(NOT(INDEX(ExistsTx,$I209,2)),$H209=0),0,INDIRECT("'T"&amp;$I209&amp;"'!$M$"&amp;($J209+5),TRUE)+((1000-ROW())/10000000000000))</f>
        <v>0</v>
      </c>
      <c r="M209" s="230">
        <f t="array" aca="1" ref="M209" ca="1">IF(OR(NOT(INDEX(ExistsTx,$I209,2)),$H209=0),0,INDIRECT("'T"&amp;$I209&amp;"'!$N$"&amp;($J209+5),TRUE)+((1000-ROW())/10000000000000))</f>
        <v>0</v>
      </c>
      <c r="N209" s="230">
        <f t="array" aca="1" ref="N209" ca="1">IF(OR(NOT(INDEX(ExistsTx,$I209,2)),$H209=0),0,INDIRECT("'T"&amp;$I209&amp;"'!$O$"&amp;($J209+5),TRUE)+((1000-ROW())/10000000000000))</f>
        <v>0</v>
      </c>
      <c r="O209" s="230">
        <f t="array" aca="1" ref="O209" ca="1">IF(OR(NOT(INDEX(ExistsTx,$I209,2)),$H209=0),0,INDIRECT("'T"&amp;$I209&amp;"'!$P$"&amp;($J209+5),TRUE)+((1000-ROW())/10000000000000))</f>
        <v>0</v>
      </c>
      <c r="P209" s="230">
        <f t="array" aca="1" ref="P209" ca="1">IF(OR(NOT(INDEX(ExistsTx,$I209,2)),$H209=0),0,INDIRECT("'T"&amp;$I209&amp;"'!$Q$"&amp;($J209+5),TRUE)+((1000-ROW())/10000000000000))</f>
        <v>0</v>
      </c>
      <c r="Q209" s="230">
        <f t="shared" ca="1" si="51"/>
        <v>1.017000001017E-6</v>
      </c>
      <c r="R209" s="230"/>
      <c r="S209" s="230"/>
      <c r="T209" s="230"/>
      <c r="U209" s="230"/>
      <c r="V209" s="230"/>
      <c r="W209" s="230"/>
      <c r="X209" s="229"/>
      <c r="Y209" s="229"/>
      <c r="Z209" s="229"/>
      <c r="AA209" s="230"/>
      <c r="AB209" s="230"/>
      <c r="AC209" s="230"/>
      <c r="AD209" s="229"/>
      <c r="AE209" s="230"/>
    </row>
    <row r="210" spans="1:31" ht="12.75" customHeight="1">
      <c r="A210" s="229" t="str">
        <f t="shared" ca="1" si="45"/>
        <v/>
      </c>
      <c r="B210" s="229" t="str">
        <f t="shared" ca="1" si="46"/>
        <v/>
      </c>
      <c r="C210" s="229" t="str">
        <f t="shared" ca="1" si="47"/>
        <v/>
      </c>
      <c r="D210" s="229" t="str">
        <f t="shared" ca="1" si="48"/>
        <v/>
      </c>
      <c r="E210" s="229" t="str">
        <f t="shared" ca="1" si="49"/>
        <v/>
      </c>
      <c r="F210" s="229" t="str">
        <f t="shared" ca="1" si="50"/>
        <v/>
      </c>
      <c r="G210" s="230" t="str">
        <f t="array" aca="1" ref="G210" ca="1">IF(INDEX(ExistsTx,$I210,2),IF(INDIRECT("'T"&amp;$I210&amp;"'!$D$"&amp;($J210+5),TRUE)=0,T_NoName,INDIRECT("'T"&amp;$I210&amp;"'!$D$"&amp;($J210+5),TRUE)),"")</f>
        <v/>
      </c>
      <c r="H210" s="230">
        <f t="array" aca="1" ref="H210" ca="1">IF(INDEX(ExistsTx,$I210,2),INDIRECT("'T"&amp;$I210&amp;"'!$E$"&amp;($J210+5),TRUE),0)</f>
        <v>0</v>
      </c>
      <c r="I210" s="229">
        <v>13</v>
      </c>
      <c r="J210" s="229">
        <v>16</v>
      </c>
      <c r="K210" s="230" t="str">
        <f t="array" aca="1" ref="K210" ca="1">INDEX(ListTeams,$I210,1)</f>
        <v/>
      </c>
      <c r="L210" s="230">
        <f t="array" aca="1" ref="L210" ca="1">IF(OR(NOT(INDEX(ExistsTx,$I210,2)),$H210=0),0,INDIRECT("'T"&amp;$I210&amp;"'!$M$"&amp;($J210+5),TRUE)+((1000-ROW())/10000000000000))</f>
        <v>0</v>
      </c>
      <c r="M210" s="230">
        <f t="array" aca="1" ref="M210" ca="1">IF(OR(NOT(INDEX(ExistsTx,$I210,2)),$H210=0),0,INDIRECT("'T"&amp;$I210&amp;"'!$N$"&amp;($J210+5),TRUE)+((1000-ROW())/10000000000000))</f>
        <v>0</v>
      </c>
      <c r="N210" s="230">
        <f t="array" aca="1" ref="N210" ca="1">IF(OR(NOT(INDEX(ExistsTx,$I210,2)),$H210=0),0,INDIRECT("'T"&amp;$I210&amp;"'!$O$"&amp;($J210+5),TRUE)+((1000-ROW())/10000000000000))</f>
        <v>0</v>
      </c>
      <c r="O210" s="230">
        <f t="array" aca="1" ref="O210" ca="1">IF(OR(NOT(INDEX(ExistsTx,$I210,2)),$H210=0),0,INDIRECT("'T"&amp;$I210&amp;"'!$P$"&amp;($J210+5),TRUE)+((1000-ROW())/10000000000000))</f>
        <v>0</v>
      </c>
      <c r="P210" s="230">
        <f t="array" aca="1" ref="P210" ca="1">IF(OR(NOT(INDEX(ExistsTx,$I210,2)),$H210=0),0,INDIRECT("'T"&amp;$I210&amp;"'!$Q$"&amp;($J210+5),TRUE)+((1000-ROW())/10000000000000))</f>
        <v>0</v>
      </c>
      <c r="Q210" s="230">
        <f t="shared" ca="1" si="51"/>
        <v>1.0157142867299999E-6</v>
      </c>
      <c r="R210" s="230"/>
      <c r="S210" s="230"/>
      <c r="T210" s="230"/>
      <c r="U210" s="230"/>
      <c r="V210" s="230"/>
      <c r="W210" s="230"/>
      <c r="X210" s="229"/>
      <c r="Y210" s="229"/>
      <c r="Z210" s="229"/>
      <c r="AA210" s="230"/>
      <c r="AB210" s="230"/>
      <c r="AC210" s="230"/>
      <c r="AD210" s="229"/>
      <c r="AE210" s="230"/>
    </row>
    <row r="211" spans="1:31" ht="12.75" customHeight="1">
      <c r="A211" s="229" t="str">
        <f t="shared" ca="1" si="45"/>
        <v/>
      </c>
      <c r="B211" s="229" t="str">
        <f t="shared" ca="1" si="46"/>
        <v/>
      </c>
      <c r="C211" s="229" t="str">
        <f t="shared" ca="1" si="47"/>
        <v/>
      </c>
      <c r="D211" s="229" t="str">
        <f t="shared" ca="1" si="48"/>
        <v/>
      </c>
      <c r="E211" s="229" t="str">
        <f t="shared" ca="1" si="49"/>
        <v/>
      </c>
      <c r="F211" s="229" t="str">
        <f t="shared" ca="1" si="50"/>
        <v/>
      </c>
      <c r="G211" s="230" t="str">
        <f t="array" aca="1" ref="G211" ca="1">IF(INDEX(ExistsTx,$I211,2),IF(INDIRECT("'T"&amp;$I211&amp;"'!$D$"&amp;($J211+5),TRUE)=0,T_NoName,INDIRECT("'T"&amp;$I211&amp;"'!$D$"&amp;($J211+5),TRUE)),"")</f>
        <v/>
      </c>
      <c r="H211" s="230">
        <f t="array" aca="1" ref="H211" ca="1">IF(INDEX(ExistsTx,$I211,2),INDIRECT("'T"&amp;$I211&amp;"'!$E$"&amp;($J211+5),TRUE),0)</f>
        <v>0</v>
      </c>
      <c r="I211" s="229">
        <v>14</v>
      </c>
      <c r="J211" s="229">
        <v>1</v>
      </c>
      <c r="K211" s="230" t="str">
        <f t="array" aca="1" ref="K211" ca="1">INDEX(ListTeams,$I211,1)</f>
        <v/>
      </c>
      <c r="L211" s="230">
        <f t="array" aca="1" ref="L211" ca="1">IF(OR(NOT(INDEX(ExistsTx,$I211,2)),$H211=0),0,INDIRECT("'T"&amp;$I211&amp;"'!$M$"&amp;($J211+5),TRUE)+((1000-ROW())/10000000000000))</f>
        <v>0</v>
      </c>
      <c r="M211" s="230">
        <f t="array" aca="1" ref="M211" ca="1">IF(OR(NOT(INDEX(ExistsTx,$I211,2)),$H211=0),0,INDIRECT("'T"&amp;$I211&amp;"'!$N$"&amp;($J211+5),TRUE)+((1000-ROW())/10000000000000))</f>
        <v>0</v>
      </c>
      <c r="N211" s="230">
        <f t="array" aca="1" ref="N211" ca="1">IF(OR(NOT(INDEX(ExistsTx,$I211,2)),$H211=0),0,INDIRECT("'T"&amp;$I211&amp;"'!$O$"&amp;($J211+5),TRUE)+((1000-ROW())/10000000000000))</f>
        <v>0</v>
      </c>
      <c r="O211" s="230">
        <f t="array" aca="1" ref="O211" ca="1">IF(OR(NOT(INDEX(ExistsTx,$I211,2)),$H211=0),0,INDIRECT("'T"&amp;$I211&amp;"'!$P$"&amp;($J211+5),TRUE)+((1000-ROW())/10000000000000))</f>
        <v>0</v>
      </c>
      <c r="P211" s="230">
        <f t="array" aca="1" ref="P211" ca="1">IF(OR(NOT(INDEX(ExistsTx,$I211,2)),$H211=0),0,INDIRECT("'T"&amp;$I211&amp;"'!$Q$"&amp;($J211+5),TRUE)+((1000-ROW())/10000000000000))</f>
        <v>0</v>
      </c>
      <c r="Q211" s="230">
        <f t="shared" ca="1" si="51"/>
        <v>1.014428572443E-6</v>
      </c>
      <c r="R211" s="230"/>
      <c r="S211" s="230"/>
      <c r="T211" s="230"/>
      <c r="U211" s="230"/>
      <c r="V211" s="230"/>
      <c r="W211" s="230"/>
      <c r="X211" s="229"/>
      <c r="Y211" s="229"/>
      <c r="Z211" s="229"/>
      <c r="AA211" s="230"/>
      <c r="AB211" s="230"/>
      <c r="AC211" s="230"/>
      <c r="AD211" s="229"/>
      <c r="AE211" s="230"/>
    </row>
    <row r="212" spans="1:31" ht="12.75" customHeight="1">
      <c r="A212" s="229" t="str">
        <f t="shared" ca="1" si="45"/>
        <v/>
      </c>
      <c r="B212" s="229" t="str">
        <f t="shared" ca="1" si="46"/>
        <v/>
      </c>
      <c r="C212" s="229" t="str">
        <f t="shared" ca="1" si="47"/>
        <v/>
      </c>
      <c r="D212" s="229" t="str">
        <f t="shared" ca="1" si="48"/>
        <v/>
      </c>
      <c r="E212" s="229" t="str">
        <f t="shared" ca="1" si="49"/>
        <v/>
      </c>
      <c r="F212" s="229" t="str">
        <f t="shared" ca="1" si="50"/>
        <v/>
      </c>
      <c r="G212" s="230" t="str">
        <f t="array" aca="1" ref="G212" ca="1">IF(INDEX(ExistsTx,$I212,2),IF(INDIRECT("'T"&amp;$I212&amp;"'!$D$"&amp;($J212+5),TRUE)=0,T_NoName,INDIRECT("'T"&amp;$I212&amp;"'!$D$"&amp;($J212+5),TRUE)),"")</f>
        <v/>
      </c>
      <c r="H212" s="230">
        <f t="array" aca="1" ref="H212" ca="1">IF(INDEX(ExistsTx,$I212,2),INDIRECT("'T"&amp;$I212&amp;"'!$E$"&amp;($J212+5),TRUE),0)</f>
        <v>0</v>
      </c>
      <c r="I212" s="229">
        <v>14</v>
      </c>
      <c r="J212" s="229">
        <v>2</v>
      </c>
      <c r="K212" s="230" t="str">
        <f t="array" aca="1" ref="K212" ca="1">INDEX(ListTeams,$I212,1)</f>
        <v/>
      </c>
      <c r="L212" s="230">
        <f t="array" aca="1" ref="L212" ca="1">IF(OR(NOT(INDEX(ExistsTx,$I212,2)),$H212=0),0,INDIRECT("'T"&amp;$I212&amp;"'!$M$"&amp;($J212+5),TRUE)+((1000-ROW())/10000000000000))</f>
        <v>0</v>
      </c>
      <c r="M212" s="230">
        <f t="array" aca="1" ref="M212" ca="1">IF(OR(NOT(INDEX(ExistsTx,$I212,2)),$H212=0),0,INDIRECT("'T"&amp;$I212&amp;"'!$N$"&amp;($J212+5),TRUE)+((1000-ROW())/10000000000000))</f>
        <v>0</v>
      </c>
      <c r="N212" s="230">
        <f t="array" aca="1" ref="N212" ca="1">IF(OR(NOT(INDEX(ExistsTx,$I212,2)),$H212=0),0,INDIRECT("'T"&amp;$I212&amp;"'!$O$"&amp;($J212+5),TRUE)+((1000-ROW())/10000000000000))</f>
        <v>0</v>
      </c>
      <c r="O212" s="230">
        <f t="array" aca="1" ref="O212" ca="1">IF(OR(NOT(INDEX(ExistsTx,$I212,2)),$H212=0),0,INDIRECT("'T"&amp;$I212&amp;"'!$P$"&amp;($J212+5),TRUE)+((1000-ROW())/10000000000000))</f>
        <v>0</v>
      </c>
      <c r="P212" s="230">
        <f t="array" aca="1" ref="P212" ca="1">IF(OR(NOT(INDEX(ExistsTx,$I212,2)),$H212=0),0,INDIRECT("'T"&amp;$I212&amp;"'!$Q$"&amp;($J212+5),TRUE)+((1000-ROW())/10000000000000))</f>
        <v>0</v>
      </c>
      <c r="Q212" s="230">
        <f t="shared" ca="1" si="51"/>
        <v>1.0131428581560001E-6</v>
      </c>
      <c r="R212" s="230"/>
      <c r="S212" s="230"/>
      <c r="T212" s="230"/>
      <c r="U212" s="230"/>
      <c r="V212" s="230"/>
      <c r="W212" s="230"/>
      <c r="X212" s="229"/>
      <c r="Y212" s="229"/>
      <c r="Z212" s="229"/>
      <c r="AA212" s="230"/>
      <c r="AB212" s="230"/>
      <c r="AC212" s="230"/>
      <c r="AD212" s="229"/>
      <c r="AE212" s="230"/>
    </row>
    <row r="213" spans="1:31" ht="12.75" customHeight="1">
      <c r="A213" s="229" t="str">
        <f t="shared" ca="1" si="45"/>
        <v/>
      </c>
      <c r="B213" s="229" t="str">
        <f t="shared" ca="1" si="46"/>
        <v/>
      </c>
      <c r="C213" s="229" t="str">
        <f t="shared" ca="1" si="47"/>
        <v/>
      </c>
      <c r="D213" s="229" t="str">
        <f t="shared" ca="1" si="48"/>
        <v/>
      </c>
      <c r="E213" s="229" t="str">
        <f t="shared" ca="1" si="49"/>
        <v/>
      </c>
      <c r="F213" s="229" t="str">
        <f t="shared" ca="1" si="50"/>
        <v/>
      </c>
      <c r="G213" s="230" t="str">
        <f t="array" aca="1" ref="G213" ca="1">IF(INDEX(ExistsTx,$I213,2),IF(INDIRECT("'T"&amp;$I213&amp;"'!$D$"&amp;($J213+5),TRUE)=0,T_NoName,INDIRECT("'T"&amp;$I213&amp;"'!$D$"&amp;($J213+5),TRUE)),"")</f>
        <v/>
      </c>
      <c r="H213" s="230">
        <f t="array" aca="1" ref="H213" ca="1">IF(INDEX(ExistsTx,$I213,2),INDIRECT("'T"&amp;$I213&amp;"'!$E$"&amp;($J213+5),TRUE),0)</f>
        <v>0</v>
      </c>
      <c r="I213" s="229">
        <v>14</v>
      </c>
      <c r="J213" s="229">
        <v>3</v>
      </c>
      <c r="K213" s="230" t="str">
        <f t="array" aca="1" ref="K213" ca="1">INDEX(ListTeams,$I213,1)</f>
        <v/>
      </c>
      <c r="L213" s="230">
        <f t="array" aca="1" ref="L213" ca="1">IF(OR(NOT(INDEX(ExistsTx,$I213,2)),$H213=0),0,INDIRECT("'T"&amp;$I213&amp;"'!$M$"&amp;($J213+5),TRUE)+((1000-ROW())/10000000000000))</f>
        <v>0</v>
      </c>
      <c r="M213" s="230">
        <f t="array" aca="1" ref="M213" ca="1">IF(OR(NOT(INDEX(ExistsTx,$I213,2)),$H213=0),0,INDIRECT("'T"&amp;$I213&amp;"'!$N$"&amp;($J213+5),TRUE)+((1000-ROW())/10000000000000))</f>
        <v>0</v>
      </c>
      <c r="N213" s="230">
        <f t="array" aca="1" ref="N213" ca="1">IF(OR(NOT(INDEX(ExistsTx,$I213,2)),$H213=0),0,INDIRECT("'T"&amp;$I213&amp;"'!$O$"&amp;($J213+5),TRUE)+((1000-ROW())/10000000000000))</f>
        <v>0</v>
      </c>
      <c r="O213" s="230">
        <f t="array" aca="1" ref="O213" ca="1">IF(OR(NOT(INDEX(ExistsTx,$I213,2)),$H213=0),0,INDIRECT("'T"&amp;$I213&amp;"'!$P$"&amp;($J213+5),TRUE)+((1000-ROW())/10000000000000))</f>
        <v>0</v>
      </c>
      <c r="P213" s="230">
        <f t="array" aca="1" ref="P213" ca="1">IF(OR(NOT(INDEX(ExistsTx,$I213,2)),$H213=0),0,INDIRECT("'T"&amp;$I213&amp;"'!$Q$"&amp;($J213+5),TRUE)+((1000-ROW())/10000000000000))</f>
        <v>0</v>
      </c>
      <c r="Q213" s="230">
        <f t="shared" ca="1" si="51"/>
        <v>1.011857143869E-6</v>
      </c>
      <c r="R213" s="230"/>
      <c r="S213" s="230"/>
      <c r="T213" s="230"/>
      <c r="U213" s="230"/>
      <c r="V213" s="230"/>
      <c r="W213" s="230"/>
      <c r="X213" s="229"/>
      <c r="Y213" s="229"/>
      <c r="Z213" s="229"/>
      <c r="AA213" s="230"/>
      <c r="AB213" s="230"/>
      <c r="AC213" s="230"/>
      <c r="AD213" s="229"/>
      <c r="AE213" s="230"/>
    </row>
    <row r="214" spans="1:31" ht="12.75" customHeight="1">
      <c r="A214" s="229" t="str">
        <f t="shared" ca="1" si="45"/>
        <v/>
      </c>
      <c r="B214" s="229" t="str">
        <f t="shared" ca="1" si="46"/>
        <v/>
      </c>
      <c r="C214" s="229" t="str">
        <f t="shared" ca="1" si="47"/>
        <v/>
      </c>
      <c r="D214" s="229" t="str">
        <f t="shared" ca="1" si="48"/>
        <v/>
      </c>
      <c r="E214" s="229" t="str">
        <f t="shared" ca="1" si="49"/>
        <v/>
      </c>
      <c r="F214" s="229" t="str">
        <f t="shared" ca="1" si="50"/>
        <v/>
      </c>
      <c r="G214" s="230" t="str">
        <f t="array" aca="1" ref="G214" ca="1">IF(INDEX(ExistsTx,$I214,2),IF(INDIRECT("'T"&amp;$I214&amp;"'!$D$"&amp;($J214+5),TRUE)=0,T_NoName,INDIRECT("'T"&amp;$I214&amp;"'!$D$"&amp;($J214+5),TRUE)),"")</f>
        <v/>
      </c>
      <c r="H214" s="230">
        <f t="array" aca="1" ref="H214" ca="1">IF(INDEX(ExistsTx,$I214,2),INDIRECT("'T"&amp;$I214&amp;"'!$E$"&amp;($J214+5),TRUE),0)</f>
        <v>0</v>
      </c>
      <c r="I214" s="229">
        <v>14</v>
      </c>
      <c r="J214" s="229">
        <v>4</v>
      </c>
      <c r="K214" s="230" t="str">
        <f t="array" aca="1" ref="K214" ca="1">INDEX(ListTeams,$I214,1)</f>
        <v/>
      </c>
      <c r="L214" s="230">
        <f t="array" aca="1" ref="L214" ca="1">IF(OR(NOT(INDEX(ExistsTx,$I214,2)),$H214=0),0,INDIRECT("'T"&amp;$I214&amp;"'!$M$"&amp;($J214+5),TRUE)+((1000-ROW())/10000000000000))</f>
        <v>0</v>
      </c>
      <c r="M214" s="230">
        <f t="array" aca="1" ref="M214" ca="1">IF(OR(NOT(INDEX(ExistsTx,$I214,2)),$H214=0),0,INDIRECT("'T"&amp;$I214&amp;"'!$N$"&amp;($J214+5),TRUE)+((1000-ROW())/10000000000000))</f>
        <v>0</v>
      </c>
      <c r="N214" s="230">
        <f t="array" aca="1" ref="N214" ca="1">IF(OR(NOT(INDEX(ExistsTx,$I214,2)),$H214=0),0,INDIRECT("'T"&amp;$I214&amp;"'!$O$"&amp;($J214+5),TRUE)+((1000-ROW())/10000000000000))</f>
        <v>0</v>
      </c>
      <c r="O214" s="230">
        <f t="array" aca="1" ref="O214" ca="1">IF(OR(NOT(INDEX(ExistsTx,$I214,2)),$H214=0),0,INDIRECT("'T"&amp;$I214&amp;"'!$P$"&amp;($J214+5),TRUE)+((1000-ROW())/10000000000000))</f>
        <v>0</v>
      </c>
      <c r="P214" s="230">
        <f t="array" aca="1" ref="P214" ca="1">IF(OR(NOT(INDEX(ExistsTx,$I214,2)),$H214=0),0,INDIRECT("'T"&amp;$I214&amp;"'!$Q$"&amp;($J214+5),TRUE)+((1000-ROW())/10000000000000))</f>
        <v>0</v>
      </c>
      <c r="Q214" s="230">
        <f t="shared" ca="1" si="51"/>
        <v>1.0105714295820001E-6</v>
      </c>
      <c r="R214" s="230"/>
      <c r="S214" s="230"/>
      <c r="T214" s="230"/>
      <c r="U214" s="230"/>
      <c r="V214" s="230"/>
      <c r="W214" s="230"/>
      <c r="X214" s="229"/>
      <c r="Y214" s="229"/>
      <c r="Z214" s="229"/>
      <c r="AA214" s="230"/>
      <c r="AB214" s="230"/>
      <c r="AC214" s="230"/>
      <c r="AD214" s="229"/>
      <c r="AE214" s="230"/>
    </row>
    <row r="215" spans="1:31" ht="12.75" customHeight="1">
      <c r="A215" s="229" t="str">
        <f t="shared" ca="1" si="45"/>
        <v/>
      </c>
      <c r="B215" s="229" t="str">
        <f t="shared" ca="1" si="46"/>
        <v/>
      </c>
      <c r="C215" s="229" t="str">
        <f t="shared" ca="1" si="47"/>
        <v/>
      </c>
      <c r="D215" s="229" t="str">
        <f t="shared" ca="1" si="48"/>
        <v/>
      </c>
      <c r="E215" s="229" t="str">
        <f t="shared" ca="1" si="49"/>
        <v/>
      </c>
      <c r="F215" s="229" t="str">
        <f t="shared" ca="1" si="50"/>
        <v/>
      </c>
      <c r="G215" s="230" t="str">
        <f t="array" aca="1" ref="G215" ca="1">IF(INDEX(ExistsTx,$I215,2),IF(INDIRECT("'T"&amp;$I215&amp;"'!$D$"&amp;($J215+5),TRUE)=0,T_NoName,INDIRECT("'T"&amp;$I215&amp;"'!$D$"&amp;($J215+5),TRUE)),"")</f>
        <v/>
      </c>
      <c r="H215" s="230">
        <f t="array" aca="1" ref="H215" ca="1">IF(INDEX(ExistsTx,$I215,2),INDIRECT("'T"&amp;$I215&amp;"'!$E$"&amp;($J215+5),TRUE),0)</f>
        <v>0</v>
      </c>
      <c r="I215" s="229">
        <v>14</v>
      </c>
      <c r="J215" s="229">
        <v>5</v>
      </c>
      <c r="K215" s="230" t="str">
        <f t="array" aca="1" ref="K215" ca="1">INDEX(ListTeams,$I215,1)</f>
        <v/>
      </c>
      <c r="L215" s="230">
        <f t="array" aca="1" ref="L215" ca="1">IF(OR(NOT(INDEX(ExistsTx,$I215,2)),$H215=0),0,INDIRECT("'T"&amp;$I215&amp;"'!$M$"&amp;($J215+5),TRUE)+((1000-ROW())/10000000000000))</f>
        <v>0</v>
      </c>
      <c r="M215" s="230">
        <f t="array" aca="1" ref="M215" ca="1">IF(OR(NOT(INDEX(ExistsTx,$I215,2)),$H215=0),0,INDIRECT("'T"&amp;$I215&amp;"'!$N$"&amp;($J215+5),TRUE)+((1000-ROW())/10000000000000))</f>
        <v>0</v>
      </c>
      <c r="N215" s="230">
        <f t="array" aca="1" ref="N215" ca="1">IF(OR(NOT(INDEX(ExistsTx,$I215,2)),$H215=0),0,INDIRECT("'T"&amp;$I215&amp;"'!$O$"&amp;($J215+5),TRUE)+((1000-ROW())/10000000000000))</f>
        <v>0</v>
      </c>
      <c r="O215" s="230">
        <f t="array" aca="1" ref="O215" ca="1">IF(OR(NOT(INDEX(ExistsTx,$I215,2)),$H215=0),0,INDIRECT("'T"&amp;$I215&amp;"'!$P$"&amp;($J215+5),TRUE)+((1000-ROW())/10000000000000))</f>
        <v>0</v>
      </c>
      <c r="P215" s="230">
        <f t="array" aca="1" ref="P215" ca="1">IF(OR(NOT(INDEX(ExistsTx,$I215,2)),$H215=0),0,INDIRECT("'T"&amp;$I215&amp;"'!$Q$"&amp;($J215+5),TRUE)+((1000-ROW())/10000000000000))</f>
        <v>0</v>
      </c>
      <c r="Q215" s="230">
        <f t="shared" ca="1" si="51"/>
        <v>1.009285715295E-6</v>
      </c>
      <c r="R215" s="230"/>
      <c r="S215" s="230"/>
      <c r="T215" s="230"/>
      <c r="U215" s="230"/>
      <c r="V215" s="230"/>
      <c r="W215" s="230"/>
      <c r="X215" s="229"/>
      <c r="Y215" s="229"/>
      <c r="Z215" s="229"/>
      <c r="AA215" s="230"/>
      <c r="AB215" s="230"/>
      <c r="AC215" s="230"/>
      <c r="AD215" s="229"/>
      <c r="AE215" s="230"/>
    </row>
    <row r="216" spans="1:31" ht="12.75" customHeight="1">
      <c r="A216" s="229" t="str">
        <f t="shared" ca="1" si="45"/>
        <v/>
      </c>
      <c r="B216" s="229" t="str">
        <f t="shared" ca="1" si="46"/>
        <v/>
      </c>
      <c r="C216" s="229" t="str">
        <f t="shared" ca="1" si="47"/>
        <v/>
      </c>
      <c r="D216" s="229" t="str">
        <f t="shared" ca="1" si="48"/>
        <v/>
      </c>
      <c r="E216" s="229" t="str">
        <f t="shared" ca="1" si="49"/>
        <v/>
      </c>
      <c r="F216" s="229" t="str">
        <f t="shared" ca="1" si="50"/>
        <v/>
      </c>
      <c r="G216" s="230" t="str">
        <f t="array" aca="1" ref="G216" ca="1">IF(INDEX(ExistsTx,$I216,2),IF(INDIRECT("'T"&amp;$I216&amp;"'!$D$"&amp;($J216+5),TRUE)=0,T_NoName,INDIRECT("'T"&amp;$I216&amp;"'!$D$"&amp;($J216+5),TRUE)),"")</f>
        <v/>
      </c>
      <c r="H216" s="230">
        <f t="array" aca="1" ref="H216" ca="1">IF(INDEX(ExistsTx,$I216,2),INDIRECT("'T"&amp;$I216&amp;"'!$E$"&amp;($J216+5),TRUE),0)</f>
        <v>0</v>
      </c>
      <c r="I216" s="229">
        <v>14</v>
      </c>
      <c r="J216" s="229">
        <v>6</v>
      </c>
      <c r="K216" s="230" t="str">
        <f t="array" aca="1" ref="K216" ca="1">INDEX(ListTeams,$I216,1)</f>
        <v/>
      </c>
      <c r="L216" s="230">
        <f t="array" aca="1" ref="L216" ca="1">IF(OR(NOT(INDEX(ExistsTx,$I216,2)),$H216=0),0,INDIRECT("'T"&amp;$I216&amp;"'!$M$"&amp;($J216+5),TRUE)+((1000-ROW())/10000000000000))</f>
        <v>0</v>
      </c>
      <c r="M216" s="230">
        <f t="array" aca="1" ref="M216" ca="1">IF(OR(NOT(INDEX(ExistsTx,$I216,2)),$H216=0),0,INDIRECT("'T"&amp;$I216&amp;"'!$N$"&amp;($J216+5),TRUE)+((1000-ROW())/10000000000000))</f>
        <v>0</v>
      </c>
      <c r="N216" s="230">
        <f t="array" aca="1" ref="N216" ca="1">IF(OR(NOT(INDEX(ExistsTx,$I216,2)),$H216=0),0,INDIRECT("'T"&amp;$I216&amp;"'!$O$"&amp;($J216+5),TRUE)+((1000-ROW())/10000000000000))</f>
        <v>0</v>
      </c>
      <c r="O216" s="230">
        <f t="array" aca="1" ref="O216" ca="1">IF(OR(NOT(INDEX(ExistsTx,$I216,2)),$H216=0),0,INDIRECT("'T"&amp;$I216&amp;"'!$P$"&amp;($J216+5),TRUE)+((1000-ROW())/10000000000000))</f>
        <v>0</v>
      </c>
      <c r="P216" s="230">
        <f t="array" aca="1" ref="P216" ca="1">IF(OR(NOT(INDEX(ExistsTx,$I216,2)),$H216=0),0,INDIRECT("'T"&amp;$I216&amp;"'!$Q$"&amp;($J216+5),TRUE)+((1000-ROW())/10000000000000))</f>
        <v>0</v>
      </c>
      <c r="Q216" s="230">
        <f t="shared" ca="1" si="51"/>
        <v>1.008000001008E-6</v>
      </c>
      <c r="R216" s="230"/>
      <c r="S216" s="230"/>
      <c r="T216" s="230"/>
      <c r="U216" s="230"/>
      <c r="V216" s="230"/>
      <c r="W216" s="230"/>
      <c r="X216" s="229"/>
      <c r="Y216" s="229"/>
      <c r="Z216" s="229"/>
      <c r="AA216" s="230"/>
      <c r="AB216" s="230"/>
      <c r="AC216" s="230"/>
      <c r="AD216" s="229"/>
      <c r="AE216" s="230"/>
    </row>
    <row r="217" spans="1:31" ht="12.75" customHeight="1">
      <c r="A217" s="229" t="str">
        <f t="shared" ca="1" si="45"/>
        <v/>
      </c>
      <c r="B217" s="229" t="str">
        <f t="shared" ca="1" si="46"/>
        <v/>
      </c>
      <c r="C217" s="229" t="str">
        <f t="shared" ca="1" si="47"/>
        <v/>
      </c>
      <c r="D217" s="229" t="str">
        <f t="shared" ca="1" si="48"/>
        <v/>
      </c>
      <c r="E217" s="229" t="str">
        <f t="shared" ca="1" si="49"/>
        <v/>
      </c>
      <c r="F217" s="229" t="str">
        <f t="shared" ca="1" si="50"/>
        <v/>
      </c>
      <c r="G217" s="230" t="str">
        <f t="array" aca="1" ref="G217" ca="1">IF(INDEX(ExistsTx,$I217,2),IF(INDIRECT("'T"&amp;$I217&amp;"'!$D$"&amp;($J217+5),TRUE)=0,T_NoName,INDIRECT("'T"&amp;$I217&amp;"'!$D$"&amp;($J217+5),TRUE)),"")</f>
        <v/>
      </c>
      <c r="H217" s="230">
        <f t="array" aca="1" ref="H217" ca="1">IF(INDEX(ExistsTx,$I217,2),INDIRECT("'T"&amp;$I217&amp;"'!$E$"&amp;($J217+5),TRUE),0)</f>
        <v>0</v>
      </c>
      <c r="I217" s="229">
        <v>14</v>
      </c>
      <c r="J217" s="229">
        <v>7</v>
      </c>
      <c r="K217" s="230" t="str">
        <f t="array" aca="1" ref="K217" ca="1">INDEX(ListTeams,$I217,1)</f>
        <v/>
      </c>
      <c r="L217" s="230">
        <f t="array" aca="1" ref="L217" ca="1">IF(OR(NOT(INDEX(ExistsTx,$I217,2)),$H217=0),0,INDIRECT("'T"&amp;$I217&amp;"'!$M$"&amp;($J217+5),TRUE)+((1000-ROW())/10000000000000))</f>
        <v>0</v>
      </c>
      <c r="M217" s="230">
        <f t="array" aca="1" ref="M217" ca="1">IF(OR(NOT(INDEX(ExistsTx,$I217,2)),$H217=0),0,INDIRECT("'T"&amp;$I217&amp;"'!$N$"&amp;($J217+5),TRUE)+((1000-ROW())/10000000000000))</f>
        <v>0</v>
      </c>
      <c r="N217" s="230">
        <f t="array" aca="1" ref="N217" ca="1">IF(OR(NOT(INDEX(ExistsTx,$I217,2)),$H217=0),0,INDIRECT("'T"&amp;$I217&amp;"'!$O$"&amp;($J217+5),TRUE)+((1000-ROW())/10000000000000))</f>
        <v>0</v>
      </c>
      <c r="O217" s="230">
        <f t="array" aca="1" ref="O217" ca="1">IF(OR(NOT(INDEX(ExistsTx,$I217,2)),$H217=0),0,INDIRECT("'T"&amp;$I217&amp;"'!$P$"&amp;($J217+5),TRUE)+((1000-ROW())/10000000000000))</f>
        <v>0</v>
      </c>
      <c r="P217" s="230">
        <f t="array" aca="1" ref="P217" ca="1">IF(OR(NOT(INDEX(ExistsTx,$I217,2)),$H217=0),0,INDIRECT("'T"&amp;$I217&amp;"'!$Q$"&amp;($J217+5),TRUE)+((1000-ROW())/10000000000000))</f>
        <v>0</v>
      </c>
      <c r="Q217" s="230">
        <f t="shared" ca="1" si="51"/>
        <v>1.0067142867209999E-6</v>
      </c>
      <c r="R217" s="230"/>
      <c r="S217" s="230"/>
      <c r="T217" s="230"/>
      <c r="U217" s="230"/>
      <c r="V217" s="230"/>
      <c r="W217" s="230"/>
      <c r="X217" s="229"/>
      <c r="Y217" s="229"/>
      <c r="Z217" s="229"/>
      <c r="AA217" s="230"/>
      <c r="AB217" s="230"/>
      <c r="AC217" s="230"/>
      <c r="AD217" s="229"/>
      <c r="AE217" s="230"/>
    </row>
    <row r="218" spans="1:31" ht="12.75" customHeight="1">
      <c r="A218" s="229" t="str">
        <f t="shared" ca="1" si="45"/>
        <v/>
      </c>
      <c r="B218" s="229" t="str">
        <f t="shared" ca="1" si="46"/>
        <v/>
      </c>
      <c r="C218" s="229" t="str">
        <f t="shared" ca="1" si="47"/>
        <v/>
      </c>
      <c r="D218" s="229" t="str">
        <f t="shared" ca="1" si="48"/>
        <v/>
      </c>
      <c r="E218" s="229" t="str">
        <f t="shared" ca="1" si="49"/>
        <v/>
      </c>
      <c r="F218" s="229" t="str">
        <f t="shared" ca="1" si="50"/>
        <v/>
      </c>
      <c r="G218" s="230" t="str">
        <f t="array" aca="1" ref="G218" ca="1">IF(INDEX(ExistsTx,$I218,2),IF(INDIRECT("'T"&amp;$I218&amp;"'!$D$"&amp;($J218+5),TRUE)=0,T_NoName,INDIRECT("'T"&amp;$I218&amp;"'!$D$"&amp;($J218+5),TRUE)),"")</f>
        <v/>
      </c>
      <c r="H218" s="230">
        <f t="array" aca="1" ref="H218" ca="1">IF(INDEX(ExistsTx,$I218,2),INDIRECT("'T"&amp;$I218&amp;"'!$E$"&amp;($J218+5),TRUE),0)</f>
        <v>0</v>
      </c>
      <c r="I218" s="229">
        <v>14</v>
      </c>
      <c r="J218" s="229">
        <v>8</v>
      </c>
      <c r="K218" s="230" t="str">
        <f t="array" aca="1" ref="K218" ca="1">INDEX(ListTeams,$I218,1)</f>
        <v/>
      </c>
      <c r="L218" s="230">
        <f t="array" aca="1" ref="L218" ca="1">IF(OR(NOT(INDEX(ExistsTx,$I218,2)),$H218=0),0,INDIRECT("'T"&amp;$I218&amp;"'!$M$"&amp;($J218+5),TRUE)+((1000-ROW())/10000000000000))</f>
        <v>0</v>
      </c>
      <c r="M218" s="230">
        <f t="array" aca="1" ref="M218" ca="1">IF(OR(NOT(INDEX(ExistsTx,$I218,2)),$H218=0),0,INDIRECT("'T"&amp;$I218&amp;"'!$N$"&amp;($J218+5),TRUE)+((1000-ROW())/10000000000000))</f>
        <v>0</v>
      </c>
      <c r="N218" s="230">
        <f t="array" aca="1" ref="N218" ca="1">IF(OR(NOT(INDEX(ExistsTx,$I218,2)),$H218=0),0,INDIRECT("'T"&amp;$I218&amp;"'!$O$"&amp;($J218+5),TRUE)+((1000-ROW())/10000000000000))</f>
        <v>0</v>
      </c>
      <c r="O218" s="230">
        <f t="array" aca="1" ref="O218" ca="1">IF(OR(NOT(INDEX(ExistsTx,$I218,2)),$H218=0),0,INDIRECT("'T"&amp;$I218&amp;"'!$P$"&amp;($J218+5),TRUE)+((1000-ROW())/10000000000000))</f>
        <v>0</v>
      </c>
      <c r="P218" s="230">
        <f t="array" aca="1" ref="P218" ca="1">IF(OR(NOT(INDEX(ExistsTx,$I218,2)),$H218=0),0,INDIRECT("'T"&amp;$I218&amp;"'!$Q$"&amp;($J218+5),TRUE)+((1000-ROW())/10000000000000))</f>
        <v>0</v>
      </c>
      <c r="Q218" s="230">
        <f t="shared" ca="1" si="51"/>
        <v>1.005428572434E-6</v>
      </c>
      <c r="R218" s="230"/>
      <c r="S218" s="230"/>
      <c r="T218" s="230"/>
      <c r="U218" s="230"/>
      <c r="V218" s="230"/>
      <c r="W218" s="230"/>
      <c r="X218" s="229"/>
      <c r="Y218" s="229"/>
      <c r="Z218" s="229"/>
      <c r="AA218" s="230"/>
      <c r="AB218" s="230"/>
      <c r="AC218" s="230"/>
      <c r="AD218" s="229"/>
      <c r="AE218" s="230"/>
    </row>
    <row r="219" spans="1:31" ht="12.75" customHeight="1">
      <c r="A219" s="229" t="str">
        <f t="shared" ca="1" si="45"/>
        <v/>
      </c>
      <c r="B219" s="229" t="str">
        <f t="shared" ca="1" si="46"/>
        <v/>
      </c>
      <c r="C219" s="229" t="str">
        <f t="shared" ca="1" si="47"/>
        <v/>
      </c>
      <c r="D219" s="229" t="str">
        <f t="shared" ca="1" si="48"/>
        <v/>
      </c>
      <c r="E219" s="229" t="str">
        <f t="shared" ca="1" si="49"/>
        <v/>
      </c>
      <c r="F219" s="229" t="str">
        <f t="shared" ca="1" si="50"/>
        <v/>
      </c>
      <c r="G219" s="230" t="str">
        <f t="array" aca="1" ref="G219" ca="1">IF(INDEX(ExistsTx,$I219,2),IF(INDIRECT("'T"&amp;$I219&amp;"'!$D$"&amp;($J219+5),TRUE)=0,T_NoName,INDIRECT("'T"&amp;$I219&amp;"'!$D$"&amp;($J219+5),TRUE)),"")</f>
        <v/>
      </c>
      <c r="H219" s="230">
        <f t="array" aca="1" ref="H219" ca="1">IF(INDEX(ExistsTx,$I219,2),INDIRECT("'T"&amp;$I219&amp;"'!$E$"&amp;($J219+5),TRUE),0)</f>
        <v>0</v>
      </c>
      <c r="I219" s="229">
        <v>14</v>
      </c>
      <c r="J219" s="229">
        <v>9</v>
      </c>
      <c r="K219" s="230" t="str">
        <f t="array" aca="1" ref="K219" ca="1">INDEX(ListTeams,$I219,1)</f>
        <v/>
      </c>
      <c r="L219" s="230">
        <f t="array" aca="1" ref="L219" ca="1">IF(OR(NOT(INDEX(ExistsTx,$I219,2)),$H219=0),0,INDIRECT("'T"&amp;$I219&amp;"'!$M$"&amp;($J219+5),TRUE)+((1000-ROW())/10000000000000))</f>
        <v>0</v>
      </c>
      <c r="M219" s="230">
        <f t="array" aca="1" ref="M219" ca="1">IF(OR(NOT(INDEX(ExistsTx,$I219,2)),$H219=0),0,INDIRECT("'T"&amp;$I219&amp;"'!$N$"&amp;($J219+5),TRUE)+((1000-ROW())/10000000000000))</f>
        <v>0</v>
      </c>
      <c r="N219" s="230">
        <f t="array" aca="1" ref="N219" ca="1">IF(OR(NOT(INDEX(ExistsTx,$I219,2)),$H219=0),0,INDIRECT("'T"&amp;$I219&amp;"'!$O$"&amp;($J219+5),TRUE)+((1000-ROW())/10000000000000))</f>
        <v>0</v>
      </c>
      <c r="O219" s="230">
        <f t="array" aca="1" ref="O219" ca="1">IF(OR(NOT(INDEX(ExistsTx,$I219,2)),$H219=0),0,INDIRECT("'T"&amp;$I219&amp;"'!$P$"&amp;($J219+5),TRUE)+((1000-ROW())/10000000000000))</f>
        <v>0</v>
      </c>
      <c r="P219" s="230">
        <f t="array" aca="1" ref="P219" ca="1">IF(OR(NOT(INDEX(ExistsTx,$I219,2)),$H219=0),0,INDIRECT("'T"&amp;$I219&amp;"'!$Q$"&amp;($J219+5),TRUE)+((1000-ROW())/10000000000000))</f>
        <v>0</v>
      </c>
      <c r="Q219" s="230">
        <f t="shared" ca="1" si="51"/>
        <v>1.0041428581469999E-6</v>
      </c>
      <c r="R219" s="230"/>
      <c r="S219" s="230"/>
      <c r="T219" s="230"/>
      <c r="U219" s="230"/>
      <c r="V219" s="230"/>
      <c r="W219" s="230"/>
      <c r="X219" s="229"/>
      <c r="Y219" s="229"/>
      <c r="Z219" s="229"/>
      <c r="AA219" s="230"/>
      <c r="AB219" s="230"/>
      <c r="AC219" s="230"/>
      <c r="AD219" s="229"/>
      <c r="AE219" s="230"/>
    </row>
    <row r="220" spans="1:31" ht="12.75" customHeight="1">
      <c r="A220" s="229" t="str">
        <f t="shared" ca="1" si="45"/>
        <v/>
      </c>
      <c r="B220" s="229" t="str">
        <f t="shared" ca="1" si="46"/>
        <v/>
      </c>
      <c r="C220" s="229" t="str">
        <f t="shared" ca="1" si="47"/>
        <v/>
      </c>
      <c r="D220" s="229" t="str">
        <f t="shared" ca="1" si="48"/>
        <v/>
      </c>
      <c r="E220" s="229" t="str">
        <f t="shared" ca="1" si="49"/>
        <v/>
      </c>
      <c r="F220" s="229" t="str">
        <f t="shared" ca="1" si="50"/>
        <v/>
      </c>
      <c r="G220" s="230" t="str">
        <f t="array" aca="1" ref="G220" ca="1">IF(INDEX(ExistsTx,$I220,2),IF(INDIRECT("'T"&amp;$I220&amp;"'!$D$"&amp;($J220+5),TRUE)=0,T_NoName,INDIRECT("'T"&amp;$I220&amp;"'!$D$"&amp;($J220+5),TRUE)),"")</f>
        <v/>
      </c>
      <c r="H220" s="230">
        <f t="array" aca="1" ref="H220" ca="1">IF(INDEX(ExistsTx,$I220,2),INDIRECT("'T"&amp;$I220&amp;"'!$E$"&amp;($J220+5),TRUE),0)</f>
        <v>0</v>
      </c>
      <c r="I220" s="229">
        <v>14</v>
      </c>
      <c r="J220" s="229">
        <v>10</v>
      </c>
      <c r="K220" s="230" t="str">
        <f t="array" aca="1" ref="K220" ca="1">INDEX(ListTeams,$I220,1)</f>
        <v/>
      </c>
      <c r="L220" s="230">
        <f t="array" aca="1" ref="L220" ca="1">IF(OR(NOT(INDEX(ExistsTx,$I220,2)),$H220=0),0,INDIRECT("'T"&amp;$I220&amp;"'!$M$"&amp;($J220+5),TRUE)+((1000-ROW())/10000000000000))</f>
        <v>0</v>
      </c>
      <c r="M220" s="230">
        <f t="array" aca="1" ref="M220" ca="1">IF(OR(NOT(INDEX(ExistsTx,$I220,2)),$H220=0),0,INDIRECT("'T"&amp;$I220&amp;"'!$N$"&amp;($J220+5),TRUE)+((1000-ROW())/10000000000000))</f>
        <v>0</v>
      </c>
      <c r="N220" s="230">
        <f t="array" aca="1" ref="N220" ca="1">IF(OR(NOT(INDEX(ExistsTx,$I220,2)),$H220=0),0,INDIRECT("'T"&amp;$I220&amp;"'!$O$"&amp;($J220+5),TRUE)+((1000-ROW())/10000000000000))</f>
        <v>0</v>
      </c>
      <c r="O220" s="230">
        <f t="array" aca="1" ref="O220" ca="1">IF(OR(NOT(INDEX(ExistsTx,$I220,2)),$H220=0),0,INDIRECT("'T"&amp;$I220&amp;"'!$P$"&amp;($J220+5),TRUE)+((1000-ROW())/10000000000000))</f>
        <v>0</v>
      </c>
      <c r="P220" s="230">
        <f t="array" aca="1" ref="P220" ca="1">IF(OR(NOT(INDEX(ExistsTx,$I220,2)),$H220=0),0,INDIRECT("'T"&amp;$I220&amp;"'!$Q$"&amp;($J220+5),TRUE)+((1000-ROW())/10000000000000))</f>
        <v>0</v>
      </c>
      <c r="Q220" s="230">
        <f t="shared" ca="1" si="51"/>
        <v>1.00285714386E-6</v>
      </c>
      <c r="R220" s="230"/>
      <c r="S220" s="230"/>
      <c r="T220" s="230"/>
      <c r="U220" s="230"/>
      <c r="V220" s="230"/>
      <c r="W220" s="230"/>
      <c r="X220" s="229"/>
      <c r="Y220" s="229"/>
      <c r="Z220" s="229"/>
      <c r="AA220" s="230"/>
      <c r="AB220" s="230"/>
      <c r="AC220" s="230"/>
      <c r="AD220" s="229"/>
      <c r="AE220" s="230"/>
    </row>
    <row r="221" spans="1:31" ht="12.75" customHeight="1">
      <c r="A221" s="229" t="str">
        <f t="shared" ca="1" si="45"/>
        <v/>
      </c>
      <c r="B221" s="229" t="str">
        <f t="shared" ca="1" si="46"/>
        <v/>
      </c>
      <c r="C221" s="229" t="str">
        <f t="shared" ca="1" si="47"/>
        <v/>
      </c>
      <c r="D221" s="229" t="str">
        <f t="shared" ca="1" si="48"/>
        <v/>
      </c>
      <c r="E221" s="229" t="str">
        <f t="shared" ca="1" si="49"/>
        <v/>
      </c>
      <c r="F221" s="229" t="str">
        <f t="shared" ca="1" si="50"/>
        <v/>
      </c>
      <c r="G221" s="230" t="str">
        <f t="array" aca="1" ref="G221" ca="1">IF(INDEX(ExistsTx,$I221,2),IF(INDIRECT("'T"&amp;$I221&amp;"'!$D$"&amp;($J221+5),TRUE)=0,T_NoName,INDIRECT("'T"&amp;$I221&amp;"'!$D$"&amp;($J221+5),TRUE)),"")</f>
        <v/>
      </c>
      <c r="H221" s="230">
        <f t="array" aca="1" ref="H221" ca="1">IF(INDEX(ExistsTx,$I221,2),INDIRECT("'T"&amp;$I221&amp;"'!$E$"&amp;($J221+5),TRUE),0)</f>
        <v>0</v>
      </c>
      <c r="I221" s="229">
        <v>14</v>
      </c>
      <c r="J221" s="229">
        <v>11</v>
      </c>
      <c r="K221" s="230" t="str">
        <f t="array" aca="1" ref="K221" ca="1">INDEX(ListTeams,$I221,1)</f>
        <v/>
      </c>
      <c r="L221" s="230">
        <f t="array" aca="1" ref="L221" ca="1">IF(OR(NOT(INDEX(ExistsTx,$I221,2)),$H221=0),0,INDIRECT("'T"&amp;$I221&amp;"'!$M$"&amp;($J221+5),TRUE)+((1000-ROW())/10000000000000))</f>
        <v>0</v>
      </c>
      <c r="M221" s="230">
        <f t="array" aca="1" ref="M221" ca="1">IF(OR(NOT(INDEX(ExistsTx,$I221,2)),$H221=0),0,INDIRECT("'T"&amp;$I221&amp;"'!$N$"&amp;($J221+5),TRUE)+((1000-ROW())/10000000000000))</f>
        <v>0</v>
      </c>
      <c r="N221" s="230">
        <f t="array" aca="1" ref="N221" ca="1">IF(OR(NOT(INDEX(ExistsTx,$I221,2)),$H221=0),0,INDIRECT("'T"&amp;$I221&amp;"'!$O$"&amp;($J221+5),TRUE)+((1000-ROW())/10000000000000))</f>
        <v>0</v>
      </c>
      <c r="O221" s="230">
        <f t="array" aca="1" ref="O221" ca="1">IF(OR(NOT(INDEX(ExistsTx,$I221,2)),$H221=0),0,INDIRECT("'T"&amp;$I221&amp;"'!$P$"&amp;($J221+5),TRUE)+((1000-ROW())/10000000000000))</f>
        <v>0</v>
      </c>
      <c r="P221" s="230">
        <f t="array" aca="1" ref="P221" ca="1">IF(OR(NOT(INDEX(ExistsTx,$I221,2)),$H221=0),0,INDIRECT("'T"&amp;$I221&amp;"'!$Q$"&amp;($J221+5),TRUE)+((1000-ROW())/10000000000000))</f>
        <v>0</v>
      </c>
      <c r="Q221" s="230">
        <f t="shared" ca="1" si="51"/>
        <v>1.0015714295730001E-6</v>
      </c>
      <c r="R221" s="230"/>
      <c r="S221" s="230"/>
      <c r="T221" s="230"/>
      <c r="U221" s="230"/>
      <c r="V221" s="230"/>
      <c r="W221" s="230"/>
      <c r="X221" s="229"/>
      <c r="Y221" s="229"/>
      <c r="Z221" s="229"/>
      <c r="AA221" s="230"/>
      <c r="AB221" s="230"/>
      <c r="AC221" s="230"/>
      <c r="AD221" s="229"/>
      <c r="AE221" s="230"/>
    </row>
    <row r="222" spans="1:31" ht="12.75" customHeight="1">
      <c r="A222" s="229" t="str">
        <f t="shared" ca="1" si="45"/>
        <v/>
      </c>
      <c r="B222" s="229" t="str">
        <f t="shared" ca="1" si="46"/>
        <v/>
      </c>
      <c r="C222" s="229" t="str">
        <f t="shared" ca="1" si="47"/>
        <v/>
      </c>
      <c r="D222" s="229" t="str">
        <f t="shared" ca="1" si="48"/>
        <v/>
      </c>
      <c r="E222" s="229" t="str">
        <f t="shared" ca="1" si="49"/>
        <v/>
      </c>
      <c r="F222" s="229" t="str">
        <f t="shared" ca="1" si="50"/>
        <v/>
      </c>
      <c r="G222" s="230" t="str">
        <f t="array" aca="1" ref="G222" ca="1">IF(INDEX(ExistsTx,$I222,2),IF(INDIRECT("'T"&amp;$I222&amp;"'!$D$"&amp;($J222+5),TRUE)=0,T_NoName,INDIRECT("'T"&amp;$I222&amp;"'!$D$"&amp;($J222+5),TRUE)),"")</f>
        <v/>
      </c>
      <c r="H222" s="230">
        <f t="array" aca="1" ref="H222" ca="1">IF(INDEX(ExistsTx,$I222,2),INDIRECT("'T"&amp;$I222&amp;"'!$E$"&amp;($J222+5),TRUE),0)</f>
        <v>0</v>
      </c>
      <c r="I222" s="229">
        <v>14</v>
      </c>
      <c r="J222" s="229">
        <v>12</v>
      </c>
      <c r="K222" s="230" t="str">
        <f t="array" aca="1" ref="K222" ca="1">INDEX(ListTeams,$I222,1)</f>
        <v/>
      </c>
      <c r="L222" s="230">
        <f t="array" aca="1" ref="L222" ca="1">IF(OR(NOT(INDEX(ExistsTx,$I222,2)),$H222=0),0,INDIRECT("'T"&amp;$I222&amp;"'!$M$"&amp;($J222+5),TRUE)+((1000-ROW())/10000000000000))</f>
        <v>0</v>
      </c>
      <c r="M222" s="230">
        <f t="array" aca="1" ref="M222" ca="1">IF(OR(NOT(INDEX(ExistsTx,$I222,2)),$H222=0),0,INDIRECT("'T"&amp;$I222&amp;"'!$N$"&amp;($J222+5),TRUE)+((1000-ROW())/10000000000000))</f>
        <v>0</v>
      </c>
      <c r="N222" s="230">
        <f t="array" aca="1" ref="N222" ca="1">IF(OR(NOT(INDEX(ExistsTx,$I222,2)),$H222=0),0,INDIRECT("'T"&amp;$I222&amp;"'!$O$"&amp;($J222+5),TRUE)+((1000-ROW())/10000000000000))</f>
        <v>0</v>
      </c>
      <c r="O222" s="230">
        <f t="array" aca="1" ref="O222" ca="1">IF(OR(NOT(INDEX(ExistsTx,$I222,2)),$H222=0),0,INDIRECT("'T"&amp;$I222&amp;"'!$P$"&amp;($J222+5),TRUE)+((1000-ROW())/10000000000000))</f>
        <v>0</v>
      </c>
      <c r="P222" s="230">
        <f t="array" aca="1" ref="P222" ca="1">IF(OR(NOT(INDEX(ExistsTx,$I222,2)),$H222=0),0,INDIRECT("'T"&amp;$I222&amp;"'!$Q$"&amp;($J222+5),TRUE)+((1000-ROW())/10000000000000))</f>
        <v>0</v>
      </c>
      <c r="Q222" s="230">
        <f t="shared" ca="1" si="51"/>
        <v>1.000285715286E-6</v>
      </c>
      <c r="R222" s="230"/>
      <c r="S222" s="230"/>
      <c r="T222" s="230"/>
      <c r="U222" s="230"/>
      <c r="V222" s="230"/>
      <c r="W222" s="230"/>
      <c r="X222" s="229"/>
      <c r="Y222" s="229"/>
      <c r="Z222" s="229"/>
      <c r="AA222" s="230"/>
      <c r="AB222" s="230"/>
      <c r="AC222" s="230"/>
      <c r="AD222" s="229"/>
      <c r="AE222" s="230"/>
    </row>
    <row r="223" spans="1:31" ht="12.75" customHeight="1">
      <c r="A223" s="229" t="str">
        <f t="shared" ca="1" si="45"/>
        <v/>
      </c>
      <c r="B223" s="229" t="str">
        <f t="shared" ca="1" si="46"/>
        <v/>
      </c>
      <c r="C223" s="229" t="str">
        <f t="shared" ca="1" si="47"/>
        <v/>
      </c>
      <c r="D223" s="229" t="str">
        <f t="shared" ca="1" si="48"/>
        <v/>
      </c>
      <c r="E223" s="229" t="str">
        <f t="shared" ca="1" si="49"/>
        <v/>
      </c>
      <c r="F223" s="229" t="str">
        <f t="shared" ca="1" si="50"/>
        <v/>
      </c>
      <c r="G223" s="230" t="str">
        <f t="array" aca="1" ref="G223" ca="1">IF(INDEX(ExistsTx,$I223,2),IF(INDIRECT("'T"&amp;$I223&amp;"'!$D$"&amp;($J223+5),TRUE)=0,T_NoName,INDIRECT("'T"&amp;$I223&amp;"'!$D$"&amp;($J223+5),TRUE)),"")</f>
        <v/>
      </c>
      <c r="H223" s="230">
        <f t="array" aca="1" ref="H223" ca="1">IF(INDEX(ExistsTx,$I223,2),INDIRECT("'T"&amp;$I223&amp;"'!$E$"&amp;($J223+5),TRUE),0)</f>
        <v>0</v>
      </c>
      <c r="I223" s="229">
        <v>14</v>
      </c>
      <c r="J223" s="229">
        <v>13</v>
      </c>
      <c r="K223" s="230" t="str">
        <f t="array" aca="1" ref="K223" ca="1">INDEX(ListTeams,$I223,1)</f>
        <v/>
      </c>
      <c r="L223" s="230">
        <f t="array" aca="1" ref="L223" ca="1">IF(OR(NOT(INDEX(ExistsTx,$I223,2)),$H223=0),0,INDIRECT("'T"&amp;$I223&amp;"'!$M$"&amp;($J223+5),TRUE)+((1000-ROW())/10000000000000))</f>
        <v>0</v>
      </c>
      <c r="M223" s="230">
        <f t="array" aca="1" ref="M223" ca="1">IF(OR(NOT(INDEX(ExistsTx,$I223,2)),$H223=0),0,INDIRECT("'T"&amp;$I223&amp;"'!$N$"&amp;($J223+5),TRUE)+((1000-ROW())/10000000000000))</f>
        <v>0</v>
      </c>
      <c r="N223" s="230">
        <f t="array" aca="1" ref="N223" ca="1">IF(OR(NOT(INDEX(ExistsTx,$I223,2)),$H223=0),0,INDIRECT("'T"&amp;$I223&amp;"'!$O$"&amp;($J223+5),TRUE)+((1000-ROW())/10000000000000))</f>
        <v>0</v>
      </c>
      <c r="O223" s="230">
        <f t="array" aca="1" ref="O223" ca="1">IF(OR(NOT(INDEX(ExistsTx,$I223,2)),$H223=0),0,INDIRECT("'T"&amp;$I223&amp;"'!$P$"&amp;($J223+5),TRUE)+((1000-ROW())/10000000000000))</f>
        <v>0</v>
      </c>
      <c r="P223" s="230">
        <f t="array" aca="1" ref="P223" ca="1">IF(OR(NOT(INDEX(ExistsTx,$I223,2)),$H223=0),0,INDIRECT("'T"&amp;$I223&amp;"'!$Q$"&amp;($J223+5),TRUE)+((1000-ROW())/10000000000000))</f>
        <v>0</v>
      </c>
      <c r="Q223" s="230">
        <f t="shared" ca="1" si="51"/>
        <v>9.9900000099900007E-7</v>
      </c>
      <c r="R223" s="230"/>
      <c r="S223" s="230"/>
      <c r="T223" s="230"/>
      <c r="U223" s="230"/>
      <c r="V223" s="230"/>
      <c r="W223" s="230"/>
      <c r="X223" s="229"/>
      <c r="Y223" s="229"/>
      <c r="Z223" s="229"/>
      <c r="AA223" s="230"/>
      <c r="AB223" s="230"/>
      <c r="AC223" s="230"/>
      <c r="AD223" s="229"/>
      <c r="AE223" s="230"/>
    </row>
    <row r="224" spans="1:31" ht="12.75" customHeight="1">
      <c r="A224" s="229" t="str">
        <f t="shared" ca="1" si="45"/>
        <v/>
      </c>
      <c r="B224" s="229" t="str">
        <f t="shared" ca="1" si="46"/>
        <v/>
      </c>
      <c r="C224" s="229" t="str">
        <f t="shared" ca="1" si="47"/>
        <v/>
      </c>
      <c r="D224" s="229" t="str">
        <f t="shared" ca="1" si="48"/>
        <v/>
      </c>
      <c r="E224" s="229" t="str">
        <f t="shared" ca="1" si="49"/>
        <v/>
      </c>
      <c r="F224" s="229" t="str">
        <f t="shared" ca="1" si="50"/>
        <v/>
      </c>
      <c r="G224" s="230" t="str">
        <f t="array" aca="1" ref="G224" ca="1">IF(INDEX(ExistsTx,$I224,2),IF(INDIRECT("'T"&amp;$I224&amp;"'!$D$"&amp;($J224+5),TRUE)=0,T_NoName,INDIRECT("'T"&amp;$I224&amp;"'!$D$"&amp;($J224+5),TRUE)),"")</f>
        <v/>
      </c>
      <c r="H224" s="230">
        <f t="array" aca="1" ref="H224" ca="1">IF(INDEX(ExistsTx,$I224,2),INDIRECT("'T"&amp;$I224&amp;"'!$E$"&amp;($J224+5),TRUE),0)</f>
        <v>0</v>
      </c>
      <c r="I224" s="229">
        <v>14</v>
      </c>
      <c r="J224" s="229">
        <v>14</v>
      </c>
      <c r="K224" s="230" t="str">
        <f t="array" aca="1" ref="K224" ca="1">INDEX(ListTeams,$I224,1)</f>
        <v/>
      </c>
      <c r="L224" s="230">
        <f t="array" aca="1" ref="L224" ca="1">IF(OR(NOT(INDEX(ExistsTx,$I224,2)),$H224=0),0,INDIRECT("'T"&amp;$I224&amp;"'!$M$"&amp;($J224+5),TRUE)+((1000-ROW())/10000000000000))</f>
        <v>0</v>
      </c>
      <c r="M224" s="230">
        <f t="array" aca="1" ref="M224" ca="1">IF(OR(NOT(INDEX(ExistsTx,$I224,2)),$H224=0),0,INDIRECT("'T"&amp;$I224&amp;"'!$N$"&amp;($J224+5),TRUE)+((1000-ROW())/10000000000000))</f>
        <v>0</v>
      </c>
      <c r="N224" s="230">
        <f t="array" aca="1" ref="N224" ca="1">IF(OR(NOT(INDEX(ExistsTx,$I224,2)),$H224=0),0,INDIRECT("'T"&amp;$I224&amp;"'!$O$"&amp;($J224+5),TRUE)+((1000-ROW())/10000000000000))</f>
        <v>0</v>
      </c>
      <c r="O224" s="230">
        <f t="array" aca="1" ref="O224" ca="1">IF(OR(NOT(INDEX(ExistsTx,$I224,2)),$H224=0),0,INDIRECT("'T"&amp;$I224&amp;"'!$P$"&amp;($J224+5),TRUE)+((1000-ROW())/10000000000000))</f>
        <v>0</v>
      </c>
      <c r="P224" s="230">
        <f t="array" aca="1" ref="P224" ca="1">IF(OR(NOT(INDEX(ExistsTx,$I224,2)),$H224=0),0,INDIRECT("'T"&amp;$I224&amp;"'!$Q$"&amp;($J224+5),TRUE)+((1000-ROW())/10000000000000))</f>
        <v>0</v>
      </c>
      <c r="Q224" s="230">
        <f t="shared" ca="1" si="51"/>
        <v>9.9771428671199995E-7</v>
      </c>
      <c r="R224" s="230"/>
      <c r="S224" s="230"/>
      <c r="T224" s="230"/>
      <c r="U224" s="230"/>
      <c r="V224" s="230"/>
      <c r="W224" s="230"/>
      <c r="X224" s="229"/>
      <c r="Y224" s="229"/>
      <c r="Z224" s="229"/>
      <c r="AA224" s="230"/>
      <c r="AB224" s="230"/>
      <c r="AC224" s="230"/>
      <c r="AD224" s="229"/>
      <c r="AE224" s="230"/>
    </row>
    <row r="225" spans="1:31" ht="12.75" customHeight="1">
      <c r="A225" s="229" t="str">
        <f t="shared" ca="1" si="45"/>
        <v/>
      </c>
      <c r="B225" s="229" t="str">
        <f t="shared" ca="1" si="46"/>
        <v/>
      </c>
      <c r="C225" s="229" t="str">
        <f t="shared" ca="1" si="47"/>
        <v/>
      </c>
      <c r="D225" s="229" t="str">
        <f t="shared" ca="1" si="48"/>
        <v/>
      </c>
      <c r="E225" s="229" t="str">
        <f t="shared" ca="1" si="49"/>
        <v/>
      </c>
      <c r="F225" s="229" t="str">
        <f t="shared" ca="1" si="50"/>
        <v/>
      </c>
      <c r="G225" s="230" t="str">
        <f t="array" aca="1" ref="G225" ca="1">IF(INDEX(ExistsTx,$I225,2),IF(INDIRECT("'T"&amp;$I225&amp;"'!$D$"&amp;($J225+5),TRUE)=0,T_NoName,INDIRECT("'T"&amp;$I225&amp;"'!$D$"&amp;($J225+5),TRUE)),"")</f>
        <v/>
      </c>
      <c r="H225" s="230">
        <f t="array" aca="1" ref="H225" ca="1">IF(INDEX(ExistsTx,$I225,2),INDIRECT("'T"&amp;$I225&amp;"'!$E$"&amp;($J225+5),TRUE),0)</f>
        <v>0</v>
      </c>
      <c r="I225" s="229">
        <v>14</v>
      </c>
      <c r="J225" s="229">
        <v>15</v>
      </c>
      <c r="K225" s="230" t="str">
        <f t="array" aca="1" ref="K225" ca="1">INDEX(ListTeams,$I225,1)</f>
        <v/>
      </c>
      <c r="L225" s="230">
        <f t="array" aca="1" ref="L225" ca="1">IF(OR(NOT(INDEX(ExistsTx,$I225,2)),$H225=0),0,INDIRECT("'T"&amp;$I225&amp;"'!$M$"&amp;($J225+5),TRUE)+((1000-ROW())/10000000000000))</f>
        <v>0</v>
      </c>
      <c r="M225" s="230">
        <f t="array" aca="1" ref="M225" ca="1">IF(OR(NOT(INDEX(ExistsTx,$I225,2)),$H225=0),0,INDIRECT("'T"&amp;$I225&amp;"'!$N$"&amp;($J225+5),TRUE)+((1000-ROW())/10000000000000))</f>
        <v>0</v>
      </c>
      <c r="N225" s="230">
        <f t="array" aca="1" ref="N225" ca="1">IF(OR(NOT(INDEX(ExistsTx,$I225,2)),$H225=0),0,INDIRECT("'T"&amp;$I225&amp;"'!$O$"&amp;($J225+5),TRUE)+((1000-ROW())/10000000000000))</f>
        <v>0</v>
      </c>
      <c r="O225" s="230">
        <f t="array" aca="1" ref="O225" ca="1">IF(OR(NOT(INDEX(ExistsTx,$I225,2)),$H225=0),0,INDIRECT("'T"&amp;$I225&amp;"'!$P$"&amp;($J225+5),TRUE)+((1000-ROW())/10000000000000))</f>
        <v>0</v>
      </c>
      <c r="P225" s="230">
        <f t="array" aca="1" ref="P225" ca="1">IF(OR(NOT(INDEX(ExistsTx,$I225,2)),$H225=0),0,INDIRECT("'T"&amp;$I225&amp;"'!$Q$"&amp;($J225+5),TRUE)+((1000-ROW())/10000000000000))</f>
        <v>0</v>
      </c>
      <c r="Q225" s="230">
        <f t="shared" ca="1" si="51"/>
        <v>9.9642857242500004E-7</v>
      </c>
      <c r="R225" s="230"/>
      <c r="S225" s="230"/>
      <c r="T225" s="230"/>
      <c r="U225" s="230"/>
      <c r="V225" s="230"/>
      <c r="W225" s="230"/>
      <c r="X225" s="229"/>
      <c r="Y225" s="229"/>
      <c r="Z225" s="229"/>
      <c r="AA225" s="230"/>
      <c r="AB225" s="230"/>
      <c r="AC225" s="230"/>
      <c r="AD225" s="229"/>
      <c r="AE225" s="230"/>
    </row>
    <row r="226" spans="1:31" ht="12.75" customHeight="1">
      <c r="A226" s="229" t="str">
        <f t="shared" ca="1" si="45"/>
        <v/>
      </c>
      <c r="B226" s="229" t="str">
        <f t="shared" ca="1" si="46"/>
        <v/>
      </c>
      <c r="C226" s="229" t="str">
        <f t="shared" ca="1" si="47"/>
        <v/>
      </c>
      <c r="D226" s="229" t="str">
        <f t="shared" ca="1" si="48"/>
        <v/>
      </c>
      <c r="E226" s="229" t="str">
        <f t="shared" ca="1" si="49"/>
        <v/>
      </c>
      <c r="F226" s="229" t="str">
        <f t="shared" ca="1" si="50"/>
        <v/>
      </c>
      <c r="G226" s="230" t="str">
        <f t="array" aca="1" ref="G226" ca="1">IF(INDEX(ExistsTx,$I226,2),IF(INDIRECT("'T"&amp;$I226&amp;"'!$D$"&amp;($J226+5),TRUE)=0,T_NoName,INDIRECT("'T"&amp;$I226&amp;"'!$D$"&amp;($J226+5),TRUE)),"")</f>
        <v/>
      </c>
      <c r="H226" s="230">
        <f t="array" aca="1" ref="H226" ca="1">IF(INDEX(ExistsTx,$I226,2),INDIRECT("'T"&amp;$I226&amp;"'!$E$"&amp;($J226+5),TRUE),0)</f>
        <v>0</v>
      </c>
      <c r="I226" s="229">
        <v>14</v>
      </c>
      <c r="J226" s="229">
        <v>16</v>
      </c>
      <c r="K226" s="230" t="str">
        <f t="array" aca="1" ref="K226" ca="1">INDEX(ListTeams,$I226,1)</f>
        <v/>
      </c>
      <c r="L226" s="230">
        <f t="array" aca="1" ref="L226" ca="1">IF(OR(NOT(INDEX(ExistsTx,$I226,2)),$H226=0),0,INDIRECT("'T"&amp;$I226&amp;"'!$M$"&amp;($J226+5),TRUE)+((1000-ROW())/10000000000000))</f>
        <v>0</v>
      </c>
      <c r="M226" s="230">
        <f t="array" aca="1" ref="M226" ca="1">IF(OR(NOT(INDEX(ExistsTx,$I226,2)),$H226=0),0,INDIRECT("'T"&amp;$I226&amp;"'!$N$"&amp;($J226+5),TRUE)+((1000-ROW())/10000000000000))</f>
        <v>0</v>
      </c>
      <c r="N226" s="230">
        <f t="array" aca="1" ref="N226" ca="1">IF(OR(NOT(INDEX(ExistsTx,$I226,2)),$H226=0),0,INDIRECT("'T"&amp;$I226&amp;"'!$O$"&amp;($J226+5),TRUE)+((1000-ROW())/10000000000000))</f>
        <v>0</v>
      </c>
      <c r="O226" s="230">
        <f t="array" aca="1" ref="O226" ca="1">IF(OR(NOT(INDEX(ExistsTx,$I226,2)),$H226=0),0,INDIRECT("'T"&amp;$I226&amp;"'!$P$"&amp;($J226+5),TRUE)+((1000-ROW())/10000000000000))</f>
        <v>0</v>
      </c>
      <c r="P226" s="230">
        <f t="array" aca="1" ref="P226" ca="1">IF(OR(NOT(INDEX(ExistsTx,$I226,2)),$H226=0),0,INDIRECT("'T"&amp;$I226&amp;"'!$Q$"&amp;($J226+5),TRUE)+((1000-ROW())/10000000000000))</f>
        <v>0</v>
      </c>
      <c r="Q226" s="230">
        <f t="shared" ca="1" si="51"/>
        <v>9.9514285813799993E-7</v>
      </c>
      <c r="R226" s="230"/>
      <c r="S226" s="230"/>
      <c r="T226" s="230"/>
      <c r="U226" s="230"/>
      <c r="V226" s="230"/>
      <c r="W226" s="230"/>
      <c r="X226" s="229"/>
      <c r="Y226" s="229"/>
      <c r="Z226" s="229"/>
      <c r="AA226" s="230"/>
      <c r="AB226" s="230"/>
      <c r="AC226" s="230"/>
      <c r="AD226" s="229"/>
      <c r="AE226" s="230"/>
    </row>
    <row r="227" spans="1:31" ht="12.75" customHeight="1">
      <c r="A227" s="229" t="str">
        <f t="shared" ca="1" si="45"/>
        <v/>
      </c>
      <c r="B227" s="229" t="str">
        <f t="shared" ca="1" si="46"/>
        <v/>
      </c>
      <c r="C227" s="229" t="str">
        <f t="shared" ca="1" si="47"/>
        <v/>
      </c>
      <c r="D227" s="229" t="str">
        <f t="shared" ca="1" si="48"/>
        <v/>
      </c>
      <c r="E227" s="229" t="str">
        <f t="shared" ca="1" si="49"/>
        <v/>
      </c>
      <c r="F227" s="229" t="str">
        <f t="shared" ca="1" si="50"/>
        <v/>
      </c>
      <c r="G227" s="230" t="str">
        <f t="array" aca="1" ref="G227" ca="1">IF(INDEX(ExistsTx,$I227,2),IF(INDIRECT("'T"&amp;$I227&amp;"'!$D$"&amp;($J227+5),TRUE)=0,T_NoName,INDIRECT("'T"&amp;$I227&amp;"'!$D$"&amp;($J227+5),TRUE)),"")</f>
        <v/>
      </c>
      <c r="H227" s="230">
        <f t="array" aca="1" ref="H227" ca="1">IF(INDEX(ExistsTx,$I227,2),INDIRECT("'T"&amp;$I227&amp;"'!$E$"&amp;($J227+5),TRUE),0)</f>
        <v>0</v>
      </c>
      <c r="I227" s="229">
        <v>15</v>
      </c>
      <c r="J227" s="229">
        <v>1</v>
      </c>
      <c r="K227" s="230" t="str">
        <f t="array" aca="1" ref="K227" ca="1">INDEX(ListTeams,$I227,1)</f>
        <v/>
      </c>
      <c r="L227" s="230">
        <f t="array" aca="1" ref="L227" ca="1">IF(OR(NOT(INDEX(ExistsTx,$I227,2)),$H227=0),0,INDIRECT("'T"&amp;$I227&amp;"'!$M$"&amp;($J227+5),TRUE)+((1000-ROW())/10000000000000))</f>
        <v>0</v>
      </c>
      <c r="M227" s="230">
        <f t="array" aca="1" ref="M227" ca="1">IF(OR(NOT(INDEX(ExistsTx,$I227,2)),$H227=0),0,INDIRECT("'T"&amp;$I227&amp;"'!$N$"&amp;($J227+5),TRUE)+((1000-ROW())/10000000000000))</f>
        <v>0</v>
      </c>
      <c r="N227" s="230">
        <f t="array" aca="1" ref="N227" ca="1">IF(OR(NOT(INDEX(ExistsTx,$I227,2)),$H227=0),0,INDIRECT("'T"&amp;$I227&amp;"'!$O$"&amp;($J227+5),TRUE)+((1000-ROW())/10000000000000))</f>
        <v>0</v>
      </c>
      <c r="O227" s="230">
        <f t="array" aca="1" ref="O227" ca="1">IF(OR(NOT(INDEX(ExistsTx,$I227,2)),$H227=0),0,INDIRECT("'T"&amp;$I227&amp;"'!$P$"&amp;($J227+5),TRUE)+((1000-ROW())/10000000000000))</f>
        <v>0</v>
      </c>
      <c r="P227" s="230">
        <f t="array" aca="1" ref="P227" ca="1">IF(OR(NOT(INDEX(ExistsTx,$I227,2)),$H227=0),0,INDIRECT("'T"&amp;$I227&amp;"'!$Q$"&amp;($J227+5),TRUE)+((1000-ROW())/10000000000000))</f>
        <v>0</v>
      </c>
      <c r="Q227" s="230">
        <f t="shared" ca="1" si="51"/>
        <v>9.9385714385100002E-7</v>
      </c>
      <c r="R227" s="230"/>
      <c r="S227" s="230"/>
      <c r="T227" s="230"/>
      <c r="U227" s="230"/>
      <c r="V227" s="230"/>
      <c r="W227" s="230"/>
      <c r="X227" s="229"/>
      <c r="Y227" s="229"/>
      <c r="Z227" s="229"/>
      <c r="AA227" s="230"/>
      <c r="AB227" s="230"/>
      <c r="AC227" s="230"/>
      <c r="AD227" s="229"/>
      <c r="AE227" s="230"/>
    </row>
    <row r="228" spans="1:31" ht="12.75" customHeight="1">
      <c r="A228" s="229" t="str">
        <f t="shared" ca="1" si="45"/>
        <v/>
      </c>
      <c r="B228" s="229" t="str">
        <f t="shared" ca="1" si="46"/>
        <v/>
      </c>
      <c r="C228" s="229" t="str">
        <f t="shared" ca="1" si="47"/>
        <v/>
      </c>
      <c r="D228" s="229" t="str">
        <f t="shared" ca="1" si="48"/>
        <v/>
      </c>
      <c r="E228" s="229" t="str">
        <f t="shared" ca="1" si="49"/>
        <v/>
      </c>
      <c r="F228" s="229" t="str">
        <f t="shared" ca="1" si="50"/>
        <v/>
      </c>
      <c r="G228" s="230" t="str">
        <f t="array" aca="1" ref="G228" ca="1">IF(INDEX(ExistsTx,$I228,2),IF(INDIRECT("'T"&amp;$I228&amp;"'!$D$"&amp;($J228+5),TRUE)=0,T_NoName,INDIRECT("'T"&amp;$I228&amp;"'!$D$"&amp;($J228+5),TRUE)),"")</f>
        <v/>
      </c>
      <c r="H228" s="230">
        <f t="array" aca="1" ref="H228" ca="1">IF(INDEX(ExistsTx,$I228,2),INDIRECT("'T"&amp;$I228&amp;"'!$E$"&amp;($J228+5),TRUE),0)</f>
        <v>0</v>
      </c>
      <c r="I228" s="229">
        <v>15</v>
      </c>
      <c r="J228" s="229">
        <v>2</v>
      </c>
      <c r="K228" s="230" t="str">
        <f t="array" aca="1" ref="K228" ca="1">INDEX(ListTeams,$I228,1)</f>
        <v/>
      </c>
      <c r="L228" s="230">
        <f t="array" aca="1" ref="L228" ca="1">IF(OR(NOT(INDEX(ExistsTx,$I228,2)),$H228=0),0,INDIRECT("'T"&amp;$I228&amp;"'!$M$"&amp;($J228+5),TRUE)+((1000-ROW())/10000000000000))</f>
        <v>0</v>
      </c>
      <c r="M228" s="230">
        <f t="array" aca="1" ref="M228" ca="1">IF(OR(NOT(INDEX(ExistsTx,$I228,2)),$H228=0),0,INDIRECT("'T"&amp;$I228&amp;"'!$N$"&amp;($J228+5),TRUE)+((1000-ROW())/10000000000000))</f>
        <v>0</v>
      </c>
      <c r="N228" s="230">
        <f t="array" aca="1" ref="N228" ca="1">IF(OR(NOT(INDEX(ExistsTx,$I228,2)),$H228=0),0,INDIRECT("'T"&amp;$I228&amp;"'!$O$"&amp;($J228+5),TRUE)+((1000-ROW())/10000000000000))</f>
        <v>0</v>
      </c>
      <c r="O228" s="230">
        <f t="array" aca="1" ref="O228" ca="1">IF(OR(NOT(INDEX(ExistsTx,$I228,2)),$H228=0),0,INDIRECT("'T"&amp;$I228&amp;"'!$P$"&amp;($J228+5),TRUE)+((1000-ROW())/10000000000000))</f>
        <v>0</v>
      </c>
      <c r="P228" s="230">
        <f t="array" aca="1" ref="P228" ca="1">IF(OR(NOT(INDEX(ExistsTx,$I228,2)),$H228=0),0,INDIRECT("'T"&amp;$I228&amp;"'!$Q$"&amp;($J228+5),TRUE)+((1000-ROW())/10000000000000))</f>
        <v>0</v>
      </c>
      <c r="Q228" s="230">
        <f t="shared" ca="1" si="51"/>
        <v>9.925714295639999E-7</v>
      </c>
      <c r="R228" s="230"/>
      <c r="S228" s="230"/>
      <c r="T228" s="230"/>
      <c r="U228" s="230"/>
      <c r="V228" s="230"/>
      <c r="W228" s="230"/>
      <c r="X228" s="229"/>
      <c r="Y228" s="229"/>
      <c r="Z228" s="229"/>
      <c r="AA228" s="230"/>
      <c r="AB228" s="230"/>
      <c r="AC228" s="230"/>
      <c r="AD228" s="229"/>
      <c r="AE228" s="230"/>
    </row>
    <row r="229" spans="1:31" ht="12.75" customHeight="1">
      <c r="A229" s="229" t="str">
        <f t="shared" ca="1" si="45"/>
        <v/>
      </c>
      <c r="B229" s="229" t="str">
        <f t="shared" ca="1" si="46"/>
        <v/>
      </c>
      <c r="C229" s="229" t="str">
        <f t="shared" ca="1" si="47"/>
        <v/>
      </c>
      <c r="D229" s="229" t="str">
        <f t="shared" ca="1" si="48"/>
        <v/>
      </c>
      <c r="E229" s="229" t="str">
        <f t="shared" ca="1" si="49"/>
        <v/>
      </c>
      <c r="F229" s="229" t="str">
        <f t="shared" ca="1" si="50"/>
        <v/>
      </c>
      <c r="G229" s="230" t="str">
        <f t="array" aca="1" ref="G229" ca="1">IF(INDEX(ExistsTx,$I229,2),IF(INDIRECT("'T"&amp;$I229&amp;"'!$D$"&amp;($J229+5),TRUE)=0,T_NoName,INDIRECT("'T"&amp;$I229&amp;"'!$D$"&amp;($J229+5),TRUE)),"")</f>
        <v/>
      </c>
      <c r="H229" s="230">
        <f t="array" aca="1" ref="H229" ca="1">IF(INDEX(ExistsTx,$I229,2),INDIRECT("'T"&amp;$I229&amp;"'!$E$"&amp;($J229+5),TRUE),0)</f>
        <v>0</v>
      </c>
      <c r="I229" s="229">
        <v>15</v>
      </c>
      <c r="J229" s="229">
        <v>3</v>
      </c>
      <c r="K229" s="230" t="str">
        <f t="array" aca="1" ref="K229" ca="1">INDEX(ListTeams,$I229,1)</f>
        <v/>
      </c>
      <c r="L229" s="230">
        <f t="array" aca="1" ref="L229" ca="1">IF(OR(NOT(INDEX(ExistsTx,$I229,2)),$H229=0),0,INDIRECT("'T"&amp;$I229&amp;"'!$M$"&amp;($J229+5),TRUE)+((1000-ROW())/10000000000000))</f>
        <v>0</v>
      </c>
      <c r="M229" s="230">
        <f t="array" aca="1" ref="M229" ca="1">IF(OR(NOT(INDEX(ExistsTx,$I229,2)),$H229=0),0,INDIRECT("'T"&amp;$I229&amp;"'!$N$"&amp;($J229+5),TRUE)+((1000-ROW())/10000000000000))</f>
        <v>0</v>
      </c>
      <c r="N229" s="230">
        <f t="array" aca="1" ref="N229" ca="1">IF(OR(NOT(INDEX(ExistsTx,$I229,2)),$H229=0),0,INDIRECT("'T"&amp;$I229&amp;"'!$O$"&amp;($J229+5),TRUE)+((1000-ROW())/10000000000000))</f>
        <v>0</v>
      </c>
      <c r="O229" s="230">
        <f t="array" aca="1" ref="O229" ca="1">IF(OR(NOT(INDEX(ExistsTx,$I229,2)),$H229=0),0,INDIRECT("'T"&amp;$I229&amp;"'!$P$"&amp;($J229+5),TRUE)+((1000-ROW())/10000000000000))</f>
        <v>0</v>
      </c>
      <c r="P229" s="230">
        <f t="array" aca="1" ref="P229" ca="1">IF(OR(NOT(INDEX(ExistsTx,$I229,2)),$H229=0),0,INDIRECT("'T"&amp;$I229&amp;"'!$Q$"&amp;($J229+5),TRUE)+((1000-ROW())/10000000000000))</f>
        <v>0</v>
      </c>
      <c r="Q229" s="230">
        <f t="shared" ca="1" si="51"/>
        <v>9.91285715277E-7</v>
      </c>
      <c r="R229" s="230"/>
      <c r="S229" s="230"/>
      <c r="T229" s="230"/>
      <c r="U229" s="230"/>
      <c r="V229" s="230"/>
      <c r="W229" s="230"/>
      <c r="X229" s="229"/>
      <c r="Y229" s="229"/>
      <c r="Z229" s="229"/>
      <c r="AA229" s="230"/>
      <c r="AB229" s="230"/>
      <c r="AC229" s="230"/>
      <c r="AD229" s="229"/>
      <c r="AE229" s="230"/>
    </row>
    <row r="230" spans="1:31" ht="12.75" customHeight="1">
      <c r="A230" s="229" t="str">
        <f t="shared" ca="1" si="45"/>
        <v/>
      </c>
      <c r="B230" s="229" t="str">
        <f t="shared" ca="1" si="46"/>
        <v/>
      </c>
      <c r="C230" s="229" t="str">
        <f t="shared" ca="1" si="47"/>
        <v/>
      </c>
      <c r="D230" s="229" t="str">
        <f t="shared" ca="1" si="48"/>
        <v/>
      </c>
      <c r="E230" s="229" t="str">
        <f t="shared" ca="1" si="49"/>
        <v/>
      </c>
      <c r="F230" s="229" t="str">
        <f t="shared" ca="1" si="50"/>
        <v/>
      </c>
      <c r="G230" s="230" t="str">
        <f t="array" aca="1" ref="G230" ca="1">IF(INDEX(ExistsTx,$I230,2),IF(INDIRECT("'T"&amp;$I230&amp;"'!$D$"&amp;($J230+5),TRUE)=0,T_NoName,INDIRECT("'T"&amp;$I230&amp;"'!$D$"&amp;($J230+5),TRUE)),"")</f>
        <v/>
      </c>
      <c r="H230" s="230">
        <f t="array" aca="1" ref="H230" ca="1">IF(INDEX(ExistsTx,$I230,2),INDIRECT("'T"&amp;$I230&amp;"'!$E$"&amp;($J230+5),TRUE),0)</f>
        <v>0</v>
      </c>
      <c r="I230" s="229">
        <v>15</v>
      </c>
      <c r="J230" s="229">
        <v>4</v>
      </c>
      <c r="K230" s="230" t="str">
        <f t="array" aca="1" ref="K230" ca="1">INDEX(ListTeams,$I230,1)</f>
        <v/>
      </c>
      <c r="L230" s="230">
        <f t="array" aca="1" ref="L230" ca="1">IF(OR(NOT(INDEX(ExistsTx,$I230,2)),$H230=0),0,INDIRECT("'T"&amp;$I230&amp;"'!$M$"&amp;($J230+5),TRUE)+((1000-ROW())/10000000000000))</f>
        <v>0</v>
      </c>
      <c r="M230" s="230">
        <f t="array" aca="1" ref="M230" ca="1">IF(OR(NOT(INDEX(ExistsTx,$I230,2)),$H230=0),0,INDIRECT("'T"&amp;$I230&amp;"'!$N$"&amp;($J230+5),TRUE)+((1000-ROW())/10000000000000))</f>
        <v>0</v>
      </c>
      <c r="N230" s="230">
        <f t="array" aca="1" ref="N230" ca="1">IF(OR(NOT(INDEX(ExistsTx,$I230,2)),$H230=0),0,INDIRECT("'T"&amp;$I230&amp;"'!$O$"&amp;($J230+5),TRUE)+((1000-ROW())/10000000000000))</f>
        <v>0</v>
      </c>
      <c r="O230" s="230">
        <f t="array" aca="1" ref="O230" ca="1">IF(OR(NOT(INDEX(ExistsTx,$I230,2)),$H230=0),0,INDIRECT("'T"&amp;$I230&amp;"'!$P$"&amp;($J230+5),TRUE)+((1000-ROW())/10000000000000))</f>
        <v>0</v>
      </c>
      <c r="P230" s="230">
        <f t="array" aca="1" ref="P230" ca="1">IF(OR(NOT(INDEX(ExistsTx,$I230,2)),$H230=0),0,INDIRECT("'T"&amp;$I230&amp;"'!$Q$"&amp;($J230+5),TRUE)+((1000-ROW())/10000000000000))</f>
        <v>0</v>
      </c>
      <c r="Q230" s="230">
        <f t="shared" ca="1" si="51"/>
        <v>9.9000000099000009E-7</v>
      </c>
      <c r="R230" s="230"/>
      <c r="S230" s="230"/>
      <c r="T230" s="230"/>
      <c r="U230" s="230"/>
      <c r="V230" s="230"/>
      <c r="W230" s="230"/>
      <c r="X230" s="229"/>
      <c r="Y230" s="229"/>
      <c r="Z230" s="229"/>
      <c r="AA230" s="230"/>
      <c r="AB230" s="230"/>
      <c r="AC230" s="230"/>
      <c r="AD230" s="229"/>
      <c r="AE230" s="230"/>
    </row>
    <row r="231" spans="1:31" ht="12.75" customHeight="1">
      <c r="A231" s="229" t="str">
        <f t="shared" ca="1" si="45"/>
        <v/>
      </c>
      <c r="B231" s="229" t="str">
        <f t="shared" ca="1" si="46"/>
        <v/>
      </c>
      <c r="C231" s="229" t="str">
        <f t="shared" ca="1" si="47"/>
        <v/>
      </c>
      <c r="D231" s="229" t="str">
        <f t="shared" ca="1" si="48"/>
        <v/>
      </c>
      <c r="E231" s="229" t="str">
        <f t="shared" ca="1" si="49"/>
        <v/>
      </c>
      <c r="F231" s="229" t="str">
        <f t="shared" ca="1" si="50"/>
        <v/>
      </c>
      <c r="G231" s="230" t="str">
        <f t="array" aca="1" ref="G231" ca="1">IF(INDEX(ExistsTx,$I231,2),IF(INDIRECT("'T"&amp;$I231&amp;"'!$D$"&amp;($J231+5),TRUE)=0,T_NoName,INDIRECT("'T"&amp;$I231&amp;"'!$D$"&amp;($J231+5),TRUE)),"")</f>
        <v/>
      </c>
      <c r="H231" s="230">
        <f t="array" aca="1" ref="H231" ca="1">IF(INDEX(ExistsTx,$I231,2),INDIRECT("'T"&amp;$I231&amp;"'!$E$"&amp;($J231+5),TRUE),0)</f>
        <v>0</v>
      </c>
      <c r="I231" s="229">
        <v>15</v>
      </c>
      <c r="J231" s="229">
        <v>5</v>
      </c>
      <c r="K231" s="230" t="str">
        <f t="array" aca="1" ref="K231" ca="1">INDEX(ListTeams,$I231,1)</f>
        <v/>
      </c>
      <c r="L231" s="230">
        <f t="array" aca="1" ref="L231" ca="1">IF(OR(NOT(INDEX(ExistsTx,$I231,2)),$H231=0),0,INDIRECT("'T"&amp;$I231&amp;"'!$M$"&amp;($J231+5),TRUE)+((1000-ROW())/10000000000000))</f>
        <v>0</v>
      </c>
      <c r="M231" s="230">
        <f t="array" aca="1" ref="M231" ca="1">IF(OR(NOT(INDEX(ExistsTx,$I231,2)),$H231=0),0,INDIRECT("'T"&amp;$I231&amp;"'!$N$"&amp;($J231+5),TRUE)+((1000-ROW())/10000000000000))</f>
        <v>0</v>
      </c>
      <c r="N231" s="230">
        <f t="array" aca="1" ref="N231" ca="1">IF(OR(NOT(INDEX(ExistsTx,$I231,2)),$H231=0),0,INDIRECT("'T"&amp;$I231&amp;"'!$O$"&amp;($J231+5),TRUE)+((1000-ROW())/10000000000000))</f>
        <v>0</v>
      </c>
      <c r="O231" s="230">
        <f t="array" aca="1" ref="O231" ca="1">IF(OR(NOT(INDEX(ExistsTx,$I231,2)),$H231=0),0,INDIRECT("'T"&amp;$I231&amp;"'!$P$"&amp;($J231+5),TRUE)+((1000-ROW())/10000000000000))</f>
        <v>0</v>
      </c>
      <c r="P231" s="230">
        <f t="array" aca="1" ref="P231" ca="1">IF(OR(NOT(INDEX(ExistsTx,$I231,2)),$H231=0),0,INDIRECT("'T"&amp;$I231&amp;"'!$Q$"&amp;($J231+5),TRUE)+((1000-ROW())/10000000000000))</f>
        <v>0</v>
      </c>
      <c r="Q231" s="230">
        <f t="shared" ca="1" si="51"/>
        <v>9.8871428670299997E-7</v>
      </c>
      <c r="R231" s="230"/>
      <c r="S231" s="230"/>
      <c r="T231" s="230"/>
      <c r="U231" s="230"/>
      <c r="V231" s="230"/>
      <c r="W231" s="230"/>
      <c r="X231" s="229"/>
      <c r="Y231" s="229"/>
      <c r="Z231" s="229"/>
      <c r="AA231" s="230"/>
      <c r="AB231" s="230"/>
      <c r="AC231" s="230"/>
      <c r="AD231" s="229"/>
      <c r="AE231" s="230"/>
    </row>
    <row r="232" spans="1:31" ht="12.75" customHeight="1">
      <c r="A232" s="229" t="str">
        <f t="shared" ca="1" si="45"/>
        <v/>
      </c>
      <c r="B232" s="229" t="str">
        <f t="shared" ca="1" si="46"/>
        <v/>
      </c>
      <c r="C232" s="229" t="str">
        <f t="shared" ca="1" si="47"/>
        <v/>
      </c>
      <c r="D232" s="229" t="str">
        <f t="shared" ca="1" si="48"/>
        <v/>
      </c>
      <c r="E232" s="229" t="str">
        <f t="shared" ca="1" si="49"/>
        <v/>
      </c>
      <c r="F232" s="229" t="str">
        <f t="shared" ca="1" si="50"/>
        <v/>
      </c>
      <c r="G232" s="230" t="str">
        <f t="array" aca="1" ref="G232" ca="1">IF(INDEX(ExistsTx,$I232,2),IF(INDIRECT("'T"&amp;$I232&amp;"'!$D$"&amp;($J232+5),TRUE)=0,T_NoName,INDIRECT("'T"&amp;$I232&amp;"'!$D$"&amp;($J232+5),TRUE)),"")</f>
        <v/>
      </c>
      <c r="H232" s="230">
        <f t="array" aca="1" ref="H232" ca="1">IF(INDEX(ExistsTx,$I232,2),INDIRECT("'T"&amp;$I232&amp;"'!$E$"&amp;($J232+5),TRUE),0)</f>
        <v>0</v>
      </c>
      <c r="I232" s="229">
        <v>15</v>
      </c>
      <c r="J232" s="229">
        <v>6</v>
      </c>
      <c r="K232" s="230" t="str">
        <f t="array" aca="1" ref="K232" ca="1">INDEX(ListTeams,$I232,1)</f>
        <v/>
      </c>
      <c r="L232" s="230">
        <f t="array" aca="1" ref="L232" ca="1">IF(OR(NOT(INDEX(ExistsTx,$I232,2)),$H232=0),0,INDIRECT("'T"&amp;$I232&amp;"'!$M$"&amp;($J232+5),TRUE)+((1000-ROW())/10000000000000))</f>
        <v>0</v>
      </c>
      <c r="M232" s="230">
        <f t="array" aca="1" ref="M232" ca="1">IF(OR(NOT(INDEX(ExistsTx,$I232,2)),$H232=0),0,INDIRECT("'T"&amp;$I232&amp;"'!$N$"&amp;($J232+5),TRUE)+((1000-ROW())/10000000000000))</f>
        <v>0</v>
      </c>
      <c r="N232" s="230">
        <f t="array" aca="1" ref="N232" ca="1">IF(OR(NOT(INDEX(ExistsTx,$I232,2)),$H232=0),0,INDIRECT("'T"&amp;$I232&amp;"'!$O$"&amp;($J232+5),TRUE)+((1000-ROW())/10000000000000))</f>
        <v>0</v>
      </c>
      <c r="O232" s="230">
        <f t="array" aca="1" ref="O232" ca="1">IF(OR(NOT(INDEX(ExistsTx,$I232,2)),$H232=0),0,INDIRECT("'T"&amp;$I232&amp;"'!$P$"&amp;($J232+5),TRUE)+((1000-ROW())/10000000000000))</f>
        <v>0</v>
      </c>
      <c r="P232" s="230">
        <f t="array" aca="1" ref="P232" ca="1">IF(OR(NOT(INDEX(ExistsTx,$I232,2)),$H232=0),0,INDIRECT("'T"&amp;$I232&amp;"'!$Q$"&amp;($J232+5),TRUE)+((1000-ROW())/10000000000000))</f>
        <v>0</v>
      </c>
      <c r="Q232" s="230">
        <f t="shared" ca="1" si="51"/>
        <v>9.8742857241600007E-7</v>
      </c>
      <c r="R232" s="230"/>
      <c r="S232" s="230"/>
      <c r="T232" s="230"/>
      <c r="U232" s="230"/>
      <c r="V232" s="230"/>
      <c r="W232" s="230"/>
      <c r="X232" s="229"/>
      <c r="Y232" s="229"/>
      <c r="Z232" s="229"/>
      <c r="AA232" s="230"/>
      <c r="AB232" s="230"/>
      <c r="AC232" s="230"/>
      <c r="AD232" s="229"/>
      <c r="AE232" s="230"/>
    </row>
    <row r="233" spans="1:31" ht="12.75" customHeight="1">
      <c r="A233" s="229" t="str">
        <f t="shared" ca="1" si="45"/>
        <v/>
      </c>
      <c r="B233" s="229" t="str">
        <f t="shared" ca="1" si="46"/>
        <v/>
      </c>
      <c r="C233" s="229" t="str">
        <f t="shared" ca="1" si="47"/>
        <v/>
      </c>
      <c r="D233" s="229" t="str">
        <f t="shared" ca="1" si="48"/>
        <v/>
      </c>
      <c r="E233" s="229" t="str">
        <f t="shared" ca="1" si="49"/>
        <v/>
      </c>
      <c r="F233" s="229" t="str">
        <f t="shared" ca="1" si="50"/>
        <v/>
      </c>
      <c r="G233" s="230" t="str">
        <f t="array" aca="1" ref="G233" ca="1">IF(INDEX(ExistsTx,$I233,2),IF(INDIRECT("'T"&amp;$I233&amp;"'!$D$"&amp;($J233+5),TRUE)=0,T_NoName,INDIRECT("'T"&amp;$I233&amp;"'!$D$"&amp;($J233+5),TRUE)),"")</f>
        <v/>
      </c>
      <c r="H233" s="230">
        <f t="array" aca="1" ref="H233" ca="1">IF(INDEX(ExistsTx,$I233,2),INDIRECT("'T"&amp;$I233&amp;"'!$E$"&amp;($J233+5),TRUE),0)</f>
        <v>0</v>
      </c>
      <c r="I233" s="229">
        <v>15</v>
      </c>
      <c r="J233" s="229">
        <v>7</v>
      </c>
      <c r="K233" s="230" t="str">
        <f t="array" aca="1" ref="K233" ca="1">INDEX(ListTeams,$I233,1)</f>
        <v/>
      </c>
      <c r="L233" s="230">
        <f t="array" aca="1" ref="L233" ca="1">IF(OR(NOT(INDEX(ExistsTx,$I233,2)),$H233=0),0,INDIRECT("'T"&amp;$I233&amp;"'!$M$"&amp;($J233+5),TRUE)+((1000-ROW())/10000000000000))</f>
        <v>0</v>
      </c>
      <c r="M233" s="230">
        <f t="array" aca="1" ref="M233" ca="1">IF(OR(NOT(INDEX(ExistsTx,$I233,2)),$H233=0),0,INDIRECT("'T"&amp;$I233&amp;"'!$N$"&amp;($J233+5),TRUE)+((1000-ROW())/10000000000000))</f>
        <v>0</v>
      </c>
      <c r="N233" s="230">
        <f t="array" aca="1" ref="N233" ca="1">IF(OR(NOT(INDEX(ExistsTx,$I233,2)),$H233=0),0,INDIRECT("'T"&amp;$I233&amp;"'!$O$"&amp;($J233+5),TRUE)+((1000-ROW())/10000000000000))</f>
        <v>0</v>
      </c>
      <c r="O233" s="230">
        <f t="array" aca="1" ref="O233" ca="1">IF(OR(NOT(INDEX(ExistsTx,$I233,2)),$H233=0),0,INDIRECT("'T"&amp;$I233&amp;"'!$P$"&amp;($J233+5),TRUE)+((1000-ROW())/10000000000000))</f>
        <v>0</v>
      </c>
      <c r="P233" s="230">
        <f t="array" aca="1" ref="P233" ca="1">IF(OR(NOT(INDEX(ExistsTx,$I233,2)),$H233=0),0,INDIRECT("'T"&amp;$I233&amp;"'!$Q$"&amp;($J233+5),TRUE)+((1000-ROW())/10000000000000))</f>
        <v>0</v>
      </c>
      <c r="Q233" s="230">
        <f t="shared" ca="1" si="51"/>
        <v>9.8614285812899995E-7</v>
      </c>
      <c r="R233" s="230"/>
      <c r="S233" s="230"/>
      <c r="T233" s="230"/>
      <c r="U233" s="230"/>
      <c r="V233" s="230"/>
      <c r="W233" s="230"/>
      <c r="X233" s="229"/>
      <c r="Y233" s="229"/>
      <c r="Z233" s="229"/>
      <c r="AA233" s="230"/>
      <c r="AB233" s="230"/>
      <c r="AC233" s="230"/>
      <c r="AD233" s="229"/>
      <c r="AE233" s="230"/>
    </row>
    <row r="234" spans="1:31" ht="12.75" customHeight="1">
      <c r="A234" s="229" t="str">
        <f t="shared" ca="1" si="45"/>
        <v/>
      </c>
      <c r="B234" s="229" t="str">
        <f t="shared" ca="1" si="46"/>
        <v/>
      </c>
      <c r="C234" s="229" t="str">
        <f t="shared" ca="1" si="47"/>
        <v/>
      </c>
      <c r="D234" s="229" t="str">
        <f t="shared" ca="1" si="48"/>
        <v/>
      </c>
      <c r="E234" s="229" t="str">
        <f t="shared" ca="1" si="49"/>
        <v/>
      </c>
      <c r="F234" s="229" t="str">
        <f t="shared" ca="1" si="50"/>
        <v/>
      </c>
      <c r="G234" s="230" t="str">
        <f t="array" aca="1" ref="G234" ca="1">IF(INDEX(ExistsTx,$I234,2),IF(INDIRECT("'T"&amp;$I234&amp;"'!$D$"&amp;($J234+5),TRUE)=0,T_NoName,INDIRECT("'T"&amp;$I234&amp;"'!$D$"&amp;($J234+5),TRUE)),"")</f>
        <v/>
      </c>
      <c r="H234" s="230">
        <f t="array" aca="1" ref="H234" ca="1">IF(INDEX(ExistsTx,$I234,2),INDIRECT("'T"&amp;$I234&amp;"'!$E$"&amp;($J234+5),TRUE),0)</f>
        <v>0</v>
      </c>
      <c r="I234" s="229">
        <v>15</v>
      </c>
      <c r="J234" s="229">
        <v>8</v>
      </c>
      <c r="K234" s="230" t="str">
        <f t="array" aca="1" ref="K234" ca="1">INDEX(ListTeams,$I234,1)</f>
        <v/>
      </c>
      <c r="L234" s="230">
        <f t="array" aca="1" ref="L234" ca="1">IF(OR(NOT(INDEX(ExistsTx,$I234,2)),$H234=0),0,INDIRECT("'T"&amp;$I234&amp;"'!$M$"&amp;($J234+5),TRUE)+((1000-ROW())/10000000000000))</f>
        <v>0</v>
      </c>
      <c r="M234" s="230">
        <f t="array" aca="1" ref="M234" ca="1">IF(OR(NOT(INDEX(ExistsTx,$I234,2)),$H234=0),0,INDIRECT("'T"&amp;$I234&amp;"'!$N$"&amp;($J234+5),TRUE)+((1000-ROW())/10000000000000))</f>
        <v>0</v>
      </c>
      <c r="N234" s="230">
        <f t="array" aca="1" ref="N234" ca="1">IF(OR(NOT(INDEX(ExistsTx,$I234,2)),$H234=0),0,INDIRECT("'T"&amp;$I234&amp;"'!$O$"&amp;($J234+5),TRUE)+((1000-ROW())/10000000000000))</f>
        <v>0</v>
      </c>
      <c r="O234" s="230">
        <f t="array" aca="1" ref="O234" ca="1">IF(OR(NOT(INDEX(ExistsTx,$I234,2)),$H234=0),0,INDIRECT("'T"&amp;$I234&amp;"'!$P$"&amp;($J234+5),TRUE)+((1000-ROW())/10000000000000))</f>
        <v>0</v>
      </c>
      <c r="P234" s="230">
        <f t="array" aca="1" ref="P234" ca="1">IF(OR(NOT(INDEX(ExistsTx,$I234,2)),$H234=0),0,INDIRECT("'T"&amp;$I234&amp;"'!$Q$"&amp;($J234+5),TRUE)+((1000-ROW())/10000000000000))</f>
        <v>0</v>
      </c>
      <c r="Q234" s="230">
        <f t="shared" ca="1" si="51"/>
        <v>9.8485714384200004E-7</v>
      </c>
      <c r="R234" s="230"/>
      <c r="S234" s="230"/>
      <c r="T234" s="230"/>
      <c r="U234" s="230"/>
      <c r="V234" s="230"/>
      <c r="W234" s="230"/>
      <c r="X234" s="229"/>
      <c r="Y234" s="229"/>
      <c r="Z234" s="229"/>
      <c r="AA234" s="230"/>
      <c r="AB234" s="230"/>
      <c r="AC234" s="230"/>
      <c r="AD234" s="229"/>
      <c r="AE234" s="230"/>
    </row>
    <row r="235" spans="1:31" ht="12.75" customHeight="1">
      <c r="A235" s="229" t="str">
        <f t="shared" ca="1" si="45"/>
        <v/>
      </c>
      <c r="B235" s="229" t="str">
        <f t="shared" ca="1" si="46"/>
        <v/>
      </c>
      <c r="C235" s="229" t="str">
        <f t="shared" ca="1" si="47"/>
        <v/>
      </c>
      <c r="D235" s="229" t="str">
        <f t="shared" ca="1" si="48"/>
        <v/>
      </c>
      <c r="E235" s="229" t="str">
        <f t="shared" ca="1" si="49"/>
        <v/>
      </c>
      <c r="F235" s="229" t="str">
        <f t="shared" ca="1" si="50"/>
        <v/>
      </c>
      <c r="G235" s="230" t="str">
        <f t="array" aca="1" ref="G235" ca="1">IF(INDEX(ExistsTx,$I235,2),IF(INDIRECT("'T"&amp;$I235&amp;"'!$D$"&amp;($J235+5),TRUE)=0,T_NoName,INDIRECT("'T"&amp;$I235&amp;"'!$D$"&amp;($J235+5),TRUE)),"")</f>
        <v/>
      </c>
      <c r="H235" s="230">
        <f t="array" aca="1" ref="H235" ca="1">IF(INDEX(ExistsTx,$I235,2),INDIRECT("'T"&amp;$I235&amp;"'!$E$"&amp;($J235+5),TRUE),0)</f>
        <v>0</v>
      </c>
      <c r="I235" s="229">
        <v>15</v>
      </c>
      <c r="J235" s="229">
        <v>9</v>
      </c>
      <c r="K235" s="230" t="str">
        <f t="array" aca="1" ref="K235" ca="1">INDEX(ListTeams,$I235,1)</f>
        <v/>
      </c>
      <c r="L235" s="230">
        <f t="array" aca="1" ref="L235" ca="1">IF(OR(NOT(INDEX(ExistsTx,$I235,2)),$H235=0),0,INDIRECT("'T"&amp;$I235&amp;"'!$M$"&amp;($J235+5),TRUE)+((1000-ROW())/10000000000000))</f>
        <v>0</v>
      </c>
      <c r="M235" s="230">
        <f t="array" aca="1" ref="M235" ca="1">IF(OR(NOT(INDEX(ExistsTx,$I235,2)),$H235=0),0,INDIRECT("'T"&amp;$I235&amp;"'!$N$"&amp;($J235+5),TRUE)+((1000-ROW())/10000000000000))</f>
        <v>0</v>
      </c>
      <c r="N235" s="230">
        <f t="array" aca="1" ref="N235" ca="1">IF(OR(NOT(INDEX(ExistsTx,$I235,2)),$H235=0),0,INDIRECT("'T"&amp;$I235&amp;"'!$O$"&amp;($J235+5),TRUE)+((1000-ROW())/10000000000000))</f>
        <v>0</v>
      </c>
      <c r="O235" s="230">
        <f t="array" aca="1" ref="O235" ca="1">IF(OR(NOT(INDEX(ExistsTx,$I235,2)),$H235=0),0,INDIRECT("'T"&amp;$I235&amp;"'!$P$"&amp;($J235+5),TRUE)+((1000-ROW())/10000000000000))</f>
        <v>0</v>
      </c>
      <c r="P235" s="230">
        <f t="array" aca="1" ref="P235" ca="1">IF(OR(NOT(INDEX(ExistsTx,$I235,2)),$H235=0),0,INDIRECT("'T"&amp;$I235&amp;"'!$Q$"&amp;($J235+5),TRUE)+((1000-ROW())/10000000000000))</f>
        <v>0</v>
      </c>
      <c r="Q235" s="230">
        <f t="shared" ca="1" si="51"/>
        <v>9.8357142955499992E-7</v>
      </c>
      <c r="R235" s="230"/>
      <c r="S235" s="230"/>
      <c r="T235" s="230"/>
      <c r="U235" s="230"/>
      <c r="V235" s="230"/>
      <c r="W235" s="230"/>
      <c r="X235" s="229"/>
      <c r="Y235" s="229"/>
      <c r="Z235" s="229"/>
      <c r="AA235" s="230"/>
      <c r="AB235" s="230"/>
      <c r="AC235" s="230"/>
      <c r="AD235" s="229"/>
      <c r="AE235" s="230"/>
    </row>
    <row r="236" spans="1:31" ht="12.75" customHeight="1">
      <c r="A236" s="229" t="str">
        <f t="shared" ca="1" si="45"/>
        <v/>
      </c>
      <c r="B236" s="229" t="str">
        <f t="shared" ca="1" si="46"/>
        <v/>
      </c>
      <c r="C236" s="229" t="str">
        <f t="shared" ca="1" si="47"/>
        <v/>
      </c>
      <c r="D236" s="229" t="str">
        <f t="shared" ca="1" si="48"/>
        <v/>
      </c>
      <c r="E236" s="229" t="str">
        <f t="shared" ca="1" si="49"/>
        <v/>
      </c>
      <c r="F236" s="229" t="str">
        <f t="shared" ca="1" si="50"/>
        <v/>
      </c>
      <c r="G236" s="230" t="str">
        <f t="array" aca="1" ref="G236" ca="1">IF(INDEX(ExistsTx,$I236,2),IF(INDIRECT("'T"&amp;$I236&amp;"'!$D$"&amp;($J236+5),TRUE)=0,T_NoName,INDIRECT("'T"&amp;$I236&amp;"'!$D$"&amp;($J236+5),TRUE)),"")</f>
        <v/>
      </c>
      <c r="H236" s="230">
        <f t="array" aca="1" ref="H236" ca="1">IF(INDEX(ExistsTx,$I236,2),INDIRECT("'T"&amp;$I236&amp;"'!$E$"&amp;($J236+5),TRUE),0)</f>
        <v>0</v>
      </c>
      <c r="I236" s="229">
        <v>15</v>
      </c>
      <c r="J236" s="229">
        <v>10</v>
      </c>
      <c r="K236" s="230" t="str">
        <f t="array" aca="1" ref="K236" ca="1">INDEX(ListTeams,$I236,1)</f>
        <v/>
      </c>
      <c r="L236" s="230">
        <f t="array" aca="1" ref="L236" ca="1">IF(OR(NOT(INDEX(ExistsTx,$I236,2)),$H236=0),0,INDIRECT("'T"&amp;$I236&amp;"'!$M$"&amp;($J236+5),TRUE)+((1000-ROW())/10000000000000))</f>
        <v>0</v>
      </c>
      <c r="M236" s="230">
        <f t="array" aca="1" ref="M236" ca="1">IF(OR(NOT(INDEX(ExistsTx,$I236,2)),$H236=0),0,INDIRECT("'T"&amp;$I236&amp;"'!$N$"&amp;($J236+5),TRUE)+((1000-ROW())/10000000000000))</f>
        <v>0</v>
      </c>
      <c r="N236" s="230">
        <f t="array" aca="1" ref="N236" ca="1">IF(OR(NOT(INDEX(ExistsTx,$I236,2)),$H236=0),0,INDIRECT("'T"&amp;$I236&amp;"'!$O$"&amp;($J236+5),TRUE)+((1000-ROW())/10000000000000))</f>
        <v>0</v>
      </c>
      <c r="O236" s="230">
        <f t="array" aca="1" ref="O236" ca="1">IF(OR(NOT(INDEX(ExistsTx,$I236,2)),$H236=0),0,INDIRECT("'T"&amp;$I236&amp;"'!$P$"&amp;($J236+5),TRUE)+((1000-ROW())/10000000000000))</f>
        <v>0</v>
      </c>
      <c r="P236" s="230">
        <f t="array" aca="1" ref="P236" ca="1">IF(OR(NOT(INDEX(ExistsTx,$I236,2)),$H236=0),0,INDIRECT("'T"&amp;$I236&amp;"'!$Q$"&amp;($J236+5),TRUE)+((1000-ROW())/10000000000000))</f>
        <v>0</v>
      </c>
      <c r="Q236" s="230">
        <f t="shared" ca="1" si="51"/>
        <v>9.8228571526800002E-7</v>
      </c>
      <c r="R236" s="230"/>
      <c r="S236" s="230"/>
      <c r="T236" s="230"/>
      <c r="U236" s="230"/>
      <c r="V236" s="230"/>
      <c r="W236" s="230"/>
      <c r="X236" s="229"/>
      <c r="Y236" s="229"/>
      <c r="Z236" s="229"/>
      <c r="AA236" s="230"/>
      <c r="AB236" s="230"/>
      <c r="AC236" s="230"/>
      <c r="AD236" s="229"/>
      <c r="AE236" s="230"/>
    </row>
    <row r="237" spans="1:31" ht="12.75" customHeight="1">
      <c r="A237" s="229" t="str">
        <f t="shared" ca="1" si="45"/>
        <v/>
      </c>
      <c r="B237" s="229" t="str">
        <f t="shared" ca="1" si="46"/>
        <v/>
      </c>
      <c r="C237" s="229" t="str">
        <f t="shared" ca="1" si="47"/>
        <v/>
      </c>
      <c r="D237" s="229" t="str">
        <f t="shared" ca="1" si="48"/>
        <v/>
      </c>
      <c r="E237" s="229" t="str">
        <f t="shared" ca="1" si="49"/>
        <v/>
      </c>
      <c r="F237" s="229" t="str">
        <f t="shared" ca="1" si="50"/>
        <v/>
      </c>
      <c r="G237" s="230" t="str">
        <f t="array" aca="1" ref="G237" ca="1">IF(INDEX(ExistsTx,$I237,2),IF(INDIRECT("'T"&amp;$I237&amp;"'!$D$"&amp;($J237+5),TRUE)=0,T_NoName,INDIRECT("'T"&amp;$I237&amp;"'!$D$"&amp;($J237+5),TRUE)),"")</f>
        <v/>
      </c>
      <c r="H237" s="230">
        <f t="array" aca="1" ref="H237" ca="1">IF(INDEX(ExistsTx,$I237,2),INDIRECT("'T"&amp;$I237&amp;"'!$E$"&amp;($J237+5),TRUE),0)</f>
        <v>0</v>
      </c>
      <c r="I237" s="229">
        <v>15</v>
      </c>
      <c r="J237" s="229">
        <v>11</v>
      </c>
      <c r="K237" s="230" t="str">
        <f t="array" aca="1" ref="K237" ca="1">INDEX(ListTeams,$I237,1)</f>
        <v/>
      </c>
      <c r="L237" s="230">
        <f t="array" aca="1" ref="L237" ca="1">IF(OR(NOT(INDEX(ExistsTx,$I237,2)),$H237=0),0,INDIRECT("'T"&amp;$I237&amp;"'!$M$"&amp;($J237+5),TRUE)+((1000-ROW())/10000000000000))</f>
        <v>0</v>
      </c>
      <c r="M237" s="230">
        <f t="array" aca="1" ref="M237" ca="1">IF(OR(NOT(INDEX(ExistsTx,$I237,2)),$H237=0),0,INDIRECT("'T"&amp;$I237&amp;"'!$N$"&amp;($J237+5),TRUE)+((1000-ROW())/10000000000000))</f>
        <v>0</v>
      </c>
      <c r="N237" s="230">
        <f t="array" aca="1" ref="N237" ca="1">IF(OR(NOT(INDEX(ExistsTx,$I237,2)),$H237=0),0,INDIRECT("'T"&amp;$I237&amp;"'!$O$"&amp;($J237+5),TRUE)+((1000-ROW())/10000000000000))</f>
        <v>0</v>
      </c>
      <c r="O237" s="230">
        <f t="array" aca="1" ref="O237" ca="1">IF(OR(NOT(INDEX(ExistsTx,$I237,2)),$H237=0),0,INDIRECT("'T"&amp;$I237&amp;"'!$P$"&amp;($J237+5),TRUE)+((1000-ROW())/10000000000000))</f>
        <v>0</v>
      </c>
      <c r="P237" s="230">
        <f t="array" aca="1" ref="P237" ca="1">IF(OR(NOT(INDEX(ExistsTx,$I237,2)),$H237=0),0,INDIRECT("'T"&amp;$I237&amp;"'!$Q$"&amp;($J237+5),TRUE)+((1000-ROW())/10000000000000))</f>
        <v>0</v>
      </c>
      <c r="Q237" s="230">
        <f t="shared" ca="1" si="51"/>
        <v>9.810000009809999E-7</v>
      </c>
      <c r="R237" s="230"/>
      <c r="S237" s="230"/>
      <c r="T237" s="230"/>
      <c r="U237" s="230"/>
      <c r="V237" s="230"/>
      <c r="W237" s="230"/>
      <c r="X237" s="229"/>
      <c r="Y237" s="229"/>
      <c r="Z237" s="229"/>
      <c r="AA237" s="230"/>
      <c r="AB237" s="230"/>
      <c r="AC237" s="230"/>
      <c r="AD237" s="229"/>
      <c r="AE237" s="230"/>
    </row>
    <row r="238" spans="1:31" ht="12.75" customHeight="1">
      <c r="A238" s="229" t="str">
        <f t="shared" ca="1" si="45"/>
        <v/>
      </c>
      <c r="B238" s="229" t="str">
        <f t="shared" ca="1" si="46"/>
        <v/>
      </c>
      <c r="C238" s="229" t="str">
        <f t="shared" ca="1" si="47"/>
        <v/>
      </c>
      <c r="D238" s="229" t="str">
        <f t="shared" ca="1" si="48"/>
        <v/>
      </c>
      <c r="E238" s="229" t="str">
        <f t="shared" ca="1" si="49"/>
        <v/>
      </c>
      <c r="F238" s="229" t="str">
        <f t="shared" ca="1" si="50"/>
        <v/>
      </c>
      <c r="G238" s="230" t="str">
        <f t="array" aca="1" ref="G238" ca="1">IF(INDEX(ExistsTx,$I238,2),IF(INDIRECT("'T"&amp;$I238&amp;"'!$D$"&amp;($J238+5),TRUE)=0,T_NoName,INDIRECT("'T"&amp;$I238&amp;"'!$D$"&amp;($J238+5),TRUE)),"")</f>
        <v/>
      </c>
      <c r="H238" s="230">
        <f t="array" aca="1" ref="H238" ca="1">IF(INDEX(ExistsTx,$I238,2),INDIRECT("'T"&amp;$I238&amp;"'!$E$"&amp;($J238+5),TRUE),0)</f>
        <v>0</v>
      </c>
      <c r="I238" s="229">
        <v>15</v>
      </c>
      <c r="J238" s="229">
        <v>12</v>
      </c>
      <c r="K238" s="230" t="str">
        <f t="array" aca="1" ref="K238" ca="1">INDEX(ListTeams,$I238,1)</f>
        <v/>
      </c>
      <c r="L238" s="230">
        <f t="array" aca="1" ref="L238" ca="1">IF(OR(NOT(INDEX(ExistsTx,$I238,2)),$H238=0),0,INDIRECT("'T"&amp;$I238&amp;"'!$M$"&amp;($J238+5),TRUE)+((1000-ROW())/10000000000000))</f>
        <v>0</v>
      </c>
      <c r="M238" s="230">
        <f t="array" aca="1" ref="M238" ca="1">IF(OR(NOT(INDEX(ExistsTx,$I238,2)),$H238=0),0,INDIRECT("'T"&amp;$I238&amp;"'!$N$"&amp;($J238+5),TRUE)+((1000-ROW())/10000000000000))</f>
        <v>0</v>
      </c>
      <c r="N238" s="230">
        <f t="array" aca="1" ref="N238" ca="1">IF(OR(NOT(INDEX(ExistsTx,$I238,2)),$H238=0),0,INDIRECT("'T"&amp;$I238&amp;"'!$O$"&amp;($J238+5),TRUE)+((1000-ROW())/10000000000000))</f>
        <v>0</v>
      </c>
      <c r="O238" s="230">
        <f t="array" aca="1" ref="O238" ca="1">IF(OR(NOT(INDEX(ExistsTx,$I238,2)),$H238=0),0,INDIRECT("'T"&amp;$I238&amp;"'!$P$"&amp;($J238+5),TRUE)+((1000-ROW())/10000000000000))</f>
        <v>0</v>
      </c>
      <c r="P238" s="230">
        <f t="array" aca="1" ref="P238" ca="1">IF(OR(NOT(INDEX(ExistsTx,$I238,2)),$H238=0),0,INDIRECT("'T"&amp;$I238&amp;"'!$Q$"&amp;($J238+5),TRUE)+((1000-ROW())/10000000000000))</f>
        <v>0</v>
      </c>
      <c r="Q238" s="230">
        <f t="shared" ca="1" si="51"/>
        <v>9.7971428669399999E-7</v>
      </c>
      <c r="R238" s="230"/>
      <c r="S238" s="230"/>
      <c r="T238" s="230"/>
      <c r="U238" s="230"/>
      <c r="V238" s="230"/>
      <c r="W238" s="230"/>
      <c r="X238" s="229"/>
      <c r="Y238" s="229"/>
      <c r="Z238" s="229"/>
      <c r="AA238" s="230"/>
      <c r="AB238" s="230"/>
      <c r="AC238" s="230"/>
      <c r="AD238" s="229"/>
      <c r="AE238" s="230"/>
    </row>
    <row r="239" spans="1:31" ht="12.75" customHeight="1">
      <c r="A239" s="229" t="str">
        <f t="shared" ca="1" si="45"/>
        <v/>
      </c>
      <c r="B239" s="229" t="str">
        <f t="shared" ca="1" si="46"/>
        <v/>
      </c>
      <c r="C239" s="229" t="str">
        <f t="shared" ca="1" si="47"/>
        <v/>
      </c>
      <c r="D239" s="229" t="str">
        <f t="shared" ca="1" si="48"/>
        <v/>
      </c>
      <c r="E239" s="229" t="str">
        <f t="shared" ca="1" si="49"/>
        <v/>
      </c>
      <c r="F239" s="229" t="str">
        <f t="shared" ca="1" si="50"/>
        <v/>
      </c>
      <c r="G239" s="230" t="str">
        <f t="array" aca="1" ref="G239" ca="1">IF(INDEX(ExistsTx,$I239,2),IF(INDIRECT("'T"&amp;$I239&amp;"'!$D$"&amp;($J239+5),TRUE)=0,T_NoName,INDIRECT("'T"&amp;$I239&amp;"'!$D$"&amp;($J239+5),TRUE)),"")</f>
        <v/>
      </c>
      <c r="H239" s="230">
        <f t="array" aca="1" ref="H239" ca="1">IF(INDEX(ExistsTx,$I239,2),INDIRECT("'T"&amp;$I239&amp;"'!$E$"&amp;($J239+5),TRUE),0)</f>
        <v>0</v>
      </c>
      <c r="I239" s="229">
        <v>15</v>
      </c>
      <c r="J239" s="229">
        <v>13</v>
      </c>
      <c r="K239" s="230" t="str">
        <f t="array" aca="1" ref="K239" ca="1">INDEX(ListTeams,$I239,1)</f>
        <v/>
      </c>
      <c r="L239" s="230">
        <f t="array" aca="1" ref="L239" ca="1">IF(OR(NOT(INDEX(ExistsTx,$I239,2)),$H239=0),0,INDIRECT("'T"&amp;$I239&amp;"'!$M$"&amp;($J239+5),TRUE)+((1000-ROW())/10000000000000))</f>
        <v>0</v>
      </c>
      <c r="M239" s="230">
        <f t="array" aca="1" ref="M239" ca="1">IF(OR(NOT(INDEX(ExistsTx,$I239,2)),$H239=0),0,INDIRECT("'T"&amp;$I239&amp;"'!$N$"&amp;($J239+5),TRUE)+((1000-ROW())/10000000000000))</f>
        <v>0</v>
      </c>
      <c r="N239" s="230">
        <f t="array" aca="1" ref="N239" ca="1">IF(OR(NOT(INDEX(ExistsTx,$I239,2)),$H239=0),0,INDIRECT("'T"&amp;$I239&amp;"'!$O$"&amp;($J239+5),TRUE)+((1000-ROW())/10000000000000))</f>
        <v>0</v>
      </c>
      <c r="O239" s="230">
        <f t="array" aca="1" ref="O239" ca="1">IF(OR(NOT(INDEX(ExistsTx,$I239,2)),$H239=0),0,INDIRECT("'T"&amp;$I239&amp;"'!$P$"&amp;($J239+5),TRUE)+((1000-ROW())/10000000000000))</f>
        <v>0</v>
      </c>
      <c r="P239" s="230">
        <f t="array" aca="1" ref="P239" ca="1">IF(OR(NOT(INDEX(ExistsTx,$I239,2)),$H239=0),0,INDIRECT("'T"&amp;$I239&amp;"'!$Q$"&amp;($J239+5),TRUE)+((1000-ROW())/10000000000000))</f>
        <v>0</v>
      </c>
      <c r="Q239" s="230">
        <f t="shared" ca="1" si="51"/>
        <v>9.7842857240700009E-7</v>
      </c>
      <c r="R239" s="230"/>
      <c r="S239" s="230"/>
      <c r="T239" s="230"/>
      <c r="U239" s="230"/>
      <c r="V239" s="230"/>
      <c r="W239" s="230"/>
      <c r="X239" s="229"/>
      <c r="Y239" s="229"/>
      <c r="Z239" s="229"/>
      <c r="AA239" s="230"/>
      <c r="AB239" s="230"/>
      <c r="AC239" s="230"/>
      <c r="AD239" s="229"/>
      <c r="AE239" s="230"/>
    </row>
    <row r="240" spans="1:31" ht="12.75" customHeight="1">
      <c r="A240" s="229" t="str">
        <f t="shared" ca="1" si="45"/>
        <v/>
      </c>
      <c r="B240" s="229" t="str">
        <f t="shared" ca="1" si="46"/>
        <v/>
      </c>
      <c r="C240" s="229" t="str">
        <f t="shared" ca="1" si="47"/>
        <v/>
      </c>
      <c r="D240" s="229" t="str">
        <f t="shared" ca="1" si="48"/>
        <v/>
      </c>
      <c r="E240" s="229" t="str">
        <f t="shared" ca="1" si="49"/>
        <v/>
      </c>
      <c r="F240" s="229" t="str">
        <f t="shared" ca="1" si="50"/>
        <v/>
      </c>
      <c r="G240" s="230" t="str">
        <f t="array" aca="1" ref="G240" ca="1">IF(INDEX(ExistsTx,$I240,2),IF(INDIRECT("'T"&amp;$I240&amp;"'!$D$"&amp;($J240+5),TRUE)=0,T_NoName,INDIRECT("'T"&amp;$I240&amp;"'!$D$"&amp;($J240+5),TRUE)),"")</f>
        <v/>
      </c>
      <c r="H240" s="230">
        <f t="array" aca="1" ref="H240" ca="1">IF(INDEX(ExistsTx,$I240,2),INDIRECT("'T"&amp;$I240&amp;"'!$E$"&amp;($J240+5),TRUE),0)</f>
        <v>0</v>
      </c>
      <c r="I240" s="229">
        <v>15</v>
      </c>
      <c r="J240" s="229">
        <v>14</v>
      </c>
      <c r="K240" s="230" t="str">
        <f t="array" aca="1" ref="K240" ca="1">INDEX(ListTeams,$I240,1)</f>
        <v/>
      </c>
      <c r="L240" s="230">
        <f t="array" aca="1" ref="L240" ca="1">IF(OR(NOT(INDEX(ExistsTx,$I240,2)),$H240=0),0,INDIRECT("'T"&amp;$I240&amp;"'!$M$"&amp;($J240+5),TRUE)+((1000-ROW())/10000000000000))</f>
        <v>0</v>
      </c>
      <c r="M240" s="230">
        <f t="array" aca="1" ref="M240" ca="1">IF(OR(NOT(INDEX(ExistsTx,$I240,2)),$H240=0),0,INDIRECT("'T"&amp;$I240&amp;"'!$N$"&amp;($J240+5),TRUE)+((1000-ROW())/10000000000000))</f>
        <v>0</v>
      </c>
      <c r="N240" s="230">
        <f t="array" aca="1" ref="N240" ca="1">IF(OR(NOT(INDEX(ExistsTx,$I240,2)),$H240=0),0,INDIRECT("'T"&amp;$I240&amp;"'!$O$"&amp;($J240+5),TRUE)+((1000-ROW())/10000000000000))</f>
        <v>0</v>
      </c>
      <c r="O240" s="230">
        <f t="array" aca="1" ref="O240" ca="1">IF(OR(NOT(INDEX(ExistsTx,$I240,2)),$H240=0),0,INDIRECT("'T"&amp;$I240&amp;"'!$P$"&amp;($J240+5),TRUE)+((1000-ROW())/10000000000000))</f>
        <v>0</v>
      </c>
      <c r="P240" s="230">
        <f t="array" aca="1" ref="P240" ca="1">IF(OR(NOT(INDEX(ExistsTx,$I240,2)),$H240=0),0,INDIRECT("'T"&amp;$I240&amp;"'!$Q$"&amp;($J240+5),TRUE)+((1000-ROW())/10000000000000))</f>
        <v>0</v>
      </c>
      <c r="Q240" s="230">
        <f t="shared" ca="1" si="51"/>
        <v>9.7714285811999997E-7</v>
      </c>
      <c r="R240" s="230"/>
      <c r="S240" s="230"/>
      <c r="T240" s="230"/>
      <c r="U240" s="230"/>
      <c r="V240" s="230"/>
      <c r="W240" s="230"/>
      <c r="X240" s="229"/>
      <c r="Y240" s="229"/>
      <c r="Z240" s="229"/>
      <c r="AA240" s="230"/>
      <c r="AB240" s="230"/>
      <c r="AC240" s="230"/>
      <c r="AD240" s="229"/>
      <c r="AE240" s="230"/>
    </row>
    <row r="241" spans="1:31" ht="12.75" customHeight="1">
      <c r="A241" s="229" t="str">
        <f t="shared" ca="1" si="45"/>
        <v/>
      </c>
      <c r="B241" s="229" t="str">
        <f t="shared" ca="1" si="46"/>
        <v/>
      </c>
      <c r="C241" s="229" t="str">
        <f t="shared" ca="1" si="47"/>
        <v/>
      </c>
      <c r="D241" s="229" t="str">
        <f t="shared" ca="1" si="48"/>
        <v/>
      </c>
      <c r="E241" s="229" t="str">
        <f t="shared" ca="1" si="49"/>
        <v/>
      </c>
      <c r="F241" s="229" t="str">
        <f t="shared" ca="1" si="50"/>
        <v/>
      </c>
      <c r="G241" s="230" t="str">
        <f t="array" aca="1" ref="G241" ca="1">IF(INDEX(ExistsTx,$I241,2),IF(INDIRECT("'T"&amp;$I241&amp;"'!$D$"&amp;($J241+5),TRUE)=0,T_NoName,INDIRECT("'T"&amp;$I241&amp;"'!$D$"&amp;($J241+5),TRUE)),"")</f>
        <v/>
      </c>
      <c r="H241" s="230">
        <f t="array" aca="1" ref="H241" ca="1">IF(INDEX(ExistsTx,$I241,2),INDIRECT("'T"&amp;$I241&amp;"'!$E$"&amp;($J241+5),TRUE),0)</f>
        <v>0</v>
      </c>
      <c r="I241" s="229">
        <v>15</v>
      </c>
      <c r="J241" s="229">
        <v>15</v>
      </c>
      <c r="K241" s="230" t="str">
        <f t="array" aca="1" ref="K241" ca="1">INDEX(ListTeams,$I241,1)</f>
        <v/>
      </c>
      <c r="L241" s="230">
        <f t="array" aca="1" ref="L241" ca="1">IF(OR(NOT(INDEX(ExistsTx,$I241,2)),$H241=0),0,INDIRECT("'T"&amp;$I241&amp;"'!$M$"&amp;($J241+5),TRUE)+((1000-ROW())/10000000000000))</f>
        <v>0</v>
      </c>
      <c r="M241" s="230">
        <f t="array" aca="1" ref="M241" ca="1">IF(OR(NOT(INDEX(ExistsTx,$I241,2)),$H241=0),0,INDIRECT("'T"&amp;$I241&amp;"'!$N$"&amp;($J241+5),TRUE)+((1000-ROW())/10000000000000))</f>
        <v>0</v>
      </c>
      <c r="N241" s="230">
        <f t="array" aca="1" ref="N241" ca="1">IF(OR(NOT(INDEX(ExistsTx,$I241,2)),$H241=0),0,INDIRECT("'T"&amp;$I241&amp;"'!$O$"&amp;($J241+5),TRUE)+((1000-ROW())/10000000000000))</f>
        <v>0</v>
      </c>
      <c r="O241" s="230">
        <f t="array" aca="1" ref="O241" ca="1">IF(OR(NOT(INDEX(ExistsTx,$I241,2)),$H241=0),0,INDIRECT("'T"&amp;$I241&amp;"'!$P$"&amp;($J241+5),TRUE)+((1000-ROW())/10000000000000))</f>
        <v>0</v>
      </c>
      <c r="P241" s="230">
        <f t="array" aca="1" ref="P241" ca="1">IF(OR(NOT(INDEX(ExistsTx,$I241,2)),$H241=0),0,INDIRECT("'T"&amp;$I241&amp;"'!$Q$"&amp;($J241+5),TRUE)+((1000-ROW())/10000000000000))</f>
        <v>0</v>
      </c>
      <c r="Q241" s="230">
        <f t="shared" ca="1" si="51"/>
        <v>9.7585714383300006E-7</v>
      </c>
      <c r="R241" s="230"/>
      <c r="S241" s="230"/>
      <c r="T241" s="230"/>
      <c r="U241" s="230"/>
      <c r="V241" s="230"/>
      <c r="W241" s="230"/>
      <c r="X241" s="229"/>
      <c r="Y241" s="229"/>
      <c r="Z241" s="229"/>
      <c r="AA241" s="230"/>
      <c r="AB241" s="230"/>
      <c r="AC241" s="230"/>
      <c r="AD241" s="229"/>
      <c r="AE241" s="230"/>
    </row>
    <row r="242" spans="1:31" ht="12.75" customHeight="1">
      <c r="A242" s="229" t="str">
        <f t="shared" ca="1" si="45"/>
        <v/>
      </c>
      <c r="B242" s="229" t="str">
        <f t="shared" ca="1" si="46"/>
        <v/>
      </c>
      <c r="C242" s="229" t="str">
        <f t="shared" ca="1" si="47"/>
        <v/>
      </c>
      <c r="D242" s="229" t="str">
        <f t="shared" ca="1" si="48"/>
        <v/>
      </c>
      <c r="E242" s="229" t="str">
        <f t="shared" ca="1" si="49"/>
        <v/>
      </c>
      <c r="F242" s="229" t="str">
        <f t="shared" ca="1" si="50"/>
        <v/>
      </c>
      <c r="G242" s="230" t="str">
        <f t="array" aca="1" ref="G242" ca="1">IF(INDEX(ExistsTx,$I242,2),IF(INDIRECT("'T"&amp;$I242&amp;"'!$D$"&amp;($J242+5),TRUE)=0,T_NoName,INDIRECT("'T"&amp;$I242&amp;"'!$D$"&amp;($J242+5),TRUE)),"")</f>
        <v/>
      </c>
      <c r="H242" s="230">
        <f t="array" aca="1" ref="H242" ca="1">IF(INDEX(ExistsTx,$I242,2),INDIRECT("'T"&amp;$I242&amp;"'!$E$"&amp;($J242+5),TRUE),0)</f>
        <v>0</v>
      </c>
      <c r="I242" s="229">
        <v>15</v>
      </c>
      <c r="J242" s="229">
        <v>16</v>
      </c>
      <c r="K242" s="230" t="str">
        <f t="array" aca="1" ref="K242" ca="1">INDEX(ListTeams,$I242,1)</f>
        <v/>
      </c>
      <c r="L242" s="230">
        <f t="array" aca="1" ref="L242" ca="1">IF(OR(NOT(INDEX(ExistsTx,$I242,2)),$H242=0),0,INDIRECT("'T"&amp;$I242&amp;"'!$M$"&amp;($J242+5),TRUE)+((1000-ROW())/10000000000000))</f>
        <v>0</v>
      </c>
      <c r="M242" s="230">
        <f t="array" aca="1" ref="M242" ca="1">IF(OR(NOT(INDEX(ExistsTx,$I242,2)),$H242=0),0,INDIRECT("'T"&amp;$I242&amp;"'!$N$"&amp;($J242+5),TRUE)+((1000-ROW())/10000000000000))</f>
        <v>0</v>
      </c>
      <c r="N242" s="230">
        <f t="array" aca="1" ref="N242" ca="1">IF(OR(NOT(INDEX(ExistsTx,$I242,2)),$H242=0),0,INDIRECT("'T"&amp;$I242&amp;"'!$O$"&amp;($J242+5),TRUE)+((1000-ROW())/10000000000000))</f>
        <v>0</v>
      </c>
      <c r="O242" s="230">
        <f t="array" aca="1" ref="O242" ca="1">IF(OR(NOT(INDEX(ExistsTx,$I242,2)),$H242=0),0,INDIRECT("'T"&amp;$I242&amp;"'!$P$"&amp;($J242+5),TRUE)+((1000-ROW())/10000000000000))</f>
        <v>0</v>
      </c>
      <c r="P242" s="230">
        <f t="array" aca="1" ref="P242" ca="1">IF(OR(NOT(INDEX(ExistsTx,$I242,2)),$H242=0),0,INDIRECT("'T"&amp;$I242&amp;"'!$Q$"&amp;($J242+5),TRUE)+((1000-ROW())/10000000000000))</f>
        <v>0</v>
      </c>
      <c r="Q242" s="230">
        <f t="shared" ca="1" si="51"/>
        <v>9.7457142954599995E-7</v>
      </c>
      <c r="R242" s="230"/>
      <c r="S242" s="230"/>
      <c r="T242" s="230"/>
      <c r="U242" s="230"/>
      <c r="V242" s="230"/>
      <c r="W242" s="230"/>
      <c r="X242" s="229"/>
      <c r="Y242" s="229"/>
      <c r="Z242" s="229"/>
      <c r="AA242" s="230"/>
      <c r="AB242" s="230"/>
      <c r="AC242" s="230"/>
      <c r="AD242" s="229"/>
      <c r="AE242" s="230"/>
    </row>
    <row r="243" spans="1:31" ht="12.75" customHeight="1">
      <c r="A243" s="229" t="str">
        <f t="shared" ca="1" si="45"/>
        <v/>
      </c>
      <c r="B243" s="229" t="str">
        <f t="shared" ca="1" si="46"/>
        <v/>
      </c>
      <c r="C243" s="229" t="str">
        <f t="shared" ca="1" si="47"/>
        <v/>
      </c>
      <c r="D243" s="229" t="str">
        <f t="shared" ca="1" si="48"/>
        <v/>
      </c>
      <c r="E243" s="229" t="str">
        <f t="shared" ca="1" si="49"/>
        <v/>
      </c>
      <c r="F243" s="229" t="str">
        <f t="shared" ca="1" si="50"/>
        <v/>
      </c>
      <c r="G243" s="230" t="str">
        <f t="array" aca="1" ref="G243" ca="1">IF(INDEX(ExistsTx,$I243,2),IF(INDIRECT("'T"&amp;$I243&amp;"'!$D$"&amp;($J243+5),TRUE)=0,T_NoName,INDIRECT("'T"&amp;$I243&amp;"'!$D$"&amp;($J243+5),TRUE)),"")</f>
        <v/>
      </c>
      <c r="H243" s="230">
        <f t="array" aca="1" ref="H243" ca="1">IF(INDEX(ExistsTx,$I243,2),INDIRECT("'T"&amp;$I243&amp;"'!$E$"&amp;($J243+5),TRUE),0)</f>
        <v>0</v>
      </c>
      <c r="I243" s="229">
        <v>16</v>
      </c>
      <c r="J243" s="229">
        <v>1</v>
      </c>
      <c r="K243" s="230" t="str">
        <f t="array" aca="1" ref="K243" ca="1">INDEX(ListTeams,$I243,1)</f>
        <v/>
      </c>
      <c r="L243" s="230">
        <f t="array" aca="1" ref="L243" ca="1">IF(OR(NOT(INDEX(ExistsTx,$I243,2)),$H243=0),0,INDIRECT("'T"&amp;$I243&amp;"'!$M$"&amp;($J243+5),TRUE)+((1000-ROW())/10000000000000))</f>
        <v>0</v>
      </c>
      <c r="M243" s="230">
        <f t="array" aca="1" ref="M243" ca="1">IF(OR(NOT(INDEX(ExistsTx,$I243,2)),$H243=0),0,INDIRECT("'T"&amp;$I243&amp;"'!$N$"&amp;($J243+5),TRUE)+((1000-ROW())/10000000000000))</f>
        <v>0</v>
      </c>
      <c r="N243" s="230">
        <f t="array" aca="1" ref="N243" ca="1">IF(OR(NOT(INDEX(ExistsTx,$I243,2)),$H243=0),0,INDIRECT("'T"&amp;$I243&amp;"'!$O$"&amp;($J243+5),TRUE)+((1000-ROW())/10000000000000))</f>
        <v>0</v>
      </c>
      <c r="O243" s="230">
        <f t="array" aca="1" ref="O243" ca="1">IF(OR(NOT(INDEX(ExistsTx,$I243,2)),$H243=0),0,INDIRECT("'T"&amp;$I243&amp;"'!$P$"&amp;($J243+5),TRUE)+((1000-ROW())/10000000000000))</f>
        <v>0</v>
      </c>
      <c r="P243" s="230">
        <f t="array" aca="1" ref="P243" ca="1">IF(OR(NOT(INDEX(ExistsTx,$I243,2)),$H243=0),0,INDIRECT("'T"&amp;$I243&amp;"'!$Q$"&amp;($J243+5),TRUE)+((1000-ROW())/10000000000000))</f>
        <v>0</v>
      </c>
      <c r="Q243" s="230">
        <f t="shared" ca="1" si="51"/>
        <v>9.7328571525900004E-7</v>
      </c>
      <c r="R243" s="230"/>
      <c r="S243" s="230"/>
      <c r="T243" s="230"/>
      <c r="U243" s="230"/>
      <c r="V243" s="230"/>
      <c r="W243" s="230"/>
      <c r="X243" s="229"/>
      <c r="Y243" s="229"/>
      <c r="Z243" s="229"/>
      <c r="AA243" s="230"/>
      <c r="AB243" s="230"/>
      <c r="AC243" s="230"/>
      <c r="AD243" s="229"/>
      <c r="AE243" s="230"/>
    </row>
    <row r="244" spans="1:31" ht="12.75" customHeight="1">
      <c r="A244" s="229" t="str">
        <f t="shared" ca="1" si="45"/>
        <v/>
      </c>
      <c r="B244" s="229" t="str">
        <f t="shared" ca="1" si="46"/>
        <v/>
      </c>
      <c r="C244" s="229" t="str">
        <f t="shared" ca="1" si="47"/>
        <v/>
      </c>
      <c r="D244" s="229" t="str">
        <f t="shared" ca="1" si="48"/>
        <v/>
      </c>
      <c r="E244" s="229" t="str">
        <f t="shared" ca="1" si="49"/>
        <v/>
      </c>
      <c r="F244" s="229" t="str">
        <f t="shared" ca="1" si="50"/>
        <v/>
      </c>
      <c r="G244" s="230" t="str">
        <f t="array" aca="1" ref="G244" ca="1">IF(INDEX(ExistsTx,$I244,2),IF(INDIRECT("'T"&amp;$I244&amp;"'!$D$"&amp;($J244+5),TRUE)=0,T_NoName,INDIRECT("'T"&amp;$I244&amp;"'!$D$"&amp;($J244+5),TRUE)),"")</f>
        <v/>
      </c>
      <c r="H244" s="230">
        <f t="array" aca="1" ref="H244" ca="1">IF(INDEX(ExistsTx,$I244,2),INDIRECT("'T"&amp;$I244&amp;"'!$E$"&amp;($J244+5),TRUE),0)</f>
        <v>0</v>
      </c>
      <c r="I244" s="229">
        <v>16</v>
      </c>
      <c r="J244" s="229">
        <v>2</v>
      </c>
      <c r="K244" s="230" t="str">
        <f t="array" aca="1" ref="K244" ca="1">INDEX(ListTeams,$I244,1)</f>
        <v/>
      </c>
      <c r="L244" s="230">
        <f t="array" aca="1" ref="L244" ca="1">IF(OR(NOT(INDEX(ExistsTx,$I244,2)),$H244=0),0,INDIRECT("'T"&amp;$I244&amp;"'!$M$"&amp;($J244+5),TRUE)+((1000-ROW())/10000000000000))</f>
        <v>0</v>
      </c>
      <c r="M244" s="230">
        <f t="array" aca="1" ref="M244" ca="1">IF(OR(NOT(INDEX(ExistsTx,$I244,2)),$H244=0),0,INDIRECT("'T"&amp;$I244&amp;"'!$N$"&amp;($J244+5),TRUE)+((1000-ROW())/10000000000000))</f>
        <v>0</v>
      </c>
      <c r="N244" s="230">
        <f t="array" aca="1" ref="N244" ca="1">IF(OR(NOT(INDEX(ExistsTx,$I244,2)),$H244=0),0,INDIRECT("'T"&amp;$I244&amp;"'!$O$"&amp;($J244+5),TRUE)+((1000-ROW())/10000000000000))</f>
        <v>0</v>
      </c>
      <c r="O244" s="230">
        <f t="array" aca="1" ref="O244" ca="1">IF(OR(NOT(INDEX(ExistsTx,$I244,2)),$H244=0),0,INDIRECT("'T"&amp;$I244&amp;"'!$P$"&amp;($J244+5),TRUE)+((1000-ROW())/10000000000000))</f>
        <v>0</v>
      </c>
      <c r="P244" s="230">
        <f t="array" aca="1" ref="P244" ca="1">IF(OR(NOT(INDEX(ExistsTx,$I244,2)),$H244=0),0,INDIRECT("'T"&amp;$I244&amp;"'!$Q$"&amp;($J244+5),TRUE)+((1000-ROW())/10000000000000))</f>
        <v>0</v>
      </c>
      <c r="Q244" s="230">
        <f t="shared" ca="1" si="51"/>
        <v>9.7200000097199992E-7</v>
      </c>
      <c r="R244" s="230"/>
      <c r="S244" s="230"/>
      <c r="T244" s="230"/>
      <c r="U244" s="230"/>
      <c r="V244" s="230"/>
      <c r="W244" s="230"/>
      <c r="X244" s="229"/>
      <c r="Y244" s="229"/>
      <c r="Z244" s="229"/>
      <c r="AA244" s="230"/>
      <c r="AB244" s="230"/>
      <c r="AC244" s="230"/>
      <c r="AD244" s="229"/>
      <c r="AE244" s="230"/>
    </row>
    <row r="245" spans="1:31" ht="12.75" customHeight="1">
      <c r="A245" s="229" t="str">
        <f t="shared" ca="1" si="45"/>
        <v/>
      </c>
      <c r="B245" s="229" t="str">
        <f t="shared" ca="1" si="46"/>
        <v/>
      </c>
      <c r="C245" s="229" t="str">
        <f t="shared" ca="1" si="47"/>
        <v/>
      </c>
      <c r="D245" s="229" t="str">
        <f t="shared" ca="1" si="48"/>
        <v/>
      </c>
      <c r="E245" s="229" t="str">
        <f t="shared" ca="1" si="49"/>
        <v/>
      </c>
      <c r="F245" s="229" t="str">
        <f t="shared" ca="1" si="50"/>
        <v/>
      </c>
      <c r="G245" s="230" t="str">
        <f t="array" aca="1" ref="G245" ca="1">IF(INDEX(ExistsTx,$I245,2),IF(INDIRECT("'T"&amp;$I245&amp;"'!$D$"&amp;($J245+5),TRUE)=0,T_NoName,INDIRECT("'T"&amp;$I245&amp;"'!$D$"&amp;($J245+5),TRUE)),"")</f>
        <v/>
      </c>
      <c r="H245" s="230">
        <f t="array" aca="1" ref="H245" ca="1">IF(INDEX(ExistsTx,$I245,2),INDIRECT("'T"&amp;$I245&amp;"'!$E$"&amp;($J245+5),TRUE),0)</f>
        <v>0</v>
      </c>
      <c r="I245" s="229">
        <v>16</v>
      </c>
      <c r="J245" s="229">
        <v>3</v>
      </c>
      <c r="K245" s="230" t="str">
        <f t="array" aca="1" ref="K245" ca="1">INDEX(ListTeams,$I245,1)</f>
        <v/>
      </c>
      <c r="L245" s="230">
        <f t="array" aca="1" ref="L245" ca="1">IF(OR(NOT(INDEX(ExistsTx,$I245,2)),$H245=0),0,INDIRECT("'T"&amp;$I245&amp;"'!$M$"&amp;($J245+5),TRUE)+((1000-ROW())/10000000000000))</f>
        <v>0</v>
      </c>
      <c r="M245" s="230">
        <f t="array" aca="1" ref="M245" ca="1">IF(OR(NOT(INDEX(ExistsTx,$I245,2)),$H245=0),0,INDIRECT("'T"&amp;$I245&amp;"'!$N$"&amp;($J245+5),TRUE)+((1000-ROW())/10000000000000))</f>
        <v>0</v>
      </c>
      <c r="N245" s="230">
        <f t="array" aca="1" ref="N245" ca="1">IF(OR(NOT(INDEX(ExistsTx,$I245,2)),$H245=0),0,INDIRECT("'T"&amp;$I245&amp;"'!$O$"&amp;($J245+5),TRUE)+((1000-ROW())/10000000000000))</f>
        <v>0</v>
      </c>
      <c r="O245" s="230">
        <f t="array" aca="1" ref="O245" ca="1">IF(OR(NOT(INDEX(ExistsTx,$I245,2)),$H245=0),0,INDIRECT("'T"&amp;$I245&amp;"'!$P$"&amp;($J245+5),TRUE)+((1000-ROW())/10000000000000))</f>
        <v>0</v>
      </c>
      <c r="P245" s="230">
        <f t="array" aca="1" ref="P245" ca="1">IF(OR(NOT(INDEX(ExistsTx,$I245,2)),$H245=0),0,INDIRECT("'T"&amp;$I245&amp;"'!$Q$"&amp;($J245+5),TRUE)+((1000-ROW())/10000000000000))</f>
        <v>0</v>
      </c>
      <c r="Q245" s="230">
        <f t="shared" ca="1" si="51"/>
        <v>9.7071428668500002E-7</v>
      </c>
      <c r="R245" s="230"/>
      <c r="S245" s="230"/>
      <c r="T245" s="230"/>
      <c r="U245" s="230"/>
      <c r="V245" s="230"/>
      <c r="W245" s="230"/>
      <c r="X245" s="229"/>
      <c r="Y245" s="229"/>
      <c r="Z245" s="229"/>
      <c r="AA245" s="230"/>
      <c r="AB245" s="230"/>
      <c r="AC245" s="230"/>
      <c r="AD245" s="229"/>
      <c r="AE245" s="230"/>
    </row>
    <row r="246" spans="1:31" ht="12.75" customHeight="1">
      <c r="A246" s="229" t="str">
        <f t="shared" ca="1" si="45"/>
        <v/>
      </c>
      <c r="B246" s="229" t="str">
        <f t="shared" ca="1" si="46"/>
        <v/>
      </c>
      <c r="C246" s="229" t="str">
        <f t="shared" ca="1" si="47"/>
        <v/>
      </c>
      <c r="D246" s="229" t="str">
        <f t="shared" ca="1" si="48"/>
        <v/>
      </c>
      <c r="E246" s="229" t="str">
        <f t="shared" ca="1" si="49"/>
        <v/>
      </c>
      <c r="F246" s="229" t="str">
        <f t="shared" ca="1" si="50"/>
        <v/>
      </c>
      <c r="G246" s="230" t="str">
        <f t="array" aca="1" ref="G246" ca="1">IF(INDEX(ExistsTx,$I246,2),IF(INDIRECT("'T"&amp;$I246&amp;"'!$D$"&amp;($J246+5),TRUE)=0,T_NoName,INDIRECT("'T"&amp;$I246&amp;"'!$D$"&amp;($J246+5),TRUE)),"")</f>
        <v/>
      </c>
      <c r="H246" s="230">
        <f t="array" aca="1" ref="H246" ca="1">IF(INDEX(ExistsTx,$I246,2),INDIRECT("'T"&amp;$I246&amp;"'!$E$"&amp;($J246+5),TRUE),0)</f>
        <v>0</v>
      </c>
      <c r="I246" s="229">
        <v>16</v>
      </c>
      <c r="J246" s="229">
        <v>4</v>
      </c>
      <c r="K246" s="230" t="str">
        <f t="array" aca="1" ref="K246" ca="1">INDEX(ListTeams,$I246,1)</f>
        <v/>
      </c>
      <c r="L246" s="230">
        <f t="array" aca="1" ref="L246" ca="1">IF(OR(NOT(INDEX(ExistsTx,$I246,2)),$H246=0),0,INDIRECT("'T"&amp;$I246&amp;"'!$M$"&amp;($J246+5),TRUE)+((1000-ROW())/10000000000000))</f>
        <v>0</v>
      </c>
      <c r="M246" s="230">
        <f t="array" aca="1" ref="M246" ca="1">IF(OR(NOT(INDEX(ExistsTx,$I246,2)),$H246=0),0,INDIRECT("'T"&amp;$I246&amp;"'!$N$"&amp;($J246+5),TRUE)+((1000-ROW())/10000000000000))</f>
        <v>0</v>
      </c>
      <c r="N246" s="230">
        <f t="array" aca="1" ref="N246" ca="1">IF(OR(NOT(INDEX(ExistsTx,$I246,2)),$H246=0),0,INDIRECT("'T"&amp;$I246&amp;"'!$O$"&amp;($J246+5),TRUE)+((1000-ROW())/10000000000000))</f>
        <v>0</v>
      </c>
      <c r="O246" s="230">
        <f t="array" aca="1" ref="O246" ca="1">IF(OR(NOT(INDEX(ExistsTx,$I246,2)),$H246=0),0,INDIRECT("'T"&amp;$I246&amp;"'!$P$"&amp;($J246+5),TRUE)+((1000-ROW())/10000000000000))</f>
        <v>0</v>
      </c>
      <c r="P246" s="230">
        <f t="array" aca="1" ref="P246" ca="1">IF(OR(NOT(INDEX(ExistsTx,$I246,2)),$H246=0),0,INDIRECT("'T"&amp;$I246&amp;"'!$Q$"&amp;($J246+5),TRUE)+((1000-ROW())/10000000000000))</f>
        <v>0</v>
      </c>
      <c r="Q246" s="230">
        <f t="shared" ca="1" si="51"/>
        <v>9.694285723979999E-7</v>
      </c>
      <c r="R246" s="230"/>
      <c r="S246" s="230"/>
      <c r="T246" s="230"/>
      <c r="U246" s="230"/>
      <c r="V246" s="230"/>
      <c r="W246" s="230"/>
      <c r="X246" s="229"/>
      <c r="Y246" s="229"/>
      <c r="Z246" s="229"/>
      <c r="AA246" s="230"/>
      <c r="AB246" s="230"/>
      <c r="AC246" s="230"/>
      <c r="AD246" s="229"/>
      <c r="AE246" s="230"/>
    </row>
    <row r="247" spans="1:31" ht="12.75" customHeight="1">
      <c r="A247" s="229" t="str">
        <f t="shared" ca="1" si="45"/>
        <v/>
      </c>
      <c r="B247" s="229" t="str">
        <f t="shared" ca="1" si="46"/>
        <v/>
      </c>
      <c r="C247" s="229" t="str">
        <f t="shared" ca="1" si="47"/>
        <v/>
      </c>
      <c r="D247" s="229" t="str">
        <f t="shared" ca="1" si="48"/>
        <v/>
      </c>
      <c r="E247" s="229" t="str">
        <f t="shared" ca="1" si="49"/>
        <v/>
      </c>
      <c r="F247" s="229" t="str">
        <f t="shared" ca="1" si="50"/>
        <v/>
      </c>
      <c r="G247" s="230" t="str">
        <f t="array" aca="1" ref="G247" ca="1">IF(INDEX(ExistsTx,$I247,2),IF(INDIRECT("'T"&amp;$I247&amp;"'!$D$"&amp;($J247+5),TRUE)=0,T_NoName,INDIRECT("'T"&amp;$I247&amp;"'!$D$"&amp;($J247+5),TRUE)),"")</f>
        <v/>
      </c>
      <c r="H247" s="230">
        <f t="array" aca="1" ref="H247" ca="1">IF(INDEX(ExistsTx,$I247,2),INDIRECT("'T"&amp;$I247&amp;"'!$E$"&amp;($J247+5),TRUE),0)</f>
        <v>0</v>
      </c>
      <c r="I247" s="229">
        <v>16</v>
      </c>
      <c r="J247" s="229">
        <v>5</v>
      </c>
      <c r="K247" s="230" t="str">
        <f t="array" aca="1" ref="K247" ca="1">INDEX(ListTeams,$I247,1)</f>
        <v/>
      </c>
      <c r="L247" s="230">
        <f t="array" aca="1" ref="L247" ca="1">IF(OR(NOT(INDEX(ExistsTx,$I247,2)),$H247=0),0,INDIRECT("'T"&amp;$I247&amp;"'!$M$"&amp;($J247+5),TRUE)+((1000-ROW())/10000000000000))</f>
        <v>0</v>
      </c>
      <c r="M247" s="230">
        <f t="array" aca="1" ref="M247" ca="1">IF(OR(NOT(INDEX(ExistsTx,$I247,2)),$H247=0),0,INDIRECT("'T"&amp;$I247&amp;"'!$N$"&amp;($J247+5),TRUE)+((1000-ROW())/10000000000000))</f>
        <v>0</v>
      </c>
      <c r="N247" s="230">
        <f t="array" aca="1" ref="N247" ca="1">IF(OR(NOT(INDEX(ExistsTx,$I247,2)),$H247=0),0,INDIRECT("'T"&amp;$I247&amp;"'!$O$"&amp;($J247+5),TRUE)+((1000-ROW())/10000000000000))</f>
        <v>0</v>
      </c>
      <c r="O247" s="230">
        <f t="array" aca="1" ref="O247" ca="1">IF(OR(NOT(INDEX(ExistsTx,$I247,2)),$H247=0),0,INDIRECT("'T"&amp;$I247&amp;"'!$P$"&amp;($J247+5),TRUE)+((1000-ROW())/10000000000000))</f>
        <v>0</v>
      </c>
      <c r="P247" s="230">
        <f t="array" aca="1" ref="P247" ca="1">IF(OR(NOT(INDEX(ExistsTx,$I247,2)),$H247=0),0,INDIRECT("'T"&amp;$I247&amp;"'!$Q$"&amp;($J247+5),TRUE)+((1000-ROW())/10000000000000))</f>
        <v>0</v>
      </c>
      <c r="Q247" s="230">
        <f t="shared" ca="1" si="51"/>
        <v>9.6814285811099999E-7</v>
      </c>
      <c r="R247" s="230"/>
      <c r="S247" s="230"/>
      <c r="T247" s="230"/>
      <c r="U247" s="230"/>
      <c r="V247" s="230"/>
      <c r="W247" s="230"/>
      <c r="X247" s="229"/>
      <c r="Y247" s="229"/>
      <c r="Z247" s="229"/>
      <c r="AA247" s="230"/>
      <c r="AB247" s="230"/>
      <c r="AC247" s="230"/>
      <c r="AD247" s="229"/>
      <c r="AE247" s="230"/>
    </row>
    <row r="248" spans="1:31" ht="12.75" customHeight="1">
      <c r="A248" s="229" t="str">
        <f t="shared" ca="1" si="45"/>
        <v/>
      </c>
      <c r="B248" s="229" t="str">
        <f t="shared" ca="1" si="46"/>
        <v/>
      </c>
      <c r="C248" s="229" t="str">
        <f t="shared" ca="1" si="47"/>
        <v/>
      </c>
      <c r="D248" s="229" t="str">
        <f t="shared" ca="1" si="48"/>
        <v/>
      </c>
      <c r="E248" s="229" t="str">
        <f t="shared" ca="1" si="49"/>
        <v/>
      </c>
      <c r="F248" s="229" t="str">
        <f t="shared" ca="1" si="50"/>
        <v/>
      </c>
      <c r="G248" s="230" t="str">
        <f t="array" aca="1" ref="G248" ca="1">IF(INDEX(ExistsTx,$I248,2),IF(INDIRECT("'T"&amp;$I248&amp;"'!$D$"&amp;($J248+5),TRUE)=0,T_NoName,INDIRECT("'T"&amp;$I248&amp;"'!$D$"&amp;($J248+5),TRUE)),"")</f>
        <v/>
      </c>
      <c r="H248" s="230">
        <f t="array" aca="1" ref="H248" ca="1">IF(INDEX(ExistsTx,$I248,2),INDIRECT("'T"&amp;$I248&amp;"'!$E$"&amp;($J248+5),TRUE),0)</f>
        <v>0</v>
      </c>
      <c r="I248" s="229">
        <v>16</v>
      </c>
      <c r="J248" s="229">
        <v>6</v>
      </c>
      <c r="K248" s="230" t="str">
        <f t="array" aca="1" ref="K248" ca="1">INDEX(ListTeams,$I248,1)</f>
        <v/>
      </c>
      <c r="L248" s="230">
        <f t="array" aca="1" ref="L248" ca="1">IF(OR(NOT(INDEX(ExistsTx,$I248,2)),$H248=0),0,INDIRECT("'T"&amp;$I248&amp;"'!$M$"&amp;($J248+5),TRUE)+((1000-ROW())/10000000000000))</f>
        <v>0</v>
      </c>
      <c r="M248" s="230">
        <f t="array" aca="1" ref="M248" ca="1">IF(OR(NOT(INDEX(ExistsTx,$I248,2)),$H248=0),0,INDIRECT("'T"&amp;$I248&amp;"'!$N$"&amp;($J248+5),TRUE)+((1000-ROW())/10000000000000))</f>
        <v>0</v>
      </c>
      <c r="N248" s="230">
        <f t="array" aca="1" ref="N248" ca="1">IF(OR(NOT(INDEX(ExistsTx,$I248,2)),$H248=0),0,INDIRECT("'T"&amp;$I248&amp;"'!$O$"&amp;($J248+5),TRUE)+((1000-ROW())/10000000000000))</f>
        <v>0</v>
      </c>
      <c r="O248" s="230">
        <f t="array" aca="1" ref="O248" ca="1">IF(OR(NOT(INDEX(ExistsTx,$I248,2)),$H248=0),0,INDIRECT("'T"&amp;$I248&amp;"'!$P$"&amp;($J248+5),TRUE)+((1000-ROW())/10000000000000))</f>
        <v>0</v>
      </c>
      <c r="P248" s="230">
        <f t="array" aca="1" ref="P248" ca="1">IF(OR(NOT(INDEX(ExistsTx,$I248,2)),$H248=0),0,INDIRECT("'T"&amp;$I248&amp;"'!$Q$"&amp;($J248+5),TRUE)+((1000-ROW())/10000000000000))</f>
        <v>0</v>
      </c>
      <c r="Q248" s="230">
        <f t="shared" ca="1" si="51"/>
        <v>9.6685714382400009E-7</v>
      </c>
      <c r="R248" s="230"/>
      <c r="S248" s="230"/>
      <c r="T248" s="230"/>
      <c r="U248" s="230"/>
      <c r="V248" s="230"/>
      <c r="W248" s="230"/>
      <c r="X248" s="229"/>
      <c r="Y248" s="229"/>
      <c r="Z248" s="229"/>
      <c r="AA248" s="230"/>
      <c r="AB248" s="230"/>
      <c r="AC248" s="230"/>
      <c r="AD248" s="229"/>
      <c r="AE248" s="230"/>
    </row>
    <row r="249" spans="1:31" ht="12.75" customHeight="1">
      <c r="A249" s="229" t="str">
        <f t="shared" ca="1" si="45"/>
        <v/>
      </c>
      <c r="B249" s="229" t="str">
        <f t="shared" ca="1" si="46"/>
        <v/>
      </c>
      <c r="C249" s="229" t="str">
        <f t="shared" ca="1" si="47"/>
        <v/>
      </c>
      <c r="D249" s="229" t="str">
        <f t="shared" ca="1" si="48"/>
        <v/>
      </c>
      <c r="E249" s="229" t="str">
        <f t="shared" ca="1" si="49"/>
        <v/>
      </c>
      <c r="F249" s="229" t="str">
        <f t="shared" ca="1" si="50"/>
        <v/>
      </c>
      <c r="G249" s="230" t="str">
        <f t="array" aca="1" ref="G249" ca="1">IF(INDEX(ExistsTx,$I249,2),IF(INDIRECT("'T"&amp;$I249&amp;"'!$D$"&amp;($J249+5),TRUE)=0,T_NoName,INDIRECT("'T"&amp;$I249&amp;"'!$D$"&amp;($J249+5),TRUE)),"")</f>
        <v/>
      </c>
      <c r="H249" s="230">
        <f t="array" aca="1" ref="H249" ca="1">IF(INDEX(ExistsTx,$I249,2),INDIRECT("'T"&amp;$I249&amp;"'!$E$"&amp;($J249+5),TRUE),0)</f>
        <v>0</v>
      </c>
      <c r="I249" s="229">
        <v>16</v>
      </c>
      <c r="J249" s="229">
        <v>7</v>
      </c>
      <c r="K249" s="230" t="str">
        <f t="array" aca="1" ref="K249" ca="1">INDEX(ListTeams,$I249,1)</f>
        <v/>
      </c>
      <c r="L249" s="230">
        <f t="array" aca="1" ref="L249" ca="1">IF(OR(NOT(INDEX(ExistsTx,$I249,2)),$H249=0),0,INDIRECT("'T"&amp;$I249&amp;"'!$M$"&amp;($J249+5),TRUE)+((1000-ROW())/10000000000000))</f>
        <v>0</v>
      </c>
      <c r="M249" s="230">
        <f t="array" aca="1" ref="M249" ca="1">IF(OR(NOT(INDEX(ExistsTx,$I249,2)),$H249=0),0,INDIRECT("'T"&amp;$I249&amp;"'!$N$"&amp;($J249+5),TRUE)+((1000-ROW())/10000000000000))</f>
        <v>0</v>
      </c>
      <c r="N249" s="230">
        <f t="array" aca="1" ref="N249" ca="1">IF(OR(NOT(INDEX(ExistsTx,$I249,2)),$H249=0),0,INDIRECT("'T"&amp;$I249&amp;"'!$O$"&amp;($J249+5),TRUE)+((1000-ROW())/10000000000000))</f>
        <v>0</v>
      </c>
      <c r="O249" s="230">
        <f t="array" aca="1" ref="O249" ca="1">IF(OR(NOT(INDEX(ExistsTx,$I249,2)),$H249=0),0,INDIRECT("'T"&amp;$I249&amp;"'!$P$"&amp;($J249+5),TRUE)+((1000-ROW())/10000000000000))</f>
        <v>0</v>
      </c>
      <c r="P249" s="230">
        <f t="array" aca="1" ref="P249" ca="1">IF(OR(NOT(INDEX(ExistsTx,$I249,2)),$H249=0),0,INDIRECT("'T"&amp;$I249&amp;"'!$Q$"&amp;($J249+5),TRUE)+((1000-ROW())/10000000000000))</f>
        <v>0</v>
      </c>
      <c r="Q249" s="230">
        <f t="shared" ca="1" si="51"/>
        <v>9.6557142953699997E-7</v>
      </c>
      <c r="R249" s="230"/>
      <c r="S249" s="230"/>
      <c r="T249" s="230"/>
      <c r="U249" s="230"/>
      <c r="V249" s="230"/>
      <c r="W249" s="230"/>
      <c r="X249" s="229"/>
      <c r="Y249" s="229"/>
      <c r="Z249" s="229"/>
      <c r="AA249" s="230"/>
      <c r="AB249" s="230"/>
      <c r="AC249" s="230"/>
      <c r="AD249" s="229"/>
      <c r="AE249" s="230"/>
    </row>
    <row r="250" spans="1:31" ht="12.75" customHeight="1">
      <c r="A250" s="229" t="str">
        <f t="shared" ca="1" si="45"/>
        <v/>
      </c>
      <c r="B250" s="229" t="str">
        <f t="shared" ca="1" si="46"/>
        <v/>
      </c>
      <c r="C250" s="229" t="str">
        <f t="shared" ca="1" si="47"/>
        <v/>
      </c>
      <c r="D250" s="229" t="str">
        <f t="shared" ca="1" si="48"/>
        <v/>
      </c>
      <c r="E250" s="229" t="str">
        <f t="shared" ca="1" si="49"/>
        <v/>
      </c>
      <c r="F250" s="229" t="str">
        <f t="shared" ca="1" si="50"/>
        <v/>
      </c>
      <c r="G250" s="230" t="str">
        <f t="array" aca="1" ref="G250" ca="1">IF(INDEX(ExistsTx,$I250,2),IF(INDIRECT("'T"&amp;$I250&amp;"'!$D$"&amp;($J250+5),TRUE)=0,T_NoName,INDIRECT("'T"&amp;$I250&amp;"'!$D$"&amp;($J250+5),TRUE)),"")</f>
        <v/>
      </c>
      <c r="H250" s="230">
        <f t="array" aca="1" ref="H250" ca="1">IF(INDEX(ExistsTx,$I250,2),INDIRECT("'T"&amp;$I250&amp;"'!$E$"&amp;($J250+5),TRUE),0)</f>
        <v>0</v>
      </c>
      <c r="I250" s="229">
        <v>16</v>
      </c>
      <c r="J250" s="229">
        <v>8</v>
      </c>
      <c r="K250" s="230" t="str">
        <f t="array" aca="1" ref="K250" ca="1">INDEX(ListTeams,$I250,1)</f>
        <v/>
      </c>
      <c r="L250" s="230">
        <f t="array" aca="1" ref="L250" ca="1">IF(OR(NOT(INDEX(ExistsTx,$I250,2)),$H250=0),0,INDIRECT("'T"&amp;$I250&amp;"'!$M$"&amp;($J250+5),TRUE)+((1000-ROW())/10000000000000))</f>
        <v>0</v>
      </c>
      <c r="M250" s="230">
        <f t="array" aca="1" ref="M250" ca="1">IF(OR(NOT(INDEX(ExistsTx,$I250,2)),$H250=0),0,INDIRECT("'T"&amp;$I250&amp;"'!$N$"&amp;($J250+5),TRUE)+((1000-ROW())/10000000000000))</f>
        <v>0</v>
      </c>
      <c r="N250" s="230">
        <f t="array" aca="1" ref="N250" ca="1">IF(OR(NOT(INDEX(ExistsTx,$I250,2)),$H250=0),0,INDIRECT("'T"&amp;$I250&amp;"'!$O$"&amp;($J250+5),TRUE)+((1000-ROW())/10000000000000))</f>
        <v>0</v>
      </c>
      <c r="O250" s="230">
        <f t="array" aca="1" ref="O250" ca="1">IF(OR(NOT(INDEX(ExistsTx,$I250,2)),$H250=0),0,INDIRECT("'T"&amp;$I250&amp;"'!$P$"&amp;($J250+5),TRUE)+((1000-ROW())/10000000000000))</f>
        <v>0</v>
      </c>
      <c r="P250" s="230">
        <f t="array" aca="1" ref="P250" ca="1">IF(OR(NOT(INDEX(ExistsTx,$I250,2)),$H250=0),0,INDIRECT("'T"&amp;$I250&amp;"'!$Q$"&amp;($J250+5),TRUE)+((1000-ROW())/10000000000000))</f>
        <v>0</v>
      </c>
      <c r="Q250" s="230">
        <f t="shared" ca="1" si="51"/>
        <v>9.6428571525000006E-7</v>
      </c>
      <c r="R250" s="230"/>
      <c r="S250" s="230"/>
      <c r="T250" s="230"/>
      <c r="U250" s="230"/>
      <c r="V250" s="230"/>
      <c r="W250" s="230"/>
      <c r="X250" s="229"/>
      <c r="Y250" s="229"/>
      <c r="Z250" s="229"/>
      <c r="AA250" s="230"/>
      <c r="AB250" s="230"/>
      <c r="AC250" s="230"/>
      <c r="AD250" s="229"/>
      <c r="AE250" s="230"/>
    </row>
    <row r="251" spans="1:31" ht="12.75" customHeight="1">
      <c r="A251" s="229" t="str">
        <f t="shared" ca="1" si="45"/>
        <v/>
      </c>
      <c r="B251" s="229" t="str">
        <f t="shared" ca="1" si="46"/>
        <v/>
      </c>
      <c r="C251" s="229" t="str">
        <f t="shared" ca="1" si="47"/>
        <v/>
      </c>
      <c r="D251" s="229" t="str">
        <f t="shared" ca="1" si="48"/>
        <v/>
      </c>
      <c r="E251" s="229" t="str">
        <f t="shared" ca="1" si="49"/>
        <v/>
      </c>
      <c r="F251" s="229" t="str">
        <f t="shared" ca="1" si="50"/>
        <v/>
      </c>
      <c r="G251" s="230" t="str">
        <f t="array" aca="1" ref="G251" ca="1">IF(INDEX(ExistsTx,$I251,2),IF(INDIRECT("'T"&amp;$I251&amp;"'!$D$"&amp;($J251+5),TRUE)=0,T_NoName,INDIRECT("'T"&amp;$I251&amp;"'!$D$"&amp;($J251+5),TRUE)),"")</f>
        <v/>
      </c>
      <c r="H251" s="230">
        <f t="array" aca="1" ref="H251" ca="1">IF(INDEX(ExistsTx,$I251,2),INDIRECT("'T"&amp;$I251&amp;"'!$E$"&amp;($J251+5),TRUE),0)</f>
        <v>0</v>
      </c>
      <c r="I251" s="229">
        <v>16</v>
      </c>
      <c r="J251" s="229">
        <v>9</v>
      </c>
      <c r="K251" s="230" t="str">
        <f t="array" aca="1" ref="K251" ca="1">INDEX(ListTeams,$I251,1)</f>
        <v/>
      </c>
      <c r="L251" s="230">
        <f t="array" aca="1" ref="L251" ca="1">IF(OR(NOT(INDEX(ExistsTx,$I251,2)),$H251=0),0,INDIRECT("'T"&amp;$I251&amp;"'!$M$"&amp;($J251+5),TRUE)+((1000-ROW())/10000000000000))</f>
        <v>0</v>
      </c>
      <c r="M251" s="230">
        <f t="array" aca="1" ref="M251" ca="1">IF(OR(NOT(INDEX(ExistsTx,$I251,2)),$H251=0),0,INDIRECT("'T"&amp;$I251&amp;"'!$N$"&amp;($J251+5),TRUE)+((1000-ROW())/10000000000000))</f>
        <v>0</v>
      </c>
      <c r="N251" s="230">
        <f t="array" aca="1" ref="N251" ca="1">IF(OR(NOT(INDEX(ExistsTx,$I251,2)),$H251=0),0,INDIRECT("'T"&amp;$I251&amp;"'!$O$"&amp;($J251+5),TRUE)+((1000-ROW())/10000000000000))</f>
        <v>0</v>
      </c>
      <c r="O251" s="230">
        <f t="array" aca="1" ref="O251" ca="1">IF(OR(NOT(INDEX(ExistsTx,$I251,2)),$H251=0),0,INDIRECT("'T"&amp;$I251&amp;"'!$P$"&amp;($J251+5),TRUE)+((1000-ROW())/10000000000000))</f>
        <v>0</v>
      </c>
      <c r="P251" s="230">
        <f t="array" aca="1" ref="P251" ca="1">IF(OR(NOT(INDEX(ExistsTx,$I251,2)),$H251=0),0,INDIRECT("'T"&amp;$I251&amp;"'!$Q$"&amp;($J251+5),TRUE)+((1000-ROW())/10000000000000))</f>
        <v>0</v>
      </c>
      <c r="Q251" s="230">
        <f t="shared" ca="1" si="51"/>
        <v>9.6300000096299994E-7</v>
      </c>
      <c r="R251" s="230"/>
      <c r="S251" s="230"/>
      <c r="T251" s="230"/>
      <c r="U251" s="230"/>
      <c r="V251" s="230"/>
      <c r="W251" s="230"/>
      <c r="X251" s="229"/>
      <c r="Y251" s="229"/>
      <c r="Z251" s="229"/>
      <c r="AA251" s="230"/>
      <c r="AB251" s="230"/>
      <c r="AC251" s="230"/>
      <c r="AD251" s="229"/>
      <c r="AE251" s="230"/>
    </row>
    <row r="252" spans="1:31" ht="12.75" customHeight="1">
      <c r="A252" s="229" t="str">
        <f t="shared" ca="1" si="45"/>
        <v/>
      </c>
      <c r="B252" s="229" t="str">
        <f t="shared" ca="1" si="46"/>
        <v/>
      </c>
      <c r="C252" s="229" t="str">
        <f t="shared" ca="1" si="47"/>
        <v/>
      </c>
      <c r="D252" s="229" t="str">
        <f t="shared" ca="1" si="48"/>
        <v/>
      </c>
      <c r="E252" s="229" t="str">
        <f t="shared" ca="1" si="49"/>
        <v/>
      </c>
      <c r="F252" s="229" t="str">
        <f t="shared" ca="1" si="50"/>
        <v/>
      </c>
      <c r="G252" s="230" t="str">
        <f t="array" aca="1" ref="G252" ca="1">IF(INDEX(ExistsTx,$I252,2),IF(INDIRECT("'T"&amp;$I252&amp;"'!$D$"&amp;($J252+5),TRUE)=0,T_NoName,INDIRECT("'T"&amp;$I252&amp;"'!$D$"&amp;($J252+5),TRUE)),"")</f>
        <v/>
      </c>
      <c r="H252" s="230">
        <f t="array" aca="1" ref="H252" ca="1">IF(INDEX(ExistsTx,$I252,2),INDIRECT("'T"&amp;$I252&amp;"'!$E$"&amp;($J252+5),TRUE),0)</f>
        <v>0</v>
      </c>
      <c r="I252" s="229">
        <v>16</v>
      </c>
      <c r="J252" s="229">
        <v>10</v>
      </c>
      <c r="K252" s="230" t="str">
        <f t="array" aca="1" ref="K252" ca="1">INDEX(ListTeams,$I252,1)</f>
        <v/>
      </c>
      <c r="L252" s="230">
        <f t="array" aca="1" ref="L252" ca="1">IF(OR(NOT(INDEX(ExistsTx,$I252,2)),$H252=0),0,INDIRECT("'T"&amp;$I252&amp;"'!$M$"&amp;($J252+5),TRUE)+((1000-ROW())/10000000000000))</f>
        <v>0</v>
      </c>
      <c r="M252" s="230">
        <f t="array" aca="1" ref="M252" ca="1">IF(OR(NOT(INDEX(ExistsTx,$I252,2)),$H252=0),0,INDIRECT("'T"&amp;$I252&amp;"'!$N$"&amp;($J252+5),TRUE)+((1000-ROW())/10000000000000))</f>
        <v>0</v>
      </c>
      <c r="N252" s="230">
        <f t="array" aca="1" ref="N252" ca="1">IF(OR(NOT(INDEX(ExistsTx,$I252,2)),$H252=0),0,INDIRECT("'T"&amp;$I252&amp;"'!$O$"&amp;($J252+5),TRUE)+((1000-ROW())/10000000000000))</f>
        <v>0</v>
      </c>
      <c r="O252" s="230">
        <f t="array" aca="1" ref="O252" ca="1">IF(OR(NOT(INDEX(ExistsTx,$I252,2)),$H252=0),0,INDIRECT("'T"&amp;$I252&amp;"'!$P$"&amp;($J252+5),TRUE)+((1000-ROW())/10000000000000))</f>
        <v>0</v>
      </c>
      <c r="P252" s="230">
        <f t="array" aca="1" ref="P252" ca="1">IF(OR(NOT(INDEX(ExistsTx,$I252,2)),$H252=0),0,INDIRECT("'T"&amp;$I252&amp;"'!$Q$"&amp;($J252+5),TRUE)+((1000-ROW())/10000000000000))</f>
        <v>0</v>
      </c>
      <c r="Q252" s="230">
        <f t="shared" ca="1" si="51"/>
        <v>9.6171428667600004E-7</v>
      </c>
      <c r="R252" s="230"/>
      <c r="S252" s="230"/>
      <c r="T252" s="230"/>
      <c r="U252" s="230"/>
      <c r="V252" s="230"/>
      <c r="W252" s="230"/>
      <c r="X252" s="229"/>
      <c r="Y252" s="229"/>
      <c r="Z252" s="229"/>
      <c r="AA252" s="230"/>
      <c r="AB252" s="230"/>
      <c r="AC252" s="230"/>
      <c r="AD252" s="229"/>
      <c r="AE252" s="230"/>
    </row>
    <row r="253" spans="1:31" ht="12.75" customHeight="1">
      <c r="A253" s="229" t="str">
        <f t="shared" ca="1" si="45"/>
        <v/>
      </c>
      <c r="B253" s="229" t="str">
        <f t="shared" ca="1" si="46"/>
        <v/>
      </c>
      <c r="C253" s="229" t="str">
        <f t="shared" ca="1" si="47"/>
        <v/>
      </c>
      <c r="D253" s="229" t="str">
        <f t="shared" ca="1" si="48"/>
        <v/>
      </c>
      <c r="E253" s="229" t="str">
        <f t="shared" ca="1" si="49"/>
        <v/>
      </c>
      <c r="F253" s="229" t="str">
        <f t="shared" ca="1" si="50"/>
        <v/>
      </c>
      <c r="G253" s="230" t="str">
        <f t="array" aca="1" ref="G253" ca="1">IF(INDEX(ExistsTx,$I253,2),IF(INDIRECT("'T"&amp;$I253&amp;"'!$D$"&amp;($J253+5),TRUE)=0,T_NoName,INDIRECT("'T"&amp;$I253&amp;"'!$D$"&amp;($J253+5),TRUE)),"")</f>
        <v/>
      </c>
      <c r="H253" s="230">
        <f t="array" aca="1" ref="H253" ca="1">IF(INDEX(ExistsTx,$I253,2),INDIRECT("'T"&amp;$I253&amp;"'!$E$"&amp;($J253+5),TRUE),0)</f>
        <v>0</v>
      </c>
      <c r="I253" s="229">
        <v>16</v>
      </c>
      <c r="J253" s="229">
        <v>11</v>
      </c>
      <c r="K253" s="230" t="str">
        <f t="array" aca="1" ref="K253" ca="1">INDEX(ListTeams,$I253,1)</f>
        <v/>
      </c>
      <c r="L253" s="230">
        <f t="array" aca="1" ref="L253" ca="1">IF(OR(NOT(INDEX(ExistsTx,$I253,2)),$H253=0),0,INDIRECT("'T"&amp;$I253&amp;"'!$M$"&amp;($J253+5),TRUE)+((1000-ROW())/10000000000000))</f>
        <v>0</v>
      </c>
      <c r="M253" s="230">
        <f t="array" aca="1" ref="M253" ca="1">IF(OR(NOT(INDEX(ExistsTx,$I253,2)),$H253=0),0,INDIRECT("'T"&amp;$I253&amp;"'!$N$"&amp;($J253+5),TRUE)+((1000-ROW())/10000000000000))</f>
        <v>0</v>
      </c>
      <c r="N253" s="230">
        <f t="array" aca="1" ref="N253" ca="1">IF(OR(NOT(INDEX(ExistsTx,$I253,2)),$H253=0),0,INDIRECT("'T"&amp;$I253&amp;"'!$O$"&amp;($J253+5),TRUE)+((1000-ROW())/10000000000000))</f>
        <v>0</v>
      </c>
      <c r="O253" s="230">
        <f t="array" aca="1" ref="O253" ca="1">IF(OR(NOT(INDEX(ExistsTx,$I253,2)),$H253=0),0,INDIRECT("'T"&amp;$I253&amp;"'!$P$"&amp;($J253+5),TRUE)+((1000-ROW())/10000000000000))</f>
        <v>0</v>
      </c>
      <c r="P253" s="230">
        <f t="array" aca="1" ref="P253" ca="1">IF(OR(NOT(INDEX(ExistsTx,$I253,2)),$H253=0),0,INDIRECT("'T"&amp;$I253&amp;"'!$Q$"&amp;($J253+5),TRUE)+((1000-ROW())/10000000000000))</f>
        <v>0</v>
      </c>
      <c r="Q253" s="230">
        <f t="shared" ca="1" si="51"/>
        <v>9.6042857238899992E-7</v>
      </c>
      <c r="R253" s="230"/>
      <c r="S253" s="230"/>
      <c r="T253" s="230"/>
      <c r="U253" s="230"/>
      <c r="V253" s="230"/>
      <c r="W253" s="230"/>
      <c r="X253" s="229"/>
      <c r="Y253" s="229"/>
      <c r="Z253" s="229"/>
      <c r="AA253" s="230"/>
      <c r="AB253" s="230"/>
      <c r="AC253" s="230"/>
      <c r="AD253" s="229"/>
      <c r="AE253" s="230"/>
    </row>
    <row r="254" spans="1:31" ht="12.75" customHeight="1">
      <c r="A254" s="229" t="str">
        <f t="shared" ca="1" si="45"/>
        <v/>
      </c>
      <c r="B254" s="229" t="str">
        <f t="shared" ca="1" si="46"/>
        <v/>
      </c>
      <c r="C254" s="229" t="str">
        <f t="shared" ca="1" si="47"/>
        <v/>
      </c>
      <c r="D254" s="229" t="str">
        <f t="shared" ca="1" si="48"/>
        <v/>
      </c>
      <c r="E254" s="229" t="str">
        <f t="shared" ca="1" si="49"/>
        <v/>
      </c>
      <c r="F254" s="229" t="str">
        <f t="shared" ca="1" si="50"/>
        <v/>
      </c>
      <c r="G254" s="230" t="str">
        <f t="array" aca="1" ref="G254" ca="1">IF(INDEX(ExistsTx,$I254,2),IF(INDIRECT("'T"&amp;$I254&amp;"'!$D$"&amp;($J254+5),TRUE)=0,T_NoName,INDIRECT("'T"&amp;$I254&amp;"'!$D$"&amp;($J254+5),TRUE)),"")</f>
        <v/>
      </c>
      <c r="H254" s="230">
        <f t="array" aca="1" ref="H254" ca="1">IF(INDEX(ExistsTx,$I254,2),INDIRECT("'T"&amp;$I254&amp;"'!$E$"&amp;($J254+5),TRUE),0)</f>
        <v>0</v>
      </c>
      <c r="I254" s="229">
        <v>16</v>
      </c>
      <c r="J254" s="229">
        <v>12</v>
      </c>
      <c r="K254" s="230" t="str">
        <f t="array" aca="1" ref="K254" ca="1">INDEX(ListTeams,$I254,1)</f>
        <v/>
      </c>
      <c r="L254" s="230">
        <f t="array" aca="1" ref="L254" ca="1">IF(OR(NOT(INDEX(ExistsTx,$I254,2)),$H254=0),0,INDIRECT("'T"&amp;$I254&amp;"'!$M$"&amp;($J254+5),TRUE)+((1000-ROW())/10000000000000))</f>
        <v>0</v>
      </c>
      <c r="M254" s="230">
        <f t="array" aca="1" ref="M254" ca="1">IF(OR(NOT(INDEX(ExistsTx,$I254,2)),$H254=0),0,INDIRECT("'T"&amp;$I254&amp;"'!$N$"&amp;($J254+5),TRUE)+((1000-ROW())/10000000000000))</f>
        <v>0</v>
      </c>
      <c r="N254" s="230">
        <f t="array" aca="1" ref="N254" ca="1">IF(OR(NOT(INDEX(ExistsTx,$I254,2)),$H254=0),0,INDIRECT("'T"&amp;$I254&amp;"'!$O$"&amp;($J254+5),TRUE)+((1000-ROW())/10000000000000))</f>
        <v>0</v>
      </c>
      <c r="O254" s="230">
        <f t="array" aca="1" ref="O254" ca="1">IF(OR(NOT(INDEX(ExistsTx,$I254,2)),$H254=0),0,INDIRECT("'T"&amp;$I254&amp;"'!$P$"&amp;($J254+5),TRUE)+((1000-ROW())/10000000000000))</f>
        <v>0</v>
      </c>
      <c r="P254" s="230">
        <f t="array" aca="1" ref="P254" ca="1">IF(OR(NOT(INDEX(ExistsTx,$I254,2)),$H254=0),0,INDIRECT("'T"&amp;$I254&amp;"'!$Q$"&amp;($J254+5),TRUE)+((1000-ROW())/10000000000000))</f>
        <v>0</v>
      </c>
      <c r="Q254" s="230">
        <f t="shared" ca="1" si="51"/>
        <v>9.5914285810200001E-7</v>
      </c>
      <c r="R254" s="230"/>
      <c r="S254" s="230"/>
      <c r="T254" s="230"/>
      <c r="U254" s="230"/>
      <c r="V254" s="230"/>
      <c r="W254" s="230"/>
      <c r="X254" s="229"/>
      <c r="Y254" s="229"/>
      <c r="Z254" s="229"/>
      <c r="AA254" s="230"/>
      <c r="AB254" s="230"/>
      <c r="AC254" s="230"/>
      <c r="AD254" s="229"/>
      <c r="AE254" s="230"/>
    </row>
    <row r="255" spans="1:31" ht="12.75" customHeight="1">
      <c r="A255" s="229" t="str">
        <f t="shared" ca="1" si="45"/>
        <v/>
      </c>
      <c r="B255" s="229" t="str">
        <f t="shared" ca="1" si="46"/>
        <v/>
      </c>
      <c r="C255" s="229" t="str">
        <f t="shared" ca="1" si="47"/>
        <v/>
      </c>
      <c r="D255" s="229" t="str">
        <f t="shared" ca="1" si="48"/>
        <v/>
      </c>
      <c r="E255" s="229" t="str">
        <f t="shared" ca="1" si="49"/>
        <v/>
      </c>
      <c r="F255" s="229" t="str">
        <f t="shared" ca="1" si="50"/>
        <v/>
      </c>
      <c r="G255" s="230" t="str">
        <f t="array" aca="1" ref="G255" ca="1">IF(INDEX(ExistsTx,$I255,2),IF(INDIRECT("'T"&amp;$I255&amp;"'!$D$"&amp;($J255+5),TRUE)=0,T_NoName,INDIRECT("'T"&amp;$I255&amp;"'!$D$"&amp;($J255+5),TRUE)),"")</f>
        <v/>
      </c>
      <c r="H255" s="230">
        <f t="array" aca="1" ref="H255" ca="1">IF(INDEX(ExistsTx,$I255,2),INDIRECT("'T"&amp;$I255&amp;"'!$E$"&amp;($J255+5),TRUE),0)</f>
        <v>0</v>
      </c>
      <c r="I255" s="229">
        <v>16</v>
      </c>
      <c r="J255" s="229">
        <v>13</v>
      </c>
      <c r="K255" s="230" t="str">
        <f t="array" aca="1" ref="K255" ca="1">INDEX(ListTeams,$I255,1)</f>
        <v/>
      </c>
      <c r="L255" s="230">
        <f t="array" aca="1" ref="L255" ca="1">IF(OR(NOT(INDEX(ExistsTx,$I255,2)),$H255=0),0,INDIRECT("'T"&amp;$I255&amp;"'!$M$"&amp;($J255+5),TRUE)+((1000-ROW())/10000000000000))</f>
        <v>0</v>
      </c>
      <c r="M255" s="230">
        <f t="array" aca="1" ref="M255" ca="1">IF(OR(NOT(INDEX(ExistsTx,$I255,2)),$H255=0),0,INDIRECT("'T"&amp;$I255&amp;"'!$N$"&amp;($J255+5),TRUE)+((1000-ROW())/10000000000000))</f>
        <v>0</v>
      </c>
      <c r="N255" s="230">
        <f t="array" aca="1" ref="N255" ca="1">IF(OR(NOT(INDEX(ExistsTx,$I255,2)),$H255=0),0,INDIRECT("'T"&amp;$I255&amp;"'!$O$"&amp;($J255+5),TRUE)+((1000-ROW())/10000000000000))</f>
        <v>0</v>
      </c>
      <c r="O255" s="230">
        <f t="array" aca="1" ref="O255" ca="1">IF(OR(NOT(INDEX(ExistsTx,$I255,2)),$H255=0),0,INDIRECT("'T"&amp;$I255&amp;"'!$P$"&amp;($J255+5),TRUE)+((1000-ROW())/10000000000000))</f>
        <v>0</v>
      </c>
      <c r="P255" s="230">
        <f t="array" aca="1" ref="P255" ca="1">IF(OR(NOT(INDEX(ExistsTx,$I255,2)),$H255=0),0,INDIRECT("'T"&amp;$I255&amp;"'!$Q$"&amp;($J255+5),TRUE)+((1000-ROW())/10000000000000))</f>
        <v>0</v>
      </c>
      <c r="Q255" s="230">
        <f t="shared" ca="1" si="51"/>
        <v>9.578571438149999E-7</v>
      </c>
      <c r="R255" s="230"/>
      <c r="S255" s="230"/>
      <c r="T255" s="230"/>
      <c r="U255" s="230"/>
      <c r="V255" s="230"/>
      <c r="W255" s="230"/>
      <c r="X255" s="229"/>
      <c r="Y255" s="229"/>
      <c r="Z255" s="229"/>
      <c r="AA255" s="230"/>
      <c r="AB255" s="230"/>
      <c r="AC255" s="230"/>
      <c r="AD255" s="229"/>
      <c r="AE255" s="230"/>
    </row>
    <row r="256" spans="1:31" ht="12.75" customHeight="1">
      <c r="A256" s="229" t="str">
        <f t="shared" ca="1" si="45"/>
        <v/>
      </c>
      <c r="B256" s="229" t="str">
        <f t="shared" ca="1" si="46"/>
        <v/>
      </c>
      <c r="C256" s="229" t="str">
        <f t="shared" ca="1" si="47"/>
        <v/>
      </c>
      <c r="D256" s="229" t="str">
        <f t="shared" ca="1" si="48"/>
        <v/>
      </c>
      <c r="E256" s="229" t="str">
        <f t="shared" ca="1" si="49"/>
        <v/>
      </c>
      <c r="F256" s="229" t="str">
        <f t="shared" ca="1" si="50"/>
        <v/>
      </c>
      <c r="G256" s="230" t="str">
        <f t="array" aca="1" ref="G256" ca="1">IF(INDEX(ExistsTx,$I256,2),IF(INDIRECT("'T"&amp;$I256&amp;"'!$D$"&amp;($J256+5),TRUE)=0,T_NoName,INDIRECT("'T"&amp;$I256&amp;"'!$D$"&amp;($J256+5),TRUE)),"")</f>
        <v/>
      </c>
      <c r="H256" s="230">
        <f t="array" aca="1" ref="H256" ca="1">IF(INDEX(ExistsTx,$I256,2),INDIRECT("'T"&amp;$I256&amp;"'!$E$"&amp;($J256+5),TRUE),0)</f>
        <v>0</v>
      </c>
      <c r="I256" s="229">
        <v>16</v>
      </c>
      <c r="J256" s="229">
        <v>14</v>
      </c>
      <c r="K256" s="230" t="str">
        <f t="array" aca="1" ref="K256" ca="1">INDEX(ListTeams,$I256,1)</f>
        <v/>
      </c>
      <c r="L256" s="230">
        <f t="array" aca="1" ref="L256" ca="1">IF(OR(NOT(INDEX(ExistsTx,$I256,2)),$H256=0),0,INDIRECT("'T"&amp;$I256&amp;"'!$M$"&amp;($J256+5),TRUE)+((1000-ROW())/10000000000000))</f>
        <v>0</v>
      </c>
      <c r="M256" s="230">
        <f t="array" aca="1" ref="M256" ca="1">IF(OR(NOT(INDEX(ExistsTx,$I256,2)),$H256=0),0,INDIRECT("'T"&amp;$I256&amp;"'!$N$"&amp;($J256+5),TRUE)+((1000-ROW())/10000000000000))</f>
        <v>0</v>
      </c>
      <c r="N256" s="230">
        <f t="array" aca="1" ref="N256" ca="1">IF(OR(NOT(INDEX(ExistsTx,$I256,2)),$H256=0),0,INDIRECT("'T"&amp;$I256&amp;"'!$O$"&amp;($J256+5),TRUE)+((1000-ROW())/10000000000000))</f>
        <v>0</v>
      </c>
      <c r="O256" s="230">
        <f t="array" aca="1" ref="O256" ca="1">IF(OR(NOT(INDEX(ExistsTx,$I256,2)),$H256=0),0,INDIRECT("'T"&amp;$I256&amp;"'!$P$"&amp;($J256+5),TRUE)+((1000-ROW())/10000000000000))</f>
        <v>0</v>
      </c>
      <c r="P256" s="230">
        <f t="array" aca="1" ref="P256" ca="1">IF(OR(NOT(INDEX(ExistsTx,$I256,2)),$H256=0),0,INDIRECT("'T"&amp;$I256&amp;"'!$Q$"&amp;($J256+5),TRUE)+((1000-ROW())/10000000000000))</f>
        <v>0</v>
      </c>
      <c r="Q256" s="230">
        <f t="shared" ca="1" si="51"/>
        <v>9.5657142952799999E-7</v>
      </c>
      <c r="R256" s="230"/>
      <c r="S256" s="230"/>
      <c r="T256" s="230"/>
      <c r="U256" s="230"/>
      <c r="V256" s="230"/>
      <c r="W256" s="230"/>
      <c r="X256" s="229"/>
      <c r="Y256" s="229"/>
      <c r="Z256" s="229"/>
      <c r="AA256" s="230"/>
      <c r="AB256" s="230"/>
      <c r="AC256" s="230"/>
      <c r="AD256" s="229"/>
      <c r="AE256" s="230"/>
    </row>
    <row r="257" spans="1:31" ht="12.75" customHeight="1">
      <c r="A257" s="229" t="str">
        <f t="shared" ca="1" si="45"/>
        <v/>
      </c>
      <c r="B257" s="229" t="str">
        <f t="shared" ca="1" si="46"/>
        <v/>
      </c>
      <c r="C257" s="229" t="str">
        <f t="shared" ca="1" si="47"/>
        <v/>
      </c>
      <c r="D257" s="229" t="str">
        <f t="shared" ca="1" si="48"/>
        <v/>
      </c>
      <c r="E257" s="229" t="str">
        <f t="shared" ca="1" si="49"/>
        <v/>
      </c>
      <c r="F257" s="229" t="str">
        <f t="shared" ca="1" si="50"/>
        <v/>
      </c>
      <c r="G257" s="230" t="str">
        <f t="array" aca="1" ref="G257" ca="1">IF(INDEX(ExistsTx,$I257,2),IF(INDIRECT("'T"&amp;$I257&amp;"'!$D$"&amp;($J257+5),TRUE)=0,T_NoName,INDIRECT("'T"&amp;$I257&amp;"'!$D$"&amp;($J257+5),TRUE)),"")</f>
        <v/>
      </c>
      <c r="H257" s="230">
        <f t="array" aca="1" ref="H257" ca="1">IF(INDEX(ExistsTx,$I257,2),INDIRECT("'T"&amp;$I257&amp;"'!$E$"&amp;($J257+5),TRUE),0)</f>
        <v>0</v>
      </c>
      <c r="I257" s="229">
        <v>16</v>
      </c>
      <c r="J257" s="229">
        <v>15</v>
      </c>
      <c r="K257" s="230" t="str">
        <f t="array" aca="1" ref="K257" ca="1">INDEX(ListTeams,$I257,1)</f>
        <v/>
      </c>
      <c r="L257" s="230">
        <f t="array" aca="1" ref="L257" ca="1">IF(OR(NOT(INDEX(ExistsTx,$I257,2)),$H257=0),0,INDIRECT("'T"&amp;$I257&amp;"'!$M$"&amp;($J257+5),TRUE)+((1000-ROW())/10000000000000))</f>
        <v>0</v>
      </c>
      <c r="M257" s="230">
        <f t="array" aca="1" ref="M257" ca="1">IF(OR(NOT(INDEX(ExistsTx,$I257,2)),$H257=0),0,INDIRECT("'T"&amp;$I257&amp;"'!$N$"&amp;($J257+5),TRUE)+((1000-ROW())/10000000000000))</f>
        <v>0</v>
      </c>
      <c r="N257" s="230">
        <f t="array" aca="1" ref="N257" ca="1">IF(OR(NOT(INDEX(ExistsTx,$I257,2)),$H257=0),0,INDIRECT("'T"&amp;$I257&amp;"'!$O$"&amp;($J257+5),TRUE)+((1000-ROW())/10000000000000))</f>
        <v>0</v>
      </c>
      <c r="O257" s="230">
        <f t="array" aca="1" ref="O257" ca="1">IF(OR(NOT(INDEX(ExistsTx,$I257,2)),$H257=0),0,INDIRECT("'T"&amp;$I257&amp;"'!$P$"&amp;($J257+5),TRUE)+((1000-ROW())/10000000000000))</f>
        <v>0</v>
      </c>
      <c r="P257" s="230">
        <f t="array" aca="1" ref="P257" ca="1">IF(OR(NOT(INDEX(ExistsTx,$I257,2)),$H257=0),0,INDIRECT("'T"&amp;$I257&amp;"'!$Q$"&amp;($J257+5),TRUE)+((1000-ROW())/10000000000000))</f>
        <v>0</v>
      </c>
      <c r="Q257" s="230">
        <f t="shared" ca="1" si="51"/>
        <v>9.5528571524100008E-7</v>
      </c>
      <c r="R257" s="230"/>
      <c r="S257" s="230"/>
      <c r="T257" s="230"/>
      <c r="U257" s="230"/>
      <c r="V257" s="230"/>
      <c r="W257" s="230"/>
      <c r="X257" s="229"/>
      <c r="Y257" s="229"/>
      <c r="Z257" s="229"/>
      <c r="AA257" s="230"/>
      <c r="AB257" s="230"/>
      <c r="AC257" s="230"/>
      <c r="AD257" s="229"/>
      <c r="AE257" s="230"/>
    </row>
    <row r="258" spans="1:31" ht="12.75" customHeight="1">
      <c r="A258" s="229" t="str">
        <f t="shared" ca="1" si="45"/>
        <v/>
      </c>
      <c r="B258" s="229" t="str">
        <f t="shared" ca="1" si="46"/>
        <v/>
      </c>
      <c r="C258" s="229" t="str">
        <f t="shared" ca="1" si="47"/>
        <v/>
      </c>
      <c r="D258" s="229" t="str">
        <f t="shared" ca="1" si="48"/>
        <v/>
      </c>
      <c r="E258" s="229" t="str">
        <f t="shared" ca="1" si="49"/>
        <v/>
      </c>
      <c r="F258" s="229" t="str">
        <f t="shared" ca="1" si="50"/>
        <v/>
      </c>
      <c r="G258" s="230" t="str">
        <f t="array" aca="1" ref="G258" ca="1">IF(INDEX(ExistsTx,$I258,2),IF(INDIRECT("'T"&amp;$I258&amp;"'!$D$"&amp;($J258+5),TRUE)=0,T_NoName,INDIRECT("'T"&amp;$I258&amp;"'!$D$"&amp;($J258+5),TRUE)),"")</f>
        <v/>
      </c>
      <c r="H258" s="230">
        <f t="array" aca="1" ref="H258" ca="1">IF(INDEX(ExistsTx,$I258,2),INDIRECT("'T"&amp;$I258&amp;"'!$E$"&amp;($J258+5),TRUE),0)</f>
        <v>0</v>
      </c>
      <c r="I258" s="229">
        <v>16</v>
      </c>
      <c r="J258" s="229">
        <v>16</v>
      </c>
      <c r="K258" s="230" t="str">
        <f t="array" aca="1" ref="K258" ca="1">INDEX(ListTeams,$I258,1)</f>
        <v/>
      </c>
      <c r="L258" s="230">
        <f t="array" aca="1" ref="L258" ca="1">IF(OR(NOT(INDEX(ExistsTx,$I258,2)),$H258=0),0,INDIRECT("'T"&amp;$I258&amp;"'!$M$"&amp;($J258+5),TRUE)+((1000-ROW())/10000000000000))</f>
        <v>0</v>
      </c>
      <c r="M258" s="230">
        <f t="array" aca="1" ref="M258" ca="1">IF(OR(NOT(INDEX(ExistsTx,$I258,2)),$H258=0),0,INDIRECT("'T"&amp;$I258&amp;"'!$N$"&amp;($J258+5),TRUE)+((1000-ROW())/10000000000000))</f>
        <v>0</v>
      </c>
      <c r="N258" s="230">
        <f t="array" aca="1" ref="N258" ca="1">IF(OR(NOT(INDEX(ExistsTx,$I258,2)),$H258=0),0,INDIRECT("'T"&amp;$I258&amp;"'!$O$"&amp;($J258+5),TRUE)+((1000-ROW())/10000000000000))</f>
        <v>0</v>
      </c>
      <c r="O258" s="230">
        <f t="array" aca="1" ref="O258" ca="1">IF(OR(NOT(INDEX(ExistsTx,$I258,2)),$H258=0),0,INDIRECT("'T"&amp;$I258&amp;"'!$P$"&amp;($J258+5),TRUE)+((1000-ROW())/10000000000000))</f>
        <v>0</v>
      </c>
      <c r="P258" s="230">
        <f t="array" aca="1" ref="P258" ca="1">IF(OR(NOT(INDEX(ExistsTx,$I258,2)),$H258=0),0,INDIRECT("'T"&amp;$I258&amp;"'!$Q$"&amp;($J258+5),TRUE)+((1000-ROW())/10000000000000))</f>
        <v>0</v>
      </c>
      <c r="Q258" s="230">
        <f t="shared" ca="1" si="51"/>
        <v>9.5400000095399997E-7</v>
      </c>
      <c r="R258" s="230"/>
      <c r="S258" s="230"/>
      <c r="T258" s="230"/>
      <c r="U258" s="230"/>
      <c r="V258" s="230"/>
      <c r="W258" s="230"/>
      <c r="X258" s="229"/>
      <c r="Y258" s="229"/>
      <c r="Z258" s="229"/>
      <c r="AA258" s="230"/>
      <c r="AB258" s="230"/>
      <c r="AC258" s="230"/>
      <c r="AD258" s="229"/>
      <c r="AE258" s="230"/>
    </row>
    <row r="259" spans="1:31" ht="12.75" customHeight="1">
      <c r="A259" s="229" t="str">
        <f t="shared" ref="A259:A322" ca="1" si="52">IF(L259&lt;1,"",RANK(L259,PSTAT_CP))</f>
        <v/>
      </c>
      <c r="B259" s="229" t="str">
        <f t="shared" ref="B259:B322" ca="1" si="53">IF(M259&lt;1,"",RANK(M259,PSTAT_TD))</f>
        <v/>
      </c>
      <c r="C259" s="229" t="str">
        <f t="shared" ref="C259:C322" ca="1" si="54">IF(N259&lt;1,"",RANK(N259,PSTAT_IN))</f>
        <v/>
      </c>
      <c r="D259" s="229" t="str">
        <f t="shared" ref="D259:D322" ca="1" si="55">IF(O259&lt;1,"",RANK(O259,PSTAT_CS))</f>
        <v/>
      </c>
      <c r="E259" s="229" t="str">
        <f t="shared" ref="E259:E322" ca="1" si="56">IF(P259&lt;1,"",RANK(P259,PSTAT_VP))</f>
        <v/>
      </c>
      <c r="F259" s="229" t="str">
        <f t="shared" ref="F259:F322" ca="1" si="57">IF(Q259&lt;1,"",RANK(Q259,PSTAT_SP))</f>
        <v/>
      </c>
      <c r="G259" s="230" t="str">
        <f t="array" aca="1" ref="G259" ca="1">IF(INDEX(ExistsTx,$I259,2),IF(INDIRECT("'T"&amp;$I259&amp;"'!$D$"&amp;($J259+5),TRUE)=0,T_NoName,INDIRECT("'T"&amp;$I259&amp;"'!$D$"&amp;($J259+5),TRUE)),"")</f>
        <v/>
      </c>
      <c r="H259" s="230">
        <f t="array" aca="1" ref="H259" ca="1">IF(INDEX(ExistsTx,$I259,2),INDIRECT("'T"&amp;$I259&amp;"'!$E$"&amp;($J259+5),TRUE),0)</f>
        <v>0</v>
      </c>
      <c r="I259" s="229">
        <v>17</v>
      </c>
      <c r="J259" s="229">
        <v>1</v>
      </c>
      <c r="K259" s="230" t="str">
        <f t="array" aca="1" ref="K259" ca="1">INDEX(ListTeams,$I259,1)</f>
        <v/>
      </c>
      <c r="L259" s="230">
        <f t="array" aca="1" ref="L259" ca="1">IF(OR(NOT(INDEX(ExistsTx,$I259,2)),$H259=0),0,INDIRECT("'T"&amp;$I259&amp;"'!$M$"&amp;($J259+5),TRUE)+((1000-ROW())/10000000000000))</f>
        <v>0</v>
      </c>
      <c r="M259" s="230">
        <f t="array" aca="1" ref="M259" ca="1">IF(OR(NOT(INDEX(ExistsTx,$I259,2)),$H259=0),0,INDIRECT("'T"&amp;$I259&amp;"'!$N$"&amp;($J259+5),TRUE)+((1000-ROW())/10000000000000))</f>
        <v>0</v>
      </c>
      <c r="N259" s="230">
        <f t="array" aca="1" ref="N259" ca="1">IF(OR(NOT(INDEX(ExistsTx,$I259,2)),$H259=0),0,INDIRECT("'T"&amp;$I259&amp;"'!$O$"&amp;($J259+5),TRUE)+((1000-ROW())/10000000000000))</f>
        <v>0</v>
      </c>
      <c r="O259" s="230">
        <f t="array" aca="1" ref="O259" ca="1">IF(OR(NOT(INDEX(ExistsTx,$I259,2)),$H259=0),0,INDIRECT("'T"&amp;$I259&amp;"'!$P$"&amp;($J259+5),TRUE)+((1000-ROW())/10000000000000))</f>
        <v>0</v>
      </c>
      <c r="P259" s="230">
        <f t="array" aca="1" ref="P259" ca="1">IF(OR(NOT(INDEX(ExistsTx,$I259,2)),$H259=0),0,INDIRECT("'T"&amp;$I259&amp;"'!$Q$"&amp;($J259+5),TRUE)+((1000-ROW())/10000000000000))</f>
        <v>0</v>
      </c>
      <c r="Q259" s="230">
        <f t="shared" ref="Q259:Q322" ca="1" si="58">L259*SPP_CP+M259*SPP_TD+N259*SPP_IN+O259*SPP_CS+P259*SPP_VP+((1000-ROW())/777777777)</f>
        <v>9.5271428666699995E-7</v>
      </c>
      <c r="R259" s="230"/>
      <c r="S259" s="230"/>
      <c r="T259" s="230"/>
      <c r="U259" s="230"/>
      <c r="V259" s="230"/>
      <c r="W259" s="230"/>
      <c r="X259" s="229"/>
      <c r="Y259" s="229"/>
      <c r="Z259" s="229"/>
      <c r="AA259" s="230"/>
      <c r="AB259" s="230"/>
      <c r="AC259" s="230"/>
      <c r="AD259" s="229"/>
      <c r="AE259" s="230"/>
    </row>
    <row r="260" spans="1:31" ht="12.75" customHeight="1">
      <c r="A260" s="229" t="str">
        <f t="shared" ca="1" si="52"/>
        <v/>
      </c>
      <c r="B260" s="229" t="str">
        <f t="shared" ca="1" si="53"/>
        <v/>
      </c>
      <c r="C260" s="229" t="str">
        <f t="shared" ca="1" si="54"/>
        <v/>
      </c>
      <c r="D260" s="229" t="str">
        <f t="shared" ca="1" si="55"/>
        <v/>
      </c>
      <c r="E260" s="229" t="str">
        <f t="shared" ca="1" si="56"/>
        <v/>
      </c>
      <c r="F260" s="229" t="str">
        <f t="shared" ca="1" si="57"/>
        <v/>
      </c>
      <c r="G260" s="230" t="str">
        <f t="array" aca="1" ref="G260" ca="1">IF(INDEX(ExistsTx,$I260,2),IF(INDIRECT("'T"&amp;$I260&amp;"'!$D$"&amp;($J260+5),TRUE)=0,T_NoName,INDIRECT("'T"&amp;$I260&amp;"'!$D$"&amp;($J260+5),TRUE)),"")</f>
        <v/>
      </c>
      <c r="H260" s="230">
        <f t="array" aca="1" ref="H260" ca="1">IF(INDEX(ExistsTx,$I260,2),INDIRECT("'T"&amp;$I260&amp;"'!$E$"&amp;($J260+5),TRUE),0)</f>
        <v>0</v>
      </c>
      <c r="I260" s="229">
        <v>17</v>
      </c>
      <c r="J260" s="229">
        <v>2</v>
      </c>
      <c r="K260" s="230" t="str">
        <f t="array" aca="1" ref="K260" ca="1">INDEX(ListTeams,$I260,1)</f>
        <v/>
      </c>
      <c r="L260" s="230">
        <f t="array" aca="1" ref="L260" ca="1">IF(OR(NOT(INDEX(ExistsTx,$I260,2)),$H260=0),0,INDIRECT("'T"&amp;$I260&amp;"'!$M$"&amp;($J260+5),TRUE)+((1000-ROW())/10000000000000))</f>
        <v>0</v>
      </c>
      <c r="M260" s="230">
        <f t="array" aca="1" ref="M260" ca="1">IF(OR(NOT(INDEX(ExistsTx,$I260,2)),$H260=0),0,INDIRECT("'T"&amp;$I260&amp;"'!$N$"&amp;($J260+5),TRUE)+((1000-ROW())/10000000000000))</f>
        <v>0</v>
      </c>
      <c r="N260" s="230">
        <f t="array" aca="1" ref="N260" ca="1">IF(OR(NOT(INDEX(ExistsTx,$I260,2)),$H260=0),0,INDIRECT("'T"&amp;$I260&amp;"'!$O$"&amp;($J260+5),TRUE)+((1000-ROW())/10000000000000))</f>
        <v>0</v>
      </c>
      <c r="O260" s="230">
        <f t="array" aca="1" ref="O260" ca="1">IF(OR(NOT(INDEX(ExistsTx,$I260,2)),$H260=0),0,INDIRECT("'T"&amp;$I260&amp;"'!$P$"&amp;($J260+5),TRUE)+((1000-ROW())/10000000000000))</f>
        <v>0</v>
      </c>
      <c r="P260" s="230">
        <f t="array" aca="1" ref="P260" ca="1">IF(OR(NOT(INDEX(ExistsTx,$I260,2)),$H260=0),0,INDIRECT("'T"&amp;$I260&amp;"'!$Q$"&amp;($J260+5),TRUE)+((1000-ROW())/10000000000000))</f>
        <v>0</v>
      </c>
      <c r="Q260" s="230">
        <f t="shared" ca="1" si="58"/>
        <v>9.5142857238000005E-7</v>
      </c>
      <c r="R260" s="230"/>
      <c r="S260" s="230"/>
      <c r="T260" s="230"/>
      <c r="U260" s="230"/>
      <c r="V260" s="230"/>
      <c r="W260" s="230"/>
      <c r="X260" s="229"/>
      <c r="Y260" s="229"/>
      <c r="Z260" s="229"/>
      <c r="AA260" s="230"/>
      <c r="AB260" s="230"/>
      <c r="AC260" s="230"/>
      <c r="AD260" s="229"/>
      <c r="AE260" s="230"/>
    </row>
    <row r="261" spans="1:31" ht="12.75" customHeight="1">
      <c r="A261" s="229" t="str">
        <f t="shared" ca="1" si="52"/>
        <v/>
      </c>
      <c r="B261" s="229" t="str">
        <f t="shared" ca="1" si="53"/>
        <v/>
      </c>
      <c r="C261" s="229" t="str">
        <f t="shared" ca="1" si="54"/>
        <v/>
      </c>
      <c r="D261" s="229" t="str">
        <f t="shared" ca="1" si="55"/>
        <v/>
      </c>
      <c r="E261" s="229" t="str">
        <f t="shared" ca="1" si="56"/>
        <v/>
      </c>
      <c r="F261" s="229" t="str">
        <f t="shared" ca="1" si="57"/>
        <v/>
      </c>
      <c r="G261" s="230" t="str">
        <f t="array" aca="1" ref="G261" ca="1">IF(INDEX(ExistsTx,$I261,2),IF(INDIRECT("'T"&amp;$I261&amp;"'!$D$"&amp;($J261+5),TRUE)=0,T_NoName,INDIRECT("'T"&amp;$I261&amp;"'!$D$"&amp;($J261+5),TRUE)),"")</f>
        <v/>
      </c>
      <c r="H261" s="230">
        <f t="array" aca="1" ref="H261" ca="1">IF(INDEX(ExistsTx,$I261,2),INDIRECT("'T"&amp;$I261&amp;"'!$E$"&amp;($J261+5),TRUE),0)</f>
        <v>0</v>
      </c>
      <c r="I261" s="229">
        <v>17</v>
      </c>
      <c r="J261" s="229">
        <v>3</v>
      </c>
      <c r="K261" s="230" t="str">
        <f t="array" aca="1" ref="K261" ca="1">INDEX(ListTeams,$I261,1)</f>
        <v/>
      </c>
      <c r="L261" s="230">
        <f t="array" aca="1" ref="L261" ca="1">IF(OR(NOT(INDEX(ExistsTx,$I261,2)),$H261=0),0,INDIRECT("'T"&amp;$I261&amp;"'!$M$"&amp;($J261+5),TRUE)+((1000-ROW())/10000000000000))</f>
        <v>0</v>
      </c>
      <c r="M261" s="230">
        <f t="array" aca="1" ref="M261" ca="1">IF(OR(NOT(INDEX(ExistsTx,$I261,2)),$H261=0),0,INDIRECT("'T"&amp;$I261&amp;"'!$N$"&amp;($J261+5),TRUE)+((1000-ROW())/10000000000000))</f>
        <v>0</v>
      </c>
      <c r="N261" s="230">
        <f t="array" aca="1" ref="N261" ca="1">IF(OR(NOT(INDEX(ExistsTx,$I261,2)),$H261=0),0,INDIRECT("'T"&amp;$I261&amp;"'!$O$"&amp;($J261+5),TRUE)+((1000-ROW())/10000000000000))</f>
        <v>0</v>
      </c>
      <c r="O261" s="230">
        <f t="array" aca="1" ref="O261" ca="1">IF(OR(NOT(INDEX(ExistsTx,$I261,2)),$H261=0),0,INDIRECT("'T"&amp;$I261&amp;"'!$P$"&amp;($J261+5),TRUE)+((1000-ROW())/10000000000000))</f>
        <v>0</v>
      </c>
      <c r="P261" s="230">
        <f t="array" aca="1" ref="P261" ca="1">IF(OR(NOT(INDEX(ExistsTx,$I261,2)),$H261=0),0,INDIRECT("'T"&amp;$I261&amp;"'!$Q$"&amp;($J261+5),TRUE)+((1000-ROW())/10000000000000))</f>
        <v>0</v>
      </c>
      <c r="Q261" s="230">
        <f t="shared" ca="1" si="58"/>
        <v>9.5014285809300004E-7</v>
      </c>
      <c r="R261" s="230"/>
      <c r="S261" s="230"/>
      <c r="T261" s="230"/>
      <c r="U261" s="230"/>
      <c r="V261" s="230"/>
      <c r="W261" s="230"/>
      <c r="X261" s="229"/>
      <c r="Y261" s="229"/>
      <c r="Z261" s="229"/>
      <c r="AA261" s="230"/>
      <c r="AB261" s="230"/>
      <c r="AC261" s="230"/>
      <c r="AD261" s="229"/>
      <c r="AE261" s="230"/>
    </row>
    <row r="262" spans="1:31" ht="12.75" customHeight="1">
      <c r="A262" s="229" t="str">
        <f t="shared" ca="1" si="52"/>
        <v/>
      </c>
      <c r="B262" s="229" t="str">
        <f t="shared" ca="1" si="53"/>
        <v/>
      </c>
      <c r="C262" s="229" t="str">
        <f t="shared" ca="1" si="54"/>
        <v/>
      </c>
      <c r="D262" s="229" t="str">
        <f t="shared" ca="1" si="55"/>
        <v/>
      </c>
      <c r="E262" s="229" t="str">
        <f t="shared" ca="1" si="56"/>
        <v/>
      </c>
      <c r="F262" s="229" t="str">
        <f t="shared" ca="1" si="57"/>
        <v/>
      </c>
      <c r="G262" s="230" t="str">
        <f t="array" aca="1" ref="G262" ca="1">IF(INDEX(ExistsTx,$I262,2),IF(INDIRECT("'T"&amp;$I262&amp;"'!$D$"&amp;($J262+5),TRUE)=0,T_NoName,INDIRECT("'T"&amp;$I262&amp;"'!$D$"&amp;($J262+5),TRUE)),"")</f>
        <v/>
      </c>
      <c r="H262" s="230">
        <f t="array" aca="1" ref="H262" ca="1">IF(INDEX(ExistsTx,$I262,2),INDIRECT("'T"&amp;$I262&amp;"'!$E$"&amp;($J262+5),TRUE),0)</f>
        <v>0</v>
      </c>
      <c r="I262" s="229">
        <v>17</v>
      </c>
      <c r="J262" s="229">
        <v>4</v>
      </c>
      <c r="K262" s="230" t="str">
        <f t="array" aca="1" ref="K262" ca="1">INDEX(ListTeams,$I262,1)</f>
        <v/>
      </c>
      <c r="L262" s="230">
        <f t="array" aca="1" ref="L262" ca="1">IF(OR(NOT(INDEX(ExistsTx,$I262,2)),$H262=0),0,INDIRECT("'T"&amp;$I262&amp;"'!$M$"&amp;($J262+5),TRUE)+((1000-ROW())/10000000000000))</f>
        <v>0</v>
      </c>
      <c r="M262" s="230">
        <f t="array" aca="1" ref="M262" ca="1">IF(OR(NOT(INDEX(ExistsTx,$I262,2)),$H262=0),0,INDIRECT("'T"&amp;$I262&amp;"'!$N$"&amp;($J262+5),TRUE)+((1000-ROW())/10000000000000))</f>
        <v>0</v>
      </c>
      <c r="N262" s="230">
        <f t="array" aca="1" ref="N262" ca="1">IF(OR(NOT(INDEX(ExistsTx,$I262,2)),$H262=0),0,INDIRECT("'T"&amp;$I262&amp;"'!$O$"&amp;($J262+5),TRUE)+((1000-ROW())/10000000000000))</f>
        <v>0</v>
      </c>
      <c r="O262" s="230">
        <f t="array" aca="1" ref="O262" ca="1">IF(OR(NOT(INDEX(ExistsTx,$I262,2)),$H262=0),0,INDIRECT("'T"&amp;$I262&amp;"'!$P$"&amp;($J262+5),TRUE)+((1000-ROW())/10000000000000))</f>
        <v>0</v>
      </c>
      <c r="P262" s="230">
        <f t="array" aca="1" ref="P262" ca="1">IF(OR(NOT(INDEX(ExistsTx,$I262,2)),$H262=0),0,INDIRECT("'T"&amp;$I262&amp;"'!$Q$"&amp;($J262+5),TRUE)+((1000-ROW())/10000000000000))</f>
        <v>0</v>
      </c>
      <c r="Q262" s="230">
        <f t="shared" ca="1" si="58"/>
        <v>9.4885714380600002E-7</v>
      </c>
      <c r="R262" s="230"/>
      <c r="S262" s="230"/>
      <c r="T262" s="230"/>
      <c r="U262" s="230"/>
      <c r="V262" s="230"/>
      <c r="W262" s="230"/>
      <c r="X262" s="229"/>
      <c r="Y262" s="229"/>
      <c r="Z262" s="229"/>
      <c r="AA262" s="230"/>
      <c r="AB262" s="230"/>
      <c r="AC262" s="230"/>
      <c r="AD262" s="229"/>
      <c r="AE262" s="230"/>
    </row>
    <row r="263" spans="1:31" ht="12.75" customHeight="1">
      <c r="A263" s="229" t="str">
        <f t="shared" ca="1" si="52"/>
        <v/>
      </c>
      <c r="B263" s="229" t="str">
        <f t="shared" ca="1" si="53"/>
        <v/>
      </c>
      <c r="C263" s="229" t="str">
        <f t="shared" ca="1" si="54"/>
        <v/>
      </c>
      <c r="D263" s="229" t="str">
        <f t="shared" ca="1" si="55"/>
        <v/>
      </c>
      <c r="E263" s="229" t="str">
        <f t="shared" ca="1" si="56"/>
        <v/>
      </c>
      <c r="F263" s="229" t="str">
        <f t="shared" ca="1" si="57"/>
        <v/>
      </c>
      <c r="G263" s="230" t="str">
        <f t="array" aca="1" ref="G263" ca="1">IF(INDEX(ExistsTx,$I263,2),IF(INDIRECT("'T"&amp;$I263&amp;"'!$D$"&amp;($J263+5),TRUE)=0,T_NoName,INDIRECT("'T"&amp;$I263&amp;"'!$D$"&amp;($J263+5),TRUE)),"")</f>
        <v/>
      </c>
      <c r="H263" s="230">
        <f t="array" aca="1" ref="H263" ca="1">IF(INDEX(ExistsTx,$I263,2),INDIRECT("'T"&amp;$I263&amp;"'!$E$"&amp;($J263+5),TRUE),0)</f>
        <v>0</v>
      </c>
      <c r="I263" s="229">
        <v>17</v>
      </c>
      <c r="J263" s="229">
        <v>5</v>
      </c>
      <c r="K263" s="230" t="str">
        <f t="array" aca="1" ref="K263" ca="1">INDEX(ListTeams,$I263,1)</f>
        <v/>
      </c>
      <c r="L263" s="230">
        <f t="array" aca="1" ref="L263" ca="1">IF(OR(NOT(INDEX(ExistsTx,$I263,2)),$H263=0),0,INDIRECT("'T"&amp;$I263&amp;"'!$M$"&amp;($J263+5),TRUE)+((1000-ROW())/10000000000000))</f>
        <v>0</v>
      </c>
      <c r="M263" s="230">
        <f t="array" aca="1" ref="M263" ca="1">IF(OR(NOT(INDEX(ExistsTx,$I263,2)),$H263=0),0,INDIRECT("'T"&amp;$I263&amp;"'!$N$"&amp;($J263+5),TRUE)+((1000-ROW())/10000000000000))</f>
        <v>0</v>
      </c>
      <c r="N263" s="230">
        <f t="array" aca="1" ref="N263" ca="1">IF(OR(NOT(INDEX(ExistsTx,$I263,2)),$H263=0),0,INDIRECT("'T"&amp;$I263&amp;"'!$O$"&amp;($J263+5),TRUE)+((1000-ROW())/10000000000000))</f>
        <v>0</v>
      </c>
      <c r="O263" s="230">
        <f t="array" aca="1" ref="O263" ca="1">IF(OR(NOT(INDEX(ExistsTx,$I263,2)),$H263=0),0,INDIRECT("'T"&amp;$I263&amp;"'!$P$"&amp;($J263+5),TRUE)+((1000-ROW())/10000000000000))</f>
        <v>0</v>
      </c>
      <c r="P263" s="230">
        <f t="array" aca="1" ref="P263" ca="1">IF(OR(NOT(INDEX(ExistsTx,$I263,2)),$H263=0),0,INDIRECT("'T"&amp;$I263&amp;"'!$Q$"&amp;($J263+5),TRUE)+((1000-ROW())/10000000000000))</f>
        <v>0</v>
      </c>
      <c r="Q263" s="230">
        <f t="shared" ca="1" si="58"/>
        <v>9.4757142951900001E-7</v>
      </c>
      <c r="R263" s="230"/>
      <c r="S263" s="230"/>
      <c r="T263" s="230"/>
      <c r="U263" s="230"/>
      <c r="V263" s="230"/>
      <c r="W263" s="230"/>
      <c r="X263" s="229"/>
      <c r="Y263" s="229"/>
      <c r="Z263" s="229"/>
      <c r="AA263" s="230"/>
      <c r="AB263" s="230"/>
      <c r="AC263" s="230"/>
      <c r="AD263" s="229"/>
      <c r="AE263" s="230"/>
    </row>
    <row r="264" spans="1:31" ht="12.75" customHeight="1">
      <c r="A264" s="229" t="str">
        <f t="shared" ca="1" si="52"/>
        <v/>
      </c>
      <c r="B264" s="229" t="str">
        <f t="shared" ca="1" si="53"/>
        <v/>
      </c>
      <c r="C264" s="229" t="str">
        <f t="shared" ca="1" si="54"/>
        <v/>
      </c>
      <c r="D264" s="229" t="str">
        <f t="shared" ca="1" si="55"/>
        <v/>
      </c>
      <c r="E264" s="229" t="str">
        <f t="shared" ca="1" si="56"/>
        <v/>
      </c>
      <c r="F264" s="229" t="str">
        <f t="shared" ca="1" si="57"/>
        <v/>
      </c>
      <c r="G264" s="230" t="str">
        <f t="array" aca="1" ref="G264" ca="1">IF(INDEX(ExistsTx,$I264,2),IF(INDIRECT("'T"&amp;$I264&amp;"'!$D$"&amp;($J264+5),TRUE)=0,T_NoName,INDIRECT("'T"&amp;$I264&amp;"'!$D$"&amp;($J264+5),TRUE)),"")</f>
        <v/>
      </c>
      <c r="H264" s="230">
        <f t="array" aca="1" ref="H264" ca="1">IF(INDEX(ExistsTx,$I264,2),INDIRECT("'T"&amp;$I264&amp;"'!$E$"&amp;($J264+5),TRUE),0)</f>
        <v>0</v>
      </c>
      <c r="I264" s="229">
        <v>17</v>
      </c>
      <c r="J264" s="229">
        <v>6</v>
      </c>
      <c r="K264" s="230" t="str">
        <f t="array" aca="1" ref="K264" ca="1">INDEX(ListTeams,$I264,1)</f>
        <v/>
      </c>
      <c r="L264" s="230">
        <f t="array" aca="1" ref="L264" ca="1">IF(OR(NOT(INDEX(ExistsTx,$I264,2)),$H264=0),0,INDIRECT("'T"&amp;$I264&amp;"'!$M$"&amp;($J264+5),TRUE)+((1000-ROW())/10000000000000))</f>
        <v>0</v>
      </c>
      <c r="M264" s="230">
        <f t="array" aca="1" ref="M264" ca="1">IF(OR(NOT(INDEX(ExistsTx,$I264,2)),$H264=0),0,INDIRECT("'T"&amp;$I264&amp;"'!$N$"&amp;($J264+5),TRUE)+((1000-ROW())/10000000000000))</f>
        <v>0</v>
      </c>
      <c r="N264" s="230">
        <f t="array" aca="1" ref="N264" ca="1">IF(OR(NOT(INDEX(ExistsTx,$I264,2)),$H264=0),0,INDIRECT("'T"&amp;$I264&amp;"'!$O$"&amp;($J264+5),TRUE)+((1000-ROW())/10000000000000))</f>
        <v>0</v>
      </c>
      <c r="O264" s="230">
        <f t="array" aca="1" ref="O264" ca="1">IF(OR(NOT(INDEX(ExistsTx,$I264,2)),$H264=0),0,INDIRECT("'T"&amp;$I264&amp;"'!$P$"&amp;($J264+5),TRUE)+((1000-ROW())/10000000000000))</f>
        <v>0</v>
      </c>
      <c r="P264" s="230">
        <f t="array" aca="1" ref="P264" ca="1">IF(OR(NOT(INDEX(ExistsTx,$I264,2)),$H264=0),0,INDIRECT("'T"&amp;$I264&amp;"'!$Q$"&amp;($J264+5),TRUE)+((1000-ROW())/10000000000000))</f>
        <v>0</v>
      </c>
      <c r="Q264" s="230">
        <f t="shared" ca="1" si="58"/>
        <v>9.46285715232E-7</v>
      </c>
      <c r="R264" s="230"/>
      <c r="S264" s="230"/>
      <c r="T264" s="230"/>
      <c r="U264" s="230"/>
      <c r="V264" s="230"/>
      <c r="W264" s="230"/>
      <c r="X264" s="229"/>
      <c r="Y264" s="229"/>
      <c r="Z264" s="229"/>
      <c r="AA264" s="230"/>
      <c r="AB264" s="230"/>
      <c r="AC264" s="230"/>
      <c r="AD264" s="229"/>
      <c r="AE264" s="230"/>
    </row>
    <row r="265" spans="1:31" ht="12.75" customHeight="1">
      <c r="A265" s="229" t="str">
        <f t="shared" ca="1" si="52"/>
        <v/>
      </c>
      <c r="B265" s="229" t="str">
        <f t="shared" ca="1" si="53"/>
        <v/>
      </c>
      <c r="C265" s="229" t="str">
        <f t="shared" ca="1" si="54"/>
        <v/>
      </c>
      <c r="D265" s="229" t="str">
        <f t="shared" ca="1" si="55"/>
        <v/>
      </c>
      <c r="E265" s="229" t="str">
        <f t="shared" ca="1" si="56"/>
        <v/>
      </c>
      <c r="F265" s="229" t="str">
        <f t="shared" ca="1" si="57"/>
        <v/>
      </c>
      <c r="G265" s="230" t="str">
        <f t="array" aca="1" ref="G265" ca="1">IF(INDEX(ExistsTx,$I265,2),IF(INDIRECT("'T"&amp;$I265&amp;"'!$D$"&amp;($J265+5),TRUE)=0,T_NoName,INDIRECT("'T"&amp;$I265&amp;"'!$D$"&amp;($J265+5),TRUE)),"")</f>
        <v/>
      </c>
      <c r="H265" s="230">
        <f t="array" aca="1" ref="H265" ca="1">IF(INDEX(ExistsTx,$I265,2),INDIRECT("'T"&amp;$I265&amp;"'!$E$"&amp;($J265+5),TRUE),0)</f>
        <v>0</v>
      </c>
      <c r="I265" s="229">
        <v>17</v>
      </c>
      <c r="J265" s="229">
        <v>7</v>
      </c>
      <c r="K265" s="230" t="str">
        <f t="array" aca="1" ref="K265" ca="1">INDEX(ListTeams,$I265,1)</f>
        <v/>
      </c>
      <c r="L265" s="230">
        <f t="array" aca="1" ref="L265" ca="1">IF(OR(NOT(INDEX(ExistsTx,$I265,2)),$H265=0),0,INDIRECT("'T"&amp;$I265&amp;"'!$M$"&amp;($J265+5),TRUE)+((1000-ROW())/10000000000000))</f>
        <v>0</v>
      </c>
      <c r="M265" s="230">
        <f t="array" aca="1" ref="M265" ca="1">IF(OR(NOT(INDEX(ExistsTx,$I265,2)),$H265=0),0,INDIRECT("'T"&amp;$I265&amp;"'!$N$"&amp;($J265+5),TRUE)+((1000-ROW())/10000000000000))</f>
        <v>0</v>
      </c>
      <c r="N265" s="230">
        <f t="array" aca="1" ref="N265" ca="1">IF(OR(NOT(INDEX(ExistsTx,$I265,2)),$H265=0),0,INDIRECT("'T"&amp;$I265&amp;"'!$O$"&amp;($J265+5),TRUE)+((1000-ROW())/10000000000000))</f>
        <v>0</v>
      </c>
      <c r="O265" s="230">
        <f t="array" aca="1" ref="O265" ca="1">IF(OR(NOT(INDEX(ExistsTx,$I265,2)),$H265=0),0,INDIRECT("'T"&amp;$I265&amp;"'!$P$"&amp;($J265+5),TRUE)+((1000-ROW())/10000000000000))</f>
        <v>0</v>
      </c>
      <c r="P265" s="230">
        <f t="array" aca="1" ref="P265" ca="1">IF(OR(NOT(INDEX(ExistsTx,$I265,2)),$H265=0),0,INDIRECT("'T"&amp;$I265&amp;"'!$Q$"&amp;($J265+5),TRUE)+((1000-ROW())/10000000000000))</f>
        <v>0</v>
      </c>
      <c r="Q265" s="230">
        <f t="shared" ca="1" si="58"/>
        <v>9.4500000094499999E-7</v>
      </c>
      <c r="R265" s="230"/>
      <c r="S265" s="230"/>
      <c r="T265" s="230"/>
      <c r="U265" s="230"/>
      <c r="V265" s="230"/>
      <c r="W265" s="230"/>
      <c r="X265" s="229"/>
      <c r="Y265" s="229"/>
      <c r="Z265" s="229"/>
      <c r="AA265" s="230"/>
      <c r="AB265" s="230"/>
      <c r="AC265" s="230"/>
      <c r="AD265" s="229"/>
      <c r="AE265" s="230"/>
    </row>
    <row r="266" spans="1:31" ht="12.75" customHeight="1">
      <c r="A266" s="229" t="str">
        <f t="shared" ca="1" si="52"/>
        <v/>
      </c>
      <c r="B266" s="229" t="str">
        <f t="shared" ca="1" si="53"/>
        <v/>
      </c>
      <c r="C266" s="229" t="str">
        <f t="shared" ca="1" si="54"/>
        <v/>
      </c>
      <c r="D266" s="229" t="str">
        <f t="shared" ca="1" si="55"/>
        <v/>
      </c>
      <c r="E266" s="229" t="str">
        <f t="shared" ca="1" si="56"/>
        <v/>
      </c>
      <c r="F266" s="229" t="str">
        <f t="shared" ca="1" si="57"/>
        <v/>
      </c>
      <c r="G266" s="230" t="str">
        <f t="array" aca="1" ref="G266" ca="1">IF(INDEX(ExistsTx,$I266,2),IF(INDIRECT("'T"&amp;$I266&amp;"'!$D$"&amp;($J266+5),TRUE)=0,T_NoName,INDIRECT("'T"&amp;$I266&amp;"'!$D$"&amp;($J266+5),TRUE)),"")</f>
        <v/>
      </c>
      <c r="H266" s="230">
        <f t="array" aca="1" ref="H266" ca="1">IF(INDEX(ExistsTx,$I266,2),INDIRECT("'T"&amp;$I266&amp;"'!$E$"&amp;($J266+5),TRUE),0)</f>
        <v>0</v>
      </c>
      <c r="I266" s="229">
        <v>17</v>
      </c>
      <c r="J266" s="229">
        <v>8</v>
      </c>
      <c r="K266" s="230" t="str">
        <f t="array" aca="1" ref="K266" ca="1">INDEX(ListTeams,$I266,1)</f>
        <v/>
      </c>
      <c r="L266" s="230">
        <f t="array" aca="1" ref="L266" ca="1">IF(OR(NOT(INDEX(ExistsTx,$I266,2)),$H266=0),0,INDIRECT("'T"&amp;$I266&amp;"'!$M$"&amp;($J266+5),TRUE)+((1000-ROW())/10000000000000))</f>
        <v>0</v>
      </c>
      <c r="M266" s="230">
        <f t="array" aca="1" ref="M266" ca="1">IF(OR(NOT(INDEX(ExistsTx,$I266,2)),$H266=0),0,INDIRECT("'T"&amp;$I266&amp;"'!$N$"&amp;($J266+5),TRUE)+((1000-ROW())/10000000000000))</f>
        <v>0</v>
      </c>
      <c r="N266" s="230">
        <f t="array" aca="1" ref="N266" ca="1">IF(OR(NOT(INDEX(ExistsTx,$I266,2)),$H266=0),0,INDIRECT("'T"&amp;$I266&amp;"'!$O$"&amp;($J266+5),TRUE)+((1000-ROW())/10000000000000))</f>
        <v>0</v>
      </c>
      <c r="O266" s="230">
        <f t="array" aca="1" ref="O266" ca="1">IF(OR(NOT(INDEX(ExistsTx,$I266,2)),$H266=0),0,INDIRECT("'T"&amp;$I266&amp;"'!$P$"&amp;($J266+5),TRUE)+((1000-ROW())/10000000000000))</f>
        <v>0</v>
      </c>
      <c r="P266" s="230">
        <f t="array" aca="1" ref="P266" ca="1">IF(OR(NOT(INDEX(ExistsTx,$I266,2)),$H266=0),0,INDIRECT("'T"&amp;$I266&amp;"'!$Q$"&amp;($J266+5),TRUE)+((1000-ROW())/10000000000000))</f>
        <v>0</v>
      </c>
      <c r="Q266" s="230">
        <f t="shared" ca="1" si="58"/>
        <v>9.4371428665799998E-7</v>
      </c>
      <c r="R266" s="230"/>
      <c r="S266" s="230"/>
      <c r="T266" s="230"/>
      <c r="U266" s="230"/>
      <c r="V266" s="230"/>
      <c r="W266" s="230"/>
      <c r="X266" s="229"/>
      <c r="Y266" s="229"/>
      <c r="Z266" s="229"/>
      <c r="AA266" s="230"/>
      <c r="AB266" s="230"/>
      <c r="AC266" s="230"/>
      <c r="AD266" s="229"/>
      <c r="AE266" s="230"/>
    </row>
    <row r="267" spans="1:31" ht="12.75" customHeight="1">
      <c r="A267" s="229" t="str">
        <f t="shared" ca="1" si="52"/>
        <v/>
      </c>
      <c r="B267" s="229" t="str">
        <f t="shared" ca="1" si="53"/>
        <v/>
      </c>
      <c r="C267" s="229" t="str">
        <f t="shared" ca="1" si="54"/>
        <v/>
      </c>
      <c r="D267" s="229" t="str">
        <f t="shared" ca="1" si="55"/>
        <v/>
      </c>
      <c r="E267" s="229" t="str">
        <f t="shared" ca="1" si="56"/>
        <v/>
      </c>
      <c r="F267" s="229" t="str">
        <f t="shared" ca="1" si="57"/>
        <v/>
      </c>
      <c r="G267" s="230" t="str">
        <f t="array" aca="1" ref="G267" ca="1">IF(INDEX(ExistsTx,$I267,2),IF(INDIRECT("'T"&amp;$I267&amp;"'!$D$"&amp;($J267+5),TRUE)=0,T_NoName,INDIRECT("'T"&amp;$I267&amp;"'!$D$"&amp;($J267+5),TRUE)),"")</f>
        <v/>
      </c>
      <c r="H267" s="230">
        <f t="array" aca="1" ref="H267" ca="1">IF(INDEX(ExistsTx,$I267,2),INDIRECT("'T"&amp;$I267&amp;"'!$E$"&amp;($J267+5),TRUE),0)</f>
        <v>0</v>
      </c>
      <c r="I267" s="229">
        <v>17</v>
      </c>
      <c r="J267" s="229">
        <v>9</v>
      </c>
      <c r="K267" s="230" t="str">
        <f t="array" aca="1" ref="K267" ca="1">INDEX(ListTeams,$I267,1)</f>
        <v/>
      </c>
      <c r="L267" s="230">
        <f t="array" aca="1" ref="L267" ca="1">IF(OR(NOT(INDEX(ExistsTx,$I267,2)),$H267=0),0,INDIRECT("'T"&amp;$I267&amp;"'!$M$"&amp;($J267+5),TRUE)+((1000-ROW())/10000000000000))</f>
        <v>0</v>
      </c>
      <c r="M267" s="230">
        <f t="array" aca="1" ref="M267" ca="1">IF(OR(NOT(INDEX(ExistsTx,$I267,2)),$H267=0),0,INDIRECT("'T"&amp;$I267&amp;"'!$N$"&amp;($J267+5),TRUE)+((1000-ROW())/10000000000000))</f>
        <v>0</v>
      </c>
      <c r="N267" s="230">
        <f t="array" aca="1" ref="N267" ca="1">IF(OR(NOT(INDEX(ExistsTx,$I267,2)),$H267=0),0,INDIRECT("'T"&amp;$I267&amp;"'!$O$"&amp;($J267+5),TRUE)+((1000-ROW())/10000000000000))</f>
        <v>0</v>
      </c>
      <c r="O267" s="230">
        <f t="array" aca="1" ref="O267" ca="1">IF(OR(NOT(INDEX(ExistsTx,$I267,2)),$H267=0),0,INDIRECT("'T"&amp;$I267&amp;"'!$P$"&amp;($J267+5),TRUE)+((1000-ROW())/10000000000000))</f>
        <v>0</v>
      </c>
      <c r="P267" s="230">
        <f t="array" aca="1" ref="P267" ca="1">IF(OR(NOT(INDEX(ExistsTx,$I267,2)),$H267=0),0,INDIRECT("'T"&amp;$I267&amp;"'!$Q$"&amp;($J267+5),TRUE)+((1000-ROW())/10000000000000))</f>
        <v>0</v>
      </c>
      <c r="Q267" s="230">
        <f t="shared" ca="1" si="58"/>
        <v>9.4242857237099996E-7</v>
      </c>
      <c r="R267" s="230"/>
      <c r="S267" s="230"/>
      <c r="T267" s="230"/>
      <c r="U267" s="230"/>
      <c r="V267" s="230"/>
      <c r="W267" s="230"/>
      <c r="X267" s="229"/>
      <c r="Y267" s="229"/>
      <c r="Z267" s="229"/>
      <c r="AA267" s="230"/>
      <c r="AB267" s="230"/>
      <c r="AC267" s="230"/>
      <c r="AD267" s="229"/>
      <c r="AE267" s="230"/>
    </row>
    <row r="268" spans="1:31" ht="12.75" customHeight="1">
      <c r="A268" s="229" t="str">
        <f t="shared" ca="1" si="52"/>
        <v/>
      </c>
      <c r="B268" s="229" t="str">
        <f t="shared" ca="1" si="53"/>
        <v/>
      </c>
      <c r="C268" s="229" t="str">
        <f t="shared" ca="1" si="54"/>
        <v/>
      </c>
      <c r="D268" s="229" t="str">
        <f t="shared" ca="1" si="55"/>
        <v/>
      </c>
      <c r="E268" s="229" t="str">
        <f t="shared" ca="1" si="56"/>
        <v/>
      </c>
      <c r="F268" s="229" t="str">
        <f t="shared" ca="1" si="57"/>
        <v/>
      </c>
      <c r="G268" s="230" t="str">
        <f t="array" aca="1" ref="G268" ca="1">IF(INDEX(ExistsTx,$I268,2),IF(INDIRECT("'T"&amp;$I268&amp;"'!$D$"&amp;($J268+5),TRUE)=0,T_NoName,INDIRECT("'T"&amp;$I268&amp;"'!$D$"&amp;($J268+5),TRUE)),"")</f>
        <v/>
      </c>
      <c r="H268" s="230">
        <f t="array" aca="1" ref="H268" ca="1">IF(INDEX(ExistsTx,$I268,2),INDIRECT("'T"&amp;$I268&amp;"'!$E$"&amp;($J268+5),TRUE),0)</f>
        <v>0</v>
      </c>
      <c r="I268" s="229">
        <v>17</v>
      </c>
      <c r="J268" s="229">
        <v>10</v>
      </c>
      <c r="K268" s="230" t="str">
        <f t="array" aca="1" ref="K268" ca="1">INDEX(ListTeams,$I268,1)</f>
        <v/>
      </c>
      <c r="L268" s="230">
        <f t="array" aca="1" ref="L268" ca="1">IF(OR(NOT(INDEX(ExistsTx,$I268,2)),$H268=0),0,INDIRECT("'T"&amp;$I268&amp;"'!$M$"&amp;($J268+5),TRUE)+((1000-ROW())/10000000000000))</f>
        <v>0</v>
      </c>
      <c r="M268" s="230">
        <f t="array" aca="1" ref="M268" ca="1">IF(OR(NOT(INDEX(ExistsTx,$I268,2)),$H268=0),0,INDIRECT("'T"&amp;$I268&amp;"'!$N$"&amp;($J268+5),TRUE)+((1000-ROW())/10000000000000))</f>
        <v>0</v>
      </c>
      <c r="N268" s="230">
        <f t="array" aca="1" ref="N268" ca="1">IF(OR(NOT(INDEX(ExistsTx,$I268,2)),$H268=0),0,INDIRECT("'T"&amp;$I268&amp;"'!$O$"&amp;($J268+5),TRUE)+((1000-ROW())/10000000000000))</f>
        <v>0</v>
      </c>
      <c r="O268" s="230">
        <f t="array" aca="1" ref="O268" ca="1">IF(OR(NOT(INDEX(ExistsTx,$I268,2)),$H268=0),0,INDIRECT("'T"&amp;$I268&amp;"'!$P$"&amp;($J268+5),TRUE)+((1000-ROW())/10000000000000))</f>
        <v>0</v>
      </c>
      <c r="P268" s="230">
        <f t="array" aca="1" ref="P268" ca="1">IF(OR(NOT(INDEX(ExistsTx,$I268,2)),$H268=0),0,INDIRECT("'T"&amp;$I268&amp;"'!$Q$"&amp;($J268+5),TRUE)+((1000-ROW())/10000000000000))</f>
        <v>0</v>
      </c>
      <c r="Q268" s="230">
        <f t="shared" ca="1" si="58"/>
        <v>9.4114285808399995E-7</v>
      </c>
      <c r="R268" s="230"/>
      <c r="S268" s="230"/>
      <c r="T268" s="230"/>
      <c r="U268" s="230"/>
      <c r="V268" s="230"/>
      <c r="W268" s="230"/>
      <c r="X268" s="229"/>
      <c r="Y268" s="229"/>
      <c r="Z268" s="229"/>
      <c r="AA268" s="230"/>
      <c r="AB268" s="230"/>
      <c r="AC268" s="230"/>
      <c r="AD268" s="229"/>
      <c r="AE268" s="230"/>
    </row>
    <row r="269" spans="1:31" ht="12.75" customHeight="1">
      <c r="A269" s="229" t="str">
        <f t="shared" ca="1" si="52"/>
        <v/>
      </c>
      <c r="B269" s="229" t="str">
        <f t="shared" ca="1" si="53"/>
        <v/>
      </c>
      <c r="C269" s="229" t="str">
        <f t="shared" ca="1" si="54"/>
        <v/>
      </c>
      <c r="D269" s="229" t="str">
        <f t="shared" ca="1" si="55"/>
        <v/>
      </c>
      <c r="E269" s="229" t="str">
        <f t="shared" ca="1" si="56"/>
        <v/>
      </c>
      <c r="F269" s="229" t="str">
        <f t="shared" ca="1" si="57"/>
        <v/>
      </c>
      <c r="G269" s="230" t="str">
        <f t="array" aca="1" ref="G269" ca="1">IF(INDEX(ExistsTx,$I269,2),IF(INDIRECT("'T"&amp;$I269&amp;"'!$D$"&amp;($J269+5),TRUE)=0,T_NoName,INDIRECT("'T"&amp;$I269&amp;"'!$D$"&amp;($J269+5),TRUE)),"")</f>
        <v/>
      </c>
      <c r="H269" s="230">
        <f t="array" aca="1" ref="H269" ca="1">IF(INDEX(ExistsTx,$I269,2),INDIRECT("'T"&amp;$I269&amp;"'!$E$"&amp;($J269+5),TRUE),0)</f>
        <v>0</v>
      </c>
      <c r="I269" s="229">
        <v>17</v>
      </c>
      <c r="J269" s="229">
        <v>11</v>
      </c>
      <c r="K269" s="230" t="str">
        <f t="array" aca="1" ref="K269" ca="1">INDEX(ListTeams,$I269,1)</f>
        <v/>
      </c>
      <c r="L269" s="230">
        <f t="array" aca="1" ref="L269" ca="1">IF(OR(NOT(INDEX(ExistsTx,$I269,2)),$H269=0),0,INDIRECT("'T"&amp;$I269&amp;"'!$M$"&amp;($J269+5),TRUE)+((1000-ROW())/10000000000000))</f>
        <v>0</v>
      </c>
      <c r="M269" s="230">
        <f t="array" aca="1" ref="M269" ca="1">IF(OR(NOT(INDEX(ExistsTx,$I269,2)),$H269=0),0,INDIRECT("'T"&amp;$I269&amp;"'!$N$"&amp;($J269+5),TRUE)+((1000-ROW())/10000000000000))</f>
        <v>0</v>
      </c>
      <c r="N269" s="230">
        <f t="array" aca="1" ref="N269" ca="1">IF(OR(NOT(INDEX(ExistsTx,$I269,2)),$H269=0),0,INDIRECT("'T"&amp;$I269&amp;"'!$O$"&amp;($J269+5),TRUE)+((1000-ROW())/10000000000000))</f>
        <v>0</v>
      </c>
      <c r="O269" s="230">
        <f t="array" aca="1" ref="O269" ca="1">IF(OR(NOT(INDEX(ExistsTx,$I269,2)),$H269=0),0,INDIRECT("'T"&amp;$I269&amp;"'!$P$"&amp;($J269+5),TRUE)+((1000-ROW())/10000000000000))</f>
        <v>0</v>
      </c>
      <c r="P269" s="230">
        <f t="array" aca="1" ref="P269" ca="1">IF(OR(NOT(INDEX(ExistsTx,$I269,2)),$H269=0),0,INDIRECT("'T"&amp;$I269&amp;"'!$Q$"&amp;($J269+5),TRUE)+((1000-ROW())/10000000000000))</f>
        <v>0</v>
      </c>
      <c r="Q269" s="230">
        <f t="shared" ca="1" si="58"/>
        <v>9.3985714379700005E-7</v>
      </c>
      <c r="R269" s="230"/>
      <c r="S269" s="230"/>
      <c r="T269" s="230"/>
      <c r="U269" s="230"/>
      <c r="V269" s="230"/>
      <c r="W269" s="230"/>
      <c r="X269" s="229"/>
      <c r="Y269" s="229"/>
      <c r="Z269" s="229"/>
      <c r="AA269" s="230"/>
      <c r="AB269" s="230"/>
      <c r="AC269" s="230"/>
      <c r="AD269" s="229"/>
      <c r="AE269" s="230"/>
    </row>
    <row r="270" spans="1:31" ht="12.75" customHeight="1">
      <c r="A270" s="229" t="str">
        <f t="shared" ca="1" si="52"/>
        <v/>
      </c>
      <c r="B270" s="229" t="str">
        <f t="shared" ca="1" si="53"/>
        <v/>
      </c>
      <c r="C270" s="229" t="str">
        <f t="shared" ca="1" si="54"/>
        <v/>
      </c>
      <c r="D270" s="229" t="str">
        <f t="shared" ca="1" si="55"/>
        <v/>
      </c>
      <c r="E270" s="229" t="str">
        <f t="shared" ca="1" si="56"/>
        <v/>
      </c>
      <c r="F270" s="229" t="str">
        <f t="shared" ca="1" si="57"/>
        <v/>
      </c>
      <c r="G270" s="230" t="str">
        <f t="array" aca="1" ref="G270" ca="1">IF(INDEX(ExistsTx,$I270,2),IF(INDIRECT("'T"&amp;$I270&amp;"'!$D$"&amp;($J270+5),TRUE)=0,T_NoName,INDIRECT("'T"&amp;$I270&amp;"'!$D$"&amp;($J270+5),TRUE)),"")</f>
        <v/>
      </c>
      <c r="H270" s="230">
        <f t="array" aca="1" ref="H270" ca="1">IF(INDEX(ExistsTx,$I270,2),INDIRECT("'T"&amp;$I270&amp;"'!$E$"&amp;($J270+5),TRUE),0)</f>
        <v>0</v>
      </c>
      <c r="I270" s="229">
        <v>17</v>
      </c>
      <c r="J270" s="229">
        <v>12</v>
      </c>
      <c r="K270" s="230" t="str">
        <f t="array" aca="1" ref="K270" ca="1">INDEX(ListTeams,$I270,1)</f>
        <v/>
      </c>
      <c r="L270" s="230">
        <f t="array" aca="1" ref="L270" ca="1">IF(OR(NOT(INDEX(ExistsTx,$I270,2)),$H270=0),0,INDIRECT("'T"&amp;$I270&amp;"'!$M$"&amp;($J270+5),TRUE)+((1000-ROW())/10000000000000))</f>
        <v>0</v>
      </c>
      <c r="M270" s="230">
        <f t="array" aca="1" ref="M270" ca="1">IF(OR(NOT(INDEX(ExistsTx,$I270,2)),$H270=0),0,INDIRECT("'T"&amp;$I270&amp;"'!$N$"&amp;($J270+5),TRUE)+((1000-ROW())/10000000000000))</f>
        <v>0</v>
      </c>
      <c r="N270" s="230">
        <f t="array" aca="1" ref="N270" ca="1">IF(OR(NOT(INDEX(ExistsTx,$I270,2)),$H270=0),0,INDIRECT("'T"&amp;$I270&amp;"'!$O$"&amp;($J270+5),TRUE)+((1000-ROW())/10000000000000))</f>
        <v>0</v>
      </c>
      <c r="O270" s="230">
        <f t="array" aca="1" ref="O270" ca="1">IF(OR(NOT(INDEX(ExistsTx,$I270,2)),$H270=0),0,INDIRECT("'T"&amp;$I270&amp;"'!$P$"&amp;($J270+5),TRUE)+((1000-ROW())/10000000000000))</f>
        <v>0</v>
      </c>
      <c r="P270" s="230">
        <f t="array" aca="1" ref="P270" ca="1">IF(OR(NOT(INDEX(ExistsTx,$I270,2)),$H270=0),0,INDIRECT("'T"&amp;$I270&amp;"'!$Q$"&amp;($J270+5),TRUE)+((1000-ROW())/10000000000000))</f>
        <v>0</v>
      </c>
      <c r="Q270" s="230">
        <f t="shared" ca="1" si="58"/>
        <v>9.3857142951000003E-7</v>
      </c>
      <c r="R270" s="230"/>
      <c r="S270" s="230"/>
      <c r="T270" s="230"/>
      <c r="U270" s="230"/>
      <c r="V270" s="230"/>
      <c r="W270" s="230"/>
      <c r="X270" s="229"/>
      <c r="Y270" s="229"/>
      <c r="Z270" s="229"/>
      <c r="AA270" s="230"/>
      <c r="AB270" s="230"/>
      <c r="AC270" s="230"/>
      <c r="AD270" s="229"/>
      <c r="AE270" s="230"/>
    </row>
    <row r="271" spans="1:31" ht="12.75" customHeight="1">
      <c r="A271" s="229" t="str">
        <f t="shared" ca="1" si="52"/>
        <v/>
      </c>
      <c r="B271" s="229" t="str">
        <f t="shared" ca="1" si="53"/>
        <v/>
      </c>
      <c r="C271" s="229" t="str">
        <f t="shared" ca="1" si="54"/>
        <v/>
      </c>
      <c r="D271" s="229" t="str">
        <f t="shared" ca="1" si="55"/>
        <v/>
      </c>
      <c r="E271" s="229" t="str">
        <f t="shared" ca="1" si="56"/>
        <v/>
      </c>
      <c r="F271" s="229" t="str">
        <f t="shared" ca="1" si="57"/>
        <v/>
      </c>
      <c r="G271" s="230" t="str">
        <f t="array" aca="1" ref="G271" ca="1">IF(INDEX(ExistsTx,$I271,2),IF(INDIRECT("'T"&amp;$I271&amp;"'!$D$"&amp;($J271+5),TRUE)=0,T_NoName,INDIRECT("'T"&amp;$I271&amp;"'!$D$"&amp;($J271+5),TRUE)),"")</f>
        <v/>
      </c>
      <c r="H271" s="230">
        <f t="array" aca="1" ref="H271" ca="1">IF(INDEX(ExistsTx,$I271,2),INDIRECT("'T"&amp;$I271&amp;"'!$E$"&amp;($J271+5),TRUE),0)</f>
        <v>0</v>
      </c>
      <c r="I271" s="229">
        <v>17</v>
      </c>
      <c r="J271" s="229">
        <v>13</v>
      </c>
      <c r="K271" s="230" t="str">
        <f t="array" aca="1" ref="K271" ca="1">INDEX(ListTeams,$I271,1)</f>
        <v/>
      </c>
      <c r="L271" s="230">
        <f t="array" aca="1" ref="L271" ca="1">IF(OR(NOT(INDEX(ExistsTx,$I271,2)),$H271=0),0,INDIRECT("'T"&amp;$I271&amp;"'!$M$"&amp;($J271+5),TRUE)+((1000-ROW())/10000000000000))</f>
        <v>0</v>
      </c>
      <c r="M271" s="230">
        <f t="array" aca="1" ref="M271" ca="1">IF(OR(NOT(INDEX(ExistsTx,$I271,2)),$H271=0),0,INDIRECT("'T"&amp;$I271&amp;"'!$N$"&amp;($J271+5),TRUE)+((1000-ROW())/10000000000000))</f>
        <v>0</v>
      </c>
      <c r="N271" s="230">
        <f t="array" aca="1" ref="N271" ca="1">IF(OR(NOT(INDEX(ExistsTx,$I271,2)),$H271=0),0,INDIRECT("'T"&amp;$I271&amp;"'!$O$"&amp;($J271+5),TRUE)+((1000-ROW())/10000000000000))</f>
        <v>0</v>
      </c>
      <c r="O271" s="230">
        <f t="array" aca="1" ref="O271" ca="1">IF(OR(NOT(INDEX(ExistsTx,$I271,2)),$H271=0),0,INDIRECT("'T"&amp;$I271&amp;"'!$P$"&amp;($J271+5),TRUE)+((1000-ROW())/10000000000000))</f>
        <v>0</v>
      </c>
      <c r="P271" s="230">
        <f t="array" aca="1" ref="P271" ca="1">IF(OR(NOT(INDEX(ExistsTx,$I271,2)),$H271=0),0,INDIRECT("'T"&amp;$I271&amp;"'!$Q$"&amp;($J271+5),TRUE)+((1000-ROW())/10000000000000))</f>
        <v>0</v>
      </c>
      <c r="Q271" s="230">
        <f t="shared" ca="1" si="58"/>
        <v>9.3728571522300002E-7</v>
      </c>
      <c r="R271" s="230"/>
      <c r="S271" s="230"/>
      <c r="T271" s="230"/>
      <c r="U271" s="230"/>
      <c r="V271" s="230"/>
      <c r="W271" s="230"/>
      <c r="X271" s="229"/>
      <c r="Y271" s="229"/>
      <c r="Z271" s="229"/>
      <c r="AA271" s="230"/>
      <c r="AB271" s="230"/>
      <c r="AC271" s="230"/>
      <c r="AD271" s="229"/>
      <c r="AE271" s="230"/>
    </row>
    <row r="272" spans="1:31" ht="12.75" customHeight="1">
      <c r="A272" s="229" t="str">
        <f t="shared" ca="1" si="52"/>
        <v/>
      </c>
      <c r="B272" s="229" t="str">
        <f t="shared" ca="1" si="53"/>
        <v/>
      </c>
      <c r="C272" s="229" t="str">
        <f t="shared" ca="1" si="54"/>
        <v/>
      </c>
      <c r="D272" s="229" t="str">
        <f t="shared" ca="1" si="55"/>
        <v/>
      </c>
      <c r="E272" s="229" t="str">
        <f t="shared" ca="1" si="56"/>
        <v/>
      </c>
      <c r="F272" s="229" t="str">
        <f t="shared" ca="1" si="57"/>
        <v/>
      </c>
      <c r="G272" s="230" t="str">
        <f t="array" aca="1" ref="G272" ca="1">IF(INDEX(ExistsTx,$I272,2),IF(INDIRECT("'T"&amp;$I272&amp;"'!$D$"&amp;($J272+5),TRUE)=0,T_NoName,INDIRECT("'T"&amp;$I272&amp;"'!$D$"&amp;($J272+5),TRUE)),"")</f>
        <v/>
      </c>
      <c r="H272" s="230">
        <f t="array" aca="1" ref="H272" ca="1">IF(INDEX(ExistsTx,$I272,2),INDIRECT("'T"&amp;$I272&amp;"'!$E$"&amp;($J272+5),TRUE),0)</f>
        <v>0</v>
      </c>
      <c r="I272" s="229">
        <v>17</v>
      </c>
      <c r="J272" s="229">
        <v>14</v>
      </c>
      <c r="K272" s="230" t="str">
        <f t="array" aca="1" ref="K272" ca="1">INDEX(ListTeams,$I272,1)</f>
        <v/>
      </c>
      <c r="L272" s="230">
        <f t="array" aca="1" ref="L272" ca="1">IF(OR(NOT(INDEX(ExistsTx,$I272,2)),$H272=0),0,INDIRECT("'T"&amp;$I272&amp;"'!$M$"&amp;($J272+5),TRUE)+((1000-ROW())/10000000000000))</f>
        <v>0</v>
      </c>
      <c r="M272" s="230">
        <f t="array" aca="1" ref="M272" ca="1">IF(OR(NOT(INDEX(ExistsTx,$I272,2)),$H272=0),0,INDIRECT("'T"&amp;$I272&amp;"'!$N$"&amp;($J272+5),TRUE)+((1000-ROW())/10000000000000))</f>
        <v>0</v>
      </c>
      <c r="N272" s="230">
        <f t="array" aca="1" ref="N272" ca="1">IF(OR(NOT(INDEX(ExistsTx,$I272,2)),$H272=0),0,INDIRECT("'T"&amp;$I272&amp;"'!$O$"&amp;($J272+5),TRUE)+((1000-ROW())/10000000000000))</f>
        <v>0</v>
      </c>
      <c r="O272" s="230">
        <f t="array" aca="1" ref="O272" ca="1">IF(OR(NOT(INDEX(ExistsTx,$I272,2)),$H272=0),0,INDIRECT("'T"&amp;$I272&amp;"'!$P$"&amp;($J272+5),TRUE)+((1000-ROW())/10000000000000))</f>
        <v>0</v>
      </c>
      <c r="P272" s="230">
        <f t="array" aca="1" ref="P272" ca="1">IF(OR(NOT(INDEX(ExistsTx,$I272,2)),$H272=0),0,INDIRECT("'T"&amp;$I272&amp;"'!$Q$"&amp;($J272+5),TRUE)+((1000-ROW())/10000000000000))</f>
        <v>0</v>
      </c>
      <c r="Q272" s="230">
        <f t="shared" ca="1" si="58"/>
        <v>9.3600000093600001E-7</v>
      </c>
      <c r="R272" s="230"/>
      <c r="S272" s="230"/>
      <c r="T272" s="230"/>
      <c r="U272" s="230"/>
      <c r="V272" s="230"/>
      <c r="W272" s="230"/>
      <c r="X272" s="229"/>
      <c r="Y272" s="229"/>
      <c r="Z272" s="229"/>
      <c r="AA272" s="230"/>
      <c r="AB272" s="230"/>
      <c r="AC272" s="230"/>
      <c r="AD272" s="229"/>
      <c r="AE272" s="230"/>
    </row>
    <row r="273" spans="1:31" ht="12.75" customHeight="1">
      <c r="A273" s="229" t="str">
        <f t="shared" ca="1" si="52"/>
        <v/>
      </c>
      <c r="B273" s="229" t="str">
        <f t="shared" ca="1" si="53"/>
        <v/>
      </c>
      <c r="C273" s="229" t="str">
        <f t="shared" ca="1" si="54"/>
        <v/>
      </c>
      <c r="D273" s="229" t="str">
        <f t="shared" ca="1" si="55"/>
        <v/>
      </c>
      <c r="E273" s="229" t="str">
        <f t="shared" ca="1" si="56"/>
        <v/>
      </c>
      <c r="F273" s="229" t="str">
        <f t="shared" ca="1" si="57"/>
        <v/>
      </c>
      <c r="G273" s="230" t="str">
        <f t="array" aca="1" ref="G273" ca="1">IF(INDEX(ExistsTx,$I273,2),IF(INDIRECT("'T"&amp;$I273&amp;"'!$D$"&amp;($J273+5),TRUE)=0,T_NoName,INDIRECT("'T"&amp;$I273&amp;"'!$D$"&amp;($J273+5),TRUE)),"")</f>
        <v/>
      </c>
      <c r="H273" s="230">
        <f t="array" aca="1" ref="H273" ca="1">IF(INDEX(ExistsTx,$I273,2),INDIRECT("'T"&amp;$I273&amp;"'!$E$"&amp;($J273+5),TRUE),0)</f>
        <v>0</v>
      </c>
      <c r="I273" s="229">
        <v>17</v>
      </c>
      <c r="J273" s="229">
        <v>15</v>
      </c>
      <c r="K273" s="230" t="str">
        <f t="array" aca="1" ref="K273" ca="1">INDEX(ListTeams,$I273,1)</f>
        <v/>
      </c>
      <c r="L273" s="230">
        <f t="array" aca="1" ref="L273" ca="1">IF(OR(NOT(INDEX(ExistsTx,$I273,2)),$H273=0),0,INDIRECT("'T"&amp;$I273&amp;"'!$M$"&amp;($J273+5),TRUE)+((1000-ROW())/10000000000000))</f>
        <v>0</v>
      </c>
      <c r="M273" s="230">
        <f t="array" aca="1" ref="M273" ca="1">IF(OR(NOT(INDEX(ExistsTx,$I273,2)),$H273=0),0,INDIRECT("'T"&amp;$I273&amp;"'!$N$"&amp;($J273+5),TRUE)+((1000-ROW())/10000000000000))</f>
        <v>0</v>
      </c>
      <c r="N273" s="230">
        <f t="array" aca="1" ref="N273" ca="1">IF(OR(NOT(INDEX(ExistsTx,$I273,2)),$H273=0),0,INDIRECT("'T"&amp;$I273&amp;"'!$O$"&amp;($J273+5),TRUE)+((1000-ROW())/10000000000000))</f>
        <v>0</v>
      </c>
      <c r="O273" s="230">
        <f t="array" aca="1" ref="O273" ca="1">IF(OR(NOT(INDEX(ExistsTx,$I273,2)),$H273=0),0,INDIRECT("'T"&amp;$I273&amp;"'!$P$"&amp;($J273+5),TRUE)+((1000-ROW())/10000000000000))</f>
        <v>0</v>
      </c>
      <c r="P273" s="230">
        <f t="array" aca="1" ref="P273" ca="1">IF(OR(NOT(INDEX(ExistsTx,$I273,2)),$H273=0),0,INDIRECT("'T"&amp;$I273&amp;"'!$Q$"&amp;($J273+5),TRUE)+((1000-ROW())/10000000000000))</f>
        <v>0</v>
      </c>
      <c r="Q273" s="230">
        <f t="shared" ca="1" si="58"/>
        <v>9.34714286649E-7</v>
      </c>
      <c r="R273" s="230"/>
      <c r="S273" s="230"/>
      <c r="T273" s="230"/>
      <c r="U273" s="230"/>
      <c r="V273" s="230"/>
      <c r="W273" s="230"/>
      <c r="X273" s="229"/>
      <c r="Y273" s="229"/>
      <c r="Z273" s="229"/>
      <c r="AA273" s="230"/>
      <c r="AB273" s="230"/>
      <c r="AC273" s="230"/>
      <c r="AD273" s="229"/>
      <c r="AE273" s="230"/>
    </row>
    <row r="274" spans="1:31" ht="12.75" customHeight="1">
      <c r="A274" s="229" t="str">
        <f t="shared" ca="1" si="52"/>
        <v/>
      </c>
      <c r="B274" s="229" t="str">
        <f t="shared" ca="1" si="53"/>
        <v/>
      </c>
      <c r="C274" s="229" t="str">
        <f t="shared" ca="1" si="54"/>
        <v/>
      </c>
      <c r="D274" s="229" t="str">
        <f t="shared" ca="1" si="55"/>
        <v/>
      </c>
      <c r="E274" s="229" t="str">
        <f t="shared" ca="1" si="56"/>
        <v/>
      </c>
      <c r="F274" s="229" t="str">
        <f t="shared" ca="1" si="57"/>
        <v/>
      </c>
      <c r="G274" s="230" t="str">
        <f t="array" aca="1" ref="G274" ca="1">IF(INDEX(ExistsTx,$I274,2),IF(INDIRECT("'T"&amp;$I274&amp;"'!$D$"&amp;($J274+5),TRUE)=0,T_NoName,INDIRECT("'T"&amp;$I274&amp;"'!$D$"&amp;($J274+5),TRUE)),"")</f>
        <v/>
      </c>
      <c r="H274" s="230">
        <f t="array" aca="1" ref="H274" ca="1">IF(INDEX(ExistsTx,$I274,2),INDIRECT("'T"&amp;$I274&amp;"'!$E$"&amp;($J274+5),TRUE),0)</f>
        <v>0</v>
      </c>
      <c r="I274" s="229">
        <v>17</v>
      </c>
      <c r="J274" s="229">
        <v>16</v>
      </c>
      <c r="K274" s="230" t="str">
        <f t="array" aca="1" ref="K274" ca="1">INDEX(ListTeams,$I274,1)</f>
        <v/>
      </c>
      <c r="L274" s="230">
        <f t="array" aca="1" ref="L274" ca="1">IF(OR(NOT(INDEX(ExistsTx,$I274,2)),$H274=0),0,INDIRECT("'T"&amp;$I274&amp;"'!$M$"&amp;($J274+5),TRUE)+((1000-ROW())/10000000000000))</f>
        <v>0</v>
      </c>
      <c r="M274" s="230">
        <f t="array" aca="1" ref="M274" ca="1">IF(OR(NOT(INDEX(ExistsTx,$I274,2)),$H274=0),0,INDIRECT("'T"&amp;$I274&amp;"'!$N$"&amp;($J274+5),TRUE)+((1000-ROW())/10000000000000))</f>
        <v>0</v>
      </c>
      <c r="N274" s="230">
        <f t="array" aca="1" ref="N274" ca="1">IF(OR(NOT(INDEX(ExistsTx,$I274,2)),$H274=0),0,INDIRECT("'T"&amp;$I274&amp;"'!$O$"&amp;($J274+5),TRUE)+((1000-ROW())/10000000000000))</f>
        <v>0</v>
      </c>
      <c r="O274" s="230">
        <f t="array" aca="1" ref="O274" ca="1">IF(OR(NOT(INDEX(ExistsTx,$I274,2)),$H274=0),0,INDIRECT("'T"&amp;$I274&amp;"'!$P$"&amp;($J274+5),TRUE)+((1000-ROW())/10000000000000))</f>
        <v>0</v>
      </c>
      <c r="P274" s="230">
        <f t="array" aca="1" ref="P274" ca="1">IF(OR(NOT(INDEX(ExistsTx,$I274,2)),$H274=0),0,INDIRECT("'T"&amp;$I274&amp;"'!$Q$"&amp;($J274+5),TRUE)+((1000-ROW())/10000000000000))</f>
        <v>0</v>
      </c>
      <c r="Q274" s="230">
        <f t="shared" ca="1" si="58"/>
        <v>9.3342857236199999E-7</v>
      </c>
      <c r="R274" s="230"/>
      <c r="S274" s="230"/>
      <c r="T274" s="230"/>
      <c r="U274" s="230"/>
      <c r="V274" s="230"/>
      <c r="W274" s="230"/>
      <c r="X274" s="229"/>
      <c r="Y274" s="229"/>
      <c r="Z274" s="229"/>
      <c r="AA274" s="230"/>
      <c r="AB274" s="230"/>
      <c r="AC274" s="230"/>
      <c r="AD274" s="229"/>
      <c r="AE274" s="230"/>
    </row>
    <row r="275" spans="1:31" ht="12.75" customHeight="1">
      <c r="A275" s="229" t="str">
        <f t="shared" ca="1" si="52"/>
        <v/>
      </c>
      <c r="B275" s="229" t="str">
        <f t="shared" ca="1" si="53"/>
        <v/>
      </c>
      <c r="C275" s="229" t="str">
        <f t="shared" ca="1" si="54"/>
        <v/>
      </c>
      <c r="D275" s="229" t="str">
        <f t="shared" ca="1" si="55"/>
        <v/>
      </c>
      <c r="E275" s="229" t="str">
        <f t="shared" ca="1" si="56"/>
        <v/>
      </c>
      <c r="F275" s="229" t="str">
        <f t="shared" ca="1" si="57"/>
        <v/>
      </c>
      <c r="G275" s="230" t="str">
        <f t="array" aca="1" ref="G275" ca="1">IF(INDEX(ExistsTx,$I275,2),IF(INDIRECT("'T"&amp;$I275&amp;"'!$D$"&amp;($J275+5),TRUE)=0,T_NoName,INDIRECT("'T"&amp;$I275&amp;"'!$D$"&amp;($J275+5),TRUE)),"")</f>
        <v/>
      </c>
      <c r="H275" s="230">
        <f t="array" aca="1" ref="H275" ca="1">IF(INDEX(ExistsTx,$I275,2),INDIRECT("'T"&amp;$I275&amp;"'!$E$"&amp;($J275+5),TRUE),0)</f>
        <v>0</v>
      </c>
      <c r="I275" s="229">
        <v>18</v>
      </c>
      <c r="J275" s="229">
        <v>1</v>
      </c>
      <c r="K275" s="230" t="str">
        <f t="array" aca="1" ref="K275" ca="1">INDEX(ListTeams,$I275,1)</f>
        <v/>
      </c>
      <c r="L275" s="230">
        <f t="array" aca="1" ref="L275" ca="1">IF(OR(NOT(INDEX(ExistsTx,$I275,2)),$H275=0),0,INDIRECT("'T"&amp;$I275&amp;"'!$M$"&amp;($J275+5),TRUE)+((1000-ROW())/10000000000000))</f>
        <v>0</v>
      </c>
      <c r="M275" s="230">
        <f t="array" aca="1" ref="M275" ca="1">IF(OR(NOT(INDEX(ExistsTx,$I275,2)),$H275=0),0,INDIRECT("'T"&amp;$I275&amp;"'!$N$"&amp;($J275+5),TRUE)+((1000-ROW())/10000000000000))</f>
        <v>0</v>
      </c>
      <c r="N275" s="230">
        <f t="array" aca="1" ref="N275" ca="1">IF(OR(NOT(INDEX(ExistsTx,$I275,2)),$H275=0),0,INDIRECT("'T"&amp;$I275&amp;"'!$O$"&amp;($J275+5),TRUE)+((1000-ROW())/10000000000000))</f>
        <v>0</v>
      </c>
      <c r="O275" s="230">
        <f t="array" aca="1" ref="O275" ca="1">IF(OR(NOT(INDEX(ExistsTx,$I275,2)),$H275=0),0,INDIRECT("'T"&amp;$I275&amp;"'!$P$"&amp;($J275+5),TRUE)+((1000-ROW())/10000000000000))</f>
        <v>0</v>
      </c>
      <c r="P275" s="230">
        <f t="array" aca="1" ref="P275" ca="1">IF(OR(NOT(INDEX(ExistsTx,$I275,2)),$H275=0),0,INDIRECT("'T"&amp;$I275&amp;"'!$Q$"&amp;($J275+5),TRUE)+((1000-ROW())/10000000000000))</f>
        <v>0</v>
      </c>
      <c r="Q275" s="230">
        <f t="shared" ca="1" si="58"/>
        <v>9.3214285807499998E-7</v>
      </c>
      <c r="R275" s="230"/>
      <c r="S275" s="230"/>
      <c r="T275" s="230"/>
      <c r="U275" s="230"/>
      <c r="V275" s="230"/>
      <c r="W275" s="230"/>
      <c r="X275" s="229"/>
      <c r="Y275" s="229"/>
      <c r="Z275" s="229"/>
      <c r="AA275" s="230"/>
      <c r="AB275" s="230"/>
      <c r="AC275" s="230"/>
      <c r="AD275" s="229"/>
      <c r="AE275" s="230"/>
    </row>
    <row r="276" spans="1:31" ht="12.75" customHeight="1">
      <c r="A276" s="229" t="str">
        <f t="shared" ca="1" si="52"/>
        <v/>
      </c>
      <c r="B276" s="229" t="str">
        <f t="shared" ca="1" si="53"/>
        <v/>
      </c>
      <c r="C276" s="229" t="str">
        <f t="shared" ca="1" si="54"/>
        <v/>
      </c>
      <c r="D276" s="229" t="str">
        <f t="shared" ca="1" si="55"/>
        <v/>
      </c>
      <c r="E276" s="229" t="str">
        <f t="shared" ca="1" si="56"/>
        <v/>
      </c>
      <c r="F276" s="229" t="str">
        <f t="shared" ca="1" si="57"/>
        <v/>
      </c>
      <c r="G276" s="230" t="str">
        <f t="array" aca="1" ref="G276" ca="1">IF(INDEX(ExistsTx,$I276,2),IF(INDIRECT("'T"&amp;$I276&amp;"'!$D$"&amp;($J276+5),TRUE)=0,T_NoName,INDIRECT("'T"&amp;$I276&amp;"'!$D$"&amp;($J276+5),TRUE)),"")</f>
        <v/>
      </c>
      <c r="H276" s="230">
        <f t="array" aca="1" ref="H276" ca="1">IF(INDEX(ExistsTx,$I276,2),INDIRECT("'T"&amp;$I276&amp;"'!$E$"&amp;($J276+5),TRUE),0)</f>
        <v>0</v>
      </c>
      <c r="I276" s="229">
        <v>18</v>
      </c>
      <c r="J276" s="229">
        <v>2</v>
      </c>
      <c r="K276" s="230" t="str">
        <f t="array" aca="1" ref="K276" ca="1">INDEX(ListTeams,$I276,1)</f>
        <v/>
      </c>
      <c r="L276" s="230">
        <f t="array" aca="1" ref="L276" ca="1">IF(OR(NOT(INDEX(ExistsTx,$I276,2)),$H276=0),0,INDIRECT("'T"&amp;$I276&amp;"'!$M$"&amp;($J276+5),TRUE)+((1000-ROW())/10000000000000))</f>
        <v>0</v>
      </c>
      <c r="M276" s="230">
        <f t="array" aca="1" ref="M276" ca="1">IF(OR(NOT(INDEX(ExistsTx,$I276,2)),$H276=0),0,INDIRECT("'T"&amp;$I276&amp;"'!$N$"&amp;($J276+5),TRUE)+((1000-ROW())/10000000000000))</f>
        <v>0</v>
      </c>
      <c r="N276" s="230">
        <f t="array" aca="1" ref="N276" ca="1">IF(OR(NOT(INDEX(ExistsTx,$I276,2)),$H276=0),0,INDIRECT("'T"&amp;$I276&amp;"'!$O$"&amp;($J276+5),TRUE)+((1000-ROW())/10000000000000))</f>
        <v>0</v>
      </c>
      <c r="O276" s="230">
        <f t="array" aca="1" ref="O276" ca="1">IF(OR(NOT(INDEX(ExistsTx,$I276,2)),$H276=0),0,INDIRECT("'T"&amp;$I276&amp;"'!$P$"&amp;($J276+5),TRUE)+((1000-ROW())/10000000000000))</f>
        <v>0</v>
      </c>
      <c r="P276" s="230">
        <f t="array" aca="1" ref="P276" ca="1">IF(OR(NOT(INDEX(ExistsTx,$I276,2)),$H276=0),0,INDIRECT("'T"&amp;$I276&amp;"'!$Q$"&amp;($J276+5),TRUE)+((1000-ROW())/10000000000000))</f>
        <v>0</v>
      </c>
      <c r="Q276" s="230">
        <f t="shared" ca="1" si="58"/>
        <v>9.3085714378799996E-7</v>
      </c>
      <c r="R276" s="230"/>
      <c r="S276" s="230"/>
      <c r="T276" s="230"/>
      <c r="U276" s="230"/>
      <c r="V276" s="230"/>
      <c r="W276" s="230"/>
      <c r="X276" s="229"/>
      <c r="Y276" s="229"/>
      <c r="Z276" s="229"/>
      <c r="AA276" s="230"/>
      <c r="AB276" s="230"/>
      <c r="AC276" s="230"/>
      <c r="AD276" s="229"/>
      <c r="AE276" s="230"/>
    </row>
    <row r="277" spans="1:31" ht="12.75" customHeight="1">
      <c r="A277" s="229" t="str">
        <f t="shared" ca="1" si="52"/>
        <v/>
      </c>
      <c r="B277" s="229" t="str">
        <f t="shared" ca="1" si="53"/>
        <v/>
      </c>
      <c r="C277" s="229" t="str">
        <f t="shared" ca="1" si="54"/>
        <v/>
      </c>
      <c r="D277" s="229" t="str">
        <f t="shared" ca="1" si="55"/>
        <v/>
      </c>
      <c r="E277" s="229" t="str">
        <f t="shared" ca="1" si="56"/>
        <v/>
      </c>
      <c r="F277" s="229" t="str">
        <f t="shared" ca="1" si="57"/>
        <v/>
      </c>
      <c r="G277" s="230" t="str">
        <f t="array" aca="1" ref="G277" ca="1">IF(INDEX(ExistsTx,$I277,2),IF(INDIRECT("'T"&amp;$I277&amp;"'!$D$"&amp;($J277+5),TRUE)=0,T_NoName,INDIRECT("'T"&amp;$I277&amp;"'!$D$"&amp;($J277+5),TRUE)),"")</f>
        <v/>
      </c>
      <c r="H277" s="230">
        <f t="array" aca="1" ref="H277" ca="1">IF(INDEX(ExistsTx,$I277,2),INDIRECT("'T"&amp;$I277&amp;"'!$E$"&amp;($J277+5),TRUE),0)</f>
        <v>0</v>
      </c>
      <c r="I277" s="229">
        <v>18</v>
      </c>
      <c r="J277" s="229">
        <v>3</v>
      </c>
      <c r="K277" s="230" t="str">
        <f t="array" aca="1" ref="K277" ca="1">INDEX(ListTeams,$I277,1)</f>
        <v/>
      </c>
      <c r="L277" s="230">
        <f t="array" aca="1" ref="L277" ca="1">IF(OR(NOT(INDEX(ExistsTx,$I277,2)),$H277=0),0,INDIRECT("'T"&amp;$I277&amp;"'!$M$"&amp;($J277+5),TRUE)+((1000-ROW())/10000000000000))</f>
        <v>0</v>
      </c>
      <c r="M277" s="230">
        <f t="array" aca="1" ref="M277" ca="1">IF(OR(NOT(INDEX(ExistsTx,$I277,2)),$H277=0),0,INDIRECT("'T"&amp;$I277&amp;"'!$N$"&amp;($J277+5),TRUE)+((1000-ROW())/10000000000000))</f>
        <v>0</v>
      </c>
      <c r="N277" s="230">
        <f t="array" aca="1" ref="N277" ca="1">IF(OR(NOT(INDEX(ExistsTx,$I277,2)),$H277=0),0,INDIRECT("'T"&amp;$I277&amp;"'!$O$"&amp;($J277+5),TRUE)+((1000-ROW())/10000000000000))</f>
        <v>0</v>
      </c>
      <c r="O277" s="230">
        <f t="array" aca="1" ref="O277" ca="1">IF(OR(NOT(INDEX(ExistsTx,$I277,2)),$H277=0),0,INDIRECT("'T"&amp;$I277&amp;"'!$P$"&amp;($J277+5),TRUE)+((1000-ROW())/10000000000000))</f>
        <v>0</v>
      </c>
      <c r="P277" s="230">
        <f t="array" aca="1" ref="P277" ca="1">IF(OR(NOT(INDEX(ExistsTx,$I277,2)),$H277=0),0,INDIRECT("'T"&amp;$I277&amp;"'!$Q$"&amp;($J277+5),TRUE)+((1000-ROW())/10000000000000))</f>
        <v>0</v>
      </c>
      <c r="Q277" s="230">
        <f t="shared" ca="1" si="58"/>
        <v>9.2957142950099995E-7</v>
      </c>
      <c r="R277" s="230"/>
      <c r="S277" s="230"/>
      <c r="T277" s="230"/>
      <c r="U277" s="230"/>
      <c r="V277" s="230"/>
      <c r="W277" s="230"/>
      <c r="X277" s="229"/>
      <c r="Y277" s="229"/>
      <c r="Z277" s="229"/>
      <c r="AA277" s="230"/>
      <c r="AB277" s="230"/>
      <c r="AC277" s="230"/>
      <c r="AD277" s="229"/>
      <c r="AE277" s="230"/>
    </row>
    <row r="278" spans="1:31" ht="12.75" customHeight="1">
      <c r="A278" s="229" t="str">
        <f t="shared" ca="1" si="52"/>
        <v/>
      </c>
      <c r="B278" s="229" t="str">
        <f t="shared" ca="1" si="53"/>
        <v/>
      </c>
      <c r="C278" s="229" t="str">
        <f t="shared" ca="1" si="54"/>
        <v/>
      </c>
      <c r="D278" s="229" t="str">
        <f t="shared" ca="1" si="55"/>
        <v/>
      </c>
      <c r="E278" s="229" t="str">
        <f t="shared" ca="1" si="56"/>
        <v/>
      </c>
      <c r="F278" s="229" t="str">
        <f t="shared" ca="1" si="57"/>
        <v/>
      </c>
      <c r="G278" s="230" t="str">
        <f t="array" aca="1" ref="G278" ca="1">IF(INDEX(ExistsTx,$I278,2),IF(INDIRECT("'T"&amp;$I278&amp;"'!$D$"&amp;($J278+5),TRUE)=0,T_NoName,INDIRECT("'T"&amp;$I278&amp;"'!$D$"&amp;($J278+5),TRUE)),"")</f>
        <v/>
      </c>
      <c r="H278" s="230">
        <f t="array" aca="1" ref="H278" ca="1">IF(INDEX(ExistsTx,$I278,2),INDIRECT("'T"&amp;$I278&amp;"'!$E$"&amp;($J278+5),TRUE),0)</f>
        <v>0</v>
      </c>
      <c r="I278" s="229">
        <v>18</v>
      </c>
      <c r="J278" s="229">
        <v>4</v>
      </c>
      <c r="K278" s="230" t="str">
        <f t="array" aca="1" ref="K278" ca="1">INDEX(ListTeams,$I278,1)</f>
        <v/>
      </c>
      <c r="L278" s="230">
        <f t="array" aca="1" ref="L278" ca="1">IF(OR(NOT(INDEX(ExistsTx,$I278,2)),$H278=0),0,INDIRECT("'T"&amp;$I278&amp;"'!$M$"&amp;($J278+5),TRUE)+((1000-ROW())/10000000000000))</f>
        <v>0</v>
      </c>
      <c r="M278" s="230">
        <f t="array" aca="1" ref="M278" ca="1">IF(OR(NOT(INDEX(ExistsTx,$I278,2)),$H278=0),0,INDIRECT("'T"&amp;$I278&amp;"'!$N$"&amp;($J278+5),TRUE)+((1000-ROW())/10000000000000))</f>
        <v>0</v>
      </c>
      <c r="N278" s="230">
        <f t="array" aca="1" ref="N278" ca="1">IF(OR(NOT(INDEX(ExistsTx,$I278,2)),$H278=0),0,INDIRECT("'T"&amp;$I278&amp;"'!$O$"&amp;($J278+5),TRUE)+((1000-ROW())/10000000000000))</f>
        <v>0</v>
      </c>
      <c r="O278" s="230">
        <f t="array" aca="1" ref="O278" ca="1">IF(OR(NOT(INDEX(ExistsTx,$I278,2)),$H278=0),0,INDIRECT("'T"&amp;$I278&amp;"'!$P$"&amp;($J278+5),TRUE)+((1000-ROW())/10000000000000))</f>
        <v>0</v>
      </c>
      <c r="P278" s="230">
        <f t="array" aca="1" ref="P278" ca="1">IF(OR(NOT(INDEX(ExistsTx,$I278,2)),$H278=0),0,INDIRECT("'T"&amp;$I278&amp;"'!$Q$"&amp;($J278+5),TRUE)+((1000-ROW())/10000000000000))</f>
        <v>0</v>
      </c>
      <c r="Q278" s="230">
        <f t="shared" ca="1" si="58"/>
        <v>9.2828571521400005E-7</v>
      </c>
      <c r="R278" s="230"/>
      <c r="S278" s="230"/>
      <c r="T278" s="230"/>
      <c r="U278" s="230"/>
      <c r="V278" s="230"/>
      <c r="W278" s="230"/>
      <c r="X278" s="229"/>
      <c r="Y278" s="229"/>
      <c r="Z278" s="229"/>
      <c r="AA278" s="230"/>
      <c r="AB278" s="230"/>
      <c r="AC278" s="230"/>
      <c r="AD278" s="229"/>
      <c r="AE278" s="230"/>
    </row>
    <row r="279" spans="1:31" ht="12.75" customHeight="1">
      <c r="A279" s="229" t="str">
        <f t="shared" ca="1" si="52"/>
        <v/>
      </c>
      <c r="B279" s="229" t="str">
        <f t="shared" ca="1" si="53"/>
        <v/>
      </c>
      <c r="C279" s="229" t="str">
        <f t="shared" ca="1" si="54"/>
        <v/>
      </c>
      <c r="D279" s="229" t="str">
        <f t="shared" ca="1" si="55"/>
        <v/>
      </c>
      <c r="E279" s="229" t="str">
        <f t="shared" ca="1" si="56"/>
        <v/>
      </c>
      <c r="F279" s="229" t="str">
        <f t="shared" ca="1" si="57"/>
        <v/>
      </c>
      <c r="G279" s="230" t="str">
        <f t="array" aca="1" ref="G279" ca="1">IF(INDEX(ExistsTx,$I279,2),IF(INDIRECT("'T"&amp;$I279&amp;"'!$D$"&amp;($J279+5),TRUE)=0,T_NoName,INDIRECT("'T"&amp;$I279&amp;"'!$D$"&amp;($J279+5),TRUE)),"")</f>
        <v/>
      </c>
      <c r="H279" s="230">
        <f t="array" aca="1" ref="H279" ca="1">IF(INDEX(ExistsTx,$I279,2),INDIRECT("'T"&amp;$I279&amp;"'!$E$"&amp;($J279+5),TRUE),0)</f>
        <v>0</v>
      </c>
      <c r="I279" s="229">
        <v>18</v>
      </c>
      <c r="J279" s="229">
        <v>5</v>
      </c>
      <c r="K279" s="230" t="str">
        <f t="array" aca="1" ref="K279" ca="1">INDEX(ListTeams,$I279,1)</f>
        <v/>
      </c>
      <c r="L279" s="230">
        <f t="array" aca="1" ref="L279" ca="1">IF(OR(NOT(INDEX(ExistsTx,$I279,2)),$H279=0),0,INDIRECT("'T"&amp;$I279&amp;"'!$M$"&amp;($J279+5),TRUE)+((1000-ROW())/10000000000000))</f>
        <v>0</v>
      </c>
      <c r="M279" s="230">
        <f t="array" aca="1" ref="M279" ca="1">IF(OR(NOT(INDEX(ExistsTx,$I279,2)),$H279=0),0,INDIRECT("'T"&amp;$I279&amp;"'!$N$"&amp;($J279+5),TRUE)+((1000-ROW())/10000000000000))</f>
        <v>0</v>
      </c>
      <c r="N279" s="230">
        <f t="array" aca="1" ref="N279" ca="1">IF(OR(NOT(INDEX(ExistsTx,$I279,2)),$H279=0),0,INDIRECT("'T"&amp;$I279&amp;"'!$O$"&amp;($J279+5),TRUE)+((1000-ROW())/10000000000000))</f>
        <v>0</v>
      </c>
      <c r="O279" s="230">
        <f t="array" aca="1" ref="O279" ca="1">IF(OR(NOT(INDEX(ExistsTx,$I279,2)),$H279=0),0,INDIRECT("'T"&amp;$I279&amp;"'!$P$"&amp;($J279+5),TRUE)+((1000-ROW())/10000000000000))</f>
        <v>0</v>
      </c>
      <c r="P279" s="230">
        <f t="array" aca="1" ref="P279" ca="1">IF(OR(NOT(INDEX(ExistsTx,$I279,2)),$H279=0),0,INDIRECT("'T"&amp;$I279&amp;"'!$Q$"&amp;($J279+5),TRUE)+((1000-ROW())/10000000000000))</f>
        <v>0</v>
      </c>
      <c r="Q279" s="230">
        <f t="shared" ca="1" si="58"/>
        <v>9.2700000092700003E-7</v>
      </c>
      <c r="R279" s="230"/>
      <c r="S279" s="230"/>
      <c r="T279" s="230"/>
      <c r="U279" s="230"/>
      <c r="V279" s="230"/>
      <c r="W279" s="230"/>
      <c r="X279" s="229"/>
      <c r="Y279" s="229"/>
      <c r="Z279" s="229"/>
      <c r="AA279" s="230"/>
      <c r="AB279" s="230"/>
      <c r="AC279" s="230"/>
      <c r="AD279" s="229"/>
      <c r="AE279" s="230"/>
    </row>
    <row r="280" spans="1:31" ht="12.75" customHeight="1">
      <c r="A280" s="229" t="str">
        <f t="shared" ca="1" si="52"/>
        <v/>
      </c>
      <c r="B280" s="229" t="str">
        <f t="shared" ca="1" si="53"/>
        <v/>
      </c>
      <c r="C280" s="229" t="str">
        <f t="shared" ca="1" si="54"/>
        <v/>
      </c>
      <c r="D280" s="229" t="str">
        <f t="shared" ca="1" si="55"/>
        <v/>
      </c>
      <c r="E280" s="229" t="str">
        <f t="shared" ca="1" si="56"/>
        <v/>
      </c>
      <c r="F280" s="229" t="str">
        <f t="shared" ca="1" si="57"/>
        <v/>
      </c>
      <c r="G280" s="230" t="str">
        <f t="array" aca="1" ref="G280" ca="1">IF(INDEX(ExistsTx,$I280,2),IF(INDIRECT("'T"&amp;$I280&amp;"'!$D$"&amp;($J280+5),TRUE)=0,T_NoName,INDIRECT("'T"&amp;$I280&amp;"'!$D$"&amp;($J280+5),TRUE)),"")</f>
        <v/>
      </c>
      <c r="H280" s="230">
        <f t="array" aca="1" ref="H280" ca="1">IF(INDEX(ExistsTx,$I280,2),INDIRECT("'T"&amp;$I280&amp;"'!$E$"&amp;($J280+5),TRUE),0)</f>
        <v>0</v>
      </c>
      <c r="I280" s="229">
        <v>18</v>
      </c>
      <c r="J280" s="229">
        <v>6</v>
      </c>
      <c r="K280" s="230" t="str">
        <f t="array" aca="1" ref="K280" ca="1">INDEX(ListTeams,$I280,1)</f>
        <v/>
      </c>
      <c r="L280" s="230">
        <f t="array" aca="1" ref="L280" ca="1">IF(OR(NOT(INDEX(ExistsTx,$I280,2)),$H280=0),0,INDIRECT("'T"&amp;$I280&amp;"'!$M$"&amp;($J280+5),TRUE)+((1000-ROW())/10000000000000))</f>
        <v>0</v>
      </c>
      <c r="M280" s="230">
        <f t="array" aca="1" ref="M280" ca="1">IF(OR(NOT(INDEX(ExistsTx,$I280,2)),$H280=0),0,INDIRECT("'T"&amp;$I280&amp;"'!$N$"&amp;($J280+5),TRUE)+((1000-ROW())/10000000000000))</f>
        <v>0</v>
      </c>
      <c r="N280" s="230">
        <f t="array" aca="1" ref="N280" ca="1">IF(OR(NOT(INDEX(ExistsTx,$I280,2)),$H280=0),0,INDIRECT("'T"&amp;$I280&amp;"'!$O$"&amp;($J280+5),TRUE)+((1000-ROW())/10000000000000))</f>
        <v>0</v>
      </c>
      <c r="O280" s="230">
        <f t="array" aca="1" ref="O280" ca="1">IF(OR(NOT(INDEX(ExistsTx,$I280,2)),$H280=0),0,INDIRECT("'T"&amp;$I280&amp;"'!$P$"&amp;($J280+5),TRUE)+((1000-ROW())/10000000000000))</f>
        <v>0</v>
      </c>
      <c r="P280" s="230">
        <f t="array" aca="1" ref="P280" ca="1">IF(OR(NOT(INDEX(ExistsTx,$I280,2)),$H280=0),0,INDIRECT("'T"&amp;$I280&amp;"'!$Q$"&amp;($J280+5),TRUE)+((1000-ROW())/10000000000000))</f>
        <v>0</v>
      </c>
      <c r="Q280" s="230">
        <f t="shared" ca="1" si="58"/>
        <v>9.2571428664000002E-7</v>
      </c>
      <c r="R280" s="230"/>
      <c r="S280" s="230"/>
      <c r="T280" s="230"/>
      <c r="U280" s="230"/>
      <c r="V280" s="230"/>
      <c r="W280" s="230"/>
      <c r="X280" s="229"/>
      <c r="Y280" s="229"/>
      <c r="Z280" s="229"/>
      <c r="AA280" s="230"/>
      <c r="AB280" s="230"/>
      <c r="AC280" s="230"/>
      <c r="AD280" s="229"/>
      <c r="AE280" s="230"/>
    </row>
    <row r="281" spans="1:31" ht="12.75" customHeight="1">
      <c r="A281" s="229" t="str">
        <f t="shared" ca="1" si="52"/>
        <v/>
      </c>
      <c r="B281" s="229" t="str">
        <f t="shared" ca="1" si="53"/>
        <v/>
      </c>
      <c r="C281" s="229" t="str">
        <f t="shared" ca="1" si="54"/>
        <v/>
      </c>
      <c r="D281" s="229" t="str">
        <f t="shared" ca="1" si="55"/>
        <v/>
      </c>
      <c r="E281" s="229" t="str">
        <f t="shared" ca="1" si="56"/>
        <v/>
      </c>
      <c r="F281" s="229" t="str">
        <f t="shared" ca="1" si="57"/>
        <v/>
      </c>
      <c r="G281" s="230" t="str">
        <f t="array" aca="1" ref="G281" ca="1">IF(INDEX(ExistsTx,$I281,2),IF(INDIRECT("'T"&amp;$I281&amp;"'!$D$"&amp;($J281+5),TRUE)=0,T_NoName,INDIRECT("'T"&amp;$I281&amp;"'!$D$"&amp;($J281+5),TRUE)),"")</f>
        <v/>
      </c>
      <c r="H281" s="230">
        <f t="array" aca="1" ref="H281" ca="1">IF(INDEX(ExistsTx,$I281,2),INDIRECT("'T"&amp;$I281&amp;"'!$E$"&amp;($J281+5),TRUE),0)</f>
        <v>0</v>
      </c>
      <c r="I281" s="229">
        <v>18</v>
      </c>
      <c r="J281" s="229">
        <v>7</v>
      </c>
      <c r="K281" s="230" t="str">
        <f t="array" aca="1" ref="K281" ca="1">INDEX(ListTeams,$I281,1)</f>
        <v/>
      </c>
      <c r="L281" s="230">
        <f t="array" aca="1" ref="L281" ca="1">IF(OR(NOT(INDEX(ExistsTx,$I281,2)),$H281=0),0,INDIRECT("'T"&amp;$I281&amp;"'!$M$"&amp;($J281+5),TRUE)+((1000-ROW())/10000000000000))</f>
        <v>0</v>
      </c>
      <c r="M281" s="230">
        <f t="array" aca="1" ref="M281" ca="1">IF(OR(NOT(INDEX(ExistsTx,$I281,2)),$H281=0),0,INDIRECT("'T"&amp;$I281&amp;"'!$N$"&amp;($J281+5),TRUE)+((1000-ROW())/10000000000000))</f>
        <v>0</v>
      </c>
      <c r="N281" s="230">
        <f t="array" aca="1" ref="N281" ca="1">IF(OR(NOT(INDEX(ExistsTx,$I281,2)),$H281=0),0,INDIRECT("'T"&amp;$I281&amp;"'!$O$"&amp;($J281+5),TRUE)+((1000-ROW())/10000000000000))</f>
        <v>0</v>
      </c>
      <c r="O281" s="230">
        <f t="array" aca="1" ref="O281" ca="1">IF(OR(NOT(INDEX(ExistsTx,$I281,2)),$H281=0),0,INDIRECT("'T"&amp;$I281&amp;"'!$P$"&amp;($J281+5),TRUE)+((1000-ROW())/10000000000000))</f>
        <v>0</v>
      </c>
      <c r="P281" s="230">
        <f t="array" aca="1" ref="P281" ca="1">IF(OR(NOT(INDEX(ExistsTx,$I281,2)),$H281=0),0,INDIRECT("'T"&amp;$I281&amp;"'!$Q$"&amp;($J281+5),TRUE)+((1000-ROW())/10000000000000))</f>
        <v>0</v>
      </c>
      <c r="Q281" s="230">
        <f t="shared" ca="1" si="58"/>
        <v>9.2442857235300001E-7</v>
      </c>
      <c r="R281" s="230"/>
      <c r="S281" s="230"/>
      <c r="T281" s="230"/>
      <c r="U281" s="230"/>
      <c r="V281" s="230"/>
      <c r="W281" s="230"/>
      <c r="X281" s="229"/>
      <c r="Y281" s="229"/>
      <c r="Z281" s="229"/>
      <c r="AA281" s="230"/>
      <c r="AB281" s="230"/>
      <c r="AC281" s="230"/>
      <c r="AD281" s="229"/>
      <c r="AE281" s="230"/>
    </row>
    <row r="282" spans="1:31" ht="12.75" customHeight="1">
      <c r="A282" s="229" t="str">
        <f t="shared" ca="1" si="52"/>
        <v/>
      </c>
      <c r="B282" s="229" t="str">
        <f t="shared" ca="1" si="53"/>
        <v/>
      </c>
      <c r="C282" s="229" t="str">
        <f t="shared" ca="1" si="54"/>
        <v/>
      </c>
      <c r="D282" s="229" t="str">
        <f t="shared" ca="1" si="55"/>
        <v/>
      </c>
      <c r="E282" s="229" t="str">
        <f t="shared" ca="1" si="56"/>
        <v/>
      </c>
      <c r="F282" s="229" t="str">
        <f t="shared" ca="1" si="57"/>
        <v/>
      </c>
      <c r="G282" s="230" t="str">
        <f t="array" aca="1" ref="G282" ca="1">IF(INDEX(ExistsTx,$I282,2),IF(INDIRECT("'T"&amp;$I282&amp;"'!$D$"&amp;($J282+5),TRUE)=0,T_NoName,INDIRECT("'T"&amp;$I282&amp;"'!$D$"&amp;($J282+5),TRUE)),"")</f>
        <v/>
      </c>
      <c r="H282" s="230">
        <f t="array" aca="1" ref="H282" ca="1">IF(INDEX(ExistsTx,$I282,2),INDIRECT("'T"&amp;$I282&amp;"'!$E$"&amp;($J282+5),TRUE),0)</f>
        <v>0</v>
      </c>
      <c r="I282" s="229">
        <v>18</v>
      </c>
      <c r="J282" s="229">
        <v>8</v>
      </c>
      <c r="K282" s="230" t="str">
        <f t="array" aca="1" ref="K282" ca="1">INDEX(ListTeams,$I282,1)</f>
        <v/>
      </c>
      <c r="L282" s="230">
        <f t="array" aca="1" ref="L282" ca="1">IF(OR(NOT(INDEX(ExistsTx,$I282,2)),$H282=0),0,INDIRECT("'T"&amp;$I282&amp;"'!$M$"&amp;($J282+5),TRUE)+((1000-ROW())/10000000000000))</f>
        <v>0</v>
      </c>
      <c r="M282" s="230">
        <f t="array" aca="1" ref="M282" ca="1">IF(OR(NOT(INDEX(ExistsTx,$I282,2)),$H282=0),0,INDIRECT("'T"&amp;$I282&amp;"'!$N$"&amp;($J282+5),TRUE)+((1000-ROW())/10000000000000))</f>
        <v>0</v>
      </c>
      <c r="N282" s="230">
        <f t="array" aca="1" ref="N282" ca="1">IF(OR(NOT(INDEX(ExistsTx,$I282,2)),$H282=0),0,INDIRECT("'T"&amp;$I282&amp;"'!$O$"&amp;($J282+5),TRUE)+((1000-ROW())/10000000000000))</f>
        <v>0</v>
      </c>
      <c r="O282" s="230">
        <f t="array" aca="1" ref="O282" ca="1">IF(OR(NOT(INDEX(ExistsTx,$I282,2)),$H282=0),0,INDIRECT("'T"&amp;$I282&amp;"'!$P$"&amp;($J282+5),TRUE)+((1000-ROW())/10000000000000))</f>
        <v>0</v>
      </c>
      <c r="P282" s="230">
        <f t="array" aca="1" ref="P282" ca="1">IF(OR(NOT(INDEX(ExistsTx,$I282,2)),$H282=0),0,INDIRECT("'T"&amp;$I282&amp;"'!$Q$"&amp;($J282+5),TRUE)+((1000-ROW())/10000000000000))</f>
        <v>0</v>
      </c>
      <c r="Q282" s="230">
        <f t="shared" ca="1" si="58"/>
        <v>9.23142858066E-7</v>
      </c>
      <c r="R282" s="230"/>
      <c r="S282" s="230"/>
      <c r="T282" s="230"/>
      <c r="U282" s="230"/>
      <c r="V282" s="230"/>
      <c r="W282" s="230"/>
      <c r="X282" s="229"/>
      <c r="Y282" s="229"/>
      <c r="Z282" s="229"/>
      <c r="AA282" s="230"/>
      <c r="AB282" s="230"/>
      <c r="AC282" s="230"/>
      <c r="AD282" s="229"/>
      <c r="AE282" s="230"/>
    </row>
    <row r="283" spans="1:31" ht="12.75" customHeight="1">
      <c r="A283" s="229" t="str">
        <f t="shared" ca="1" si="52"/>
        <v/>
      </c>
      <c r="B283" s="229" t="str">
        <f t="shared" ca="1" si="53"/>
        <v/>
      </c>
      <c r="C283" s="229" t="str">
        <f t="shared" ca="1" si="54"/>
        <v/>
      </c>
      <c r="D283" s="229" t="str">
        <f t="shared" ca="1" si="55"/>
        <v/>
      </c>
      <c r="E283" s="229" t="str">
        <f t="shared" ca="1" si="56"/>
        <v/>
      </c>
      <c r="F283" s="229" t="str">
        <f t="shared" ca="1" si="57"/>
        <v/>
      </c>
      <c r="G283" s="230" t="str">
        <f t="array" aca="1" ref="G283" ca="1">IF(INDEX(ExistsTx,$I283,2),IF(INDIRECT("'T"&amp;$I283&amp;"'!$D$"&amp;($J283+5),TRUE)=0,T_NoName,INDIRECT("'T"&amp;$I283&amp;"'!$D$"&amp;($J283+5),TRUE)),"")</f>
        <v/>
      </c>
      <c r="H283" s="230">
        <f t="array" aca="1" ref="H283" ca="1">IF(INDEX(ExistsTx,$I283,2),INDIRECT("'T"&amp;$I283&amp;"'!$E$"&amp;($J283+5),TRUE),0)</f>
        <v>0</v>
      </c>
      <c r="I283" s="229">
        <v>18</v>
      </c>
      <c r="J283" s="229">
        <v>9</v>
      </c>
      <c r="K283" s="230" t="str">
        <f t="array" aca="1" ref="K283" ca="1">INDEX(ListTeams,$I283,1)</f>
        <v/>
      </c>
      <c r="L283" s="230">
        <f t="array" aca="1" ref="L283" ca="1">IF(OR(NOT(INDEX(ExistsTx,$I283,2)),$H283=0),0,INDIRECT("'T"&amp;$I283&amp;"'!$M$"&amp;($J283+5),TRUE)+((1000-ROW())/10000000000000))</f>
        <v>0</v>
      </c>
      <c r="M283" s="230">
        <f t="array" aca="1" ref="M283" ca="1">IF(OR(NOT(INDEX(ExistsTx,$I283,2)),$H283=0),0,INDIRECT("'T"&amp;$I283&amp;"'!$N$"&amp;($J283+5),TRUE)+((1000-ROW())/10000000000000))</f>
        <v>0</v>
      </c>
      <c r="N283" s="230">
        <f t="array" aca="1" ref="N283" ca="1">IF(OR(NOT(INDEX(ExistsTx,$I283,2)),$H283=0),0,INDIRECT("'T"&amp;$I283&amp;"'!$O$"&amp;($J283+5),TRUE)+((1000-ROW())/10000000000000))</f>
        <v>0</v>
      </c>
      <c r="O283" s="230">
        <f t="array" aca="1" ref="O283" ca="1">IF(OR(NOT(INDEX(ExistsTx,$I283,2)),$H283=0),0,INDIRECT("'T"&amp;$I283&amp;"'!$P$"&amp;($J283+5),TRUE)+((1000-ROW())/10000000000000))</f>
        <v>0</v>
      </c>
      <c r="P283" s="230">
        <f t="array" aca="1" ref="P283" ca="1">IF(OR(NOT(INDEX(ExistsTx,$I283,2)),$H283=0),0,INDIRECT("'T"&amp;$I283&amp;"'!$Q$"&amp;($J283+5),TRUE)+((1000-ROW())/10000000000000))</f>
        <v>0</v>
      </c>
      <c r="Q283" s="230">
        <f t="shared" ca="1" si="58"/>
        <v>9.2185714377899999E-7</v>
      </c>
      <c r="R283" s="230"/>
      <c r="S283" s="230"/>
      <c r="T283" s="230"/>
      <c r="U283" s="230"/>
      <c r="V283" s="230"/>
      <c r="W283" s="230"/>
      <c r="X283" s="229"/>
      <c r="Y283" s="229"/>
      <c r="Z283" s="229"/>
      <c r="AA283" s="230"/>
      <c r="AB283" s="230"/>
      <c r="AC283" s="230"/>
      <c r="AD283" s="229"/>
      <c r="AE283" s="230"/>
    </row>
    <row r="284" spans="1:31" ht="12.75" customHeight="1">
      <c r="A284" s="229" t="str">
        <f t="shared" ca="1" si="52"/>
        <v/>
      </c>
      <c r="B284" s="229" t="str">
        <f t="shared" ca="1" si="53"/>
        <v/>
      </c>
      <c r="C284" s="229" t="str">
        <f t="shared" ca="1" si="54"/>
        <v/>
      </c>
      <c r="D284" s="229" t="str">
        <f t="shared" ca="1" si="55"/>
        <v/>
      </c>
      <c r="E284" s="229" t="str">
        <f t="shared" ca="1" si="56"/>
        <v/>
      </c>
      <c r="F284" s="229" t="str">
        <f t="shared" ca="1" si="57"/>
        <v/>
      </c>
      <c r="G284" s="230" t="str">
        <f t="array" aca="1" ref="G284" ca="1">IF(INDEX(ExistsTx,$I284,2),IF(INDIRECT("'T"&amp;$I284&amp;"'!$D$"&amp;($J284+5),TRUE)=0,T_NoName,INDIRECT("'T"&amp;$I284&amp;"'!$D$"&amp;($J284+5),TRUE)),"")</f>
        <v/>
      </c>
      <c r="H284" s="230">
        <f t="array" aca="1" ref="H284" ca="1">IF(INDEX(ExistsTx,$I284,2),INDIRECT("'T"&amp;$I284&amp;"'!$E$"&amp;($J284+5),TRUE),0)</f>
        <v>0</v>
      </c>
      <c r="I284" s="229">
        <v>18</v>
      </c>
      <c r="J284" s="229">
        <v>10</v>
      </c>
      <c r="K284" s="230" t="str">
        <f t="array" aca="1" ref="K284" ca="1">INDEX(ListTeams,$I284,1)</f>
        <v/>
      </c>
      <c r="L284" s="230">
        <f t="array" aca="1" ref="L284" ca="1">IF(OR(NOT(INDEX(ExistsTx,$I284,2)),$H284=0),0,INDIRECT("'T"&amp;$I284&amp;"'!$M$"&amp;($J284+5),TRUE)+((1000-ROW())/10000000000000))</f>
        <v>0</v>
      </c>
      <c r="M284" s="230">
        <f t="array" aca="1" ref="M284" ca="1">IF(OR(NOT(INDEX(ExistsTx,$I284,2)),$H284=0),0,INDIRECT("'T"&amp;$I284&amp;"'!$N$"&amp;($J284+5),TRUE)+((1000-ROW())/10000000000000))</f>
        <v>0</v>
      </c>
      <c r="N284" s="230">
        <f t="array" aca="1" ref="N284" ca="1">IF(OR(NOT(INDEX(ExistsTx,$I284,2)),$H284=0),0,INDIRECT("'T"&amp;$I284&amp;"'!$O$"&amp;($J284+5),TRUE)+((1000-ROW())/10000000000000))</f>
        <v>0</v>
      </c>
      <c r="O284" s="230">
        <f t="array" aca="1" ref="O284" ca="1">IF(OR(NOT(INDEX(ExistsTx,$I284,2)),$H284=0),0,INDIRECT("'T"&amp;$I284&amp;"'!$P$"&amp;($J284+5),TRUE)+((1000-ROW())/10000000000000))</f>
        <v>0</v>
      </c>
      <c r="P284" s="230">
        <f t="array" aca="1" ref="P284" ca="1">IF(OR(NOT(INDEX(ExistsTx,$I284,2)),$H284=0),0,INDIRECT("'T"&amp;$I284&amp;"'!$Q$"&amp;($J284+5),TRUE)+((1000-ROW())/10000000000000))</f>
        <v>0</v>
      </c>
      <c r="Q284" s="230">
        <f t="shared" ca="1" si="58"/>
        <v>9.2057142949199997E-7</v>
      </c>
      <c r="R284" s="230"/>
      <c r="S284" s="230"/>
      <c r="T284" s="230"/>
      <c r="U284" s="230"/>
      <c r="V284" s="230"/>
      <c r="W284" s="230"/>
      <c r="X284" s="229"/>
      <c r="Y284" s="229"/>
      <c r="Z284" s="229"/>
      <c r="AA284" s="230"/>
      <c r="AB284" s="230"/>
      <c r="AC284" s="230"/>
      <c r="AD284" s="229"/>
      <c r="AE284" s="230"/>
    </row>
    <row r="285" spans="1:31" ht="12.75" customHeight="1">
      <c r="A285" s="229" t="str">
        <f t="shared" ca="1" si="52"/>
        <v/>
      </c>
      <c r="B285" s="229" t="str">
        <f t="shared" ca="1" si="53"/>
        <v/>
      </c>
      <c r="C285" s="229" t="str">
        <f t="shared" ca="1" si="54"/>
        <v/>
      </c>
      <c r="D285" s="229" t="str">
        <f t="shared" ca="1" si="55"/>
        <v/>
      </c>
      <c r="E285" s="229" t="str">
        <f t="shared" ca="1" si="56"/>
        <v/>
      </c>
      <c r="F285" s="229" t="str">
        <f t="shared" ca="1" si="57"/>
        <v/>
      </c>
      <c r="G285" s="230" t="str">
        <f t="array" aca="1" ref="G285" ca="1">IF(INDEX(ExistsTx,$I285,2),IF(INDIRECT("'T"&amp;$I285&amp;"'!$D$"&amp;($J285+5),TRUE)=0,T_NoName,INDIRECT("'T"&amp;$I285&amp;"'!$D$"&amp;($J285+5),TRUE)),"")</f>
        <v/>
      </c>
      <c r="H285" s="230">
        <f t="array" aca="1" ref="H285" ca="1">IF(INDEX(ExistsTx,$I285,2),INDIRECT("'T"&amp;$I285&amp;"'!$E$"&amp;($J285+5),TRUE),0)</f>
        <v>0</v>
      </c>
      <c r="I285" s="229">
        <v>18</v>
      </c>
      <c r="J285" s="229">
        <v>11</v>
      </c>
      <c r="K285" s="230" t="str">
        <f t="array" aca="1" ref="K285" ca="1">INDEX(ListTeams,$I285,1)</f>
        <v/>
      </c>
      <c r="L285" s="230">
        <f t="array" aca="1" ref="L285" ca="1">IF(OR(NOT(INDEX(ExistsTx,$I285,2)),$H285=0),0,INDIRECT("'T"&amp;$I285&amp;"'!$M$"&amp;($J285+5),TRUE)+((1000-ROW())/10000000000000))</f>
        <v>0</v>
      </c>
      <c r="M285" s="230">
        <f t="array" aca="1" ref="M285" ca="1">IF(OR(NOT(INDEX(ExistsTx,$I285,2)),$H285=0),0,INDIRECT("'T"&amp;$I285&amp;"'!$N$"&amp;($J285+5),TRUE)+((1000-ROW())/10000000000000))</f>
        <v>0</v>
      </c>
      <c r="N285" s="230">
        <f t="array" aca="1" ref="N285" ca="1">IF(OR(NOT(INDEX(ExistsTx,$I285,2)),$H285=0),0,INDIRECT("'T"&amp;$I285&amp;"'!$O$"&amp;($J285+5),TRUE)+((1000-ROW())/10000000000000))</f>
        <v>0</v>
      </c>
      <c r="O285" s="230">
        <f t="array" aca="1" ref="O285" ca="1">IF(OR(NOT(INDEX(ExistsTx,$I285,2)),$H285=0),0,INDIRECT("'T"&amp;$I285&amp;"'!$P$"&amp;($J285+5),TRUE)+((1000-ROW())/10000000000000))</f>
        <v>0</v>
      </c>
      <c r="P285" s="230">
        <f t="array" aca="1" ref="P285" ca="1">IF(OR(NOT(INDEX(ExistsTx,$I285,2)),$H285=0),0,INDIRECT("'T"&amp;$I285&amp;"'!$Q$"&amp;($J285+5),TRUE)+((1000-ROW())/10000000000000))</f>
        <v>0</v>
      </c>
      <c r="Q285" s="230">
        <f t="shared" ca="1" si="58"/>
        <v>9.1928571520499996E-7</v>
      </c>
      <c r="R285" s="230"/>
      <c r="S285" s="230"/>
      <c r="T285" s="230"/>
      <c r="U285" s="230"/>
      <c r="V285" s="230"/>
      <c r="W285" s="230"/>
      <c r="X285" s="229"/>
      <c r="Y285" s="229"/>
      <c r="Z285" s="229"/>
      <c r="AA285" s="230"/>
      <c r="AB285" s="230"/>
      <c r="AC285" s="230"/>
      <c r="AD285" s="229"/>
      <c r="AE285" s="230"/>
    </row>
    <row r="286" spans="1:31" ht="12.75" customHeight="1">
      <c r="A286" s="229" t="str">
        <f t="shared" ca="1" si="52"/>
        <v/>
      </c>
      <c r="B286" s="229" t="str">
        <f t="shared" ca="1" si="53"/>
        <v/>
      </c>
      <c r="C286" s="229" t="str">
        <f t="shared" ca="1" si="54"/>
        <v/>
      </c>
      <c r="D286" s="229" t="str">
        <f t="shared" ca="1" si="55"/>
        <v/>
      </c>
      <c r="E286" s="229" t="str">
        <f t="shared" ca="1" si="56"/>
        <v/>
      </c>
      <c r="F286" s="229" t="str">
        <f t="shared" ca="1" si="57"/>
        <v/>
      </c>
      <c r="G286" s="230" t="str">
        <f t="array" aca="1" ref="G286" ca="1">IF(INDEX(ExistsTx,$I286,2),IF(INDIRECT("'T"&amp;$I286&amp;"'!$D$"&amp;($J286+5),TRUE)=0,T_NoName,INDIRECT("'T"&amp;$I286&amp;"'!$D$"&amp;($J286+5),TRUE)),"")</f>
        <v/>
      </c>
      <c r="H286" s="230">
        <f t="array" aca="1" ref="H286" ca="1">IF(INDEX(ExistsTx,$I286,2),INDIRECT("'T"&amp;$I286&amp;"'!$E$"&amp;($J286+5),TRUE),0)</f>
        <v>0</v>
      </c>
      <c r="I286" s="229">
        <v>18</v>
      </c>
      <c r="J286" s="229">
        <v>12</v>
      </c>
      <c r="K286" s="230" t="str">
        <f t="array" aca="1" ref="K286" ca="1">INDEX(ListTeams,$I286,1)</f>
        <v/>
      </c>
      <c r="L286" s="230">
        <f t="array" aca="1" ref="L286" ca="1">IF(OR(NOT(INDEX(ExistsTx,$I286,2)),$H286=0),0,INDIRECT("'T"&amp;$I286&amp;"'!$M$"&amp;($J286+5),TRUE)+((1000-ROW())/10000000000000))</f>
        <v>0</v>
      </c>
      <c r="M286" s="230">
        <f t="array" aca="1" ref="M286" ca="1">IF(OR(NOT(INDEX(ExistsTx,$I286,2)),$H286=0),0,INDIRECT("'T"&amp;$I286&amp;"'!$N$"&amp;($J286+5),TRUE)+((1000-ROW())/10000000000000))</f>
        <v>0</v>
      </c>
      <c r="N286" s="230">
        <f t="array" aca="1" ref="N286" ca="1">IF(OR(NOT(INDEX(ExistsTx,$I286,2)),$H286=0),0,INDIRECT("'T"&amp;$I286&amp;"'!$O$"&amp;($J286+5),TRUE)+((1000-ROW())/10000000000000))</f>
        <v>0</v>
      </c>
      <c r="O286" s="230">
        <f t="array" aca="1" ref="O286" ca="1">IF(OR(NOT(INDEX(ExistsTx,$I286,2)),$H286=0),0,INDIRECT("'T"&amp;$I286&amp;"'!$P$"&amp;($J286+5),TRUE)+((1000-ROW())/10000000000000))</f>
        <v>0</v>
      </c>
      <c r="P286" s="230">
        <f t="array" aca="1" ref="P286" ca="1">IF(OR(NOT(INDEX(ExistsTx,$I286,2)),$H286=0),0,INDIRECT("'T"&amp;$I286&amp;"'!$Q$"&amp;($J286+5),TRUE)+((1000-ROW())/10000000000000))</f>
        <v>0</v>
      </c>
      <c r="Q286" s="230">
        <f t="shared" ca="1" si="58"/>
        <v>9.1800000091799995E-7</v>
      </c>
      <c r="R286" s="230"/>
      <c r="S286" s="230"/>
      <c r="T286" s="230"/>
      <c r="U286" s="230"/>
      <c r="V286" s="230"/>
      <c r="W286" s="230"/>
      <c r="X286" s="229"/>
      <c r="Y286" s="229"/>
      <c r="Z286" s="229"/>
      <c r="AA286" s="230"/>
      <c r="AB286" s="230"/>
      <c r="AC286" s="230"/>
      <c r="AD286" s="229"/>
      <c r="AE286" s="230"/>
    </row>
    <row r="287" spans="1:31" ht="12.75" customHeight="1">
      <c r="A287" s="229" t="str">
        <f t="shared" ca="1" si="52"/>
        <v/>
      </c>
      <c r="B287" s="229" t="str">
        <f t="shared" ca="1" si="53"/>
        <v/>
      </c>
      <c r="C287" s="229" t="str">
        <f t="shared" ca="1" si="54"/>
        <v/>
      </c>
      <c r="D287" s="229" t="str">
        <f t="shared" ca="1" si="55"/>
        <v/>
      </c>
      <c r="E287" s="229" t="str">
        <f t="shared" ca="1" si="56"/>
        <v/>
      </c>
      <c r="F287" s="229" t="str">
        <f t="shared" ca="1" si="57"/>
        <v/>
      </c>
      <c r="G287" s="230" t="str">
        <f t="array" aca="1" ref="G287" ca="1">IF(INDEX(ExistsTx,$I287,2),IF(INDIRECT("'T"&amp;$I287&amp;"'!$D$"&amp;($J287+5),TRUE)=0,T_NoName,INDIRECT("'T"&amp;$I287&amp;"'!$D$"&amp;($J287+5),TRUE)),"")</f>
        <v/>
      </c>
      <c r="H287" s="230">
        <f t="array" aca="1" ref="H287" ca="1">IF(INDEX(ExistsTx,$I287,2),INDIRECT("'T"&amp;$I287&amp;"'!$E$"&amp;($J287+5),TRUE),0)</f>
        <v>0</v>
      </c>
      <c r="I287" s="229">
        <v>18</v>
      </c>
      <c r="J287" s="229">
        <v>13</v>
      </c>
      <c r="K287" s="230" t="str">
        <f t="array" aca="1" ref="K287" ca="1">INDEX(ListTeams,$I287,1)</f>
        <v/>
      </c>
      <c r="L287" s="230">
        <f t="array" aca="1" ref="L287" ca="1">IF(OR(NOT(INDEX(ExistsTx,$I287,2)),$H287=0),0,INDIRECT("'T"&amp;$I287&amp;"'!$M$"&amp;($J287+5),TRUE)+((1000-ROW())/10000000000000))</f>
        <v>0</v>
      </c>
      <c r="M287" s="230">
        <f t="array" aca="1" ref="M287" ca="1">IF(OR(NOT(INDEX(ExistsTx,$I287,2)),$H287=0),0,INDIRECT("'T"&amp;$I287&amp;"'!$N$"&amp;($J287+5),TRUE)+((1000-ROW())/10000000000000))</f>
        <v>0</v>
      </c>
      <c r="N287" s="230">
        <f t="array" aca="1" ref="N287" ca="1">IF(OR(NOT(INDEX(ExistsTx,$I287,2)),$H287=0),0,INDIRECT("'T"&amp;$I287&amp;"'!$O$"&amp;($J287+5),TRUE)+((1000-ROW())/10000000000000))</f>
        <v>0</v>
      </c>
      <c r="O287" s="230">
        <f t="array" aca="1" ref="O287" ca="1">IF(OR(NOT(INDEX(ExistsTx,$I287,2)),$H287=0),0,INDIRECT("'T"&amp;$I287&amp;"'!$P$"&amp;($J287+5),TRUE)+((1000-ROW())/10000000000000))</f>
        <v>0</v>
      </c>
      <c r="P287" s="230">
        <f t="array" aca="1" ref="P287" ca="1">IF(OR(NOT(INDEX(ExistsTx,$I287,2)),$H287=0),0,INDIRECT("'T"&amp;$I287&amp;"'!$Q$"&amp;($J287+5),TRUE)+((1000-ROW())/10000000000000))</f>
        <v>0</v>
      </c>
      <c r="Q287" s="230">
        <f t="shared" ca="1" si="58"/>
        <v>9.1671428663100004E-7</v>
      </c>
      <c r="R287" s="230"/>
      <c r="S287" s="230"/>
      <c r="T287" s="230"/>
      <c r="U287" s="230"/>
      <c r="V287" s="230"/>
      <c r="W287" s="230"/>
      <c r="X287" s="229"/>
      <c r="Y287" s="229"/>
      <c r="Z287" s="229"/>
      <c r="AA287" s="230"/>
      <c r="AB287" s="230"/>
      <c r="AC287" s="230"/>
      <c r="AD287" s="229"/>
      <c r="AE287" s="230"/>
    </row>
    <row r="288" spans="1:31" ht="12.75" customHeight="1">
      <c r="A288" s="229" t="str">
        <f t="shared" ca="1" si="52"/>
        <v/>
      </c>
      <c r="B288" s="229" t="str">
        <f t="shared" ca="1" si="53"/>
        <v/>
      </c>
      <c r="C288" s="229" t="str">
        <f t="shared" ca="1" si="54"/>
        <v/>
      </c>
      <c r="D288" s="229" t="str">
        <f t="shared" ca="1" si="55"/>
        <v/>
      </c>
      <c r="E288" s="229" t="str">
        <f t="shared" ca="1" si="56"/>
        <v/>
      </c>
      <c r="F288" s="229" t="str">
        <f t="shared" ca="1" si="57"/>
        <v/>
      </c>
      <c r="G288" s="230" t="str">
        <f t="array" aca="1" ref="G288" ca="1">IF(INDEX(ExistsTx,$I288,2),IF(INDIRECT("'T"&amp;$I288&amp;"'!$D$"&amp;($J288+5),TRUE)=0,T_NoName,INDIRECT("'T"&amp;$I288&amp;"'!$D$"&amp;($J288+5),TRUE)),"")</f>
        <v/>
      </c>
      <c r="H288" s="230">
        <f t="array" aca="1" ref="H288" ca="1">IF(INDEX(ExistsTx,$I288,2),INDIRECT("'T"&amp;$I288&amp;"'!$E$"&amp;($J288+5),TRUE),0)</f>
        <v>0</v>
      </c>
      <c r="I288" s="229">
        <v>18</v>
      </c>
      <c r="J288" s="229">
        <v>14</v>
      </c>
      <c r="K288" s="230" t="str">
        <f t="array" aca="1" ref="K288" ca="1">INDEX(ListTeams,$I288,1)</f>
        <v/>
      </c>
      <c r="L288" s="230">
        <f t="array" aca="1" ref="L288" ca="1">IF(OR(NOT(INDEX(ExistsTx,$I288,2)),$H288=0),0,INDIRECT("'T"&amp;$I288&amp;"'!$M$"&amp;($J288+5),TRUE)+((1000-ROW())/10000000000000))</f>
        <v>0</v>
      </c>
      <c r="M288" s="230">
        <f t="array" aca="1" ref="M288" ca="1">IF(OR(NOT(INDEX(ExistsTx,$I288,2)),$H288=0),0,INDIRECT("'T"&amp;$I288&amp;"'!$N$"&amp;($J288+5),TRUE)+((1000-ROW())/10000000000000))</f>
        <v>0</v>
      </c>
      <c r="N288" s="230">
        <f t="array" aca="1" ref="N288" ca="1">IF(OR(NOT(INDEX(ExistsTx,$I288,2)),$H288=0),0,INDIRECT("'T"&amp;$I288&amp;"'!$O$"&amp;($J288+5),TRUE)+((1000-ROW())/10000000000000))</f>
        <v>0</v>
      </c>
      <c r="O288" s="230">
        <f t="array" aca="1" ref="O288" ca="1">IF(OR(NOT(INDEX(ExistsTx,$I288,2)),$H288=0),0,INDIRECT("'T"&amp;$I288&amp;"'!$P$"&amp;($J288+5),TRUE)+((1000-ROW())/10000000000000))</f>
        <v>0</v>
      </c>
      <c r="P288" s="230">
        <f t="array" aca="1" ref="P288" ca="1">IF(OR(NOT(INDEX(ExistsTx,$I288,2)),$H288=0),0,INDIRECT("'T"&amp;$I288&amp;"'!$Q$"&amp;($J288+5),TRUE)+((1000-ROW())/10000000000000))</f>
        <v>0</v>
      </c>
      <c r="Q288" s="230">
        <f t="shared" ca="1" si="58"/>
        <v>9.1542857234400003E-7</v>
      </c>
      <c r="R288" s="230"/>
      <c r="S288" s="230"/>
      <c r="T288" s="230"/>
      <c r="U288" s="230"/>
      <c r="V288" s="230"/>
      <c r="W288" s="230"/>
      <c r="X288" s="229"/>
      <c r="Y288" s="229"/>
      <c r="Z288" s="229"/>
      <c r="AA288" s="230"/>
      <c r="AB288" s="230"/>
      <c r="AC288" s="230"/>
      <c r="AD288" s="229"/>
      <c r="AE288" s="230"/>
    </row>
    <row r="289" spans="1:31" ht="12.75" customHeight="1">
      <c r="A289" s="229" t="str">
        <f t="shared" ca="1" si="52"/>
        <v/>
      </c>
      <c r="B289" s="229" t="str">
        <f t="shared" ca="1" si="53"/>
        <v/>
      </c>
      <c r="C289" s="229" t="str">
        <f t="shared" ca="1" si="54"/>
        <v/>
      </c>
      <c r="D289" s="229" t="str">
        <f t="shared" ca="1" si="55"/>
        <v/>
      </c>
      <c r="E289" s="229" t="str">
        <f t="shared" ca="1" si="56"/>
        <v/>
      </c>
      <c r="F289" s="229" t="str">
        <f t="shared" ca="1" si="57"/>
        <v/>
      </c>
      <c r="G289" s="230" t="str">
        <f t="array" aca="1" ref="G289" ca="1">IF(INDEX(ExistsTx,$I289,2),IF(INDIRECT("'T"&amp;$I289&amp;"'!$D$"&amp;($J289+5),TRUE)=0,T_NoName,INDIRECT("'T"&amp;$I289&amp;"'!$D$"&amp;($J289+5),TRUE)),"")</f>
        <v/>
      </c>
      <c r="H289" s="230">
        <f t="array" aca="1" ref="H289" ca="1">IF(INDEX(ExistsTx,$I289,2),INDIRECT("'T"&amp;$I289&amp;"'!$E$"&amp;($J289+5),TRUE),0)</f>
        <v>0</v>
      </c>
      <c r="I289" s="229">
        <v>18</v>
      </c>
      <c r="J289" s="229">
        <v>15</v>
      </c>
      <c r="K289" s="230" t="str">
        <f t="array" aca="1" ref="K289" ca="1">INDEX(ListTeams,$I289,1)</f>
        <v/>
      </c>
      <c r="L289" s="230">
        <f t="array" aca="1" ref="L289" ca="1">IF(OR(NOT(INDEX(ExistsTx,$I289,2)),$H289=0),0,INDIRECT("'T"&amp;$I289&amp;"'!$M$"&amp;($J289+5),TRUE)+((1000-ROW())/10000000000000))</f>
        <v>0</v>
      </c>
      <c r="M289" s="230">
        <f t="array" aca="1" ref="M289" ca="1">IF(OR(NOT(INDEX(ExistsTx,$I289,2)),$H289=0),0,INDIRECT("'T"&amp;$I289&amp;"'!$N$"&amp;($J289+5),TRUE)+((1000-ROW())/10000000000000))</f>
        <v>0</v>
      </c>
      <c r="N289" s="230">
        <f t="array" aca="1" ref="N289" ca="1">IF(OR(NOT(INDEX(ExistsTx,$I289,2)),$H289=0),0,INDIRECT("'T"&amp;$I289&amp;"'!$O$"&amp;($J289+5),TRUE)+((1000-ROW())/10000000000000))</f>
        <v>0</v>
      </c>
      <c r="O289" s="230">
        <f t="array" aca="1" ref="O289" ca="1">IF(OR(NOT(INDEX(ExistsTx,$I289,2)),$H289=0),0,INDIRECT("'T"&amp;$I289&amp;"'!$P$"&amp;($J289+5),TRUE)+((1000-ROW())/10000000000000))</f>
        <v>0</v>
      </c>
      <c r="P289" s="230">
        <f t="array" aca="1" ref="P289" ca="1">IF(OR(NOT(INDEX(ExistsTx,$I289,2)),$H289=0),0,INDIRECT("'T"&amp;$I289&amp;"'!$Q$"&amp;($J289+5),TRUE)+((1000-ROW())/10000000000000))</f>
        <v>0</v>
      </c>
      <c r="Q289" s="230">
        <f t="shared" ca="1" si="58"/>
        <v>9.1414285805700002E-7</v>
      </c>
      <c r="R289" s="230"/>
      <c r="S289" s="230"/>
      <c r="T289" s="230"/>
      <c r="U289" s="230"/>
      <c r="V289" s="230"/>
      <c r="W289" s="230"/>
      <c r="X289" s="229"/>
      <c r="Y289" s="229"/>
      <c r="Z289" s="229"/>
      <c r="AA289" s="230"/>
      <c r="AB289" s="230"/>
      <c r="AC289" s="230"/>
      <c r="AD289" s="229"/>
      <c r="AE289" s="230"/>
    </row>
    <row r="290" spans="1:31" ht="12.75" customHeight="1">
      <c r="A290" s="229" t="str">
        <f t="shared" ca="1" si="52"/>
        <v/>
      </c>
      <c r="B290" s="229" t="str">
        <f t="shared" ca="1" si="53"/>
        <v/>
      </c>
      <c r="C290" s="229" t="str">
        <f t="shared" ca="1" si="54"/>
        <v/>
      </c>
      <c r="D290" s="229" t="str">
        <f t="shared" ca="1" si="55"/>
        <v/>
      </c>
      <c r="E290" s="229" t="str">
        <f t="shared" ca="1" si="56"/>
        <v/>
      </c>
      <c r="F290" s="229" t="str">
        <f t="shared" ca="1" si="57"/>
        <v/>
      </c>
      <c r="G290" s="230" t="str">
        <f t="array" aca="1" ref="G290" ca="1">IF(INDEX(ExistsTx,$I290,2),IF(INDIRECT("'T"&amp;$I290&amp;"'!$D$"&amp;($J290+5),TRUE)=0,T_NoName,INDIRECT("'T"&amp;$I290&amp;"'!$D$"&amp;($J290+5),TRUE)),"")</f>
        <v/>
      </c>
      <c r="H290" s="230">
        <f t="array" aca="1" ref="H290" ca="1">IF(INDEX(ExistsTx,$I290,2),INDIRECT("'T"&amp;$I290&amp;"'!$E$"&amp;($J290+5),TRUE),0)</f>
        <v>0</v>
      </c>
      <c r="I290" s="229">
        <v>18</v>
      </c>
      <c r="J290" s="229">
        <v>16</v>
      </c>
      <c r="K290" s="230" t="str">
        <f t="array" aca="1" ref="K290" ca="1">INDEX(ListTeams,$I290,1)</f>
        <v/>
      </c>
      <c r="L290" s="230">
        <f t="array" aca="1" ref="L290" ca="1">IF(OR(NOT(INDEX(ExistsTx,$I290,2)),$H290=0),0,INDIRECT("'T"&amp;$I290&amp;"'!$M$"&amp;($J290+5),TRUE)+((1000-ROW())/10000000000000))</f>
        <v>0</v>
      </c>
      <c r="M290" s="230">
        <f t="array" aca="1" ref="M290" ca="1">IF(OR(NOT(INDEX(ExistsTx,$I290,2)),$H290=0),0,INDIRECT("'T"&amp;$I290&amp;"'!$N$"&amp;($J290+5),TRUE)+((1000-ROW())/10000000000000))</f>
        <v>0</v>
      </c>
      <c r="N290" s="230">
        <f t="array" aca="1" ref="N290" ca="1">IF(OR(NOT(INDEX(ExistsTx,$I290,2)),$H290=0),0,INDIRECT("'T"&amp;$I290&amp;"'!$O$"&amp;($J290+5),TRUE)+((1000-ROW())/10000000000000))</f>
        <v>0</v>
      </c>
      <c r="O290" s="230">
        <f t="array" aca="1" ref="O290" ca="1">IF(OR(NOT(INDEX(ExistsTx,$I290,2)),$H290=0),0,INDIRECT("'T"&amp;$I290&amp;"'!$P$"&amp;($J290+5),TRUE)+((1000-ROW())/10000000000000))</f>
        <v>0</v>
      </c>
      <c r="P290" s="230">
        <f t="array" aca="1" ref="P290" ca="1">IF(OR(NOT(INDEX(ExistsTx,$I290,2)),$H290=0),0,INDIRECT("'T"&amp;$I290&amp;"'!$Q$"&amp;($J290+5),TRUE)+((1000-ROW())/10000000000000))</f>
        <v>0</v>
      </c>
      <c r="Q290" s="230">
        <f t="shared" ca="1" si="58"/>
        <v>9.1285714377000001E-7</v>
      </c>
      <c r="R290" s="230"/>
      <c r="S290" s="230"/>
      <c r="T290" s="230"/>
      <c r="U290" s="230"/>
      <c r="V290" s="230"/>
      <c r="W290" s="230"/>
      <c r="X290" s="229"/>
      <c r="Y290" s="229"/>
      <c r="Z290" s="229"/>
      <c r="AA290" s="230"/>
      <c r="AB290" s="230"/>
      <c r="AC290" s="230"/>
      <c r="AD290" s="229"/>
      <c r="AE290" s="230"/>
    </row>
    <row r="291" spans="1:31" ht="12.75" customHeight="1">
      <c r="A291" s="229" t="str">
        <f t="shared" ca="1" si="52"/>
        <v/>
      </c>
      <c r="B291" s="229" t="str">
        <f t="shared" ca="1" si="53"/>
        <v/>
      </c>
      <c r="C291" s="229" t="str">
        <f t="shared" ca="1" si="54"/>
        <v/>
      </c>
      <c r="D291" s="229" t="str">
        <f t="shared" ca="1" si="55"/>
        <v/>
      </c>
      <c r="E291" s="229" t="str">
        <f t="shared" ca="1" si="56"/>
        <v/>
      </c>
      <c r="F291" s="229" t="str">
        <f t="shared" ca="1" si="57"/>
        <v/>
      </c>
      <c r="G291" s="230" t="str">
        <f t="array" aca="1" ref="G291" ca="1">IF(INDEX(ExistsTx,$I291,2),IF(INDIRECT("'T"&amp;$I291&amp;"'!$D$"&amp;($J291+5),TRUE)=0,T_NoName,INDIRECT("'T"&amp;$I291&amp;"'!$D$"&amp;($J291+5),TRUE)),"")</f>
        <v/>
      </c>
      <c r="H291" s="230">
        <f t="array" aca="1" ref="H291" ca="1">IF(INDEX(ExistsTx,$I291,2),INDIRECT("'T"&amp;$I291&amp;"'!$E$"&amp;($J291+5),TRUE),0)</f>
        <v>0</v>
      </c>
      <c r="I291" s="229">
        <v>19</v>
      </c>
      <c r="J291" s="229">
        <v>1</v>
      </c>
      <c r="K291" s="230" t="str">
        <f t="array" aca="1" ref="K291" ca="1">INDEX(ListTeams,$I291,1)</f>
        <v/>
      </c>
      <c r="L291" s="230">
        <f t="array" aca="1" ref="L291" ca="1">IF(OR(NOT(INDEX(ExistsTx,$I291,2)),$H291=0),0,INDIRECT("'T"&amp;$I291&amp;"'!$M$"&amp;($J291+5),TRUE)+((1000-ROW())/10000000000000))</f>
        <v>0</v>
      </c>
      <c r="M291" s="230">
        <f t="array" aca="1" ref="M291" ca="1">IF(OR(NOT(INDEX(ExistsTx,$I291,2)),$H291=0),0,INDIRECT("'T"&amp;$I291&amp;"'!$N$"&amp;($J291+5),TRUE)+((1000-ROW())/10000000000000))</f>
        <v>0</v>
      </c>
      <c r="N291" s="230">
        <f t="array" aca="1" ref="N291" ca="1">IF(OR(NOT(INDEX(ExistsTx,$I291,2)),$H291=0),0,INDIRECT("'T"&amp;$I291&amp;"'!$O$"&amp;($J291+5),TRUE)+((1000-ROW())/10000000000000))</f>
        <v>0</v>
      </c>
      <c r="O291" s="230">
        <f t="array" aca="1" ref="O291" ca="1">IF(OR(NOT(INDEX(ExistsTx,$I291,2)),$H291=0),0,INDIRECT("'T"&amp;$I291&amp;"'!$P$"&amp;($J291+5),TRUE)+((1000-ROW())/10000000000000))</f>
        <v>0</v>
      </c>
      <c r="P291" s="230">
        <f t="array" aca="1" ref="P291" ca="1">IF(OR(NOT(INDEX(ExistsTx,$I291,2)),$H291=0),0,INDIRECT("'T"&amp;$I291&amp;"'!$Q$"&amp;($J291+5),TRUE)+((1000-ROW())/10000000000000))</f>
        <v>0</v>
      </c>
      <c r="Q291" s="230">
        <f t="shared" ca="1" si="58"/>
        <v>9.11571429483E-7</v>
      </c>
      <c r="R291" s="230"/>
      <c r="S291" s="230"/>
      <c r="T291" s="230"/>
      <c r="U291" s="230"/>
      <c r="V291" s="230"/>
      <c r="W291" s="230"/>
      <c r="X291" s="229"/>
      <c r="Y291" s="229"/>
      <c r="Z291" s="229"/>
      <c r="AA291" s="230"/>
      <c r="AB291" s="230"/>
      <c r="AC291" s="230"/>
      <c r="AD291" s="229"/>
      <c r="AE291" s="230"/>
    </row>
    <row r="292" spans="1:31" ht="12.75" customHeight="1">
      <c r="A292" s="229" t="str">
        <f t="shared" ca="1" si="52"/>
        <v/>
      </c>
      <c r="B292" s="229" t="str">
        <f t="shared" ca="1" si="53"/>
        <v/>
      </c>
      <c r="C292" s="229" t="str">
        <f t="shared" ca="1" si="54"/>
        <v/>
      </c>
      <c r="D292" s="229" t="str">
        <f t="shared" ca="1" si="55"/>
        <v/>
      </c>
      <c r="E292" s="229" t="str">
        <f t="shared" ca="1" si="56"/>
        <v/>
      </c>
      <c r="F292" s="229" t="str">
        <f t="shared" ca="1" si="57"/>
        <v/>
      </c>
      <c r="G292" s="230" t="str">
        <f t="array" aca="1" ref="G292" ca="1">IF(INDEX(ExistsTx,$I292,2),IF(INDIRECT("'T"&amp;$I292&amp;"'!$D$"&amp;($J292+5),TRUE)=0,T_NoName,INDIRECT("'T"&amp;$I292&amp;"'!$D$"&amp;($J292+5),TRUE)),"")</f>
        <v/>
      </c>
      <c r="H292" s="230">
        <f t="array" aca="1" ref="H292" ca="1">IF(INDEX(ExistsTx,$I292,2),INDIRECT("'T"&amp;$I292&amp;"'!$E$"&amp;($J292+5),TRUE),0)</f>
        <v>0</v>
      </c>
      <c r="I292" s="229">
        <v>19</v>
      </c>
      <c r="J292" s="229">
        <v>2</v>
      </c>
      <c r="K292" s="230" t="str">
        <f t="array" aca="1" ref="K292" ca="1">INDEX(ListTeams,$I292,1)</f>
        <v/>
      </c>
      <c r="L292" s="230">
        <f t="array" aca="1" ref="L292" ca="1">IF(OR(NOT(INDEX(ExistsTx,$I292,2)),$H292=0),0,INDIRECT("'T"&amp;$I292&amp;"'!$M$"&amp;($J292+5),TRUE)+((1000-ROW())/10000000000000))</f>
        <v>0</v>
      </c>
      <c r="M292" s="230">
        <f t="array" aca="1" ref="M292" ca="1">IF(OR(NOT(INDEX(ExistsTx,$I292,2)),$H292=0),0,INDIRECT("'T"&amp;$I292&amp;"'!$N$"&amp;($J292+5),TRUE)+((1000-ROW())/10000000000000))</f>
        <v>0</v>
      </c>
      <c r="N292" s="230">
        <f t="array" aca="1" ref="N292" ca="1">IF(OR(NOT(INDEX(ExistsTx,$I292,2)),$H292=0),0,INDIRECT("'T"&amp;$I292&amp;"'!$O$"&amp;($J292+5),TRUE)+((1000-ROW())/10000000000000))</f>
        <v>0</v>
      </c>
      <c r="O292" s="230">
        <f t="array" aca="1" ref="O292" ca="1">IF(OR(NOT(INDEX(ExistsTx,$I292,2)),$H292=0),0,INDIRECT("'T"&amp;$I292&amp;"'!$P$"&amp;($J292+5),TRUE)+((1000-ROW())/10000000000000))</f>
        <v>0</v>
      </c>
      <c r="P292" s="230">
        <f t="array" aca="1" ref="P292" ca="1">IF(OR(NOT(INDEX(ExistsTx,$I292,2)),$H292=0),0,INDIRECT("'T"&amp;$I292&amp;"'!$Q$"&amp;($J292+5),TRUE)+((1000-ROW())/10000000000000))</f>
        <v>0</v>
      </c>
      <c r="Q292" s="230">
        <f t="shared" ca="1" si="58"/>
        <v>9.1028571519599998E-7</v>
      </c>
      <c r="R292" s="230"/>
      <c r="S292" s="230"/>
      <c r="T292" s="230"/>
      <c r="U292" s="230"/>
      <c r="V292" s="230"/>
      <c r="W292" s="230"/>
      <c r="X292" s="229"/>
      <c r="Y292" s="229"/>
      <c r="Z292" s="229"/>
      <c r="AA292" s="230"/>
      <c r="AB292" s="230"/>
      <c r="AC292" s="230"/>
      <c r="AD292" s="229"/>
      <c r="AE292" s="230"/>
    </row>
    <row r="293" spans="1:31" ht="12.75" customHeight="1">
      <c r="A293" s="229" t="str">
        <f t="shared" ca="1" si="52"/>
        <v/>
      </c>
      <c r="B293" s="229" t="str">
        <f t="shared" ca="1" si="53"/>
        <v/>
      </c>
      <c r="C293" s="229" t="str">
        <f t="shared" ca="1" si="54"/>
        <v/>
      </c>
      <c r="D293" s="229" t="str">
        <f t="shared" ca="1" si="55"/>
        <v/>
      </c>
      <c r="E293" s="229" t="str">
        <f t="shared" ca="1" si="56"/>
        <v/>
      </c>
      <c r="F293" s="229" t="str">
        <f t="shared" ca="1" si="57"/>
        <v/>
      </c>
      <c r="G293" s="230" t="str">
        <f t="array" aca="1" ref="G293" ca="1">IF(INDEX(ExistsTx,$I293,2),IF(INDIRECT("'T"&amp;$I293&amp;"'!$D$"&amp;($J293+5),TRUE)=0,T_NoName,INDIRECT("'T"&amp;$I293&amp;"'!$D$"&amp;($J293+5),TRUE)),"")</f>
        <v/>
      </c>
      <c r="H293" s="230">
        <f t="array" aca="1" ref="H293" ca="1">IF(INDEX(ExistsTx,$I293,2),INDIRECT("'T"&amp;$I293&amp;"'!$E$"&amp;($J293+5),TRUE),0)</f>
        <v>0</v>
      </c>
      <c r="I293" s="229">
        <v>19</v>
      </c>
      <c r="J293" s="229">
        <v>3</v>
      </c>
      <c r="K293" s="230" t="str">
        <f t="array" aca="1" ref="K293" ca="1">INDEX(ListTeams,$I293,1)</f>
        <v/>
      </c>
      <c r="L293" s="230">
        <f t="array" aca="1" ref="L293" ca="1">IF(OR(NOT(INDEX(ExistsTx,$I293,2)),$H293=0),0,INDIRECT("'T"&amp;$I293&amp;"'!$M$"&amp;($J293+5),TRUE)+((1000-ROW())/10000000000000))</f>
        <v>0</v>
      </c>
      <c r="M293" s="230">
        <f t="array" aca="1" ref="M293" ca="1">IF(OR(NOT(INDEX(ExistsTx,$I293,2)),$H293=0),0,INDIRECT("'T"&amp;$I293&amp;"'!$N$"&amp;($J293+5),TRUE)+((1000-ROW())/10000000000000))</f>
        <v>0</v>
      </c>
      <c r="N293" s="230">
        <f t="array" aca="1" ref="N293" ca="1">IF(OR(NOT(INDEX(ExistsTx,$I293,2)),$H293=0),0,INDIRECT("'T"&amp;$I293&amp;"'!$O$"&amp;($J293+5),TRUE)+((1000-ROW())/10000000000000))</f>
        <v>0</v>
      </c>
      <c r="O293" s="230">
        <f t="array" aca="1" ref="O293" ca="1">IF(OR(NOT(INDEX(ExistsTx,$I293,2)),$H293=0),0,INDIRECT("'T"&amp;$I293&amp;"'!$P$"&amp;($J293+5),TRUE)+((1000-ROW())/10000000000000))</f>
        <v>0</v>
      </c>
      <c r="P293" s="230">
        <f t="array" aca="1" ref="P293" ca="1">IF(OR(NOT(INDEX(ExistsTx,$I293,2)),$H293=0),0,INDIRECT("'T"&amp;$I293&amp;"'!$Q$"&amp;($J293+5),TRUE)+((1000-ROW())/10000000000000))</f>
        <v>0</v>
      </c>
      <c r="Q293" s="230">
        <f t="shared" ca="1" si="58"/>
        <v>9.0900000090899997E-7</v>
      </c>
      <c r="R293" s="230"/>
      <c r="S293" s="230"/>
      <c r="T293" s="230"/>
      <c r="U293" s="230"/>
      <c r="V293" s="230"/>
      <c r="W293" s="230"/>
      <c r="X293" s="229"/>
      <c r="Y293" s="229"/>
      <c r="Z293" s="229"/>
      <c r="AA293" s="230"/>
      <c r="AB293" s="230"/>
      <c r="AC293" s="230"/>
      <c r="AD293" s="229"/>
      <c r="AE293" s="230"/>
    </row>
    <row r="294" spans="1:31" ht="12.75" customHeight="1">
      <c r="A294" s="229" t="str">
        <f t="shared" ca="1" si="52"/>
        <v/>
      </c>
      <c r="B294" s="229" t="str">
        <f t="shared" ca="1" si="53"/>
        <v/>
      </c>
      <c r="C294" s="229" t="str">
        <f t="shared" ca="1" si="54"/>
        <v/>
      </c>
      <c r="D294" s="229" t="str">
        <f t="shared" ca="1" si="55"/>
        <v/>
      </c>
      <c r="E294" s="229" t="str">
        <f t="shared" ca="1" si="56"/>
        <v/>
      </c>
      <c r="F294" s="229" t="str">
        <f t="shared" ca="1" si="57"/>
        <v/>
      </c>
      <c r="G294" s="230" t="str">
        <f t="array" aca="1" ref="G294" ca="1">IF(INDEX(ExistsTx,$I294,2),IF(INDIRECT("'T"&amp;$I294&amp;"'!$D$"&amp;($J294+5),TRUE)=0,T_NoName,INDIRECT("'T"&amp;$I294&amp;"'!$D$"&amp;($J294+5),TRUE)),"")</f>
        <v/>
      </c>
      <c r="H294" s="230">
        <f t="array" aca="1" ref="H294" ca="1">IF(INDEX(ExistsTx,$I294,2),INDIRECT("'T"&amp;$I294&amp;"'!$E$"&amp;($J294+5),TRUE),0)</f>
        <v>0</v>
      </c>
      <c r="I294" s="229">
        <v>19</v>
      </c>
      <c r="J294" s="229">
        <v>4</v>
      </c>
      <c r="K294" s="230" t="str">
        <f t="array" aca="1" ref="K294" ca="1">INDEX(ListTeams,$I294,1)</f>
        <v/>
      </c>
      <c r="L294" s="230">
        <f t="array" aca="1" ref="L294" ca="1">IF(OR(NOT(INDEX(ExistsTx,$I294,2)),$H294=0),0,INDIRECT("'T"&amp;$I294&amp;"'!$M$"&amp;($J294+5),TRUE)+((1000-ROW())/10000000000000))</f>
        <v>0</v>
      </c>
      <c r="M294" s="230">
        <f t="array" aca="1" ref="M294" ca="1">IF(OR(NOT(INDEX(ExistsTx,$I294,2)),$H294=0),0,INDIRECT("'T"&amp;$I294&amp;"'!$N$"&amp;($J294+5),TRUE)+((1000-ROW())/10000000000000))</f>
        <v>0</v>
      </c>
      <c r="N294" s="230">
        <f t="array" aca="1" ref="N294" ca="1">IF(OR(NOT(INDEX(ExistsTx,$I294,2)),$H294=0),0,INDIRECT("'T"&amp;$I294&amp;"'!$O$"&amp;($J294+5),TRUE)+((1000-ROW())/10000000000000))</f>
        <v>0</v>
      </c>
      <c r="O294" s="230">
        <f t="array" aca="1" ref="O294" ca="1">IF(OR(NOT(INDEX(ExistsTx,$I294,2)),$H294=0),0,INDIRECT("'T"&amp;$I294&amp;"'!$P$"&amp;($J294+5),TRUE)+((1000-ROW())/10000000000000))</f>
        <v>0</v>
      </c>
      <c r="P294" s="230">
        <f t="array" aca="1" ref="P294" ca="1">IF(OR(NOT(INDEX(ExistsTx,$I294,2)),$H294=0),0,INDIRECT("'T"&amp;$I294&amp;"'!$Q$"&amp;($J294+5),TRUE)+((1000-ROW())/10000000000000))</f>
        <v>0</v>
      </c>
      <c r="Q294" s="230">
        <f t="shared" ca="1" si="58"/>
        <v>9.0771428662199996E-7</v>
      </c>
      <c r="R294" s="230"/>
      <c r="S294" s="230"/>
      <c r="T294" s="230"/>
      <c r="U294" s="230"/>
      <c r="V294" s="230"/>
      <c r="W294" s="230"/>
      <c r="X294" s="229"/>
      <c r="Y294" s="229"/>
      <c r="Z294" s="229"/>
      <c r="AA294" s="230"/>
      <c r="AB294" s="230"/>
      <c r="AC294" s="230"/>
      <c r="AD294" s="229"/>
      <c r="AE294" s="230"/>
    </row>
    <row r="295" spans="1:31" ht="12.75" customHeight="1">
      <c r="A295" s="229" t="str">
        <f t="shared" ca="1" si="52"/>
        <v/>
      </c>
      <c r="B295" s="229" t="str">
        <f t="shared" ca="1" si="53"/>
        <v/>
      </c>
      <c r="C295" s="229" t="str">
        <f t="shared" ca="1" si="54"/>
        <v/>
      </c>
      <c r="D295" s="229" t="str">
        <f t="shared" ca="1" si="55"/>
        <v/>
      </c>
      <c r="E295" s="229" t="str">
        <f t="shared" ca="1" si="56"/>
        <v/>
      </c>
      <c r="F295" s="229" t="str">
        <f t="shared" ca="1" si="57"/>
        <v/>
      </c>
      <c r="G295" s="230" t="str">
        <f t="array" aca="1" ref="G295" ca="1">IF(INDEX(ExistsTx,$I295,2),IF(INDIRECT("'T"&amp;$I295&amp;"'!$D$"&amp;($J295+5),TRUE)=0,T_NoName,INDIRECT("'T"&amp;$I295&amp;"'!$D$"&amp;($J295+5),TRUE)),"")</f>
        <v/>
      </c>
      <c r="H295" s="230">
        <f t="array" aca="1" ref="H295" ca="1">IF(INDEX(ExistsTx,$I295,2),INDIRECT("'T"&amp;$I295&amp;"'!$E$"&amp;($J295+5),TRUE),0)</f>
        <v>0</v>
      </c>
      <c r="I295" s="229">
        <v>19</v>
      </c>
      <c r="J295" s="229">
        <v>5</v>
      </c>
      <c r="K295" s="230" t="str">
        <f t="array" aca="1" ref="K295" ca="1">INDEX(ListTeams,$I295,1)</f>
        <v/>
      </c>
      <c r="L295" s="230">
        <f t="array" aca="1" ref="L295" ca="1">IF(OR(NOT(INDEX(ExistsTx,$I295,2)),$H295=0),0,INDIRECT("'T"&amp;$I295&amp;"'!$M$"&amp;($J295+5),TRUE)+((1000-ROW())/10000000000000))</f>
        <v>0</v>
      </c>
      <c r="M295" s="230">
        <f t="array" aca="1" ref="M295" ca="1">IF(OR(NOT(INDEX(ExistsTx,$I295,2)),$H295=0),0,INDIRECT("'T"&amp;$I295&amp;"'!$N$"&amp;($J295+5),TRUE)+((1000-ROW())/10000000000000))</f>
        <v>0</v>
      </c>
      <c r="N295" s="230">
        <f t="array" aca="1" ref="N295" ca="1">IF(OR(NOT(INDEX(ExistsTx,$I295,2)),$H295=0),0,INDIRECT("'T"&amp;$I295&amp;"'!$O$"&amp;($J295+5),TRUE)+((1000-ROW())/10000000000000))</f>
        <v>0</v>
      </c>
      <c r="O295" s="230">
        <f t="array" aca="1" ref="O295" ca="1">IF(OR(NOT(INDEX(ExistsTx,$I295,2)),$H295=0),0,INDIRECT("'T"&amp;$I295&amp;"'!$P$"&amp;($J295+5),TRUE)+((1000-ROW())/10000000000000))</f>
        <v>0</v>
      </c>
      <c r="P295" s="230">
        <f t="array" aca="1" ref="P295" ca="1">IF(OR(NOT(INDEX(ExistsTx,$I295,2)),$H295=0),0,INDIRECT("'T"&amp;$I295&amp;"'!$Q$"&amp;($J295+5),TRUE)+((1000-ROW())/10000000000000))</f>
        <v>0</v>
      </c>
      <c r="Q295" s="230">
        <f t="shared" ca="1" si="58"/>
        <v>9.0642857233499995E-7</v>
      </c>
      <c r="R295" s="230"/>
      <c r="S295" s="230"/>
      <c r="T295" s="230"/>
      <c r="U295" s="230"/>
      <c r="V295" s="230"/>
      <c r="W295" s="230"/>
      <c r="X295" s="229"/>
      <c r="Y295" s="229"/>
      <c r="Z295" s="229"/>
      <c r="AA295" s="230"/>
      <c r="AB295" s="230"/>
      <c r="AC295" s="230"/>
      <c r="AD295" s="229"/>
      <c r="AE295" s="230"/>
    </row>
    <row r="296" spans="1:31" ht="12.75" customHeight="1">
      <c r="A296" s="229" t="str">
        <f t="shared" ca="1" si="52"/>
        <v/>
      </c>
      <c r="B296" s="229" t="str">
        <f t="shared" ca="1" si="53"/>
        <v/>
      </c>
      <c r="C296" s="229" t="str">
        <f t="shared" ca="1" si="54"/>
        <v/>
      </c>
      <c r="D296" s="229" t="str">
        <f t="shared" ca="1" si="55"/>
        <v/>
      </c>
      <c r="E296" s="229" t="str">
        <f t="shared" ca="1" si="56"/>
        <v/>
      </c>
      <c r="F296" s="229" t="str">
        <f t="shared" ca="1" si="57"/>
        <v/>
      </c>
      <c r="G296" s="230" t="str">
        <f t="array" aca="1" ref="G296" ca="1">IF(INDEX(ExistsTx,$I296,2),IF(INDIRECT("'T"&amp;$I296&amp;"'!$D$"&amp;($J296+5),TRUE)=0,T_NoName,INDIRECT("'T"&amp;$I296&amp;"'!$D$"&amp;($J296+5),TRUE)),"")</f>
        <v/>
      </c>
      <c r="H296" s="230">
        <f t="array" aca="1" ref="H296" ca="1">IF(INDEX(ExistsTx,$I296,2),INDIRECT("'T"&amp;$I296&amp;"'!$E$"&amp;($J296+5),TRUE),0)</f>
        <v>0</v>
      </c>
      <c r="I296" s="229">
        <v>19</v>
      </c>
      <c r="J296" s="229">
        <v>6</v>
      </c>
      <c r="K296" s="230" t="str">
        <f t="array" aca="1" ref="K296" ca="1">INDEX(ListTeams,$I296,1)</f>
        <v/>
      </c>
      <c r="L296" s="230">
        <f t="array" aca="1" ref="L296" ca="1">IF(OR(NOT(INDEX(ExistsTx,$I296,2)),$H296=0),0,INDIRECT("'T"&amp;$I296&amp;"'!$M$"&amp;($J296+5),TRUE)+((1000-ROW())/10000000000000))</f>
        <v>0</v>
      </c>
      <c r="M296" s="230">
        <f t="array" aca="1" ref="M296" ca="1">IF(OR(NOT(INDEX(ExistsTx,$I296,2)),$H296=0),0,INDIRECT("'T"&amp;$I296&amp;"'!$N$"&amp;($J296+5),TRUE)+((1000-ROW())/10000000000000))</f>
        <v>0</v>
      </c>
      <c r="N296" s="230">
        <f t="array" aca="1" ref="N296" ca="1">IF(OR(NOT(INDEX(ExistsTx,$I296,2)),$H296=0),0,INDIRECT("'T"&amp;$I296&amp;"'!$O$"&amp;($J296+5),TRUE)+((1000-ROW())/10000000000000))</f>
        <v>0</v>
      </c>
      <c r="O296" s="230">
        <f t="array" aca="1" ref="O296" ca="1">IF(OR(NOT(INDEX(ExistsTx,$I296,2)),$H296=0),0,INDIRECT("'T"&amp;$I296&amp;"'!$P$"&amp;($J296+5),TRUE)+((1000-ROW())/10000000000000))</f>
        <v>0</v>
      </c>
      <c r="P296" s="230">
        <f t="array" aca="1" ref="P296" ca="1">IF(OR(NOT(INDEX(ExistsTx,$I296,2)),$H296=0),0,INDIRECT("'T"&amp;$I296&amp;"'!$Q$"&amp;($J296+5),TRUE)+((1000-ROW())/10000000000000))</f>
        <v>0</v>
      </c>
      <c r="Q296" s="230">
        <f t="shared" ca="1" si="58"/>
        <v>9.0514285804800004E-7</v>
      </c>
      <c r="R296" s="230"/>
      <c r="S296" s="230"/>
      <c r="T296" s="230"/>
      <c r="U296" s="230"/>
      <c r="V296" s="230"/>
      <c r="W296" s="230"/>
      <c r="X296" s="229"/>
      <c r="Y296" s="229"/>
      <c r="Z296" s="229"/>
      <c r="AA296" s="230"/>
      <c r="AB296" s="230"/>
      <c r="AC296" s="230"/>
      <c r="AD296" s="229"/>
      <c r="AE296" s="230"/>
    </row>
    <row r="297" spans="1:31" ht="12.75" customHeight="1">
      <c r="A297" s="229" t="str">
        <f t="shared" ca="1" si="52"/>
        <v/>
      </c>
      <c r="B297" s="229" t="str">
        <f t="shared" ca="1" si="53"/>
        <v/>
      </c>
      <c r="C297" s="229" t="str">
        <f t="shared" ca="1" si="54"/>
        <v/>
      </c>
      <c r="D297" s="229" t="str">
        <f t="shared" ca="1" si="55"/>
        <v/>
      </c>
      <c r="E297" s="229" t="str">
        <f t="shared" ca="1" si="56"/>
        <v/>
      </c>
      <c r="F297" s="229" t="str">
        <f t="shared" ca="1" si="57"/>
        <v/>
      </c>
      <c r="G297" s="230" t="str">
        <f t="array" aca="1" ref="G297" ca="1">IF(INDEX(ExistsTx,$I297,2),IF(INDIRECT("'T"&amp;$I297&amp;"'!$D$"&amp;($J297+5),TRUE)=0,T_NoName,INDIRECT("'T"&amp;$I297&amp;"'!$D$"&amp;($J297+5),TRUE)),"")</f>
        <v/>
      </c>
      <c r="H297" s="230">
        <f t="array" aca="1" ref="H297" ca="1">IF(INDEX(ExistsTx,$I297,2),INDIRECT("'T"&amp;$I297&amp;"'!$E$"&amp;($J297+5),TRUE),0)</f>
        <v>0</v>
      </c>
      <c r="I297" s="229">
        <v>19</v>
      </c>
      <c r="J297" s="229">
        <v>7</v>
      </c>
      <c r="K297" s="230" t="str">
        <f t="array" aca="1" ref="K297" ca="1">INDEX(ListTeams,$I297,1)</f>
        <v/>
      </c>
      <c r="L297" s="230">
        <f t="array" aca="1" ref="L297" ca="1">IF(OR(NOT(INDEX(ExistsTx,$I297,2)),$H297=0),0,INDIRECT("'T"&amp;$I297&amp;"'!$M$"&amp;($J297+5),TRUE)+((1000-ROW())/10000000000000))</f>
        <v>0</v>
      </c>
      <c r="M297" s="230">
        <f t="array" aca="1" ref="M297" ca="1">IF(OR(NOT(INDEX(ExistsTx,$I297,2)),$H297=0),0,INDIRECT("'T"&amp;$I297&amp;"'!$N$"&amp;($J297+5),TRUE)+((1000-ROW())/10000000000000))</f>
        <v>0</v>
      </c>
      <c r="N297" s="230">
        <f t="array" aca="1" ref="N297" ca="1">IF(OR(NOT(INDEX(ExistsTx,$I297,2)),$H297=0),0,INDIRECT("'T"&amp;$I297&amp;"'!$O$"&amp;($J297+5),TRUE)+((1000-ROW())/10000000000000))</f>
        <v>0</v>
      </c>
      <c r="O297" s="230">
        <f t="array" aca="1" ref="O297" ca="1">IF(OR(NOT(INDEX(ExistsTx,$I297,2)),$H297=0),0,INDIRECT("'T"&amp;$I297&amp;"'!$P$"&amp;($J297+5),TRUE)+((1000-ROW())/10000000000000))</f>
        <v>0</v>
      </c>
      <c r="P297" s="230">
        <f t="array" aca="1" ref="P297" ca="1">IF(OR(NOT(INDEX(ExistsTx,$I297,2)),$H297=0),0,INDIRECT("'T"&amp;$I297&amp;"'!$Q$"&amp;($J297+5),TRUE)+((1000-ROW())/10000000000000))</f>
        <v>0</v>
      </c>
      <c r="Q297" s="230">
        <f t="shared" ca="1" si="58"/>
        <v>9.0385714376100003E-7</v>
      </c>
      <c r="R297" s="230"/>
      <c r="S297" s="230"/>
      <c r="T297" s="230"/>
      <c r="U297" s="230"/>
      <c r="V297" s="230"/>
      <c r="W297" s="230"/>
      <c r="X297" s="229"/>
      <c r="Y297" s="229"/>
      <c r="Z297" s="229"/>
      <c r="AA297" s="230"/>
      <c r="AB297" s="230"/>
      <c r="AC297" s="230"/>
      <c r="AD297" s="229"/>
      <c r="AE297" s="230"/>
    </row>
    <row r="298" spans="1:31" ht="12.75" customHeight="1">
      <c r="A298" s="229" t="str">
        <f t="shared" ca="1" si="52"/>
        <v/>
      </c>
      <c r="B298" s="229" t="str">
        <f t="shared" ca="1" si="53"/>
        <v/>
      </c>
      <c r="C298" s="229" t="str">
        <f t="shared" ca="1" si="54"/>
        <v/>
      </c>
      <c r="D298" s="229" t="str">
        <f t="shared" ca="1" si="55"/>
        <v/>
      </c>
      <c r="E298" s="229" t="str">
        <f t="shared" ca="1" si="56"/>
        <v/>
      </c>
      <c r="F298" s="229" t="str">
        <f t="shared" ca="1" si="57"/>
        <v/>
      </c>
      <c r="G298" s="230" t="str">
        <f t="array" aca="1" ref="G298" ca="1">IF(INDEX(ExistsTx,$I298,2),IF(INDIRECT("'T"&amp;$I298&amp;"'!$D$"&amp;($J298+5),TRUE)=0,T_NoName,INDIRECT("'T"&amp;$I298&amp;"'!$D$"&amp;($J298+5),TRUE)),"")</f>
        <v/>
      </c>
      <c r="H298" s="230">
        <f t="array" aca="1" ref="H298" ca="1">IF(INDEX(ExistsTx,$I298,2),INDIRECT("'T"&amp;$I298&amp;"'!$E$"&amp;($J298+5),TRUE),0)</f>
        <v>0</v>
      </c>
      <c r="I298" s="229">
        <v>19</v>
      </c>
      <c r="J298" s="229">
        <v>8</v>
      </c>
      <c r="K298" s="230" t="str">
        <f t="array" aca="1" ref="K298" ca="1">INDEX(ListTeams,$I298,1)</f>
        <v/>
      </c>
      <c r="L298" s="230">
        <f t="array" aca="1" ref="L298" ca="1">IF(OR(NOT(INDEX(ExistsTx,$I298,2)),$H298=0),0,INDIRECT("'T"&amp;$I298&amp;"'!$M$"&amp;($J298+5),TRUE)+((1000-ROW())/10000000000000))</f>
        <v>0</v>
      </c>
      <c r="M298" s="230">
        <f t="array" aca="1" ref="M298" ca="1">IF(OR(NOT(INDEX(ExistsTx,$I298,2)),$H298=0),0,INDIRECT("'T"&amp;$I298&amp;"'!$N$"&amp;($J298+5),TRUE)+((1000-ROW())/10000000000000))</f>
        <v>0</v>
      </c>
      <c r="N298" s="230">
        <f t="array" aca="1" ref="N298" ca="1">IF(OR(NOT(INDEX(ExistsTx,$I298,2)),$H298=0),0,INDIRECT("'T"&amp;$I298&amp;"'!$O$"&amp;($J298+5),TRUE)+((1000-ROW())/10000000000000))</f>
        <v>0</v>
      </c>
      <c r="O298" s="230">
        <f t="array" aca="1" ref="O298" ca="1">IF(OR(NOT(INDEX(ExistsTx,$I298,2)),$H298=0),0,INDIRECT("'T"&amp;$I298&amp;"'!$P$"&amp;($J298+5),TRUE)+((1000-ROW())/10000000000000))</f>
        <v>0</v>
      </c>
      <c r="P298" s="230">
        <f t="array" aca="1" ref="P298" ca="1">IF(OR(NOT(INDEX(ExistsTx,$I298,2)),$H298=0),0,INDIRECT("'T"&amp;$I298&amp;"'!$Q$"&amp;($J298+5),TRUE)+((1000-ROW())/10000000000000))</f>
        <v>0</v>
      </c>
      <c r="Q298" s="230">
        <f t="shared" ca="1" si="58"/>
        <v>9.0257142947400002E-7</v>
      </c>
      <c r="R298" s="230"/>
      <c r="S298" s="230"/>
      <c r="T298" s="230"/>
      <c r="U298" s="230"/>
      <c r="V298" s="230"/>
      <c r="W298" s="230"/>
      <c r="X298" s="229"/>
      <c r="Y298" s="229"/>
      <c r="Z298" s="229"/>
      <c r="AA298" s="230"/>
      <c r="AB298" s="230"/>
      <c r="AC298" s="230"/>
      <c r="AD298" s="229"/>
      <c r="AE298" s="230"/>
    </row>
    <row r="299" spans="1:31" ht="12.75" customHeight="1">
      <c r="A299" s="229" t="str">
        <f t="shared" ca="1" si="52"/>
        <v/>
      </c>
      <c r="B299" s="229" t="str">
        <f t="shared" ca="1" si="53"/>
        <v/>
      </c>
      <c r="C299" s="229" t="str">
        <f t="shared" ca="1" si="54"/>
        <v/>
      </c>
      <c r="D299" s="229" t="str">
        <f t="shared" ca="1" si="55"/>
        <v/>
      </c>
      <c r="E299" s="229" t="str">
        <f t="shared" ca="1" si="56"/>
        <v/>
      </c>
      <c r="F299" s="229" t="str">
        <f t="shared" ca="1" si="57"/>
        <v/>
      </c>
      <c r="G299" s="230" t="str">
        <f t="array" aca="1" ref="G299" ca="1">IF(INDEX(ExistsTx,$I299,2),IF(INDIRECT("'T"&amp;$I299&amp;"'!$D$"&amp;($J299+5),TRUE)=0,T_NoName,INDIRECT("'T"&amp;$I299&amp;"'!$D$"&amp;($J299+5),TRUE)),"")</f>
        <v/>
      </c>
      <c r="H299" s="230">
        <f t="array" aca="1" ref="H299" ca="1">IF(INDEX(ExistsTx,$I299,2),INDIRECT("'T"&amp;$I299&amp;"'!$E$"&amp;($J299+5),TRUE),0)</f>
        <v>0</v>
      </c>
      <c r="I299" s="229">
        <v>19</v>
      </c>
      <c r="J299" s="229">
        <v>9</v>
      </c>
      <c r="K299" s="230" t="str">
        <f t="array" aca="1" ref="K299" ca="1">INDEX(ListTeams,$I299,1)</f>
        <v/>
      </c>
      <c r="L299" s="230">
        <f t="array" aca="1" ref="L299" ca="1">IF(OR(NOT(INDEX(ExistsTx,$I299,2)),$H299=0),0,INDIRECT("'T"&amp;$I299&amp;"'!$M$"&amp;($J299+5),TRUE)+((1000-ROW())/10000000000000))</f>
        <v>0</v>
      </c>
      <c r="M299" s="230">
        <f t="array" aca="1" ref="M299" ca="1">IF(OR(NOT(INDEX(ExistsTx,$I299,2)),$H299=0),0,INDIRECT("'T"&amp;$I299&amp;"'!$N$"&amp;($J299+5),TRUE)+((1000-ROW())/10000000000000))</f>
        <v>0</v>
      </c>
      <c r="N299" s="230">
        <f t="array" aca="1" ref="N299" ca="1">IF(OR(NOT(INDEX(ExistsTx,$I299,2)),$H299=0),0,INDIRECT("'T"&amp;$I299&amp;"'!$O$"&amp;($J299+5),TRUE)+((1000-ROW())/10000000000000))</f>
        <v>0</v>
      </c>
      <c r="O299" s="230">
        <f t="array" aca="1" ref="O299" ca="1">IF(OR(NOT(INDEX(ExistsTx,$I299,2)),$H299=0),0,INDIRECT("'T"&amp;$I299&amp;"'!$P$"&amp;($J299+5),TRUE)+((1000-ROW())/10000000000000))</f>
        <v>0</v>
      </c>
      <c r="P299" s="230">
        <f t="array" aca="1" ref="P299" ca="1">IF(OR(NOT(INDEX(ExistsTx,$I299,2)),$H299=0),0,INDIRECT("'T"&amp;$I299&amp;"'!$Q$"&amp;($J299+5),TRUE)+((1000-ROW())/10000000000000))</f>
        <v>0</v>
      </c>
      <c r="Q299" s="230">
        <f t="shared" ca="1" si="58"/>
        <v>9.0128571518700001E-7</v>
      </c>
      <c r="R299" s="230"/>
      <c r="S299" s="230"/>
      <c r="T299" s="230"/>
      <c r="U299" s="230"/>
      <c r="V299" s="230"/>
      <c r="W299" s="230"/>
      <c r="X299" s="229"/>
      <c r="Y299" s="229"/>
      <c r="Z299" s="229"/>
      <c r="AA299" s="230"/>
      <c r="AB299" s="230"/>
      <c r="AC299" s="230"/>
      <c r="AD299" s="229"/>
      <c r="AE299" s="230"/>
    </row>
    <row r="300" spans="1:31" ht="12.75" customHeight="1">
      <c r="A300" s="229" t="str">
        <f t="shared" ca="1" si="52"/>
        <v/>
      </c>
      <c r="B300" s="229" t="str">
        <f t="shared" ca="1" si="53"/>
        <v/>
      </c>
      <c r="C300" s="229" t="str">
        <f t="shared" ca="1" si="54"/>
        <v/>
      </c>
      <c r="D300" s="229" t="str">
        <f t="shared" ca="1" si="55"/>
        <v/>
      </c>
      <c r="E300" s="229" t="str">
        <f t="shared" ca="1" si="56"/>
        <v/>
      </c>
      <c r="F300" s="229" t="str">
        <f t="shared" ca="1" si="57"/>
        <v/>
      </c>
      <c r="G300" s="230" t="str">
        <f t="array" aca="1" ref="G300" ca="1">IF(INDEX(ExistsTx,$I300,2),IF(INDIRECT("'T"&amp;$I300&amp;"'!$D$"&amp;($J300+5),TRUE)=0,T_NoName,INDIRECT("'T"&amp;$I300&amp;"'!$D$"&amp;($J300+5),TRUE)),"")</f>
        <v/>
      </c>
      <c r="H300" s="230">
        <f t="array" aca="1" ref="H300" ca="1">IF(INDEX(ExistsTx,$I300,2),INDIRECT("'T"&amp;$I300&amp;"'!$E$"&amp;($J300+5),TRUE),0)</f>
        <v>0</v>
      </c>
      <c r="I300" s="229">
        <v>19</v>
      </c>
      <c r="J300" s="229">
        <v>10</v>
      </c>
      <c r="K300" s="230" t="str">
        <f t="array" aca="1" ref="K300" ca="1">INDEX(ListTeams,$I300,1)</f>
        <v/>
      </c>
      <c r="L300" s="230">
        <f t="array" aca="1" ref="L300" ca="1">IF(OR(NOT(INDEX(ExistsTx,$I300,2)),$H300=0),0,INDIRECT("'T"&amp;$I300&amp;"'!$M$"&amp;($J300+5),TRUE)+((1000-ROW())/10000000000000))</f>
        <v>0</v>
      </c>
      <c r="M300" s="230">
        <f t="array" aca="1" ref="M300" ca="1">IF(OR(NOT(INDEX(ExistsTx,$I300,2)),$H300=0),0,INDIRECT("'T"&amp;$I300&amp;"'!$N$"&amp;($J300+5),TRUE)+((1000-ROW())/10000000000000))</f>
        <v>0</v>
      </c>
      <c r="N300" s="230">
        <f t="array" aca="1" ref="N300" ca="1">IF(OR(NOT(INDEX(ExistsTx,$I300,2)),$H300=0),0,INDIRECT("'T"&amp;$I300&amp;"'!$O$"&amp;($J300+5),TRUE)+((1000-ROW())/10000000000000))</f>
        <v>0</v>
      </c>
      <c r="O300" s="230">
        <f t="array" aca="1" ref="O300" ca="1">IF(OR(NOT(INDEX(ExistsTx,$I300,2)),$H300=0),0,INDIRECT("'T"&amp;$I300&amp;"'!$P$"&amp;($J300+5),TRUE)+((1000-ROW())/10000000000000))</f>
        <v>0</v>
      </c>
      <c r="P300" s="230">
        <f t="array" aca="1" ref="P300" ca="1">IF(OR(NOT(INDEX(ExistsTx,$I300,2)),$H300=0),0,INDIRECT("'T"&amp;$I300&amp;"'!$Q$"&amp;($J300+5),TRUE)+((1000-ROW())/10000000000000))</f>
        <v>0</v>
      </c>
      <c r="Q300" s="230">
        <f t="shared" ca="1" si="58"/>
        <v>9.0000000089999999E-7</v>
      </c>
      <c r="R300" s="230"/>
      <c r="S300" s="230"/>
      <c r="T300" s="230"/>
      <c r="U300" s="230"/>
      <c r="V300" s="230"/>
      <c r="W300" s="230"/>
      <c r="X300" s="229"/>
      <c r="Y300" s="229"/>
      <c r="Z300" s="229"/>
      <c r="AA300" s="230"/>
      <c r="AB300" s="230"/>
      <c r="AC300" s="230"/>
      <c r="AD300" s="229"/>
      <c r="AE300" s="230"/>
    </row>
    <row r="301" spans="1:31" ht="12.75" customHeight="1">
      <c r="A301" s="229" t="str">
        <f t="shared" ca="1" si="52"/>
        <v/>
      </c>
      <c r="B301" s="229" t="str">
        <f t="shared" ca="1" si="53"/>
        <v/>
      </c>
      <c r="C301" s="229" t="str">
        <f t="shared" ca="1" si="54"/>
        <v/>
      </c>
      <c r="D301" s="229" t="str">
        <f t="shared" ca="1" si="55"/>
        <v/>
      </c>
      <c r="E301" s="229" t="str">
        <f t="shared" ca="1" si="56"/>
        <v/>
      </c>
      <c r="F301" s="229" t="str">
        <f t="shared" ca="1" si="57"/>
        <v/>
      </c>
      <c r="G301" s="230" t="str">
        <f t="array" aca="1" ref="G301" ca="1">IF(INDEX(ExistsTx,$I301,2),IF(INDIRECT("'T"&amp;$I301&amp;"'!$D$"&amp;($J301+5),TRUE)=0,T_NoName,INDIRECT("'T"&amp;$I301&amp;"'!$D$"&amp;($J301+5),TRUE)),"")</f>
        <v/>
      </c>
      <c r="H301" s="230">
        <f t="array" aca="1" ref="H301" ca="1">IF(INDEX(ExistsTx,$I301,2),INDIRECT("'T"&amp;$I301&amp;"'!$E$"&amp;($J301+5),TRUE),0)</f>
        <v>0</v>
      </c>
      <c r="I301" s="229">
        <v>19</v>
      </c>
      <c r="J301" s="229">
        <v>11</v>
      </c>
      <c r="K301" s="230" t="str">
        <f t="array" aca="1" ref="K301" ca="1">INDEX(ListTeams,$I301,1)</f>
        <v/>
      </c>
      <c r="L301" s="230">
        <f t="array" aca="1" ref="L301" ca="1">IF(OR(NOT(INDEX(ExistsTx,$I301,2)),$H301=0),0,INDIRECT("'T"&amp;$I301&amp;"'!$M$"&amp;($J301+5),TRUE)+((1000-ROW())/10000000000000))</f>
        <v>0</v>
      </c>
      <c r="M301" s="230">
        <f t="array" aca="1" ref="M301" ca="1">IF(OR(NOT(INDEX(ExistsTx,$I301,2)),$H301=0),0,INDIRECT("'T"&amp;$I301&amp;"'!$N$"&amp;($J301+5),TRUE)+((1000-ROW())/10000000000000))</f>
        <v>0</v>
      </c>
      <c r="N301" s="230">
        <f t="array" aca="1" ref="N301" ca="1">IF(OR(NOT(INDEX(ExistsTx,$I301,2)),$H301=0),0,INDIRECT("'T"&amp;$I301&amp;"'!$O$"&amp;($J301+5),TRUE)+((1000-ROW())/10000000000000))</f>
        <v>0</v>
      </c>
      <c r="O301" s="230">
        <f t="array" aca="1" ref="O301" ca="1">IF(OR(NOT(INDEX(ExistsTx,$I301,2)),$H301=0),0,INDIRECT("'T"&amp;$I301&amp;"'!$P$"&amp;($J301+5),TRUE)+((1000-ROW())/10000000000000))</f>
        <v>0</v>
      </c>
      <c r="P301" s="230">
        <f t="array" aca="1" ref="P301" ca="1">IF(OR(NOT(INDEX(ExistsTx,$I301,2)),$H301=0),0,INDIRECT("'T"&amp;$I301&amp;"'!$Q$"&amp;($J301+5),TRUE)+((1000-ROW())/10000000000000))</f>
        <v>0</v>
      </c>
      <c r="Q301" s="230">
        <f t="shared" ca="1" si="58"/>
        <v>8.9871428661299998E-7</v>
      </c>
      <c r="R301" s="230"/>
      <c r="S301" s="230"/>
      <c r="T301" s="230"/>
      <c r="U301" s="230"/>
      <c r="V301" s="230"/>
      <c r="W301" s="230"/>
      <c r="X301" s="229"/>
      <c r="Y301" s="229"/>
      <c r="Z301" s="229"/>
      <c r="AA301" s="230"/>
      <c r="AB301" s="230"/>
      <c r="AC301" s="230"/>
      <c r="AD301" s="229"/>
      <c r="AE301" s="230"/>
    </row>
    <row r="302" spans="1:31" ht="12.75" customHeight="1">
      <c r="A302" s="229" t="str">
        <f t="shared" ca="1" si="52"/>
        <v/>
      </c>
      <c r="B302" s="229" t="str">
        <f t="shared" ca="1" si="53"/>
        <v/>
      </c>
      <c r="C302" s="229" t="str">
        <f t="shared" ca="1" si="54"/>
        <v/>
      </c>
      <c r="D302" s="229" t="str">
        <f t="shared" ca="1" si="55"/>
        <v/>
      </c>
      <c r="E302" s="229" t="str">
        <f t="shared" ca="1" si="56"/>
        <v/>
      </c>
      <c r="F302" s="229" t="str">
        <f t="shared" ca="1" si="57"/>
        <v/>
      </c>
      <c r="G302" s="230" t="str">
        <f t="array" aca="1" ref="G302" ca="1">IF(INDEX(ExistsTx,$I302,2),IF(INDIRECT("'T"&amp;$I302&amp;"'!$D$"&amp;($J302+5),TRUE)=0,T_NoName,INDIRECT("'T"&amp;$I302&amp;"'!$D$"&amp;($J302+5),TRUE)),"")</f>
        <v/>
      </c>
      <c r="H302" s="230">
        <f t="array" aca="1" ref="H302" ca="1">IF(INDEX(ExistsTx,$I302,2),INDIRECT("'T"&amp;$I302&amp;"'!$E$"&amp;($J302+5),TRUE),0)</f>
        <v>0</v>
      </c>
      <c r="I302" s="229">
        <v>19</v>
      </c>
      <c r="J302" s="229">
        <v>12</v>
      </c>
      <c r="K302" s="230" t="str">
        <f t="array" aca="1" ref="K302" ca="1">INDEX(ListTeams,$I302,1)</f>
        <v/>
      </c>
      <c r="L302" s="230">
        <f t="array" aca="1" ref="L302" ca="1">IF(OR(NOT(INDEX(ExistsTx,$I302,2)),$H302=0),0,INDIRECT("'T"&amp;$I302&amp;"'!$M$"&amp;($J302+5),TRUE)+((1000-ROW())/10000000000000))</f>
        <v>0</v>
      </c>
      <c r="M302" s="230">
        <f t="array" aca="1" ref="M302" ca="1">IF(OR(NOT(INDEX(ExistsTx,$I302,2)),$H302=0),0,INDIRECT("'T"&amp;$I302&amp;"'!$N$"&amp;($J302+5),TRUE)+((1000-ROW())/10000000000000))</f>
        <v>0</v>
      </c>
      <c r="N302" s="230">
        <f t="array" aca="1" ref="N302" ca="1">IF(OR(NOT(INDEX(ExistsTx,$I302,2)),$H302=0),0,INDIRECT("'T"&amp;$I302&amp;"'!$O$"&amp;($J302+5),TRUE)+((1000-ROW())/10000000000000))</f>
        <v>0</v>
      </c>
      <c r="O302" s="230">
        <f t="array" aca="1" ref="O302" ca="1">IF(OR(NOT(INDEX(ExistsTx,$I302,2)),$H302=0),0,INDIRECT("'T"&amp;$I302&amp;"'!$P$"&amp;($J302+5),TRUE)+((1000-ROW())/10000000000000))</f>
        <v>0</v>
      </c>
      <c r="P302" s="230">
        <f t="array" aca="1" ref="P302" ca="1">IF(OR(NOT(INDEX(ExistsTx,$I302,2)),$H302=0),0,INDIRECT("'T"&amp;$I302&amp;"'!$Q$"&amp;($J302+5),TRUE)+((1000-ROW())/10000000000000))</f>
        <v>0</v>
      </c>
      <c r="Q302" s="230">
        <f t="shared" ca="1" si="58"/>
        <v>8.9742857232599997E-7</v>
      </c>
      <c r="R302" s="230"/>
      <c r="S302" s="230"/>
      <c r="T302" s="230"/>
      <c r="U302" s="230"/>
      <c r="V302" s="230"/>
      <c r="W302" s="230"/>
      <c r="X302" s="229"/>
      <c r="Y302" s="229"/>
      <c r="Z302" s="229"/>
      <c r="AA302" s="230"/>
      <c r="AB302" s="230"/>
      <c r="AC302" s="230"/>
      <c r="AD302" s="229"/>
      <c r="AE302" s="230"/>
    </row>
    <row r="303" spans="1:31" ht="12.75" customHeight="1">
      <c r="A303" s="229" t="str">
        <f t="shared" ca="1" si="52"/>
        <v/>
      </c>
      <c r="B303" s="229" t="str">
        <f t="shared" ca="1" si="53"/>
        <v/>
      </c>
      <c r="C303" s="229" t="str">
        <f t="shared" ca="1" si="54"/>
        <v/>
      </c>
      <c r="D303" s="229" t="str">
        <f t="shared" ca="1" si="55"/>
        <v/>
      </c>
      <c r="E303" s="229" t="str">
        <f t="shared" ca="1" si="56"/>
        <v/>
      </c>
      <c r="F303" s="229" t="str">
        <f t="shared" ca="1" si="57"/>
        <v/>
      </c>
      <c r="G303" s="230" t="str">
        <f t="array" aca="1" ref="G303" ca="1">IF(INDEX(ExistsTx,$I303,2),IF(INDIRECT("'T"&amp;$I303&amp;"'!$D$"&amp;($J303+5),TRUE)=0,T_NoName,INDIRECT("'T"&amp;$I303&amp;"'!$D$"&amp;($J303+5),TRUE)),"")</f>
        <v/>
      </c>
      <c r="H303" s="230">
        <f t="array" aca="1" ref="H303" ca="1">IF(INDEX(ExistsTx,$I303,2),INDIRECT("'T"&amp;$I303&amp;"'!$E$"&amp;($J303+5),TRUE),0)</f>
        <v>0</v>
      </c>
      <c r="I303" s="229">
        <v>19</v>
      </c>
      <c r="J303" s="229">
        <v>13</v>
      </c>
      <c r="K303" s="230" t="str">
        <f t="array" aca="1" ref="K303" ca="1">INDEX(ListTeams,$I303,1)</f>
        <v/>
      </c>
      <c r="L303" s="230">
        <f t="array" aca="1" ref="L303" ca="1">IF(OR(NOT(INDEX(ExistsTx,$I303,2)),$H303=0),0,INDIRECT("'T"&amp;$I303&amp;"'!$M$"&amp;($J303+5),TRUE)+((1000-ROW())/10000000000000))</f>
        <v>0</v>
      </c>
      <c r="M303" s="230">
        <f t="array" aca="1" ref="M303" ca="1">IF(OR(NOT(INDEX(ExistsTx,$I303,2)),$H303=0),0,INDIRECT("'T"&amp;$I303&amp;"'!$N$"&amp;($J303+5),TRUE)+((1000-ROW())/10000000000000))</f>
        <v>0</v>
      </c>
      <c r="N303" s="230">
        <f t="array" aca="1" ref="N303" ca="1">IF(OR(NOT(INDEX(ExistsTx,$I303,2)),$H303=0),0,INDIRECT("'T"&amp;$I303&amp;"'!$O$"&amp;($J303+5),TRUE)+((1000-ROW())/10000000000000))</f>
        <v>0</v>
      </c>
      <c r="O303" s="230">
        <f t="array" aca="1" ref="O303" ca="1">IF(OR(NOT(INDEX(ExistsTx,$I303,2)),$H303=0),0,INDIRECT("'T"&amp;$I303&amp;"'!$P$"&amp;($J303+5),TRUE)+((1000-ROW())/10000000000000))</f>
        <v>0</v>
      </c>
      <c r="P303" s="230">
        <f t="array" aca="1" ref="P303" ca="1">IF(OR(NOT(INDEX(ExistsTx,$I303,2)),$H303=0),0,INDIRECT("'T"&amp;$I303&amp;"'!$Q$"&amp;($J303+5),TRUE)+((1000-ROW())/10000000000000))</f>
        <v>0</v>
      </c>
      <c r="Q303" s="230">
        <f t="shared" ca="1" si="58"/>
        <v>8.9614285803899996E-7</v>
      </c>
      <c r="R303" s="230"/>
      <c r="S303" s="230"/>
      <c r="T303" s="230"/>
      <c r="U303" s="230"/>
      <c r="V303" s="230"/>
      <c r="W303" s="230"/>
      <c r="X303" s="229"/>
      <c r="Y303" s="229"/>
      <c r="Z303" s="229"/>
      <c r="AA303" s="230"/>
      <c r="AB303" s="230"/>
      <c r="AC303" s="230"/>
      <c r="AD303" s="229"/>
      <c r="AE303" s="230"/>
    </row>
    <row r="304" spans="1:31" ht="12.75" customHeight="1">
      <c r="A304" s="229" t="str">
        <f t="shared" ca="1" si="52"/>
        <v/>
      </c>
      <c r="B304" s="229" t="str">
        <f t="shared" ca="1" si="53"/>
        <v/>
      </c>
      <c r="C304" s="229" t="str">
        <f t="shared" ca="1" si="54"/>
        <v/>
      </c>
      <c r="D304" s="229" t="str">
        <f t="shared" ca="1" si="55"/>
        <v/>
      </c>
      <c r="E304" s="229" t="str">
        <f t="shared" ca="1" si="56"/>
        <v/>
      </c>
      <c r="F304" s="229" t="str">
        <f t="shared" ca="1" si="57"/>
        <v/>
      </c>
      <c r="G304" s="230" t="str">
        <f t="array" aca="1" ref="G304" ca="1">IF(INDEX(ExistsTx,$I304,2),IF(INDIRECT("'T"&amp;$I304&amp;"'!$D$"&amp;($J304+5),TRUE)=0,T_NoName,INDIRECT("'T"&amp;$I304&amp;"'!$D$"&amp;($J304+5),TRUE)),"")</f>
        <v/>
      </c>
      <c r="H304" s="230">
        <f t="array" aca="1" ref="H304" ca="1">IF(INDEX(ExistsTx,$I304,2),INDIRECT("'T"&amp;$I304&amp;"'!$E$"&amp;($J304+5),TRUE),0)</f>
        <v>0</v>
      </c>
      <c r="I304" s="229">
        <v>19</v>
      </c>
      <c r="J304" s="229">
        <v>14</v>
      </c>
      <c r="K304" s="230" t="str">
        <f t="array" aca="1" ref="K304" ca="1">INDEX(ListTeams,$I304,1)</f>
        <v/>
      </c>
      <c r="L304" s="230">
        <f t="array" aca="1" ref="L304" ca="1">IF(OR(NOT(INDEX(ExistsTx,$I304,2)),$H304=0),0,INDIRECT("'T"&amp;$I304&amp;"'!$M$"&amp;($J304+5),TRUE)+((1000-ROW())/10000000000000))</f>
        <v>0</v>
      </c>
      <c r="M304" s="230">
        <f t="array" aca="1" ref="M304" ca="1">IF(OR(NOT(INDEX(ExistsTx,$I304,2)),$H304=0),0,INDIRECT("'T"&amp;$I304&amp;"'!$N$"&amp;($J304+5),TRUE)+((1000-ROW())/10000000000000))</f>
        <v>0</v>
      </c>
      <c r="N304" s="230">
        <f t="array" aca="1" ref="N304" ca="1">IF(OR(NOT(INDEX(ExistsTx,$I304,2)),$H304=0),0,INDIRECT("'T"&amp;$I304&amp;"'!$O$"&amp;($J304+5),TRUE)+((1000-ROW())/10000000000000))</f>
        <v>0</v>
      </c>
      <c r="O304" s="230">
        <f t="array" aca="1" ref="O304" ca="1">IF(OR(NOT(INDEX(ExistsTx,$I304,2)),$H304=0),0,INDIRECT("'T"&amp;$I304&amp;"'!$P$"&amp;($J304+5),TRUE)+((1000-ROW())/10000000000000))</f>
        <v>0</v>
      </c>
      <c r="P304" s="230">
        <f t="array" aca="1" ref="P304" ca="1">IF(OR(NOT(INDEX(ExistsTx,$I304,2)),$H304=0),0,INDIRECT("'T"&amp;$I304&amp;"'!$Q$"&amp;($J304+5),TRUE)+((1000-ROW())/10000000000000))</f>
        <v>0</v>
      </c>
      <c r="Q304" s="230">
        <f t="shared" ca="1" si="58"/>
        <v>8.9485714375200005E-7</v>
      </c>
      <c r="R304" s="230"/>
      <c r="S304" s="230"/>
      <c r="T304" s="230"/>
      <c r="U304" s="230"/>
      <c r="V304" s="230"/>
      <c r="W304" s="230"/>
      <c r="X304" s="229"/>
      <c r="Y304" s="229"/>
      <c r="Z304" s="229"/>
      <c r="AA304" s="230"/>
      <c r="AB304" s="230"/>
      <c r="AC304" s="230"/>
      <c r="AD304" s="229"/>
      <c r="AE304" s="230"/>
    </row>
    <row r="305" spans="1:31" ht="12.75" customHeight="1">
      <c r="A305" s="229" t="str">
        <f t="shared" ca="1" si="52"/>
        <v/>
      </c>
      <c r="B305" s="229" t="str">
        <f t="shared" ca="1" si="53"/>
        <v/>
      </c>
      <c r="C305" s="229" t="str">
        <f t="shared" ca="1" si="54"/>
        <v/>
      </c>
      <c r="D305" s="229" t="str">
        <f t="shared" ca="1" si="55"/>
        <v/>
      </c>
      <c r="E305" s="229" t="str">
        <f t="shared" ca="1" si="56"/>
        <v/>
      </c>
      <c r="F305" s="229" t="str">
        <f t="shared" ca="1" si="57"/>
        <v/>
      </c>
      <c r="G305" s="230" t="str">
        <f t="array" aca="1" ref="G305" ca="1">IF(INDEX(ExistsTx,$I305,2),IF(INDIRECT("'T"&amp;$I305&amp;"'!$D$"&amp;($J305+5),TRUE)=0,T_NoName,INDIRECT("'T"&amp;$I305&amp;"'!$D$"&amp;($J305+5),TRUE)),"")</f>
        <v/>
      </c>
      <c r="H305" s="230">
        <f t="array" aca="1" ref="H305" ca="1">IF(INDEX(ExistsTx,$I305,2),INDIRECT("'T"&amp;$I305&amp;"'!$E$"&amp;($J305+5),TRUE),0)</f>
        <v>0</v>
      </c>
      <c r="I305" s="229">
        <v>19</v>
      </c>
      <c r="J305" s="229">
        <v>15</v>
      </c>
      <c r="K305" s="230" t="str">
        <f t="array" aca="1" ref="K305" ca="1">INDEX(ListTeams,$I305,1)</f>
        <v/>
      </c>
      <c r="L305" s="230">
        <f t="array" aca="1" ref="L305" ca="1">IF(OR(NOT(INDEX(ExistsTx,$I305,2)),$H305=0),0,INDIRECT("'T"&amp;$I305&amp;"'!$M$"&amp;($J305+5),TRUE)+((1000-ROW())/10000000000000))</f>
        <v>0</v>
      </c>
      <c r="M305" s="230">
        <f t="array" aca="1" ref="M305" ca="1">IF(OR(NOT(INDEX(ExistsTx,$I305,2)),$H305=0),0,INDIRECT("'T"&amp;$I305&amp;"'!$N$"&amp;($J305+5),TRUE)+((1000-ROW())/10000000000000))</f>
        <v>0</v>
      </c>
      <c r="N305" s="230">
        <f t="array" aca="1" ref="N305" ca="1">IF(OR(NOT(INDEX(ExistsTx,$I305,2)),$H305=0),0,INDIRECT("'T"&amp;$I305&amp;"'!$O$"&amp;($J305+5),TRUE)+((1000-ROW())/10000000000000))</f>
        <v>0</v>
      </c>
      <c r="O305" s="230">
        <f t="array" aca="1" ref="O305" ca="1">IF(OR(NOT(INDEX(ExistsTx,$I305,2)),$H305=0),0,INDIRECT("'T"&amp;$I305&amp;"'!$P$"&amp;($J305+5),TRUE)+((1000-ROW())/10000000000000))</f>
        <v>0</v>
      </c>
      <c r="P305" s="230">
        <f t="array" aca="1" ref="P305" ca="1">IF(OR(NOT(INDEX(ExistsTx,$I305,2)),$H305=0),0,INDIRECT("'T"&amp;$I305&amp;"'!$Q$"&amp;($J305+5),TRUE)+((1000-ROW())/10000000000000))</f>
        <v>0</v>
      </c>
      <c r="Q305" s="230">
        <f t="shared" ca="1" si="58"/>
        <v>8.9357142946500004E-7</v>
      </c>
      <c r="R305" s="230"/>
      <c r="S305" s="230"/>
      <c r="T305" s="230"/>
      <c r="U305" s="230"/>
      <c r="V305" s="230"/>
      <c r="W305" s="230"/>
      <c r="X305" s="229"/>
      <c r="Y305" s="229"/>
      <c r="Z305" s="229"/>
      <c r="AA305" s="230"/>
      <c r="AB305" s="230"/>
      <c r="AC305" s="230"/>
      <c r="AD305" s="229"/>
      <c r="AE305" s="230"/>
    </row>
    <row r="306" spans="1:31" ht="12.75" customHeight="1">
      <c r="A306" s="229" t="str">
        <f t="shared" ca="1" si="52"/>
        <v/>
      </c>
      <c r="B306" s="229" t="str">
        <f t="shared" ca="1" si="53"/>
        <v/>
      </c>
      <c r="C306" s="229" t="str">
        <f t="shared" ca="1" si="54"/>
        <v/>
      </c>
      <c r="D306" s="229" t="str">
        <f t="shared" ca="1" si="55"/>
        <v/>
      </c>
      <c r="E306" s="229" t="str">
        <f t="shared" ca="1" si="56"/>
        <v/>
      </c>
      <c r="F306" s="229" t="str">
        <f t="shared" ca="1" si="57"/>
        <v/>
      </c>
      <c r="G306" s="230" t="str">
        <f t="array" aca="1" ref="G306" ca="1">IF(INDEX(ExistsTx,$I306,2),IF(INDIRECT("'T"&amp;$I306&amp;"'!$D$"&amp;($J306+5),TRUE)=0,T_NoName,INDIRECT("'T"&amp;$I306&amp;"'!$D$"&amp;($J306+5),TRUE)),"")</f>
        <v/>
      </c>
      <c r="H306" s="230">
        <f t="array" aca="1" ref="H306" ca="1">IF(INDEX(ExistsTx,$I306,2),INDIRECT("'T"&amp;$I306&amp;"'!$E$"&amp;($J306+5),TRUE),0)</f>
        <v>0</v>
      </c>
      <c r="I306" s="229">
        <v>19</v>
      </c>
      <c r="J306" s="229">
        <v>16</v>
      </c>
      <c r="K306" s="230" t="str">
        <f t="array" aca="1" ref="K306" ca="1">INDEX(ListTeams,$I306,1)</f>
        <v/>
      </c>
      <c r="L306" s="230">
        <f t="array" aca="1" ref="L306" ca="1">IF(OR(NOT(INDEX(ExistsTx,$I306,2)),$H306=0),0,INDIRECT("'T"&amp;$I306&amp;"'!$M$"&amp;($J306+5),TRUE)+((1000-ROW())/10000000000000))</f>
        <v>0</v>
      </c>
      <c r="M306" s="230">
        <f t="array" aca="1" ref="M306" ca="1">IF(OR(NOT(INDEX(ExistsTx,$I306,2)),$H306=0),0,INDIRECT("'T"&amp;$I306&amp;"'!$N$"&amp;($J306+5),TRUE)+((1000-ROW())/10000000000000))</f>
        <v>0</v>
      </c>
      <c r="N306" s="230">
        <f t="array" aca="1" ref="N306" ca="1">IF(OR(NOT(INDEX(ExistsTx,$I306,2)),$H306=0),0,INDIRECT("'T"&amp;$I306&amp;"'!$O$"&amp;($J306+5),TRUE)+((1000-ROW())/10000000000000))</f>
        <v>0</v>
      </c>
      <c r="O306" s="230">
        <f t="array" aca="1" ref="O306" ca="1">IF(OR(NOT(INDEX(ExistsTx,$I306,2)),$H306=0),0,INDIRECT("'T"&amp;$I306&amp;"'!$P$"&amp;($J306+5),TRUE)+((1000-ROW())/10000000000000))</f>
        <v>0</v>
      </c>
      <c r="P306" s="230">
        <f t="array" aca="1" ref="P306" ca="1">IF(OR(NOT(INDEX(ExistsTx,$I306,2)),$H306=0),0,INDIRECT("'T"&amp;$I306&amp;"'!$Q$"&amp;($J306+5),TRUE)+((1000-ROW())/10000000000000))</f>
        <v>0</v>
      </c>
      <c r="Q306" s="230">
        <f t="shared" ca="1" si="58"/>
        <v>8.9228571517800003E-7</v>
      </c>
      <c r="R306" s="230"/>
      <c r="S306" s="230"/>
      <c r="T306" s="230"/>
      <c r="U306" s="230"/>
      <c r="V306" s="230"/>
      <c r="W306" s="230"/>
      <c r="X306" s="229"/>
      <c r="Y306" s="229"/>
      <c r="Z306" s="229"/>
      <c r="AA306" s="230"/>
      <c r="AB306" s="230"/>
      <c r="AC306" s="230"/>
      <c r="AD306" s="229"/>
      <c r="AE306" s="230"/>
    </row>
    <row r="307" spans="1:31" ht="12.75" customHeight="1">
      <c r="A307" s="229" t="str">
        <f t="shared" ca="1" si="52"/>
        <v/>
      </c>
      <c r="B307" s="229" t="str">
        <f t="shared" ca="1" si="53"/>
        <v/>
      </c>
      <c r="C307" s="229" t="str">
        <f t="shared" ca="1" si="54"/>
        <v/>
      </c>
      <c r="D307" s="229" t="str">
        <f t="shared" ca="1" si="55"/>
        <v/>
      </c>
      <c r="E307" s="229" t="str">
        <f t="shared" ca="1" si="56"/>
        <v/>
      </c>
      <c r="F307" s="229" t="str">
        <f t="shared" ca="1" si="57"/>
        <v/>
      </c>
      <c r="G307" s="230" t="str">
        <f t="array" aca="1" ref="G307" ca="1">IF(INDEX(ExistsTx,$I307,2),IF(INDIRECT("'T"&amp;$I307&amp;"'!$D$"&amp;($J307+5),TRUE)=0,T_NoName,INDIRECT("'T"&amp;$I307&amp;"'!$D$"&amp;($J307+5),TRUE)),"")</f>
        <v/>
      </c>
      <c r="H307" s="230">
        <f t="array" aca="1" ref="H307" ca="1">IF(INDEX(ExistsTx,$I307,2),INDIRECT("'T"&amp;$I307&amp;"'!$E$"&amp;($J307+5),TRUE),0)</f>
        <v>0</v>
      </c>
      <c r="I307" s="229">
        <v>20</v>
      </c>
      <c r="J307" s="229">
        <v>1</v>
      </c>
      <c r="K307" s="230" t="str">
        <f t="array" aca="1" ref="K307" ca="1">INDEX(ListTeams,$I307,1)</f>
        <v/>
      </c>
      <c r="L307" s="230">
        <f t="array" aca="1" ref="L307" ca="1">IF(OR(NOT(INDEX(ExistsTx,$I307,2)),$H307=0),0,INDIRECT("'T"&amp;$I307&amp;"'!$M$"&amp;($J307+5),TRUE)+((1000-ROW())/10000000000000))</f>
        <v>0</v>
      </c>
      <c r="M307" s="230">
        <f t="array" aca="1" ref="M307" ca="1">IF(OR(NOT(INDEX(ExistsTx,$I307,2)),$H307=0),0,INDIRECT("'T"&amp;$I307&amp;"'!$N$"&amp;($J307+5),TRUE)+((1000-ROW())/10000000000000))</f>
        <v>0</v>
      </c>
      <c r="N307" s="230">
        <f t="array" aca="1" ref="N307" ca="1">IF(OR(NOT(INDEX(ExistsTx,$I307,2)),$H307=0),0,INDIRECT("'T"&amp;$I307&amp;"'!$O$"&amp;($J307+5),TRUE)+((1000-ROW())/10000000000000))</f>
        <v>0</v>
      </c>
      <c r="O307" s="230">
        <f t="array" aca="1" ref="O307" ca="1">IF(OR(NOT(INDEX(ExistsTx,$I307,2)),$H307=0),0,INDIRECT("'T"&amp;$I307&amp;"'!$P$"&amp;($J307+5),TRUE)+((1000-ROW())/10000000000000))</f>
        <v>0</v>
      </c>
      <c r="P307" s="230">
        <f t="array" aca="1" ref="P307" ca="1">IF(OR(NOT(INDEX(ExistsTx,$I307,2)),$H307=0),0,INDIRECT("'T"&amp;$I307&amp;"'!$Q$"&amp;($J307+5),TRUE)+((1000-ROW())/10000000000000))</f>
        <v>0</v>
      </c>
      <c r="Q307" s="230">
        <f t="shared" ca="1" si="58"/>
        <v>8.9100000089100002E-7</v>
      </c>
      <c r="R307" s="230"/>
      <c r="S307" s="230"/>
      <c r="T307" s="230"/>
      <c r="U307" s="230"/>
      <c r="V307" s="230"/>
      <c r="W307" s="230"/>
      <c r="X307" s="229"/>
      <c r="Y307" s="229"/>
      <c r="Z307" s="229"/>
      <c r="AA307" s="230"/>
      <c r="AB307" s="230"/>
      <c r="AC307" s="230"/>
      <c r="AD307" s="229"/>
      <c r="AE307" s="230"/>
    </row>
    <row r="308" spans="1:31" ht="12.75" customHeight="1">
      <c r="A308" s="229" t="str">
        <f t="shared" ca="1" si="52"/>
        <v/>
      </c>
      <c r="B308" s="229" t="str">
        <f t="shared" ca="1" si="53"/>
        <v/>
      </c>
      <c r="C308" s="229" t="str">
        <f t="shared" ca="1" si="54"/>
        <v/>
      </c>
      <c r="D308" s="229" t="str">
        <f t="shared" ca="1" si="55"/>
        <v/>
      </c>
      <c r="E308" s="229" t="str">
        <f t="shared" ca="1" si="56"/>
        <v/>
      </c>
      <c r="F308" s="229" t="str">
        <f t="shared" ca="1" si="57"/>
        <v/>
      </c>
      <c r="G308" s="230" t="str">
        <f t="array" aca="1" ref="G308" ca="1">IF(INDEX(ExistsTx,$I308,2),IF(INDIRECT("'T"&amp;$I308&amp;"'!$D$"&amp;($J308+5),TRUE)=0,T_NoName,INDIRECT("'T"&amp;$I308&amp;"'!$D$"&amp;($J308+5),TRUE)),"")</f>
        <v/>
      </c>
      <c r="H308" s="230">
        <f t="array" aca="1" ref="H308" ca="1">IF(INDEX(ExistsTx,$I308,2),INDIRECT("'T"&amp;$I308&amp;"'!$E$"&amp;($J308+5),TRUE),0)</f>
        <v>0</v>
      </c>
      <c r="I308" s="229">
        <v>20</v>
      </c>
      <c r="J308" s="229">
        <v>2</v>
      </c>
      <c r="K308" s="230" t="str">
        <f t="array" aca="1" ref="K308" ca="1">INDEX(ListTeams,$I308,1)</f>
        <v/>
      </c>
      <c r="L308" s="230">
        <f t="array" aca="1" ref="L308" ca="1">IF(OR(NOT(INDEX(ExistsTx,$I308,2)),$H308=0),0,INDIRECT("'T"&amp;$I308&amp;"'!$M$"&amp;($J308+5),TRUE)+((1000-ROW())/10000000000000))</f>
        <v>0</v>
      </c>
      <c r="M308" s="230">
        <f t="array" aca="1" ref="M308" ca="1">IF(OR(NOT(INDEX(ExistsTx,$I308,2)),$H308=0),0,INDIRECT("'T"&amp;$I308&amp;"'!$N$"&amp;($J308+5),TRUE)+((1000-ROW())/10000000000000))</f>
        <v>0</v>
      </c>
      <c r="N308" s="230">
        <f t="array" aca="1" ref="N308" ca="1">IF(OR(NOT(INDEX(ExistsTx,$I308,2)),$H308=0),0,INDIRECT("'T"&amp;$I308&amp;"'!$O$"&amp;($J308+5),TRUE)+((1000-ROW())/10000000000000))</f>
        <v>0</v>
      </c>
      <c r="O308" s="230">
        <f t="array" aca="1" ref="O308" ca="1">IF(OR(NOT(INDEX(ExistsTx,$I308,2)),$H308=0),0,INDIRECT("'T"&amp;$I308&amp;"'!$P$"&amp;($J308+5),TRUE)+((1000-ROW())/10000000000000))</f>
        <v>0</v>
      </c>
      <c r="P308" s="230">
        <f t="array" aca="1" ref="P308" ca="1">IF(OR(NOT(INDEX(ExistsTx,$I308,2)),$H308=0),0,INDIRECT("'T"&amp;$I308&amp;"'!$Q$"&amp;($J308+5),TRUE)+((1000-ROW())/10000000000000))</f>
        <v>0</v>
      </c>
      <c r="Q308" s="230">
        <f t="shared" ca="1" si="58"/>
        <v>8.89714286604E-7</v>
      </c>
      <c r="R308" s="230"/>
      <c r="S308" s="230"/>
      <c r="T308" s="230"/>
      <c r="U308" s="230"/>
      <c r="V308" s="230"/>
      <c r="W308" s="230"/>
      <c r="X308" s="229"/>
      <c r="Y308" s="229"/>
      <c r="Z308" s="229"/>
      <c r="AA308" s="230"/>
      <c r="AB308" s="230"/>
      <c r="AC308" s="230"/>
      <c r="AD308" s="229"/>
      <c r="AE308" s="230"/>
    </row>
    <row r="309" spans="1:31" ht="12.75" customHeight="1">
      <c r="A309" s="229" t="str">
        <f t="shared" ca="1" si="52"/>
        <v/>
      </c>
      <c r="B309" s="229" t="str">
        <f t="shared" ca="1" si="53"/>
        <v/>
      </c>
      <c r="C309" s="229" t="str">
        <f t="shared" ca="1" si="54"/>
        <v/>
      </c>
      <c r="D309" s="229" t="str">
        <f t="shared" ca="1" si="55"/>
        <v/>
      </c>
      <c r="E309" s="229" t="str">
        <f t="shared" ca="1" si="56"/>
        <v/>
      </c>
      <c r="F309" s="229" t="str">
        <f t="shared" ca="1" si="57"/>
        <v/>
      </c>
      <c r="G309" s="230" t="str">
        <f t="array" aca="1" ref="G309" ca="1">IF(INDEX(ExistsTx,$I309,2),IF(INDIRECT("'T"&amp;$I309&amp;"'!$D$"&amp;($J309+5),TRUE)=0,T_NoName,INDIRECT("'T"&amp;$I309&amp;"'!$D$"&amp;($J309+5),TRUE)),"")</f>
        <v/>
      </c>
      <c r="H309" s="230">
        <f t="array" aca="1" ref="H309" ca="1">IF(INDEX(ExistsTx,$I309,2),INDIRECT("'T"&amp;$I309&amp;"'!$E$"&amp;($J309+5),TRUE),0)</f>
        <v>0</v>
      </c>
      <c r="I309" s="229">
        <v>20</v>
      </c>
      <c r="J309" s="229">
        <v>3</v>
      </c>
      <c r="K309" s="230" t="str">
        <f t="array" aca="1" ref="K309" ca="1">INDEX(ListTeams,$I309,1)</f>
        <v/>
      </c>
      <c r="L309" s="230">
        <f t="array" aca="1" ref="L309" ca="1">IF(OR(NOT(INDEX(ExistsTx,$I309,2)),$H309=0),0,INDIRECT("'T"&amp;$I309&amp;"'!$M$"&amp;($J309+5),TRUE)+((1000-ROW())/10000000000000))</f>
        <v>0</v>
      </c>
      <c r="M309" s="230">
        <f t="array" aca="1" ref="M309" ca="1">IF(OR(NOT(INDEX(ExistsTx,$I309,2)),$H309=0),0,INDIRECT("'T"&amp;$I309&amp;"'!$N$"&amp;($J309+5),TRUE)+((1000-ROW())/10000000000000))</f>
        <v>0</v>
      </c>
      <c r="N309" s="230">
        <f t="array" aca="1" ref="N309" ca="1">IF(OR(NOT(INDEX(ExistsTx,$I309,2)),$H309=0),0,INDIRECT("'T"&amp;$I309&amp;"'!$O$"&amp;($J309+5),TRUE)+((1000-ROW())/10000000000000))</f>
        <v>0</v>
      </c>
      <c r="O309" s="230">
        <f t="array" aca="1" ref="O309" ca="1">IF(OR(NOT(INDEX(ExistsTx,$I309,2)),$H309=0),0,INDIRECT("'T"&amp;$I309&amp;"'!$P$"&amp;($J309+5),TRUE)+((1000-ROW())/10000000000000))</f>
        <v>0</v>
      </c>
      <c r="P309" s="230">
        <f t="array" aca="1" ref="P309" ca="1">IF(OR(NOT(INDEX(ExistsTx,$I309,2)),$H309=0),0,INDIRECT("'T"&amp;$I309&amp;"'!$Q$"&amp;($J309+5),TRUE)+((1000-ROW())/10000000000000))</f>
        <v>0</v>
      </c>
      <c r="Q309" s="230">
        <f t="shared" ca="1" si="58"/>
        <v>8.8842857231699999E-7</v>
      </c>
      <c r="R309" s="230"/>
      <c r="S309" s="230"/>
      <c r="T309" s="230"/>
      <c r="U309" s="230"/>
      <c r="V309" s="230"/>
      <c r="W309" s="230"/>
      <c r="X309" s="229"/>
      <c r="Y309" s="229"/>
      <c r="Z309" s="229"/>
      <c r="AA309" s="230"/>
      <c r="AB309" s="230"/>
      <c r="AC309" s="230"/>
      <c r="AD309" s="229"/>
      <c r="AE309" s="230"/>
    </row>
    <row r="310" spans="1:31" ht="12.75" customHeight="1">
      <c r="A310" s="229" t="str">
        <f t="shared" ca="1" si="52"/>
        <v/>
      </c>
      <c r="B310" s="229" t="str">
        <f t="shared" ca="1" si="53"/>
        <v/>
      </c>
      <c r="C310" s="229" t="str">
        <f t="shared" ca="1" si="54"/>
        <v/>
      </c>
      <c r="D310" s="229" t="str">
        <f t="shared" ca="1" si="55"/>
        <v/>
      </c>
      <c r="E310" s="229" t="str">
        <f t="shared" ca="1" si="56"/>
        <v/>
      </c>
      <c r="F310" s="229" t="str">
        <f t="shared" ca="1" si="57"/>
        <v/>
      </c>
      <c r="G310" s="230" t="str">
        <f t="array" aca="1" ref="G310" ca="1">IF(INDEX(ExistsTx,$I310,2),IF(INDIRECT("'T"&amp;$I310&amp;"'!$D$"&amp;($J310+5),TRUE)=0,T_NoName,INDIRECT("'T"&amp;$I310&amp;"'!$D$"&amp;($J310+5),TRUE)),"")</f>
        <v/>
      </c>
      <c r="H310" s="230">
        <f t="array" aca="1" ref="H310" ca="1">IF(INDEX(ExistsTx,$I310,2),INDIRECT("'T"&amp;$I310&amp;"'!$E$"&amp;($J310+5),TRUE),0)</f>
        <v>0</v>
      </c>
      <c r="I310" s="229">
        <v>20</v>
      </c>
      <c r="J310" s="229">
        <v>4</v>
      </c>
      <c r="K310" s="230" t="str">
        <f t="array" aca="1" ref="K310" ca="1">INDEX(ListTeams,$I310,1)</f>
        <v/>
      </c>
      <c r="L310" s="230">
        <f t="array" aca="1" ref="L310" ca="1">IF(OR(NOT(INDEX(ExistsTx,$I310,2)),$H310=0),0,INDIRECT("'T"&amp;$I310&amp;"'!$M$"&amp;($J310+5),TRUE)+((1000-ROW())/10000000000000))</f>
        <v>0</v>
      </c>
      <c r="M310" s="230">
        <f t="array" aca="1" ref="M310" ca="1">IF(OR(NOT(INDEX(ExistsTx,$I310,2)),$H310=0),0,INDIRECT("'T"&amp;$I310&amp;"'!$N$"&amp;($J310+5),TRUE)+((1000-ROW())/10000000000000))</f>
        <v>0</v>
      </c>
      <c r="N310" s="230">
        <f t="array" aca="1" ref="N310" ca="1">IF(OR(NOT(INDEX(ExistsTx,$I310,2)),$H310=0),0,INDIRECT("'T"&amp;$I310&amp;"'!$O$"&amp;($J310+5),TRUE)+((1000-ROW())/10000000000000))</f>
        <v>0</v>
      </c>
      <c r="O310" s="230">
        <f t="array" aca="1" ref="O310" ca="1">IF(OR(NOT(INDEX(ExistsTx,$I310,2)),$H310=0),0,INDIRECT("'T"&amp;$I310&amp;"'!$P$"&amp;($J310+5),TRUE)+((1000-ROW())/10000000000000))</f>
        <v>0</v>
      </c>
      <c r="P310" s="230">
        <f t="array" aca="1" ref="P310" ca="1">IF(OR(NOT(INDEX(ExistsTx,$I310,2)),$H310=0),0,INDIRECT("'T"&amp;$I310&amp;"'!$Q$"&amp;($J310+5),TRUE)+((1000-ROW())/10000000000000))</f>
        <v>0</v>
      </c>
      <c r="Q310" s="230">
        <f t="shared" ca="1" si="58"/>
        <v>8.8714285802999998E-7</v>
      </c>
      <c r="R310" s="230"/>
      <c r="S310" s="230"/>
      <c r="T310" s="230"/>
      <c r="U310" s="230"/>
      <c r="V310" s="230"/>
      <c r="W310" s="230"/>
      <c r="X310" s="229"/>
      <c r="Y310" s="229"/>
      <c r="Z310" s="229"/>
      <c r="AA310" s="230"/>
      <c r="AB310" s="230"/>
      <c r="AC310" s="230"/>
      <c r="AD310" s="229"/>
      <c r="AE310" s="230"/>
    </row>
    <row r="311" spans="1:31" ht="12.75" customHeight="1">
      <c r="A311" s="229" t="str">
        <f t="shared" ca="1" si="52"/>
        <v/>
      </c>
      <c r="B311" s="229" t="str">
        <f t="shared" ca="1" si="53"/>
        <v/>
      </c>
      <c r="C311" s="229" t="str">
        <f t="shared" ca="1" si="54"/>
        <v/>
      </c>
      <c r="D311" s="229" t="str">
        <f t="shared" ca="1" si="55"/>
        <v/>
      </c>
      <c r="E311" s="229" t="str">
        <f t="shared" ca="1" si="56"/>
        <v/>
      </c>
      <c r="F311" s="229" t="str">
        <f t="shared" ca="1" si="57"/>
        <v/>
      </c>
      <c r="G311" s="230" t="str">
        <f t="array" aca="1" ref="G311" ca="1">IF(INDEX(ExistsTx,$I311,2),IF(INDIRECT("'T"&amp;$I311&amp;"'!$D$"&amp;($J311+5),TRUE)=0,T_NoName,INDIRECT("'T"&amp;$I311&amp;"'!$D$"&amp;($J311+5),TRUE)),"")</f>
        <v/>
      </c>
      <c r="H311" s="230">
        <f t="array" aca="1" ref="H311" ca="1">IF(INDEX(ExistsTx,$I311,2),INDIRECT("'T"&amp;$I311&amp;"'!$E$"&amp;($J311+5),TRUE),0)</f>
        <v>0</v>
      </c>
      <c r="I311" s="229">
        <v>20</v>
      </c>
      <c r="J311" s="229">
        <v>5</v>
      </c>
      <c r="K311" s="230" t="str">
        <f t="array" aca="1" ref="K311" ca="1">INDEX(ListTeams,$I311,1)</f>
        <v/>
      </c>
      <c r="L311" s="230">
        <f t="array" aca="1" ref="L311" ca="1">IF(OR(NOT(INDEX(ExistsTx,$I311,2)),$H311=0),0,INDIRECT("'T"&amp;$I311&amp;"'!$M$"&amp;($J311+5),TRUE)+((1000-ROW())/10000000000000))</f>
        <v>0</v>
      </c>
      <c r="M311" s="230">
        <f t="array" aca="1" ref="M311" ca="1">IF(OR(NOT(INDEX(ExistsTx,$I311,2)),$H311=0),0,INDIRECT("'T"&amp;$I311&amp;"'!$N$"&amp;($J311+5),TRUE)+((1000-ROW())/10000000000000))</f>
        <v>0</v>
      </c>
      <c r="N311" s="230">
        <f t="array" aca="1" ref="N311" ca="1">IF(OR(NOT(INDEX(ExistsTx,$I311,2)),$H311=0),0,INDIRECT("'T"&amp;$I311&amp;"'!$O$"&amp;($J311+5),TRUE)+((1000-ROW())/10000000000000))</f>
        <v>0</v>
      </c>
      <c r="O311" s="230">
        <f t="array" aca="1" ref="O311" ca="1">IF(OR(NOT(INDEX(ExistsTx,$I311,2)),$H311=0),0,INDIRECT("'T"&amp;$I311&amp;"'!$P$"&amp;($J311+5),TRUE)+((1000-ROW())/10000000000000))</f>
        <v>0</v>
      </c>
      <c r="P311" s="230">
        <f t="array" aca="1" ref="P311" ca="1">IF(OR(NOT(INDEX(ExistsTx,$I311,2)),$H311=0),0,INDIRECT("'T"&amp;$I311&amp;"'!$Q$"&amp;($J311+5),TRUE)+((1000-ROW())/10000000000000))</f>
        <v>0</v>
      </c>
      <c r="Q311" s="230">
        <f t="shared" ca="1" si="58"/>
        <v>8.8585714374299997E-7</v>
      </c>
      <c r="R311" s="230"/>
      <c r="S311" s="230"/>
      <c r="T311" s="230"/>
      <c r="U311" s="230"/>
      <c r="V311" s="230"/>
      <c r="W311" s="230"/>
      <c r="X311" s="229"/>
      <c r="Y311" s="229"/>
      <c r="Z311" s="229"/>
      <c r="AA311" s="230"/>
      <c r="AB311" s="230"/>
      <c r="AC311" s="230"/>
      <c r="AD311" s="229"/>
      <c r="AE311" s="230"/>
    </row>
    <row r="312" spans="1:31" ht="12.75" customHeight="1">
      <c r="A312" s="229" t="str">
        <f t="shared" ca="1" si="52"/>
        <v/>
      </c>
      <c r="B312" s="229" t="str">
        <f t="shared" ca="1" si="53"/>
        <v/>
      </c>
      <c r="C312" s="229" t="str">
        <f t="shared" ca="1" si="54"/>
        <v/>
      </c>
      <c r="D312" s="229" t="str">
        <f t="shared" ca="1" si="55"/>
        <v/>
      </c>
      <c r="E312" s="229" t="str">
        <f t="shared" ca="1" si="56"/>
        <v/>
      </c>
      <c r="F312" s="229" t="str">
        <f t="shared" ca="1" si="57"/>
        <v/>
      </c>
      <c r="G312" s="230" t="str">
        <f t="array" aca="1" ref="G312" ca="1">IF(INDEX(ExistsTx,$I312,2),IF(INDIRECT("'T"&amp;$I312&amp;"'!$D$"&amp;($J312+5),TRUE)=0,T_NoName,INDIRECT("'T"&amp;$I312&amp;"'!$D$"&amp;($J312+5),TRUE)),"")</f>
        <v/>
      </c>
      <c r="H312" s="230">
        <f t="array" aca="1" ref="H312" ca="1">IF(INDEX(ExistsTx,$I312,2),INDIRECT("'T"&amp;$I312&amp;"'!$E$"&amp;($J312+5),TRUE),0)</f>
        <v>0</v>
      </c>
      <c r="I312" s="229">
        <v>20</v>
      </c>
      <c r="J312" s="229">
        <v>6</v>
      </c>
      <c r="K312" s="230" t="str">
        <f t="array" aca="1" ref="K312" ca="1">INDEX(ListTeams,$I312,1)</f>
        <v/>
      </c>
      <c r="L312" s="230">
        <f t="array" aca="1" ref="L312" ca="1">IF(OR(NOT(INDEX(ExistsTx,$I312,2)),$H312=0),0,INDIRECT("'T"&amp;$I312&amp;"'!$M$"&amp;($J312+5),TRUE)+((1000-ROW())/10000000000000))</f>
        <v>0</v>
      </c>
      <c r="M312" s="230">
        <f t="array" aca="1" ref="M312" ca="1">IF(OR(NOT(INDEX(ExistsTx,$I312,2)),$H312=0),0,INDIRECT("'T"&amp;$I312&amp;"'!$N$"&amp;($J312+5),TRUE)+((1000-ROW())/10000000000000))</f>
        <v>0</v>
      </c>
      <c r="N312" s="230">
        <f t="array" aca="1" ref="N312" ca="1">IF(OR(NOT(INDEX(ExistsTx,$I312,2)),$H312=0),0,INDIRECT("'T"&amp;$I312&amp;"'!$O$"&amp;($J312+5),TRUE)+((1000-ROW())/10000000000000))</f>
        <v>0</v>
      </c>
      <c r="O312" s="230">
        <f t="array" aca="1" ref="O312" ca="1">IF(OR(NOT(INDEX(ExistsTx,$I312,2)),$H312=0),0,INDIRECT("'T"&amp;$I312&amp;"'!$P$"&amp;($J312+5),TRUE)+((1000-ROW())/10000000000000))</f>
        <v>0</v>
      </c>
      <c r="P312" s="230">
        <f t="array" aca="1" ref="P312" ca="1">IF(OR(NOT(INDEX(ExistsTx,$I312,2)),$H312=0),0,INDIRECT("'T"&amp;$I312&amp;"'!$Q$"&amp;($J312+5),TRUE)+((1000-ROW())/10000000000000))</f>
        <v>0</v>
      </c>
      <c r="Q312" s="230">
        <f t="shared" ca="1" si="58"/>
        <v>8.8457142945599996E-7</v>
      </c>
      <c r="R312" s="230"/>
      <c r="S312" s="230"/>
      <c r="T312" s="230"/>
      <c r="U312" s="230"/>
      <c r="V312" s="230"/>
      <c r="W312" s="230"/>
      <c r="X312" s="229"/>
      <c r="Y312" s="229"/>
      <c r="Z312" s="229"/>
      <c r="AA312" s="230"/>
      <c r="AB312" s="230"/>
      <c r="AC312" s="230"/>
      <c r="AD312" s="229"/>
      <c r="AE312" s="230"/>
    </row>
    <row r="313" spans="1:31" ht="12.75" customHeight="1">
      <c r="A313" s="229" t="str">
        <f t="shared" ca="1" si="52"/>
        <v/>
      </c>
      <c r="B313" s="229" t="str">
        <f t="shared" ca="1" si="53"/>
        <v/>
      </c>
      <c r="C313" s="229" t="str">
        <f t="shared" ca="1" si="54"/>
        <v/>
      </c>
      <c r="D313" s="229" t="str">
        <f t="shared" ca="1" si="55"/>
        <v/>
      </c>
      <c r="E313" s="229" t="str">
        <f t="shared" ca="1" si="56"/>
        <v/>
      </c>
      <c r="F313" s="229" t="str">
        <f t="shared" ca="1" si="57"/>
        <v/>
      </c>
      <c r="G313" s="230" t="str">
        <f t="array" aca="1" ref="G313" ca="1">IF(INDEX(ExistsTx,$I313,2),IF(INDIRECT("'T"&amp;$I313&amp;"'!$D$"&amp;($J313+5),TRUE)=0,T_NoName,INDIRECT("'T"&amp;$I313&amp;"'!$D$"&amp;($J313+5),TRUE)),"")</f>
        <v/>
      </c>
      <c r="H313" s="230">
        <f t="array" aca="1" ref="H313" ca="1">IF(INDEX(ExistsTx,$I313,2),INDIRECT("'T"&amp;$I313&amp;"'!$E$"&amp;($J313+5),TRUE),0)</f>
        <v>0</v>
      </c>
      <c r="I313" s="229">
        <v>20</v>
      </c>
      <c r="J313" s="229">
        <v>7</v>
      </c>
      <c r="K313" s="230" t="str">
        <f t="array" aca="1" ref="K313" ca="1">INDEX(ListTeams,$I313,1)</f>
        <v/>
      </c>
      <c r="L313" s="230">
        <f t="array" aca="1" ref="L313" ca="1">IF(OR(NOT(INDEX(ExistsTx,$I313,2)),$H313=0),0,INDIRECT("'T"&amp;$I313&amp;"'!$M$"&amp;($J313+5),TRUE)+((1000-ROW())/10000000000000))</f>
        <v>0</v>
      </c>
      <c r="M313" s="230">
        <f t="array" aca="1" ref="M313" ca="1">IF(OR(NOT(INDEX(ExistsTx,$I313,2)),$H313=0),0,INDIRECT("'T"&amp;$I313&amp;"'!$N$"&amp;($J313+5),TRUE)+((1000-ROW())/10000000000000))</f>
        <v>0</v>
      </c>
      <c r="N313" s="230">
        <f t="array" aca="1" ref="N313" ca="1">IF(OR(NOT(INDEX(ExistsTx,$I313,2)),$H313=0),0,INDIRECT("'T"&amp;$I313&amp;"'!$O$"&amp;($J313+5),TRUE)+((1000-ROW())/10000000000000))</f>
        <v>0</v>
      </c>
      <c r="O313" s="230">
        <f t="array" aca="1" ref="O313" ca="1">IF(OR(NOT(INDEX(ExistsTx,$I313,2)),$H313=0),0,INDIRECT("'T"&amp;$I313&amp;"'!$P$"&amp;($J313+5),TRUE)+((1000-ROW())/10000000000000))</f>
        <v>0</v>
      </c>
      <c r="P313" s="230">
        <f t="array" aca="1" ref="P313" ca="1">IF(OR(NOT(INDEX(ExistsTx,$I313,2)),$H313=0),0,INDIRECT("'T"&amp;$I313&amp;"'!$Q$"&amp;($J313+5),TRUE)+((1000-ROW())/10000000000000))</f>
        <v>0</v>
      </c>
      <c r="Q313" s="230">
        <f t="shared" ca="1" si="58"/>
        <v>8.8328571516900005E-7</v>
      </c>
      <c r="R313" s="230"/>
      <c r="S313" s="230"/>
      <c r="T313" s="230"/>
      <c r="U313" s="230"/>
      <c r="V313" s="230"/>
      <c r="W313" s="230"/>
      <c r="X313" s="229"/>
      <c r="Y313" s="229"/>
      <c r="Z313" s="229"/>
      <c r="AA313" s="230"/>
      <c r="AB313" s="230"/>
      <c r="AC313" s="230"/>
      <c r="AD313" s="229"/>
      <c r="AE313" s="230"/>
    </row>
    <row r="314" spans="1:31" ht="12.75" customHeight="1">
      <c r="A314" s="229" t="str">
        <f t="shared" ca="1" si="52"/>
        <v/>
      </c>
      <c r="B314" s="229" t="str">
        <f t="shared" ca="1" si="53"/>
        <v/>
      </c>
      <c r="C314" s="229" t="str">
        <f t="shared" ca="1" si="54"/>
        <v/>
      </c>
      <c r="D314" s="229" t="str">
        <f t="shared" ca="1" si="55"/>
        <v/>
      </c>
      <c r="E314" s="229" t="str">
        <f t="shared" ca="1" si="56"/>
        <v/>
      </c>
      <c r="F314" s="229" t="str">
        <f t="shared" ca="1" si="57"/>
        <v/>
      </c>
      <c r="G314" s="230" t="str">
        <f t="array" aca="1" ref="G314" ca="1">IF(INDEX(ExistsTx,$I314,2),IF(INDIRECT("'T"&amp;$I314&amp;"'!$D$"&amp;($J314+5),TRUE)=0,T_NoName,INDIRECT("'T"&amp;$I314&amp;"'!$D$"&amp;($J314+5),TRUE)),"")</f>
        <v/>
      </c>
      <c r="H314" s="230">
        <f t="array" aca="1" ref="H314" ca="1">IF(INDEX(ExistsTx,$I314,2),INDIRECT("'T"&amp;$I314&amp;"'!$E$"&amp;($J314+5),TRUE),0)</f>
        <v>0</v>
      </c>
      <c r="I314" s="229">
        <v>20</v>
      </c>
      <c r="J314" s="229">
        <v>8</v>
      </c>
      <c r="K314" s="230" t="str">
        <f t="array" aca="1" ref="K314" ca="1">INDEX(ListTeams,$I314,1)</f>
        <v/>
      </c>
      <c r="L314" s="230">
        <f t="array" aca="1" ref="L314" ca="1">IF(OR(NOT(INDEX(ExistsTx,$I314,2)),$H314=0),0,INDIRECT("'T"&amp;$I314&amp;"'!$M$"&amp;($J314+5),TRUE)+((1000-ROW())/10000000000000))</f>
        <v>0</v>
      </c>
      <c r="M314" s="230">
        <f t="array" aca="1" ref="M314" ca="1">IF(OR(NOT(INDEX(ExistsTx,$I314,2)),$H314=0),0,INDIRECT("'T"&amp;$I314&amp;"'!$N$"&amp;($J314+5),TRUE)+((1000-ROW())/10000000000000))</f>
        <v>0</v>
      </c>
      <c r="N314" s="230">
        <f t="array" aca="1" ref="N314" ca="1">IF(OR(NOT(INDEX(ExistsTx,$I314,2)),$H314=0),0,INDIRECT("'T"&amp;$I314&amp;"'!$O$"&amp;($J314+5),TRUE)+((1000-ROW())/10000000000000))</f>
        <v>0</v>
      </c>
      <c r="O314" s="230">
        <f t="array" aca="1" ref="O314" ca="1">IF(OR(NOT(INDEX(ExistsTx,$I314,2)),$H314=0),0,INDIRECT("'T"&amp;$I314&amp;"'!$P$"&amp;($J314+5),TRUE)+((1000-ROW())/10000000000000))</f>
        <v>0</v>
      </c>
      <c r="P314" s="230">
        <f t="array" aca="1" ref="P314" ca="1">IF(OR(NOT(INDEX(ExistsTx,$I314,2)),$H314=0),0,INDIRECT("'T"&amp;$I314&amp;"'!$Q$"&amp;($J314+5),TRUE)+((1000-ROW())/10000000000000))</f>
        <v>0</v>
      </c>
      <c r="Q314" s="230">
        <f t="shared" ca="1" si="58"/>
        <v>8.8200000088200004E-7</v>
      </c>
      <c r="R314" s="230"/>
      <c r="S314" s="230"/>
      <c r="T314" s="230"/>
      <c r="U314" s="230"/>
      <c r="V314" s="230"/>
      <c r="W314" s="230"/>
      <c r="X314" s="229"/>
      <c r="Y314" s="229"/>
      <c r="Z314" s="229"/>
      <c r="AA314" s="230"/>
      <c r="AB314" s="230"/>
      <c r="AC314" s="230"/>
      <c r="AD314" s="229"/>
      <c r="AE314" s="230"/>
    </row>
    <row r="315" spans="1:31" ht="12.75" customHeight="1">
      <c r="A315" s="229" t="str">
        <f t="shared" ca="1" si="52"/>
        <v/>
      </c>
      <c r="B315" s="229" t="str">
        <f t="shared" ca="1" si="53"/>
        <v/>
      </c>
      <c r="C315" s="229" t="str">
        <f t="shared" ca="1" si="54"/>
        <v/>
      </c>
      <c r="D315" s="229" t="str">
        <f t="shared" ca="1" si="55"/>
        <v/>
      </c>
      <c r="E315" s="229" t="str">
        <f t="shared" ca="1" si="56"/>
        <v/>
      </c>
      <c r="F315" s="229" t="str">
        <f t="shared" ca="1" si="57"/>
        <v/>
      </c>
      <c r="G315" s="230" t="str">
        <f t="array" aca="1" ref="G315" ca="1">IF(INDEX(ExistsTx,$I315,2),IF(INDIRECT("'T"&amp;$I315&amp;"'!$D$"&amp;($J315+5),TRUE)=0,T_NoName,INDIRECT("'T"&amp;$I315&amp;"'!$D$"&amp;($J315+5),TRUE)),"")</f>
        <v/>
      </c>
      <c r="H315" s="230">
        <f t="array" aca="1" ref="H315" ca="1">IF(INDEX(ExistsTx,$I315,2),INDIRECT("'T"&amp;$I315&amp;"'!$E$"&amp;($J315+5),TRUE),0)</f>
        <v>0</v>
      </c>
      <c r="I315" s="229">
        <v>20</v>
      </c>
      <c r="J315" s="229">
        <v>9</v>
      </c>
      <c r="K315" s="230" t="str">
        <f t="array" aca="1" ref="K315" ca="1">INDEX(ListTeams,$I315,1)</f>
        <v/>
      </c>
      <c r="L315" s="230">
        <f t="array" aca="1" ref="L315" ca="1">IF(OR(NOT(INDEX(ExistsTx,$I315,2)),$H315=0),0,INDIRECT("'T"&amp;$I315&amp;"'!$M$"&amp;($J315+5),TRUE)+((1000-ROW())/10000000000000))</f>
        <v>0</v>
      </c>
      <c r="M315" s="230">
        <f t="array" aca="1" ref="M315" ca="1">IF(OR(NOT(INDEX(ExistsTx,$I315,2)),$H315=0),0,INDIRECT("'T"&amp;$I315&amp;"'!$N$"&amp;($J315+5),TRUE)+((1000-ROW())/10000000000000))</f>
        <v>0</v>
      </c>
      <c r="N315" s="230">
        <f t="array" aca="1" ref="N315" ca="1">IF(OR(NOT(INDEX(ExistsTx,$I315,2)),$H315=0),0,INDIRECT("'T"&amp;$I315&amp;"'!$O$"&amp;($J315+5),TRUE)+((1000-ROW())/10000000000000))</f>
        <v>0</v>
      </c>
      <c r="O315" s="230">
        <f t="array" aca="1" ref="O315" ca="1">IF(OR(NOT(INDEX(ExistsTx,$I315,2)),$H315=0),0,INDIRECT("'T"&amp;$I315&amp;"'!$P$"&amp;($J315+5),TRUE)+((1000-ROW())/10000000000000))</f>
        <v>0</v>
      </c>
      <c r="P315" s="230">
        <f t="array" aca="1" ref="P315" ca="1">IF(OR(NOT(INDEX(ExistsTx,$I315,2)),$H315=0),0,INDIRECT("'T"&amp;$I315&amp;"'!$Q$"&amp;($J315+5),TRUE)+((1000-ROW())/10000000000000))</f>
        <v>0</v>
      </c>
      <c r="Q315" s="230">
        <f t="shared" ca="1" si="58"/>
        <v>8.8071428659500003E-7</v>
      </c>
      <c r="R315" s="230"/>
      <c r="S315" s="230"/>
      <c r="T315" s="230"/>
      <c r="U315" s="230"/>
      <c r="V315" s="230"/>
      <c r="W315" s="230"/>
      <c r="X315" s="229"/>
      <c r="Y315" s="229"/>
      <c r="Z315" s="229"/>
      <c r="AA315" s="230"/>
      <c r="AB315" s="230"/>
      <c r="AC315" s="230"/>
      <c r="AD315" s="229"/>
      <c r="AE315" s="230"/>
    </row>
    <row r="316" spans="1:31" ht="12.75" customHeight="1">
      <c r="A316" s="229" t="str">
        <f t="shared" ca="1" si="52"/>
        <v/>
      </c>
      <c r="B316" s="229" t="str">
        <f t="shared" ca="1" si="53"/>
        <v/>
      </c>
      <c r="C316" s="229" t="str">
        <f t="shared" ca="1" si="54"/>
        <v/>
      </c>
      <c r="D316" s="229" t="str">
        <f t="shared" ca="1" si="55"/>
        <v/>
      </c>
      <c r="E316" s="229" t="str">
        <f t="shared" ca="1" si="56"/>
        <v/>
      </c>
      <c r="F316" s="229" t="str">
        <f t="shared" ca="1" si="57"/>
        <v/>
      </c>
      <c r="G316" s="230" t="str">
        <f t="array" aca="1" ref="G316" ca="1">IF(INDEX(ExistsTx,$I316,2),IF(INDIRECT("'T"&amp;$I316&amp;"'!$D$"&amp;($J316+5),TRUE)=0,T_NoName,INDIRECT("'T"&amp;$I316&amp;"'!$D$"&amp;($J316+5),TRUE)),"")</f>
        <v/>
      </c>
      <c r="H316" s="230">
        <f t="array" aca="1" ref="H316" ca="1">IF(INDEX(ExistsTx,$I316,2),INDIRECT("'T"&amp;$I316&amp;"'!$E$"&amp;($J316+5),TRUE),0)</f>
        <v>0</v>
      </c>
      <c r="I316" s="229">
        <v>20</v>
      </c>
      <c r="J316" s="229">
        <v>10</v>
      </c>
      <c r="K316" s="230" t="str">
        <f t="array" aca="1" ref="K316" ca="1">INDEX(ListTeams,$I316,1)</f>
        <v/>
      </c>
      <c r="L316" s="230">
        <f t="array" aca="1" ref="L316" ca="1">IF(OR(NOT(INDEX(ExistsTx,$I316,2)),$H316=0),0,INDIRECT("'T"&amp;$I316&amp;"'!$M$"&amp;($J316+5),TRUE)+((1000-ROW())/10000000000000))</f>
        <v>0</v>
      </c>
      <c r="M316" s="230">
        <f t="array" aca="1" ref="M316" ca="1">IF(OR(NOT(INDEX(ExistsTx,$I316,2)),$H316=0),0,INDIRECT("'T"&amp;$I316&amp;"'!$N$"&amp;($J316+5),TRUE)+((1000-ROW())/10000000000000))</f>
        <v>0</v>
      </c>
      <c r="N316" s="230">
        <f t="array" aca="1" ref="N316" ca="1">IF(OR(NOT(INDEX(ExistsTx,$I316,2)),$H316=0),0,INDIRECT("'T"&amp;$I316&amp;"'!$O$"&amp;($J316+5),TRUE)+((1000-ROW())/10000000000000))</f>
        <v>0</v>
      </c>
      <c r="O316" s="230">
        <f t="array" aca="1" ref="O316" ca="1">IF(OR(NOT(INDEX(ExistsTx,$I316,2)),$H316=0),0,INDIRECT("'T"&amp;$I316&amp;"'!$P$"&amp;($J316+5),TRUE)+((1000-ROW())/10000000000000))</f>
        <v>0</v>
      </c>
      <c r="P316" s="230">
        <f t="array" aca="1" ref="P316" ca="1">IF(OR(NOT(INDEX(ExistsTx,$I316,2)),$H316=0),0,INDIRECT("'T"&amp;$I316&amp;"'!$Q$"&amp;($J316+5),TRUE)+((1000-ROW())/10000000000000))</f>
        <v>0</v>
      </c>
      <c r="Q316" s="230">
        <f t="shared" ca="1" si="58"/>
        <v>8.7942857230800002E-7</v>
      </c>
      <c r="R316" s="230"/>
      <c r="S316" s="230"/>
      <c r="T316" s="230"/>
      <c r="U316" s="230"/>
      <c r="V316" s="230"/>
      <c r="W316" s="230"/>
      <c r="X316" s="229"/>
      <c r="Y316" s="229"/>
      <c r="Z316" s="229"/>
      <c r="AA316" s="230"/>
      <c r="AB316" s="230"/>
      <c r="AC316" s="230"/>
      <c r="AD316" s="229"/>
      <c r="AE316" s="230"/>
    </row>
    <row r="317" spans="1:31" ht="12.75" customHeight="1">
      <c r="A317" s="229" t="str">
        <f t="shared" ca="1" si="52"/>
        <v/>
      </c>
      <c r="B317" s="229" t="str">
        <f t="shared" ca="1" si="53"/>
        <v/>
      </c>
      <c r="C317" s="229" t="str">
        <f t="shared" ca="1" si="54"/>
        <v/>
      </c>
      <c r="D317" s="229" t="str">
        <f t="shared" ca="1" si="55"/>
        <v/>
      </c>
      <c r="E317" s="229" t="str">
        <f t="shared" ca="1" si="56"/>
        <v/>
      </c>
      <c r="F317" s="229" t="str">
        <f t="shared" ca="1" si="57"/>
        <v/>
      </c>
      <c r="G317" s="230" t="str">
        <f t="array" aca="1" ref="G317" ca="1">IF(INDEX(ExistsTx,$I317,2),IF(INDIRECT("'T"&amp;$I317&amp;"'!$D$"&amp;($J317+5),TRUE)=0,T_NoName,INDIRECT("'T"&amp;$I317&amp;"'!$D$"&amp;($J317+5),TRUE)),"")</f>
        <v/>
      </c>
      <c r="H317" s="230">
        <f t="array" aca="1" ref="H317" ca="1">IF(INDEX(ExistsTx,$I317,2),INDIRECT("'T"&amp;$I317&amp;"'!$E$"&amp;($J317+5),TRUE),0)</f>
        <v>0</v>
      </c>
      <c r="I317" s="229">
        <v>20</v>
      </c>
      <c r="J317" s="229">
        <v>11</v>
      </c>
      <c r="K317" s="230" t="str">
        <f t="array" aca="1" ref="K317" ca="1">INDEX(ListTeams,$I317,1)</f>
        <v/>
      </c>
      <c r="L317" s="230">
        <f t="array" aca="1" ref="L317" ca="1">IF(OR(NOT(INDEX(ExistsTx,$I317,2)),$H317=0),0,INDIRECT("'T"&amp;$I317&amp;"'!$M$"&amp;($J317+5),TRUE)+((1000-ROW())/10000000000000))</f>
        <v>0</v>
      </c>
      <c r="M317" s="230">
        <f t="array" aca="1" ref="M317" ca="1">IF(OR(NOT(INDEX(ExistsTx,$I317,2)),$H317=0),0,INDIRECT("'T"&amp;$I317&amp;"'!$N$"&amp;($J317+5),TRUE)+((1000-ROW())/10000000000000))</f>
        <v>0</v>
      </c>
      <c r="N317" s="230">
        <f t="array" aca="1" ref="N317" ca="1">IF(OR(NOT(INDEX(ExistsTx,$I317,2)),$H317=0),0,INDIRECT("'T"&amp;$I317&amp;"'!$O$"&amp;($J317+5),TRUE)+((1000-ROW())/10000000000000))</f>
        <v>0</v>
      </c>
      <c r="O317" s="230">
        <f t="array" aca="1" ref="O317" ca="1">IF(OR(NOT(INDEX(ExistsTx,$I317,2)),$H317=0),0,INDIRECT("'T"&amp;$I317&amp;"'!$P$"&amp;($J317+5),TRUE)+((1000-ROW())/10000000000000))</f>
        <v>0</v>
      </c>
      <c r="P317" s="230">
        <f t="array" aca="1" ref="P317" ca="1">IF(OR(NOT(INDEX(ExistsTx,$I317,2)),$H317=0),0,INDIRECT("'T"&amp;$I317&amp;"'!$Q$"&amp;($J317+5),TRUE)+((1000-ROW())/10000000000000))</f>
        <v>0</v>
      </c>
      <c r="Q317" s="230">
        <f t="shared" ca="1" si="58"/>
        <v>8.78142858021E-7</v>
      </c>
      <c r="R317" s="230"/>
      <c r="S317" s="230"/>
      <c r="T317" s="230"/>
      <c r="U317" s="230"/>
      <c r="V317" s="230"/>
      <c r="W317" s="230"/>
      <c r="X317" s="229"/>
      <c r="Y317" s="229"/>
      <c r="Z317" s="229"/>
      <c r="AA317" s="230"/>
      <c r="AB317" s="230"/>
      <c r="AC317" s="230"/>
      <c r="AD317" s="229"/>
      <c r="AE317" s="230"/>
    </row>
    <row r="318" spans="1:31" ht="12.75" customHeight="1">
      <c r="A318" s="229" t="str">
        <f t="shared" ca="1" si="52"/>
        <v/>
      </c>
      <c r="B318" s="229" t="str">
        <f t="shared" ca="1" si="53"/>
        <v/>
      </c>
      <c r="C318" s="229" t="str">
        <f t="shared" ca="1" si="54"/>
        <v/>
      </c>
      <c r="D318" s="229" t="str">
        <f t="shared" ca="1" si="55"/>
        <v/>
      </c>
      <c r="E318" s="229" t="str">
        <f t="shared" ca="1" si="56"/>
        <v/>
      </c>
      <c r="F318" s="229" t="str">
        <f t="shared" ca="1" si="57"/>
        <v/>
      </c>
      <c r="G318" s="230" t="str">
        <f t="array" aca="1" ref="G318" ca="1">IF(INDEX(ExistsTx,$I318,2),IF(INDIRECT("'T"&amp;$I318&amp;"'!$D$"&amp;($J318+5),TRUE)=0,T_NoName,INDIRECT("'T"&amp;$I318&amp;"'!$D$"&amp;($J318+5),TRUE)),"")</f>
        <v/>
      </c>
      <c r="H318" s="230">
        <f t="array" aca="1" ref="H318" ca="1">IF(INDEX(ExistsTx,$I318,2),INDIRECT("'T"&amp;$I318&amp;"'!$E$"&amp;($J318+5),TRUE),0)</f>
        <v>0</v>
      </c>
      <c r="I318" s="229">
        <v>20</v>
      </c>
      <c r="J318" s="229">
        <v>12</v>
      </c>
      <c r="K318" s="230" t="str">
        <f t="array" aca="1" ref="K318" ca="1">INDEX(ListTeams,$I318,1)</f>
        <v/>
      </c>
      <c r="L318" s="230">
        <f t="array" aca="1" ref="L318" ca="1">IF(OR(NOT(INDEX(ExistsTx,$I318,2)),$H318=0),0,INDIRECT("'T"&amp;$I318&amp;"'!$M$"&amp;($J318+5),TRUE)+((1000-ROW())/10000000000000))</f>
        <v>0</v>
      </c>
      <c r="M318" s="230">
        <f t="array" aca="1" ref="M318" ca="1">IF(OR(NOT(INDEX(ExistsTx,$I318,2)),$H318=0),0,INDIRECT("'T"&amp;$I318&amp;"'!$N$"&amp;($J318+5),TRUE)+((1000-ROW())/10000000000000))</f>
        <v>0</v>
      </c>
      <c r="N318" s="230">
        <f t="array" aca="1" ref="N318" ca="1">IF(OR(NOT(INDEX(ExistsTx,$I318,2)),$H318=0),0,INDIRECT("'T"&amp;$I318&amp;"'!$O$"&amp;($J318+5),TRUE)+((1000-ROW())/10000000000000))</f>
        <v>0</v>
      </c>
      <c r="O318" s="230">
        <f t="array" aca="1" ref="O318" ca="1">IF(OR(NOT(INDEX(ExistsTx,$I318,2)),$H318=0),0,INDIRECT("'T"&amp;$I318&amp;"'!$P$"&amp;($J318+5),TRUE)+((1000-ROW())/10000000000000))</f>
        <v>0</v>
      </c>
      <c r="P318" s="230">
        <f t="array" aca="1" ref="P318" ca="1">IF(OR(NOT(INDEX(ExistsTx,$I318,2)),$H318=0),0,INDIRECT("'T"&amp;$I318&amp;"'!$Q$"&amp;($J318+5),TRUE)+((1000-ROW())/10000000000000))</f>
        <v>0</v>
      </c>
      <c r="Q318" s="230">
        <f t="shared" ca="1" si="58"/>
        <v>8.7685714373399999E-7</v>
      </c>
      <c r="R318" s="230"/>
      <c r="S318" s="230"/>
      <c r="T318" s="230"/>
      <c r="U318" s="230"/>
      <c r="V318" s="230"/>
      <c r="W318" s="230"/>
      <c r="X318" s="229"/>
      <c r="Y318" s="229"/>
      <c r="Z318" s="229"/>
      <c r="AA318" s="230"/>
      <c r="AB318" s="230"/>
      <c r="AC318" s="230"/>
      <c r="AD318" s="229"/>
      <c r="AE318" s="230"/>
    </row>
    <row r="319" spans="1:31" ht="12.75" customHeight="1">
      <c r="A319" s="229" t="str">
        <f t="shared" ca="1" si="52"/>
        <v/>
      </c>
      <c r="B319" s="229" t="str">
        <f t="shared" ca="1" si="53"/>
        <v/>
      </c>
      <c r="C319" s="229" t="str">
        <f t="shared" ca="1" si="54"/>
        <v/>
      </c>
      <c r="D319" s="229" t="str">
        <f t="shared" ca="1" si="55"/>
        <v/>
      </c>
      <c r="E319" s="229" t="str">
        <f t="shared" ca="1" si="56"/>
        <v/>
      </c>
      <c r="F319" s="229" t="str">
        <f t="shared" ca="1" si="57"/>
        <v/>
      </c>
      <c r="G319" s="230" t="str">
        <f t="array" aca="1" ref="G319" ca="1">IF(INDEX(ExistsTx,$I319,2),IF(INDIRECT("'T"&amp;$I319&amp;"'!$D$"&amp;($J319+5),TRUE)=0,T_NoName,INDIRECT("'T"&amp;$I319&amp;"'!$D$"&amp;($J319+5),TRUE)),"")</f>
        <v/>
      </c>
      <c r="H319" s="230">
        <f t="array" aca="1" ref="H319" ca="1">IF(INDEX(ExistsTx,$I319,2),INDIRECT("'T"&amp;$I319&amp;"'!$E$"&amp;($J319+5),TRUE),0)</f>
        <v>0</v>
      </c>
      <c r="I319" s="229">
        <v>20</v>
      </c>
      <c r="J319" s="229">
        <v>13</v>
      </c>
      <c r="K319" s="230" t="str">
        <f t="array" aca="1" ref="K319" ca="1">INDEX(ListTeams,$I319,1)</f>
        <v/>
      </c>
      <c r="L319" s="230">
        <f t="array" aca="1" ref="L319" ca="1">IF(OR(NOT(INDEX(ExistsTx,$I319,2)),$H319=0),0,INDIRECT("'T"&amp;$I319&amp;"'!$M$"&amp;($J319+5),TRUE)+((1000-ROW())/10000000000000))</f>
        <v>0</v>
      </c>
      <c r="M319" s="230">
        <f t="array" aca="1" ref="M319" ca="1">IF(OR(NOT(INDEX(ExistsTx,$I319,2)),$H319=0),0,INDIRECT("'T"&amp;$I319&amp;"'!$N$"&amp;($J319+5),TRUE)+((1000-ROW())/10000000000000))</f>
        <v>0</v>
      </c>
      <c r="N319" s="230">
        <f t="array" aca="1" ref="N319" ca="1">IF(OR(NOT(INDEX(ExistsTx,$I319,2)),$H319=0),0,INDIRECT("'T"&amp;$I319&amp;"'!$O$"&amp;($J319+5),TRUE)+((1000-ROW())/10000000000000))</f>
        <v>0</v>
      </c>
      <c r="O319" s="230">
        <f t="array" aca="1" ref="O319" ca="1">IF(OR(NOT(INDEX(ExistsTx,$I319,2)),$H319=0),0,INDIRECT("'T"&amp;$I319&amp;"'!$P$"&amp;($J319+5),TRUE)+((1000-ROW())/10000000000000))</f>
        <v>0</v>
      </c>
      <c r="P319" s="230">
        <f t="array" aca="1" ref="P319" ca="1">IF(OR(NOT(INDEX(ExistsTx,$I319,2)),$H319=0),0,INDIRECT("'T"&amp;$I319&amp;"'!$Q$"&amp;($J319+5),TRUE)+((1000-ROW())/10000000000000))</f>
        <v>0</v>
      </c>
      <c r="Q319" s="230">
        <f t="shared" ca="1" si="58"/>
        <v>8.7557142944699998E-7</v>
      </c>
      <c r="R319" s="230"/>
      <c r="S319" s="230"/>
      <c r="T319" s="230"/>
      <c r="U319" s="230"/>
      <c r="V319" s="230"/>
      <c r="W319" s="230"/>
      <c r="X319" s="229"/>
      <c r="Y319" s="229"/>
      <c r="Z319" s="229"/>
      <c r="AA319" s="230"/>
      <c r="AB319" s="230"/>
      <c r="AC319" s="230"/>
      <c r="AD319" s="229"/>
      <c r="AE319" s="230"/>
    </row>
    <row r="320" spans="1:31" ht="12.75" customHeight="1">
      <c r="A320" s="229" t="str">
        <f t="shared" ca="1" si="52"/>
        <v/>
      </c>
      <c r="B320" s="229" t="str">
        <f t="shared" ca="1" si="53"/>
        <v/>
      </c>
      <c r="C320" s="229" t="str">
        <f t="shared" ca="1" si="54"/>
        <v/>
      </c>
      <c r="D320" s="229" t="str">
        <f t="shared" ca="1" si="55"/>
        <v/>
      </c>
      <c r="E320" s="229" t="str">
        <f t="shared" ca="1" si="56"/>
        <v/>
      </c>
      <c r="F320" s="229" t="str">
        <f t="shared" ca="1" si="57"/>
        <v/>
      </c>
      <c r="G320" s="230" t="str">
        <f t="array" aca="1" ref="G320" ca="1">IF(INDEX(ExistsTx,$I320,2),IF(INDIRECT("'T"&amp;$I320&amp;"'!$D$"&amp;($J320+5),TRUE)=0,T_NoName,INDIRECT("'T"&amp;$I320&amp;"'!$D$"&amp;($J320+5),TRUE)),"")</f>
        <v/>
      </c>
      <c r="H320" s="230">
        <f t="array" aca="1" ref="H320" ca="1">IF(INDEX(ExistsTx,$I320,2),INDIRECT("'T"&amp;$I320&amp;"'!$E$"&amp;($J320+5),TRUE),0)</f>
        <v>0</v>
      </c>
      <c r="I320" s="229">
        <v>20</v>
      </c>
      <c r="J320" s="229">
        <v>14</v>
      </c>
      <c r="K320" s="230" t="str">
        <f t="array" aca="1" ref="K320" ca="1">INDEX(ListTeams,$I320,1)</f>
        <v/>
      </c>
      <c r="L320" s="230">
        <f t="array" aca="1" ref="L320" ca="1">IF(OR(NOT(INDEX(ExistsTx,$I320,2)),$H320=0),0,INDIRECT("'T"&amp;$I320&amp;"'!$M$"&amp;($J320+5),TRUE)+((1000-ROW())/10000000000000))</f>
        <v>0</v>
      </c>
      <c r="M320" s="230">
        <f t="array" aca="1" ref="M320" ca="1">IF(OR(NOT(INDEX(ExistsTx,$I320,2)),$H320=0),0,INDIRECT("'T"&amp;$I320&amp;"'!$N$"&amp;($J320+5),TRUE)+((1000-ROW())/10000000000000))</f>
        <v>0</v>
      </c>
      <c r="N320" s="230">
        <f t="array" aca="1" ref="N320" ca="1">IF(OR(NOT(INDEX(ExistsTx,$I320,2)),$H320=0),0,INDIRECT("'T"&amp;$I320&amp;"'!$O$"&amp;($J320+5),TRUE)+((1000-ROW())/10000000000000))</f>
        <v>0</v>
      </c>
      <c r="O320" s="230">
        <f t="array" aca="1" ref="O320" ca="1">IF(OR(NOT(INDEX(ExistsTx,$I320,2)),$H320=0),0,INDIRECT("'T"&amp;$I320&amp;"'!$P$"&amp;($J320+5),TRUE)+((1000-ROW())/10000000000000))</f>
        <v>0</v>
      </c>
      <c r="P320" s="230">
        <f t="array" aca="1" ref="P320" ca="1">IF(OR(NOT(INDEX(ExistsTx,$I320,2)),$H320=0),0,INDIRECT("'T"&amp;$I320&amp;"'!$Q$"&amp;($J320+5),TRUE)+((1000-ROW())/10000000000000))</f>
        <v>0</v>
      </c>
      <c r="Q320" s="230">
        <f t="shared" ca="1" si="58"/>
        <v>8.7428571515999997E-7</v>
      </c>
      <c r="R320" s="230"/>
      <c r="S320" s="230"/>
      <c r="T320" s="230"/>
      <c r="U320" s="230"/>
      <c r="V320" s="230"/>
      <c r="W320" s="230"/>
      <c r="X320" s="229"/>
      <c r="Y320" s="229"/>
      <c r="Z320" s="229"/>
      <c r="AA320" s="230"/>
      <c r="AB320" s="230"/>
      <c r="AC320" s="230"/>
      <c r="AD320" s="229"/>
      <c r="AE320" s="230"/>
    </row>
    <row r="321" spans="1:31" ht="12.75" customHeight="1">
      <c r="A321" s="229" t="str">
        <f t="shared" ca="1" si="52"/>
        <v/>
      </c>
      <c r="B321" s="229" t="str">
        <f t="shared" ca="1" si="53"/>
        <v/>
      </c>
      <c r="C321" s="229" t="str">
        <f t="shared" ca="1" si="54"/>
        <v/>
      </c>
      <c r="D321" s="229" t="str">
        <f t="shared" ca="1" si="55"/>
        <v/>
      </c>
      <c r="E321" s="229" t="str">
        <f t="shared" ca="1" si="56"/>
        <v/>
      </c>
      <c r="F321" s="229" t="str">
        <f t="shared" ca="1" si="57"/>
        <v/>
      </c>
      <c r="G321" s="230" t="str">
        <f t="array" aca="1" ref="G321" ca="1">IF(INDEX(ExistsTx,$I321,2),IF(INDIRECT("'T"&amp;$I321&amp;"'!$D$"&amp;($J321+5),TRUE)=0,T_NoName,INDIRECT("'T"&amp;$I321&amp;"'!$D$"&amp;($J321+5),TRUE)),"")</f>
        <v/>
      </c>
      <c r="H321" s="230">
        <f t="array" aca="1" ref="H321" ca="1">IF(INDEX(ExistsTx,$I321,2),INDIRECT("'T"&amp;$I321&amp;"'!$E$"&amp;($J321+5),TRUE),0)</f>
        <v>0</v>
      </c>
      <c r="I321" s="229">
        <v>20</v>
      </c>
      <c r="J321" s="229">
        <v>15</v>
      </c>
      <c r="K321" s="230" t="str">
        <f t="array" aca="1" ref="K321" ca="1">INDEX(ListTeams,$I321,1)</f>
        <v/>
      </c>
      <c r="L321" s="230">
        <f t="array" aca="1" ref="L321" ca="1">IF(OR(NOT(INDEX(ExistsTx,$I321,2)),$H321=0),0,INDIRECT("'T"&amp;$I321&amp;"'!$M$"&amp;($J321+5),TRUE)+((1000-ROW())/10000000000000))</f>
        <v>0</v>
      </c>
      <c r="M321" s="230">
        <f t="array" aca="1" ref="M321" ca="1">IF(OR(NOT(INDEX(ExistsTx,$I321,2)),$H321=0),0,INDIRECT("'T"&amp;$I321&amp;"'!$N$"&amp;($J321+5),TRUE)+((1000-ROW())/10000000000000))</f>
        <v>0</v>
      </c>
      <c r="N321" s="230">
        <f t="array" aca="1" ref="N321" ca="1">IF(OR(NOT(INDEX(ExistsTx,$I321,2)),$H321=0),0,INDIRECT("'T"&amp;$I321&amp;"'!$O$"&amp;($J321+5),TRUE)+((1000-ROW())/10000000000000))</f>
        <v>0</v>
      </c>
      <c r="O321" s="230">
        <f t="array" aca="1" ref="O321" ca="1">IF(OR(NOT(INDEX(ExistsTx,$I321,2)),$H321=0),0,INDIRECT("'T"&amp;$I321&amp;"'!$P$"&amp;($J321+5),TRUE)+((1000-ROW())/10000000000000))</f>
        <v>0</v>
      </c>
      <c r="P321" s="230">
        <f t="array" aca="1" ref="P321" ca="1">IF(OR(NOT(INDEX(ExistsTx,$I321,2)),$H321=0),0,INDIRECT("'T"&amp;$I321&amp;"'!$Q$"&amp;($J321+5),TRUE)+((1000-ROW())/10000000000000))</f>
        <v>0</v>
      </c>
      <c r="Q321" s="230">
        <f t="shared" ca="1" si="58"/>
        <v>8.7300000087299996E-7</v>
      </c>
      <c r="R321" s="230"/>
      <c r="S321" s="230"/>
      <c r="T321" s="230"/>
      <c r="U321" s="230"/>
      <c r="V321" s="230"/>
      <c r="W321" s="230"/>
      <c r="X321" s="229"/>
      <c r="Y321" s="229"/>
      <c r="Z321" s="229"/>
      <c r="AA321" s="230"/>
      <c r="AB321" s="230"/>
      <c r="AC321" s="230"/>
      <c r="AD321" s="229"/>
      <c r="AE321" s="230"/>
    </row>
    <row r="322" spans="1:31" ht="12.75" customHeight="1">
      <c r="A322" s="229" t="str">
        <f t="shared" ca="1" si="52"/>
        <v/>
      </c>
      <c r="B322" s="229" t="str">
        <f t="shared" ca="1" si="53"/>
        <v/>
      </c>
      <c r="C322" s="229" t="str">
        <f t="shared" ca="1" si="54"/>
        <v/>
      </c>
      <c r="D322" s="229" t="str">
        <f t="shared" ca="1" si="55"/>
        <v/>
      </c>
      <c r="E322" s="229" t="str">
        <f t="shared" ca="1" si="56"/>
        <v/>
      </c>
      <c r="F322" s="229" t="str">
        <f t="shared" ca="1" si="57"/>
        <v/>
      </c>
      <c r="G322" s="230" t="str">
        <f t="array" aca="1" ref="G322" ca="1">IF(INDEX(ExistsTx,$I322,2),IF(INDIRECT("'T"&amp;$I322&amp;"'!$D$"&amp;($J322+5),TRUE)=0,T_NoName,INDIRECT("'T"&amp;$I322&amp;"'!$D$"&amp;($J322+5),TRUE)),"")</f>
        <v/>
      </c>
      <c r="H322" s="230">
        <f t="array" aca="1" ref="H322" ca="1">IF(INDEX(ExistsTx,$I322,2),INDIRECT("'T"&amp;$I322&amp;"'!$E$"&amp;($J322+5),TRUE),0)</f>
        <v>0</v>
      </c>
      <c r="I322" s="229">
        <v>20</v>
      </c>
      <c r="J322" s="229">
        <v>16</v>
      </c>
      <c r="K322" s="230" t="str">
        <f t="array" aca="1" ref="K322" ca="1">INDEX(ListTeams,$I322,1)</f>
        <v/>
      </c>
      <c r="L322" s="230">
        <f t="array" aca="1" ref="L322" ca="1">IF(OR(NOT(INDEX(ExistsTx,$I322,2)),$H322=0),0,INDIRECT("'T"&amp;$I322&amp;"'!$M$"&amp;($J322+5),TRUE)+((1000-ROW())/10000000000000))</f>
        <v>0</v>
      </c>
      <c r="M322" s="230">
        <f t="array" aca="1" ref="M322" ca="1">IF(OR(NOT(INDEX(ExistsTx,$I322,2)),$H322=0),0,INDIRECT("'T"&amp;$I322&amp;"'!$N$"&amp;($J322+5),TRUE)+((1000-ROW())/10000000000000))</f>
        <v>0</v>
      </c>
      <c r="N322" s="230">
        <f t="array" aca="1" ref="N322" ca="1">IF(OR(NOT(INDEX(ExistsTx,$I322,2)),$H322=0),0,INDIRECT("'T"&amp;$I322&amp;"'!$O$"&amp;($J322+5),TRUE)+((1000-ROW())/10000000000000))</f>
        <v>0</v>
      </c>
      <c r="O322" s="230">
        <f t="array" aca="1" ref="O322" ca="1">IF(OR(NOT(INDEX(ExistsTx,$I322,2)),$H322=0),0,INDIRECT("'T"&amp;$I322&amp;"'!$P$"&amp;($J322+5),TRUE)+((1000-ROW())/10000000000000))</f>
        <v>0</v>
      </c>
      <c r="P322" s="230">
        <f t="array" aca="1" ref="P322" ca="1">IF(OR(NOT(INDEX(ExistsTx,$I322,2)),$H322=0),0,INDIRECT("'T"&amp;$I322&amp;"'!$Q$"&amp;($J322+5),TRUE)+((1000-ROW())/10000000000000))</f>
        <v>0</v>
      </c>
      <c r="Q322" s="230">
        <f t="shared" ca="1" si="58"/>
        <v>8.7171428658600005E-7</v>
      </c>
      <c r="R322" s="230"/>
      <c r="S322" s="230"/>
      <c r="T322" s="230"/>
      <c r="U322" s="230"/>
      <c r="V322" s="230"/>
      <c r="W322" s="230"/>
      <c r="X322" s="229"/>
      <c r="Y322" s="229"/>
      <c r="Z322" s="229"/>
      <c r="AA322" s="230"/>
      <c r="AB322" s="230"/>
      <c r="AC322" s="230"/>
      <c r="AD322" s="229"/>
      <c r="AE322" s="230"/>
    </row>
    <row r="323" spans="1:31" ht="12.75" customHeight="1">
      <c r="A323" s="229" t="str">
        <f t="shared" ref="A323:A386" ca="1" si="59">IF(L323&lt;1,"",RANK(L323,PSTAT_CP))</f>
        <v/>
      </c>
      <c r="B323" s="229" t="str">
        <f t="shared" ref="B323:B386" ca="1" si="60">IF(M323&lt;1,"",RANK(M323,PSTAT_TD))</f>
        <v/>
      </c>
      <c r="C323" s="229" t="str">
        <f t="shared" ref="C323:C386" ca="1" si="61">IF(N323&lt;1,"",RANK(N323,PSTAT_IN))</f>
        <v/>
      </c>
      <c r="D323" s="229" t="str">
        <f t="shared" ref="D323:D386" ca="1" si="62">IF(O323&lt;1,"",RANK(O323,PSTAT_CS))</f>
        <v/>
      </c>
      <c r="E323" s="229" t="str">
        <f t="shared" ref="E323:E386" ca="1" si="63">IF(P323&lt;1,"",RANK(P323,PSTAT_VP))</f>
        <v/>
      </c>
      <c r="F323" s="229" t="str">
        <f t="shared" ref="F323:F386" ca="1" si="64">IF(Q323&lt;1,"",RANK(Q323,PSTAT_SP))</f>
        <v/>
      </c>
      <c r="G323" s="230" t="str">
        <f t="array" aca="1" ref="G323" ca="1">IF(INDEX(ExistsTx,$I323,2),IF(INDIRECT("'T"&amp;$I323&amp;"'!$D$"&amp;($J323+5),TRUE)=0,T_NoName,INDIRECT("'T"&amp;$I323&amp;"'!$D$"&amp;($J323+5),TRUE)),"")</f>
        <v/>
      </c>
      <c r="H323" s="230">
        <f t="array" aca="1" ref="H323" ca="1">IF(INDEX(ExistsTx,$I323,2),INDIRECT("'T"&amp;$I323&amp;"'!$E$"&amp;($J323+5),TRUE),0)</f>
        <v>0</v>
      </c>
      <c r="I323" s="229">
        <v>21</v>
      </c>
      <c r="J323" s="229">
        <v>1</v>
      </c>
      <c r="K323" s="230" t="str">
        <f t="array" aca="1" ref="K323" ca="1">INDEX(ListTeams,$I323,1)</f>
        <v/>
      </c>
      <c r="L323" s="230">
        <f t="array" aca="1" ref="L323" ca="1">IF(OR(NOT(INDEX(ExistsTx,$I323,2)),$H323=0),0,INDIRECT("'T"&amp;$I323&amp;"'!$M$"&amp;($J323+5),TRUE)+((1000-ROW())/10000000000000))</f>
        <v>0</v>
      </c>
      <c r="M323" s="230">
        <f t="array" aca="1" ref="M323" ca="1">IF(OR(NOT(INDEX(ExistsTx,$I323,2)),$H323=0),0,INDIRECT("'T"&amp;$I323&amp;"'!$N$"&amp;($J323+5),TRUE)+((1000-ROW())/10000000000000))</f>
        <v>0</v>
      </c>
      <c r="N323" s="230">
        <f t="array" aca="1" ref="N323" ca="1">IF(OR(NOT(INDEX(ExistsTx,$I323,2)),$H323=0),0,INDIRECT("'T"&amp;$I323&amp;"'!$O$"&amp;($J323+5),TRUE)+((1000-ROW())/10000000000000))</f>
        <v>0</v>
      </c>
      <c r="O323" s="230">
        <f t="array" aca="1" ref="O323" ca="1">IF(OR(NOT(INDEX(ExistsTx,$I323,2)),$H323=0),0,INDIRECT("'T"&amp;$I323&amp;"'!$P$"&amp;($J323+5),TRUE)+((1000-ROW())/10000000000000))</f>
        <v>0</v>
      </c>
      <c r="P323" s="230">
        <f t="array" aca="1" ref="P323" ca="1">IF(OR(NOT(INDEX(ExistsTx,$I323,2)),$H323=0),0,INDIRECT("'T"&amp;$I323&amp;"'!$Q$"&amp;($J323+5),TRUE)+((1000-ROW())/10000000000000))</f>
        <v>0</v>
      </c>
      <c r="Q323" s="230">
        <f t="shared" ref="Q323:Q386" ca="1" si="65">L323*SPP_CP+M323*SPP_TD+N323*SPP_IN+O323*SPP_CS+P323*SPP_VP+((1000-ROW())/777777777)</f>
        <v>8.7042857229900004E-7</v>
      </c>
      <c r="R323" s="230"/>
      <c r="S323" s="230"/>
      <c r="T323" s="230"/>
      <c r="U323" s="230"/>
      <c r="V323" s="230"/>
      <c r="W323" s="230"/>
      <c r="X323" s="229"/>
      <c r="Y323" s="229"/>
      <c r="Z323" s="229"/>
      <c r="AA323" s="230"/>
      <c r="AB323" s="230"/>
      <c r="AC323" s="230"/>
      <c r="AD323" s="229"/>
      <c r="AE323" s="230"/>
    </row>
    <row r="324" spans="1:31" ht="12.75" customHeight="1">
      <c r="A324" s="229" t="str">
        <f t="shared" ca="1" si="59"/>
        <v/>
      </c>
      <c r="B324" s="229" t="str">
        <f t="shared" ca="1" si="60"/>
        <v/>
      </c>
      <c r="C324" s="229" t="str">
        <f t="shared" ca="1" si="61"/>
        <v/>
      </c>
      <c r="D324" s="229" t="str">
        <f t="shared" ca="1" si="62"/>
        <v/>
      </c>
      <c r="E324" s="229" t="str">
        <f t="shared" ca="1" si="63"/>
        <v/>
      </c>
      <c r="F324" s="229" t="str">
        <f t="shared" ca="1" si="64"/>
        <v/>
      </c>
      <c r="G324" s="230" t="str">
        <f t="array" aca="1" ref="G324" ca="1">IF(INDEX(ExistsTx,$I324,2),IF(INDIRECT("'T"&amp;$I324&amp;"'!$D$"&amp;($J324+5),TRUE)=0,T_NoName,INDIRECT("'T"&amp;$I324&amp;"'!$D$"&amp;($J324+5),TRUE)),"")</f>
        <v/>
      </c>
      <c r="H324" s="230">
        <f t="array" aca="1" ref="H324" ca="1">IF(INDEX(ExistsTx,$I324,2),INDIRECT("'T"&amp;$I324&amp;"'!$E$"&amp;($J324+5),TRUE),0)</f>
        <v>0</v>
      </c>
      <c r="I324" s="229">
        <v>21</v>
      </c>
      <c r="J324" s="229">
        <v>2</v>
      </c>
      <c r="K324" s="230" t="str">
        <f t="array" aca="1" ref="K324" ca="1">INDEX(ListTeams,$I324,1)</f>
        <v/>
      </c>
      <c r="L324" s="230">
        <f t="array" aca="1" ref="L324" ca="1">IF(OR(NOT(INDEX(ExistsTx,$I324,2)),$H324=0),0,INDIRECT("'T"&amp;$I324&amp;"'!$M$"&amp;($J324+5),TRUE)+((1000-ROW())/10000000000000))</f>
        <v>0</v>
      </c>
      <c r="M324" s="230">
        <f t="array" aca="1" ref="M324" ca="1">IF(OR(NOT(INDEX(ExistsTx,$I324,2)),$H324=0),0,INDIRECT("'T"&amp;$I324&amp;"'!$N$"&amp;($J324+5),TRUE)+((1000-ROW())/10000000000000))</f>
        <v>0</v>
      </c>
      <c r="N324" s="230">
        <f t="array" aca="1" ref="N324" ca="1">IF(OR(NOT(INDEX(ExistsTx,$I324,2)),$H324=0),0,INDIRECT("'T"&amp;$I324&amp;"'!$O$"&amp;($J324+5),TRUE)+((1000-ROW())/10000000000000))</f>
        <v>0</v>
      </c>
      <c r="O324" s="230">
        <f t="array" aca="1" ref="O324" ca="1">IF(OR(NOT(INDEX(ExistsTx,$I324,2)),$H324=0),0,INDIRECT("'T"&amp;$I324&amp;"'!$P$"&amp;($J324+5),TRUE)+((1000-ROW())/10000000000000))</f>
        <v>0</v>
      </c>
      <c r="P324" s="230">
        <f t="array" aca="1" ref="P324" ca="1">IF(OR(NOT(INDEX(ExistsTx,$I324,2)),$H324=0),0,INDIRECT("'T"&amp;$I324&amp;"'!$Q$"&amp;($J324+5),TRUE)+((1000-ROW())/10000000000000))</f>
        <v>0</v>
      </c>
      <c r="Q324" s="230">
        <f t="shared" ca="1" si="65"/>
        <v>8.6914285801200003E-7</v>
      </c>
      <c r="R324" s="230"/>
      <c r="S324" s="230"/>
      <c r="T324" s="230"/>
      <c r="U324" s="230"/>
      <c r="V324" s="230"/>
      <c r="W324" s="230"/>
      <c r="X324" s="229"/>
      <c r="Y324" s="229"/>
      <c r="Z324" s="229"/>
      <c r="AA324" s="230"/>
      <c r="AB324" s="230"/>
      <c r="AC324" s="230"/>
      <c r="AD324" s="229"/>
      <c r="AE324" s="230"/>
    </row>
    <row r="325" spans="1:31" ht="12.75" customHeight="1">
      <c r="A325" s="229" t="str">
        <f t="shared" ca="1" si="59"/>
        <v/>
      </c>
      <c r="B325" s="229" t="str">
        <f t="shared" ca="1" si="60"/>
        <v/>
      </c>
      <c r="C325" s="229" t="str">
        <f t="shared" ca="1" si="61"/>
        <v/>
      </c>
      <c r="D325" s="229" t="str">
        <f t="shared" ca="1" si="62"/>
        <v/>
      </c>
      <c r="E325" s="229" t="str">
        <f t="shared" ca="1" si="63"/>
        <v/>
      </c>
      <c r="F325" s="229" t="str">
        <f t="shared" ca="1" si="64"/>
        <v/>
      </c>
      <c r="G325" s="230" t="str">
        <f t="array" aca="1" ref="G325" ca="1">IF(INDEX(ExistsTx,$I325,2),IF(INDIRECT("'T"&amp;$I325&amp;"'!$D$"&amp;($J325+5),TRUE)=0,T_NoName,INDIRECT("'T"&amp;$I325&amp;"'!$D$"&amp;($J325+5),TRUE)),"")</f>
        <v/>
      </c>
      <c r="H325" s="230">
        <f t="array" aca="1" ref="H325" ca="1">IF(INDEX(ExistsTx,$I325,2),INDIRECT("'T"&amp;$I325&amp;"'!$E$"&amp;($J325+5),TRUE),0)</f>
        <v>0</v>
      </c>
      <c r="I325" s="229">
        <v>21</v>
      </c>
      <c r="J325" s="229">
        <v>3</v>
      </c>
      <c r="K325" s="230" t="str">
        <f t="array" aca="1" ref="K325" ca="1">INDEX(ListTeams,$I325,1)</f>
        <v/>
      </c>
      <c r="L325" s="230">
        <f t="array" aca="1" ref="L325" ca="1">IF(OR(NOT(INDEX(ExistsTx,$I325,2)),$H325=0),0,INDIRECT("'T"&amp;$I325&amp;"'!$M$"&amp;($J325+5),TRUE)+((1000-ROW())/10000000000000))</f>
        <v>0</v>
      </c>
      <c r="M325" s="230">
        <f t="array" aca="1" ref="M325" ca="1">IF(OR(NOT(INDEX(ExistsTx,$I325,2)),$H325=0),0,INDIRECT("'T"&amp;$I325&amp;"'!$N$"&amp;($J325+5),TRUE)+((1000-ROW())/10000000000000))</f>
        <v>0</v>
      </c>
      <c r="N325" s="230">
        <f t="array" aca="1" ref="N325" ca="1">IF(OR(NOT(INDEX(ExistsTx,$I325,2)),$H325=0),0,INDIRECT("'T"&amp;$I325&amp;"'!$O$"&amp;($J325+5),TRUE)+((1000-ROW())/10000000000000))</f>
        <v>0</v>
      </c>
      <c r="O325" s="230">
        <f t="array" aca="1" ref="O325" ca="1">IF(OR(NOT(INDEX(ExistsTx,$I325,2)),$H325=0),0,INDIRECT("'T"&amp;$I325&amp;"'!$P$"&amp;($J325+5),TRUE)+((1000-ROW())/10000000000000))</f>
        <v>0</v>
      </c>
      <c r="P325" s="230">
        <f t="array" aca="1" ref="P325" ca="1">IF(OR(NOT(INDEX(ExistsTx,$I325,2)),$H325=0),0,INDIRECT("'T"&amp;$I325&amp;"'!$Q$"&amp;($J325+5),TRUE)+((1000-ROW())/10000000000000))</f>
        <v>0</v>
      </c>
      <c r="Q325" s="230">
        <f t="shared" ca="1" si="65"/>
        <v>8.6785714372500001E-7</v>
      </c>
      <c r="R325" s="230"/>
      <c r="S325" s="230"/>
      <c r="T325" s="230"/>
      <c r="U325" s="230"/>
      <c r="V325" s="230"/>
      <c r="W325" s="230"/>
      <c r="X325" s="229"/>
      <c r="Y325" s="229"/>
      <c r="Z325" s="229"/>
      <c r="AA325" s="230"/>
      <c r="AB325" s="230"/>
      <c r="AC325" s="230"/>
      <c r="AD325" s="229"/>
      <c r="AE325" s="230"/>
    </row>
    <row r="326" spans="1:31" ht="12.75" customHeight="1">
      <c r="A326" s="229" t="str">
        <f t="shared" ca="1" si="59"/>
        <v/>
      </c>
      <c r="B326" s="229" t="str">
        <f t="shared" ca="1" si="60"/>
        <v/>
      </c>
      <c r="C326" s="229" t="str">
        <f t="shared" ca="1" si="61"/>
        <v/>
      </c>
      <c r="D326" s="229" t="str">
        <f t="shared" ca="1" si="62"/>
        <v/>
      </c>
      <c r="E326" s="229" t="str">
        <f t="shared" ca="1" si="63"/>
        <v/>
      </c>
      <c r="F326" s="229" t="str">
        <f t="shared" ca="1" si="64"/>
        <v/>
      </c>
      <c r="G326" s="230" t="str">
        <f t="array" aca="1" ref="G326" ca="1">IF(INDEX(ExistsTx,$I326,2),IF(INDIRECT("'T"&amp;$I326&amp;"'!$D$"&amp;($J326+5),TRUE)=0,T_NoName,INDIRECT("'T"&amp;$I326&amp;"'!$D$"&amp;($J326+5),TRUE)),"")</f>
        <v/>
      </c>
      <c r="H326" s="230">
        <f t="array" aca="1" ref="H326" ca="1">IF(INDEX(ExistsTx,$I326,2),INDIRECT("'T"&amp;$I326&amp;"'!$E$"&amp;($J326+5),TRUE),0)</f>
        <v>0</v>
      </c>
      <c r="I326" s="229">
        <v>21</v>
      </c>
      <c r="J326" s="229">
        <v>4</v>
      </c>
      <c r="K326" s="230" t="str">
        <f t="array" aca="1" ref="K326" ca="1">INDEX(ListTeams,$I326,1)</f>
        <v/>
      </c>
      <c r="L326" s="230">
        <f t="array" aca="1" ref="L326" ca="1">IF(OR(NOT(INDEX(ExistsTx,$I326,2)),$H326=0),0,INDIRECT("'T"&amp;$I326&amp;"'!$M$"&amp;($J326+5),TRUE)+((1000-ROW())/10000000000000))</f>
        <v>0</v>
      </c>
      <c r="M326" s="230">
        <f t="array" aca="1" ref="M326" ca="1">IF(OR(NOT(INDEX(ExistsTx,$I326,2)),$H326=0),0,INDIRECT("'T"&amp;$I326&amp;"'!$N$"&amp;($J326+5),TRUE)+((1000-ROW())/10000000000000))</f>
        <v>0</v>
      </c>
      <c r="N326" s="230">
        <f t="array" aca="1" ref="N326" ca="1">IF(OR(NOT(INDEX(ExistsTx,$I326,2)),$H326=0),0,INDIRECT("'T"&amp;$I326&amp;"'!$O$"&amp;($J326+5),TRUE)+((1000-ROW())/10000000000000))</f>
        <v>0</v>
      </c>
      <c r="O326" s="230">
        <f t="array" aca="1" ref="O326" ca="1">IF(OR(NOT(INDEX(ExistsTx,$I326,2)),$H326=0),0,INDIRECT("'T"&amp;$I326&amp;"'!$P$"&amp;($J326+5),TRUE)+((1000-ROW())/10000000000000))</f>
        <v>0</v>
      </c>
      <c r="P326" s="230">
        <f t="array" aca="1" ref="P326" ca="1">IF(OR(NOT(INDEX(ExistsTx,$I326,2)),$H326=0),0,INDIRECT("'T"&amp;$I326&amp;"'!$Q$"&amp;($J326+5),TRUE)+((1000-ROW())/10000000000000))</f>
        <v>0</v>
      </c>
      <c r="Q326" s="230">
        <f t="shared" ca="1" si="65"/>
        <v>8.66571429438E-7</v>
      </c>
      <c r="R326" s="230"/>
      <c r="S326" s="230"/>
      <c r="T326" s="230"/>
      <c r="U326" s="230"/>
      <c r="V326" s="230"/>
      <c r="W326" s="230"/>
      <c r="X326" s="229"/>
      <c r="Y326" s="229"/>
      <c r="Z326" s="229"/>
      <c r="AA326" s="230"/>
      <c r="AB326" s="230"/>
      <c r="AC326" s="230"/>
      <c r="AD326" s="229"/>
      <c r="AE326" s="230"/>
    </row>
    <row r="327" spans="1:31" ht="12.75" customHeight="1">
      <c r="A327" s="229" t="str">
        <f t="shared" ca="1" si="59"/>
        <v/>
      </c>
      <c r="B327" s="229" t="str">
        <f t="shared" ca="1" si="60"/>
        <v/>
      </c>
      <c r="C327" s="229" t="str">
        <f t="shared" ca="1" si="61"/>
        <v/>
      </c>
      <c r="D327" s="229" t="str">
        <f t="shared" ca="1" si="62"/>
        <v/>
      </c>
      <c r="E327" s="229" t="str">
        <f t="shared" ca="1" si="63"/>
        <v/>
      </c>
      <c r="F327" s="229" t="str">
        <f t="shared" ca="1" si="64"/>
        <v/>
      </c>
      <c r="G327" s="230" t="str">
        <f t="array" aca="1" ref="G327" ca="1">IF(INDEX(ExistsTx,$I327,2),IF(INDIRECT("'T"&amp;$I327&amp;"'!$D$"&amp;($J327+5),TRUE)=0,T_NoName,INDIRECT("'T"&amp;$I327&amp;"'!$D$"&amp;($J327+5),TRUE)),"")</f>
        <v/>
      </c>
      <c r="H327" s="230">
        <f t="array" aca="1" ref="H327" ca="1">IF(INDEX(ExistsTx,$I327,2),INDIRECT("'T"&amp;$I327&amp;"'!$E$"&amp;($J327+5),TRUE),0)</f>
        <v>0</v>
      </c>
      <c r="I327" s="229">
        <v>21</v>
      </c>
      <c r="J327" s="229">
        <v>5</v>
      </c>
      <c r="K327" s="230" t="str">
        <f t="array" aca="1" ref="K327" ca="1">INDEX(ListTeams,$I327,1)</f>
        <v/>
      </c>
      <c r="L327" s="230">
        <f t="array" aca="1" ref="L327" ca="1">IF(OR(NOT(INDEX(ExistsTx,$I327,2)),$H327=0),0,INDIRECT("'T"&amp;$I327&amp;"'!$M$"&amp;($J327+5),TRUE)+((1000-ROW())/10000000000000))</f>
        <v>0</v>
      </c>
      <c r="M327" s="230">
        <f t="array" aca="1" ref="M327" ca="1">IF(OR(NOT(INDEX(ExistsTx,$I327,2)),$H327=0),0,INDIRECT("'T"&amp;$I327&amp;"'!$N$"&amp;($J327+5),TRUE)+((1000-ROW())/10000000000000))</f>
        <v>0</v>
      </c>
      <c r="N327" s="230">
        <f t="array" aca="1" ref="N327" ca="1">IF(OR(NOT(INDEX(ExistsTx,$I327,2)),$H327=0),0,INDIRECT("'T"&amp;$I327&amp;"'!$O$"&amp;($J327+5),TRUE)+((1000-ROW())/10000000000000))</f>
        <v>0</v>
      </c>
      <c r="O327" s="230">
        <f t="array" aca="1" ref="O327" ca="1">IF(OR(NOT(INDEX(ExistsTx,$I327,2)),$H327=0),0,INDIRECT("'T"&amp;$I327&amp;"'!$P$"&amp;($J327+5),TRUE)+((1000-ROW())/10000000000000))</f>
        <v>0</v>
      </c>
      <c r="P327" s="230">
        <f t="array" aca="1" ref="P327" ca="1">IF(OR(NOT(INDEX(ExistsTx,$I327,2)),$H327=0),0,INDIRECT("'T"&amp;$I327&amp;"'!$Q$"&amp;($J327+5),TRUE)+((1000-ROW())/10000000000000))</f>
        <v>0</v>
      </c>
      <c r="Q327" s="230">
        <f t="shared" ca="1" si="65"/>
        <v>8.6528571515099999E-7</v>
      </c>
      <c r="R327" s="230"/>
      <c r="S327" s="230"/>
      <c r="T327" s="230"/>
      <c r="U327" s="230"/>
      <c r="V327" s="230"/>
      <c r="W327" s="230"/>
      <c r="X327" s="229"/>
      <c r="Y327" s="229"/>
      <c r="Z327" s="229"/>
      <c r="AA327" s="230"/>
      <c r="AB327" s="230"/>
      <c r="AC327" s="230"/>
      <c r="AD327" s="229"/>
      <c r="AE327" s="230"/>
    </row>
    <row r="328" spans="1:31" ht="12.75" customHeight="1">
      <c r="A328" s="229" t="str">
        <f t="shared" ca="1" si="59"/>
        <v/>
      </c>
      <c r="B328" s="229" t="str">
        <f t="shared" ca="1" si="60"/>
        <v/>
      </c>
      <c r="C328" s="229" t="str">
        <f t="shared" ca="1" si="61"/>
        <v/>
      </c>
      <c r="D328" s="229" t="str">
        <f t="shared" ca="1" si="62"/>
        <v/>
      </c>
      <c r="E328" s="229" t="str">
        <f t="shared" ca="1" si="63"/>
        <v/>
      </c>
      <c r="F328" s="229" t="str">
        <f t="shared" ca="1" si="64"/>
        <v/>
      </c>
      <c r="G328" s="230" t="str">
        <f t="array" aca="1" ref="G328" ca="1">IF(INDEX(ExistsTx,$I328,2),IF(INDIRECT("'T"&amp;$I328&amp;"'!$D$"&amp;($J328+5),TRUE)=0,T_NoName,INDIRECT("'T"&amp;$I328&amp;"'!$D$"&amp;($J328+5),TRUE)),"")</f>
        <v/>
      </c>
      <c r="H328" s="230">
        <f t="array" aca="1" ref="H328" ca="1">IF(INDEX(ExistsTx,$I328,2),INDIRECT("'T"&amp;$I328&amp;"'!$E$"&amp;($J328+5),TRUE),0)</f>
        <v>0</v>
      </c>
      <c r="I328" s="229">
        <v>21</v>
      </c>
      <c r="J328" s="229">
        <v>6</v>
      </c>
      <c r="K328" s="230" t="str">
        <f t="array" aca="1" ref="K328" ca="1">INDEX(ListTeams,$I328,1)</f>
        <v/>
      </c>
      <c r="L328" s="230">
        <f t="array" aca="1" ref="L328" ca="1">IF(OR(NOT(INDEX(ExistsTx,$I328,2)),$H328=0),0,INDIRECT("'T"&amp;$I328&amp;"'!$M$"&amp;($J328+5),TRUE)+((1000-ROW())/10000000000000))</f>
        <v>0</v>
      </c>
      <c r="M328" s="230">
        <f t="array" aca="1" ref="M328" ca="1">IF(OR(NOT(INDEX(ExistsTx,$I328,2)),$H328=0),0,INDIRECT("'T"&amp;$I328&amp;"'!$N$"&amp;($J328+5),TRUE)+((1000-ROW())/10000000000000))</f>
        <v>0</v>
      </c>
      <c r="N328" s="230">
        <f t="array" aca="1" ref="N328" ca="1">IF(OR(NOT(INDEX(ExistsTx,$I328,2)),$H328=0),0,INDIRECT("'T"&amp;$I328&amp;"'!$O$"&amp;($J328+5),TRUE)+((1000-ROW())/10000000000000))</f>
        <v>0</v>
      </c>
      <c r="O328" s="230">
        <f t="array" aca="1" ref="O328" ca="1">IF(OR(NOT(INDEX(ExistsTx,$I328,2)),$H328=0),0,INDIRECT("'T"&amp;$I328&amp;"'!$P$"&amp;($J328+5),TRUE)+((1000-ROW())/10000000000000))</f>
        <v>0</v>
      </c>
      <c r="P328" s="230">
        <f t="array" aca="1" ref="P328" ca="1">IF(OR(NOT(INDEX(ExistsTx,$I328,2)),$H328=0),0,INDIRECT("'T"&amp;$I328&amp;"'!$Q$"&amp;($J328+5),TRUE)+((1000-ROW())/10000000000000))</f>
        <v>0</v>
      </c>
      <c r="Q328" s="230">
        <f t="shared" ca="1" si="65"/>
        <v>8.6400000086399998E-7</v>
      </c>
      <c r="R328" s="230"/>
      <c r="S328" s="230"/>
      <c r="T328" s="230"/>
      <c r="U328" s="230"/>
      <c r="V328" s="230"/>
      <c r="W328" s="230"/>
      <c r="X328" s="229"/>
      <c r="Y328" s="229"/>
      <c r="Z328" s="229"/>
      <c r="AA328" s="230"/>
      <c r="AB328" s="230"/>
      <c r="AC328" s="230"/>
      <c r="AD328" s="229"/>
      <c r="AE328" s="230"/>
    </row>
    <row r="329" spans="1:31" ht="12.75" customHeight="1">
      <c r="A329" s="229" t="str">
        <f t="shared" ca="1" si="59"/>
        <v/>
      </c>
      <c r="B329" s="229" t="str">
        <f t="shared" ca="1" si="60"/>
        <v/>
      </c>
      <c r="C329" s="229" t="str">
        <f t="shared" ca="1" si="61"/>
        <v/>
      </c>
      <c r="D329" s="229" t="str">
        <f t="shared" ca="1" si="62"/>
        <v/>
      </c>
      <c r="E329" s="229" t="str">
        <f t="shared" ca="1" si="63"/>
        <v/>
      </c>
      <c r="F329" s="229" t="str">
        <f t="shared" ca="1" si="64"/>
        <v/>
      </c>
      <c r="G329" s="230" t="str">
        <f t="array" aca="1" ref="G329" ca="1">IF(INDEX(ExistsTx,$I329,2),IF(INDIRECT("'T"&amp;$I329&amp;"'!$D$"&amp;($J329+5),TRUE)=0,T_NoName,INDIRECT("'T"&amp;$I329&amp;"'!$D$"&amp;($J329+5),TRUE)),"")</f>
        <v/>
      </c>
      <c r="H329" s="230">
        <f t="array" aca="1" ref="H329" ca="1">IF(INDEX(ExistsTx,$I329,2),INDIRECT("'T"&amp;$I329&amp;"'!$E$"&amp;($J329+5),TRUE),0)</f>
        <v>0</v>
      </c>
      <c r="I329" s="229">
        <v>21</v>
      </c>
      <c r="J329" s="229">
        <v>7</v>
      </c>
      <c r="K329" s="230" t="str">
        <f t="array" aca="1" ref="K329" ca="1">INDEX(ListTeams,$I329,1)</f>
        <v/>
      </c>
      <c r="L329" s="230">
        <f t="array" aca="1" ref="L329" ca="1">IF(OR(NOT(INDEX(ExistsTx,$I329,2)),$H329=0),0,INDIRECT("'T"&amp;$I329&amp;"'!$M$"&amp;($J329+5),TRUE)+((1000-ROW())/10000000000000))</f>
        <v>0</v>
      </c>
      <c r="M329" s="230">
        <f t="array" aca="1" ref="M329" ca="1">IF(OR(NOT(INDEX(ExistsTx,$I329,2)),$H329=0),0,INDIRECT("'T"&amp;$I329&amp;"'!$N$"&amp;($J329+5),TRUE)+((1000-ROW())/10000000000000))</f>
        <v>0</v>
      </c>
      <c r="N329" s="230">
        <f t="array" aca="1" ref="N329" ca="1">IF(OR(NOT(INDEX(ExistsTx,$I329,2)),$H329=0),0,INDIRECT("'T"&amp;$I329&amp;"'!$O$"&amp;($J329+5),TRUE)+((1000-ROW())/10000000000000))</f>
        <v>0</v>
      </c>
      <c r="O329" s="230">
        <f t="array" aca="1" ref="O329" ca="1">IF(OR(NOT(INDEX(ExistsTx,$I329,2)),$H329=0),0,INDIRECT("'T"&amp;$I329&amp;"'!$P$"&amp;($J329+5),TRUE)+((1000-ROW())/10000000000000))</f>
        <v>0</v>
      </c>
      <c r="P329" s="230">
        <f t="array" aca="1" ref="P329" ca="1">IF(OR(NOT(INDEX(ExistsTx,$I329,2)),$H329=0),0,INDIRECT("'T"&amp;$I329&amp;"'!$Q$"&amp;($J329+5),TRUE)+((1000-ROW())/10000000000000))</f>
        <v>0</v>
      </c>
      <c r="Q329" s="230">
        <f t="shared" ca="1" si="65"/>
        <v>8.6271428657699997E-7</v>
      </c>
      <c r="R329" s="230"/>
      <c r="S329" s="230"/>
      <c r="T329" s="230"/>
      <c r="U329" s="230"/>
      <c r="V329" s="230"/>
      <c r="W329" s="230"/>
      <c r="X329" s="229"/>
      <c r="Y329" s="229"/>
      <c r="Z329" s="229"/>
      <c r="AA329" s="230"/>
      <c r="AB329" s="230"/>
      <c r="AC329" s="230"/>
      <c r="AD329" s="229"/>
      <c r="AE329" s="230"/>
    </row>
    <row r="330" spans="1:31" ht="12.75" customHeight="1">
      <c r="A330" s="229" t="str">
        <f t="shared" ca="1" si="59"/>
        <v/>
      </c>
      <c r="B330" s="229" t="str">
        <f t="shared" ca="1" si="60"/>
        <v/>
      </c>
      <c r="C330" s="229" t="str">
        <f t="shared" ca="1" si="61"/>
        <v/>
      </c>
      <c r="D330" s="229" t="str">
        <f t="shared" ca="1" si="62"/>
        <v/>
      </c>
      <c r="E330" s="229" t="str">
        <f t="shared" ca="1" si="63"/>
        <v/>
      </c>
      <c r="F330" s="229" t="str">
        <f t="shared" ca="1" si="64"/>
        <v/>
      </c>
      <c r="G330" s="230" t="str">
        <f t="array" aca="1" ref="G330" ca="1">IF(INDEX(ExistsTx,$I330,2),IF(INDIRECT("'T"&amp;$I330&amp;"'!$D$"&amp;($J330+5),TRUE)=0,T_NoName,INDIRECT("'T"&amp;$I330&amp;"'!$D$"&amp;($J330+5),TRUE)),"")</f>
        <v/>
      </c>
      <c r="H330" s="230">
        <f t="array" aca="1" ref="H330" ca="1">IF(INDEX(ExistsTx,$I330,2),INDIRECT("'T"&amp;$I330&amp;"'!$E$"&amp;($J330+5),TRUE),0)</f>
        <v>0</v>
      </c>
      <c r="I330" s="229">
        <v>21</v>
      </c>
      <c r="J330" s="229">
        <v>8</v>
      </c>
      <c r="K330" s="230" t="str">
        <f t="array" aca="1" ref="K330" ca="1">INDEX(ListTeams,$I330,1)</f>
        <v/>
      </c>
      <c r="L330" s="230">
        <f t="array" aca="1" ref="L330" ca="1">IF(OR(NOT(INDEX(ExistsTx,$I330,2)),$H330=0),0,INDIRECT("'T"&amp;$I330&amp;"'!$M$"&amp;($J330+5),TRUE)+((1000-ROW())/10000000000000))</f>
        <v>0</v>
      </c>
      <c r="M330" s="230">
        <f t="array" aca="1" ref="M330" ca="1">IF(OR(NOT(INDEX(ExistsTx,$I330,2)),$H330=0),0,INDIRECT("'T"&amp;$I330&amp;"'!$N$"&amp;($J330+5),TRUE)+((1000-ROW())/10000000000000))</f>
        <v>0</v>
      </c>
      <c r="N330" s="230">
        <f t="array" aca="1" ref="N330" ca="1">IF(OR(NOT(INDEX(ExistsTx,$I330,2)),$H330=0),0,INDIRECT("'T"&amp;$I330&amp;"'!$O$"&amp;($J330+5),TRUE)+((1000-ROW())/10000000000000))</f>
        <v>0</v>
      </c>
      <c r="O330" s="230">
        <f t="array" aca="1" ref="O330" ca="1">IF(OR(NOT(INDEX(ExistsTx,$I330,2)),$H330=0),0,INDIRECT("'T"&amp;$I330&amp;"'!$P$"&amp;($J330+5),TRUE)+((1000-ROW())/10000000000000))</f>
        <v>0</v>
      </c>
      <c r="P330" s="230">
        <f t="array" aca="1" ref="P330" ca="1">IF(OR(NOT(INDEX(ExistsTx,$I330,2)),$H330=0),0,INDIRECT("'T"&amp;$I330&amp;"'!$Q$"&amp;($J330+5),TRUE)+((1000-ROW())/10000000000000))</f>
        <v>0</v>
      </c>
      <c r="Q330" s="230">
        <f t="shared" ca="1" si="65"/>
        <v>8.6142857228999995E-7</v>
      </c>
      <c r="R330" s="230"/>
      <c r="S330" s="230"/>
      <c r="T330" s="230"/>
      <c r="U330" s="230"/>
      <c r="V330" s="230"/>
      <c r="W330" s="230"/>
      <c r="X330" s="229"/>
      <c r="Y330" s="229"/>
      <c r="Z330" s="229"/>
      <c r="AA330" s="230"/>
      <c r="AB330" s="230"/>
      <c r="AC330" s="230"/>
      <c r="AD330" s="229"/>
      <c r="AE330" s="230"/>
    </row>
    <row r="331" spans="1:31" ht="12.75" customHeight="1">
      <c r="A331" s="229" t="str">
        <f t="shared" ca="1" si="59"/>
        <v/>
      </c>
      <c r="B331" s="229" t="str">
        <f t="shared" ca="1" si="60"/>
        <v/>
      </c>
      <c r="C331" s="229" t="str">
        <f t="shared" ca="1" si="61"/>
        <v/>
      </c>
      <c r="D331" s="229" t="str">
        <f t="shared" ca="1" si="62"/>
        <v/>
      </c>
      <c r="E331" s="229" t="str">
        <f t="shared" ca="1" si="63"/>
        <v/>
      </c>
      <c r="F331" s="229" t="str">
        <f t="shared" ca="1" si="64"/>
        <v/>
      </c>
      <c r="G331" s="230" t="str">
        <f t="array" aca="1" ref="G331" ca="1">IF(INDEX(ExistsTx,$I331,2),IF(INDIRECT("'T"&amp;$I331&amp;"'!$D$"&amp;($J331+5),TRUE)=0,T_NoName,INDIRECT("'T"&amp;$I331&amp;"'!$D$"&amp;($J331+5),TRUE)),"")</f>
        <v/>
      </c>
      <c r="H331" s="230">
        <f t="array" aca="1" ref="H331" ca="1">IF(INDEX(ExistsTx,$I331,2),INDIRECT("'T"&amp;$I331&amp;"'!$E$"&amp;($J331+5),TRUE),0)</f>
        <v>0</v>
      </c>
      <c r="I331" s="229">
        <v>21</v>
      </c>
      <c r="J331" s="229">
        <v>9</v>
      </c>
      <c r="K331" s="230" t="str">
        <f t="array" aca="1" ref="K331" ca="1">INDEX(ListTeams,$I331,1)</f>
        <v/>
      </c>
      <c r="L331" s="230">
        <f t="array" aca="1" ref="L331" ca="1">IF(OR(NOT(INDEX(ExistsTx,$I331,2)),$H331=0),0,INDIRECT("'T"&amp;$I331&amp;"'!$M$"&amp;($J331+5),TRUE)+((1000-ROW())/10000000000000))</f>
        <v>0</v>
      </c>
      <c r="M331" s="230">
        <f t="array" aca="1" ref="M331" ca="1">IF(OR(NOT(INDEX(ExistsTx,$I331,2)),$H331=0),0,INDIRECT("'T"&amp;$I331&amp;"'!$N$"&amp;($J331+5),TRUE)+((1000-ROW())/10000000000000))</f>
        <v>0</v>
      </c>
      <c r="N331" s="230">
        <f t="array" aca="1" ref="N331" ca="1">IF(OR(NOT(INDEX(ExistsTx,$I331,2)),$H331=0),0,INDIRECT("'T"&amp;$I331&amp;"'!$O$"&amp;($J331+5),TRUE)+((1000-ROW())/10000000000000))</f>
        <v>0</v>
      </c>
      <c r="O331" s="230">
        <f t="array" aca="1" ref="O331" ca="1">IF(OR(NOT(INDEX(ExistsTx,$I331,2)),$H331=0),0,INDIRECT("'T"&amp;$I331&amp;"'!$P$"&amp;($J331+5),TRUE)+((1000-ROW())/10000000000000))</f>
        <v>0</v>
      </c>
      <c r="P331" s="230">
        <f t="array" aca="1" ref="P331" ca="1">IF(OR(NOT(INDEX(ExistsTx,$I331,2)),$H331=0),0,INDIRECT("'T"&amp;$I331&amp;"'!$Q$"&amp;($J331+5),TRUE)+((1000-ROW())/10000000000000))</f>
        <v>0</v>
      </c>
      <c r="Q331" s="230">
        <f t="shared" ca="1" si="65"/>
        <v>8.6014285800300005E-7</v>
      </c>
      <c r="R331" s="230"/>
      <c r="S331" s="230"/>
      <c r="T331" s="230"/>
      <c r="U331" s="230"/>
      <c r="V331" s="230"/>
      <c r="W331" s="230"/>
      <c r="X331" s="229"/>
      <c r="Y331" s="229"/>
      <c r="Z331" s="229"/>
      <c r="AA331" s="230"/>
      <c r="AB331" s="230"/>
      <c r="AC331" s="230"/>
      <c r="AD331" s="229"/>
      <c r="AE331" s="230"/>
    </row>
    <row r="332" spans="1:31" ht="12.75" customHeight="1">
      <c r="A332" s="229" t="str">
        <f t="shared" ca="1" si="59"/>
        <v/>
      </c>
      <c r="B332" s="229" t="str">
        <f t="shared" ca="1" si="60"/>
        <v/>
      </c>
      <c r="C332" s="229" t="str">
        <f t="shared" ca="1" si="61"/>
        <v/>
      </c>
      <c r="D332" s="229" t="str">
        <f t="shared" ca="1" si="62"/>
        <v/>
      </c>
      <c r="E332" s="229" t="str">
        <f t="shared" ca="1" si="63"/>
        <v/>
      </c>
      <c r="F332" s="229" t="str">
        <f t="shared" ca="1" si="64"/>
        <v/>
      </c>
      <c r="G332" s="230" t="str">
        <f t="array" aca="1" ref="G332" ca="1">IF(INDEX(ExistsTx,$I332,2),IF(INDIRECT("'T"&amp;$I332&amp;"'!$D$"&amp;($J332+5),TRUE)=0,T_NoName,INDIRECT("'T"&amp;$I332&amp;"'!$D$"&amp;($J332+5),TRUE)),"")</f>
        <v/>
      </c>
      <c r="H332" s="230">
        <f t="array" aca="1" ref="H332" ca="1">IF(INDEX(ExistsTx,$I332,2),INDIRECT("'T"&amp;$I332&amp;"'!$E$"&amp;($J332+5),TRUE),0)</f>
        <v>0</v>
      </c>
      <c r="I332" s="229">
        <v>21</v>
      </c>
      <c r="J332" s="229">
        <v>10</v>
      </c>
      <c r="K332" s="230" t="str">
        <f t="array" aca="1" ref="K332" ca="1">INDEX(ListTeams,$I332,1)</f>
        <v/>
      </c>
      <c r="L332" s="230">
        <f t="array" aca="1" ref="L332" ca="1">IF(OR(NOT(INDEX(ExistsTx,$I332,2)),$H332=0),0,INDIRECT("'T"&amp;$I332&amp;"'!$M$"&amp;($J332+5),TRUE)+((1000-ROW())/10000000000000))</f>
        <v>0</v>
      </c>
      <c r="M332" s="230">
        <f t="array" aca="1" ref="M332" ca="1">IF(OR(NOT(INDEX(ExistsTx,$I332,2)),$H332=0),0,INDIRECT("'T"&amp;$I332&amp;"'!$N$"&amp;($J332+5),TRUE)+((1000-ROW())/10000000000000))</f>
        <v>0</v>
      </c>
      <c r="N332" s="230">
        <f t="array" aca="1" ref="N332" ca="1">IF(OR(NOT(INDEX(ExistsTx,$I332,2)),$H332=0),0,INDIRECT("'T"&amp;$I332&amp;"'!$O$"&amp;($J332+5),TRUE)+((1000-ROW())/10000000000000))</f>
        <v>0</v>
      </c>
      <c r="O332" s="230">
        <f t="array" aca="1" ref="O332" ca="1">IF(OR(NOT(INDEX(ExistsTx,$I332,2)),$H332=0),0,INDIRECT("'T"&amp;$I332&amp;"'!$P$"&amp;($J332+5),TRUE)+((1000-ROW())/10000000000000))</f>
        <v>0</v>
      </c>
      <c r="P332" s="230">
        <f t="array" aca="1" ref="P332" ca="1">IF(OR(NOT(INDEX(ExistsTx,$I332,2)),$H332=0),0,INDIRECT("'T"&amp;$I332&amp;"'!$Q$"&amp;($J332+5),TRUE)+((1000-ROW())/10000000000000))</f>
        <v>0</v>
      </c>
      <c r="Q332" s="230">
        <f t="shared" ca="1" si="65"/>
        <v>8.5885714371600004E-7</v>
      </c>
      <c r="R332" s="230"/>
      <c r="S332" s="230"/>
      <c r="T332" s="230"/>
      <c r="U332" s="230"/>
      <c r="V332" s="230"/>
      <c r="W332" s="230"/>
      <c r="X332" s="229"/>
      <c r="Y332" s="229"/>
      <c r="Z332" s="229"/>
      <c r="AA332" s="230"/>
      <c r="AB332" s="230"/>
      <c r="AC332" s="230"/>
      <c r="AD332" s="229"/>
      <c r="AE332" s="230"/>
    </row>
    <row r="333" spans="1:31" ht="12.75" customHeight="1">
      <c r="A333" s="229" t="str">
        <f t="shared" ca="1" si="59"/>
        <v/>
      </c>
      <c r="B333" s="229" t="str">
        <f t="shared" ca="1" si="60"/>
        <v/>
      </c>
      <c r="C333" s="229" t="str">
        <f t="shared" ca="1" si="61"/>
        <v/>
      </c>
      <c r="D333" s="229" t="str">
        <f t="shared" ca="1" si="62"/>
        <v/>
      </c>
      <c r="E333" s="229" t="str">
        <f t="shared" ca="1" si="63"/>
        <v/>
      </c>
      <c r="F333" s="229" t="str">
        <f t="shared" ca="1" si="64"/>
        <v/>
      </c>
      <c r="G333" s="230" t="str">
        <f t="array" aca="1" ref="G333" ca="1">IF(INDEX(ExistsTx,$I333,2),IF(INDIRECT("'T"&amp;$I333&amp;"'!$D$"&amp;($J333+5),TRUE)=0,T_NoName,INDIRECT("'T"&amp;$I333&amp;"'!$D$"&amp;($J333+5),TRUE)),"")</f>
        <v/>
      </c>
      <c r="H333" s="230">
        <f t="array" aca="1" ref="H333" ca="1">IF(INDEX(ExistsTx,$I333,2),INDIRECT("'T"&amp;$I333&amp;"'!$E$"&amp;($J333+5),TRUE),0)</f>
        <v>0</v>
      </c>
      <c r="I333" s="229">
        <v>21</v>
      </c>
      <c r="J333" s="229">
        <v>11</v>
      </c>
      <c r="K333" s="230" t="str">
        <f t="array" aca="1" ref="K333" ca="1">INDEX(ListTeams,$I333,1)</f>
        <v/>
      </c>
      <c r="L333" s="230">
        <f t="array" aca="1" ref="L333" ca="1">IF(OR(NOT(INDEX(ExistsTx,$I333,2)),$H333=0),0,INDIRECT("'T"&amp;$I333&amp;"'!$M$"&amp;($J333+5),TRUE)+((1000-ROW())/10000000000000))</f>
        <v>0</v>
      </c>
      <c r="M333" s="230">
        <f t="array" aca="1" ref="M333" ca="1">IF(OR(NOT(INDEX(ExistsTx,$I333,2)),$H333=0),0,INDIRECT("'T"&amp;$I333&amp;"'!$N$"&amp;($J333+5),TRUE)+((1000-ROW())/10000000000000))</f>
        <v>0</v>
      </c>
      <c r="N333" s="230">
        <f t="array" aca="1" ref="N333" ca="1">IF(OR(NOT(INDEX(ExistsTx,$I333,2)),$H333=0),0,INDIRECT("'T"&amp;$I333&amp;"'!$O$"&amp;($J333+5),TRUE)+((1000-ROW())/10000000000000))</f>
        <v>0</v>
      </c>
      <c r="O333" s="230">
        <f t="array" aca="1" ref="O333" ca="1">IF(OR(NOT(INDEX(ExistsTx,$I333,2)),$H333=0),0,INDIRECT("'T"&amp;$I333&amp;"'!$P$"&amp;($J333+5),TRUE)+((1000-ROW())/10000000000000))</f>
        <v>0</v>
      </c>
      <c r="P333" s="230">
        <f t="array" aca="1" ref="P333" ca="1">IF(OR(NOT(INDEX(ExistsTx,$I333,2)),$H333=0),0,INDIRECT("'T"&amp;$I333&amp;"'!$Q$"&amp;($J333+5),TRUE)+((1000-ROW())/10000000000000))</f>
        <v>0</v>
      </c>
      <c r="Q333" s="230">
        <f t="shared" ca="1" si="65"/>
        <v>8.5757142942900002E-7</v>
      </c>
      <c r="R333" s="230"/>
      <c r="S333" s="230"/>
      <c r="T333" s="230"/>
      <c r="U333" s="230"/>
      <c r="V333" s="230"/>
      <c r="W333" s="230"/>
      <c r="X333" s="229"/>
      <c r="Y333" s="229"/>
      <c r="Z333" s="229"/>
      <c r="AA333" s="230"/>
      <c r="AB333" s="230"/>
      <c r="AC333" s="230"/>
      <c r="AD333" s="229"/>
      <c r="AE333" s="230"/>
    </row>
    <row r="334" spans="1:31" ht="12.75" customHeight="1">
      <c r="A334" s="229" t="str">
        <f t="shared" ca="1" si="59"/>
        <v/>
      </c>
      <c r="B334" s="229" t="str">
        <f t="shared" ca="1" si="60"/>
        <v/>
      </c>
      <c r="C334" s="229" t="str">
        <f t="shared" ca="1" si="61"/>
        <v/>
      </c>
      <c r="D334" s="229" t="str">
        <f t="shared" ca="1" si="62"/>
        <v/>
      </c>
      <c r="E334" s="229" t="str">
        <f t="shared" ca="1" si="63"/>
        <v/>
      </c>
      <c r="F334" s="229" t="str">
        <f t="shared" ca="1" si="64"/>
        <v/>
      </c>
      <c r="G334" s="230" t="str">
        <f t="array" aca="1" ref="G334" ca="1">IF(INDEX(ExistsTx,$I334,2),IF(INDIRECT("'T"&amp;$I334&amp;"'!$D$"&amp;($J334+5),TRUE)=0,T_NoName,INDIRECT("'T"&amp;$I334&amp;"'!$D$"&amp;($J334+5),TRUE)),"")</f>
        <v/>
      </c>
      <c r="H334" s="230">
        <f t="array" aca="1" ref="H334" ca="1">IF(INDEX(ExistsTx,$I334,2),INDIRECT("'T"&amp;$I334&amp;"'!$E$"&amp;($J334+5),TRUE),0)</f>
        <v>0</v>
      </c>
      <c r="I334" s="229">
        <v>21</v>
      </c>
      <c r="J334" s="229">
        <v>12</v>
      </c>
      <c r="K334" s="230" t="str">
        <f t="array" aca="1" ref="K334" ca="1">INDEX(ListTeams,$I334,1)</f>
        <v/>
      </c>
      <c r="L334" s="230">
        <f t="array" aca="1" ref="L334" ca="1">IF(OR(NOT(INDEX(ExistsTx,$I334,2)),$H334=0),0,INDIRECT("'T"&amp;$I334&amp;"'!$M$"&amp;($J334+5),TRUE)+((1000-ROW())/10000000000000))</f>
        <v>0</v>
      </c>
      <c r="M334" s="230">
        <f t="array" aca="1" ref="M334" ca="1">IF(OR(NOT(INDEX(ExistsTx,$I334,2)),$H334=0),0,INDIRECT("'T"&amp;$I334&amp;"'!$N$"&amp;($J334+5),TRUE)+((1000-ROW())/10000000000000))</f>
        <v>0</v>
      </c>
      <c r="N334" s="230">
        <f t="array" aca="1" ref="N334" ca="1">IF(OR(NOT(INDEX(ExistsTx,$I334,2)),$H334=0),0,INDIRECT("'T"&amp;$I334&amp;"'!$O$"&amp;($J334+5),TRUE)+((1000-ROW())/10000000000000))</f>
        <v>0</v>
      </c>
      <c r="O334" s="230">
        <f t="array" aca="1" ref="O334" ca="1">IF(OR(NOT(INDEX(ExistsTx,$I334,2)),$H334=0),0,INDIRECT("'T"&amp;$I334&amp;"'!$P$"&amp;($J334+5),TRUE)+((1000-ROW())/10000000000000))</f>
        <v>0</v>
      </c>
      <c r="P334" s="230">
        <f t="array" aca="1" ref="P334" ca="1">IF(OR(NOT(INDEX(ExistsTx,$I334,2)),$H334=0),0,INDIRECT("'T"&amp;$I334&amp;"'!$Q$"&amp;($J334+5),TRUE)+((1000-ROW())/10000000000000))</f>
        <v>0</v>
      </c>
      <c r="Q334" s="230">
        <f t="shared" ca="1" si="65"/>
        <v>8.5628571514200001E-7</v>
      </c>
      <c r="R334" s="230"/>
      <c r="S334" s="230"/>
      <c r="T334" s="230"/>
      <c r="U334" s="230"/>
      <c r="V334" s="230"/>
      <c r="W334" s="230"/>
      <c r="X334" s="229"/>
      <c r="Y334" s="229"/>
      <c r="Z334" s="229"/>
      <c r="AA334" s="230"/>
      <c r="AB334" s="230"/>
      <c r="AC334" s="230"/>
      <c r="AD334" s="229"/>
      <c r="AE334" s="230"/>
    </row>
    <row r="335" spans="1:31" ht="12.75" customHeight="1">
      <c r="A335" s="229" t="str">
        <f t="shared" ca="1" si="59"/>
        <v/>
      </c>
      <c r="B335" s="229" t="str">
        <f t="shared" ca="1" si="60"/>
        <v/>
      </c>
      <c r="C335" s="229" t="str">
        <f t="shared" ca="1" si="61"/>
        <v/>
      </c>
      <c r="D335" s="229" t="str">
        <f t="shared" ca="1" si="62"/>
        <v/>
      </c>
      <c r="E335" s="229" t="str">
        <f t="shared" ca="1" si="63"/>
        <v/>
      </c>
      <c r="F335" s="229" t="str">
        <f t="shared" ca="1" si="64"/>
        <v/>
      </c>
      <c r="G335" s="230" t="str">
        <f t="array" aca="1" ref="G335" ca="1">IF(INDEX(ExistsTx,$I335,2),IF(INDIRECT("'T"&amp;$I335&amp;"'!$D$"&amp;($J335+5),TRUE)=0,T_NoName,INDIRECT("'T"&amp;$I335&amp;"'!$D$"&amp;($J335+5),TRUE)),"")</f>
        <v/>
      </c>
      <c r="H335" s="230">
        <f t="array" aca="1" ref="H335" ca="1">IF(INDEX(ExistsTx,$I335,2),INDIRECT("'T"&amp;$I335&amp;"'!$E$"&amp;($J335+5),TRUE),0)</f>
        <v>0</v>
      </c>
      <c r="I335" s="229">
        <v>21</v>
      </c>
      <c r="J335" s="229">
        <v>13</v>
      </c>
      <c r="K335" s="230" t="str">
        <f t="array" aca="1" ref="K335" ca="1">INDEX(ListTeams,$I335,1)</f>
        <v/>
      </c>
      <c r="L335" s="230">
        <f t="array" aca="1" ref="L335" ca="1">IF(OR(NOT(INDEX(ExistsTx,$I335,2)),$H335=0),0,INDIRECT("'T"&amp;$I335&amp;"'!$M$"&amp;($J335+5),TRUE)+((1000-ROW())/10000000000000))</f>
        <v>0</v>
      </c>
      <c r="M335" s="230">
        <f t="array" aca="1" ref="M335" ca="1">IF(OR(NOT(INDEX(ExistsTx,$I335,2)),$H335=0),0,INDIRECT("'T"&amp;$I335&amp;"'!$N$"&amp;($J335+5),TRUE)+((1000-ROW())/10000000000000))</f>
        <v>0</v>
      </c>
      <c r="N335" s="230">
        <f t="array" aca="1" ref="N335" ca="1">IF(OR(NOT(INDEX(ExistsTx,$I335,2)),$H335=0),0,INDIRECT("'T"&amp;$I335&amp;"'!$O$"&amp;($J335+5),TRUE)+((1000-ROW())/10000000000000))</f>
        <v>0</v>
      </c>
      <c r="O335" s="230">
        <f t="array" aca="1" ref="O335" ca="1">IF(OR(NOT(INDEX(ExistsTx,$I335,2)),$H335=0),0,INDIRECT("'T"&amp;$I335&amp;"'!$P$"&amp;($J335+5),TRUE)+((1000-ROW())/10000000000000))</f>
        <v>0</v>
      </c>
      <c r="P335" s="230">
        <f t="array" aca="1" ref="P335" ca="1">IF(OR(NOT(INDEX(ExistsTx,$I335,2)),$H335=0),0,INDIRECT("'T"&amp;$I335&amp;"'!$Q$"&amp;($J335+5),TRUE)+((1000-ROW())/10000000000000))</f>
        <v>0</v>
      </c>
      <c r="Q335" s="230">
        <f t="shared" ca="1" si="65"/>
        <v>8.55000000855E-7</v>
      </c>
      <c r="R335" s="230"/>
      <c r="S335" s="230"/>
      <c r="T335" s="230"/>
      <c r="U335" s="230"/>
      <c r="V335" s="230"/>
      <c r="W335" s="230"/>
      <c r="X335" s="229"/>
      <c r="Y335" s="229"/>
      <c r="Z335" s="229"/>
      <c r="AA335" s="230"/>
      <c r="AB335" s="230"/>
      <c r="AC335" s="230"/>
      <c r="AD335" s="229"/>
      <c r="AE335" s="230"/>
    </row>
    <row r="336" spans="1:31" ht="12.75" customHeight="1">
      <c r="A336" s="229" t="str">
        <f t="shared" ca="1" si="59"/>
        <v/>
      </c>
      <c r="B336" s="229" t="str">
        <f t="shared" ca="1" si="60"/>
        <v/>
      </c>
      <c r="C336" s="229" t="str">
        <f t="shared" ca="1" si="61"/>
        <v/>
      </c>
      <c r="D336" s="229" t="str">
        <f t="shared" ca="1" si="62"/>
        <v/>
      </c>
      <c r="E336" s="229" t="str">
        <f t="shared" ca="1" si="63"/>
        <v/>
      </c>
      <c r="F336" s="229" t="str">
        <f t="shared" ca="1" si="64"/>
        <v/>
      </c>
      <c r="G336" s="230" t="str">
        <f t="array" aca="1" ref="G336" ca="1">IF(INDEX(ExistsTx,$I336,2),IF(INDIRECT("'T"&amp;$I336&amp;"'!$D$"&amp;($J336+5),TRUE)=0,T_NoName,INDIRECT("'T"&amp;$I336&amp;"'!$D$"&amp;($J336+5),TRUE)),"")</f>
        <v/>
      </c>
      <c r="H336" s="230">
        <f t="array" aca="1" ref="H336" ca="1">IF(INDEX(ExistsTx,$I336,2),INDIRECT("'T"&amp;$I336&amp;"'!$E$"&amp;($J336+5),TRUE),0)</f>
        <v>0</v>
      </c>
      <c r="I336" s="229">
        <v>21</v>
      </c>
      <c r="J336" s="229">
        <v>14</v>
      </c>
      <c r="K336" s="230" t="str">
        <f t="array" aca="1" ref="K336" ca="1">INDEX(ListTeams,$I336,1)</f>
        <v/>
      </c>
      <c r="L336" s="230">
        <f t="array" aca="1" ref="L336" ca="1">IF(OR(NOT(INDEX(ExistsTx,$I336,2)),$H336=0),0,INDIRECT("'T"&amp;$I336&amp;"'!$M$"&amp;($J336+5),TRUE)+((1000-ROW())/10000000000000))</f>
        <v>0</v>
      </c>
      <c r="M336" s="230">
        <f t="array" aca="1" ref="M336" ca="1">IF(OR(NOT(INDEX(ExistsTx,$I336,2)),$H336=0),0,INDIRECT("'T"&amp;$I336&amp;"'!$N$"&amp;($J336+5),TRUE)+((1000-ROW())/10000000000000))</f>
        <v>0</v>
      </c>
      <c r="N336" s="230">
        <f t="array" aca="1" ref="N336" ca="1">IF(OR(NOT(INDEX(ExistsTx,$I336,2)),$H336=0),0,INDIRECT("'T"&amp;$I336&amp;"'!$O$"&amp;($J336+5),TRUE)+((1000-ROW())/10000000000000))</f>
        <v>0</v>
      </c>
      <c r="O336" s="230">
        <f t="array" aca="1" ref="O336" ca="1">IF(OR(NOT(INDEX(ExistsTx,$I336,2)),$H336=0),0,INDIRECT("'T"&amp;$I336&amp;"'!$P$"&amp;($J336+5),TRUE)+((1000-ROW())/10000000000000))</f>
        <v>0</v>
      </c>
      <c r="P336" s="230">
        <f t="array" aca="1" ref="P336" ca="1">IF(OR(NOT(INDEX(ExistsTx,$I336,2)),$H336=0),0,INDIRECT("'T"&amp;$I336&amp;"'!$Q$"&amp;($J336+5),TRUE)+((1000-ROW())/10000000000000))</f>
        <v>0</v>
      </c>
      <c r="Q336" s="230">
        <f t="shared" ca="1" si="65"/>
        <v>8.5371428656799999E-7</v>
      </c>
      <c r="R336" s="230"/>
      <c r="S336" s="230"/>
      <c r="T336" s="230"/>
      <c r="U336" s="230"/>
      <c r="V336" s="230"/>
      <c r="W336" s="230"/>
      <c r="X336" s="229"/>
      <c r="Y336" s="229"/>
      <c r="Z336" s="229"/>
      <c r="AA336" s="230"/>
      <c r="AB336" s="230"/>
      <c r="AC336" s="230"/>
      <c r="AD336" s="229"/>
      <c r="AE336" s="230"/>
    </row>
    <row r="337" spans="1:31" ht="12.75" customHeight="1">
      <c r="A337" s="229" t="str">
        <f t="shared" ca="1" si="59"/>
        <v/>
      </c>
      <c r="B337" s="229" t="str">
        <f t="shared" ca="1" si="60"/>
        <v/>
      </c>
      <c r="C337" s="229" t="str">
        <f t="shared" ca="1" si="61"/>
        <v/>
      </c>
      <c r="D337" s="229" t="str">
        <f t="shared" ca="1" si="62"/>
        <v/>
      </c>
      <c r="E337" s="229" t="str">
        <f t="shared" ca="1" si="63"/>
        <v/>
      </c>
      <c r="F337" s="229" t="str">
        <f t="shared" ca="1" si="64"/>
        <v/>
      </c>
      <c r="G337" s="230" t="str">
        <f t="array" aca="1" ref="G337" ca="1">IF(INDEX(ExistsTx,$I337,2),IF(INDIRECT("'T"&amp;$I337&amp;"'!$D$"&amp;($J337+5),TRUE)=0,T_NoName,INDIRECT("'T"&amp;$I337&amp;"'!$D$"&amp;($J337+5),TRUE)),"")</f>
        <v/>
      </c>
      <c r="H337" s="230">
        <f t="array" aca="1" ref="H337" ca="1">IF(INDEX(ExistsTx,$I337,2),INDIRECT("'T"&amp;$I337&amp;"'!$E$"&amp;($J337+5),TRUE),0)</f>
        <v>0</v>
      </c>
      <c r="I337" s="229">
        <v>21</v>
      </c>
      <c r="J337" s="229">
        <v>15</v>
      </c>
      <c r="K337" s="230" t="str">
        <f t="array" aca="1" ref="K337" ca="1">INDEX(ListTeams,$I337,1)</f>
        <v/>
      </c>
      <c r="L337" s="230">
        <f t="array" aca="1" ref="L337" ca="1">IF(OR(NOT(INDEX(ExistsTx,$I337,2)),$H337=0),0,INDIRECT("'T"&amp;$I337&amp;"'!$M$"&amp;($J337+5),TRUE)+((1000-ROW())/10000000000000))</f>
        <v>0</v>
      </c>
      <c r="M337" s="230">
        <f t="array" aca="1" ref="M337" ca="1">IF(OR(NOT(INDEX(ExistsTx,$I337,2)),$H337=0),0,INDIRECT("'T"&amp;$I337&amp;"'!$N$"&amp;($J337+5),TRUE)+((1000-ROW())/10000000000000))</f>
        <v>0</v>
      </c>
      <c r="N337" s="230">
        <f t="array" aca="1" ref="N337" ca="1">IF(OR(NOT(INDEX(ExistsTx,$I337,2)),$H337=0),0,INDIRECT("'T"&amp;$I337&amp;"'!$O$"&amp;($J337+5),TRUE)+((1000-ROW())/10000000000000))</f>
        <v>0</v>
      </c>
      <c r="O337" s="230">
        <f t="array" aca="1" ref="O337" ca="1">IF(OR(NOT(INDEX(ExistsTx,$I337,2)),$H337=0),0,INDIRECT("'T"&amp;$I337&amp;"'!$P$"&amp;($J337+5),TRUE)+((1000-ROW())/10000000000000))</f>
        <v>0</v>
      </c>
      <c r="P337" s="230">
        <f t="array" aca="1" ref="P337" ca="1">IF(OR(NOT(INDEX(ExistsTx,$I337,2)),$H337=0),0,INDIRECT("'T"&amp;$I337&amp;"'!$Q$"&amp;($J337+5),TRUE)+((1000-ROW())/10000000000000))</f>
        <v>0</v>
      </c>
      <c r="Q337" s="230">
        <f t="shared" ca="1" si="65"/>
        <v>8.5242857228099998E-7</v>
      </c>
      <c r="R337" s="230"/>
      <c r="S337" s="230"/>
      <c r="T337" s="230"/>
      <c r="U337" s="230"/>
      <c r="V337" s="230"/>
      <c r="W337" s="230"/>
      <c r="X337" s="229"/>
      <c r="Y337" s="229"/>
      <c r="Z337" s="229"/>
      <c r="AA337" s="230"/>
      <c r="AB337" s="230"/>
      <c r="AC337" s="230"/>
      <c r="AD337" s="229"/>
      <c r="AE337" s="230"/>
    </row>
    <row r="338" spans="1:31" ht="12.75" customHeight="1">
      <c r="A338" s="229" t="str">
        <f t="shared" ca="1" si="59"/>
        <v/>
      </c>
      <c r="B338" s="229" t="str">
        <f t="shared" ca="1" si="60"/>
        <v/>
      </c>
      <c r="C338" s="229" t="str">
        <f t="shared" ca="1" si="61"/>
        <v/>
      </c>
      <c r="D338" s="229" t="str">
        <f t="shared" ca="1" si="62"/>
        <v/>
      </c>
      <c r="E338" s="229" t="str">
        <f t="shared" ca="1" si="63"/>
        <v/>
      </c>
      <c r="F338" s="229" t="str">
        <f t="shared" ca="1" si="64"/>
        <v/>
      </c>
      <c r="G338" s="230" t="str">
        <f t="array" aca="1" ref="G338" ca="1">IF(INDEX(ExistsTx,$I338,2),IF(INDIRECT("'T"&amp;$I338&amp;"'!$D$"&amp;($J338+5),TRUE)=0,T_NoName,INDIRECT("'T"&amp;$I338&amp;"'!$D$"&amp;($J338+5),TRUE)),"")</f>
        <v/>
      </c>
      <c r="H338" s="230">
        <f t="array" aca="1" ref="H338" ca="1">IF(INDEX(ExistsTx,$I338,2),INDIRECT("'T"&amp;$I338&amp;"'!$E$"&amp;($J338+5),TRUE),0)</f>
        <v>0</v>
      </c>
      <c r="I338" s="229">
        <v>21</v>
      </c>
      <c r="J338" s="229">
        <v>16</v>
      </c>
      <c r="K338" s="230" t="str">
        <f t="array" aca="1" ref="K338" ca="1">INDEX(ListTeams,$I338,1)</f>
        <v/>
      </c>
      <c r="L338" s="230">
        <f t="array" aca="1" ref="L338" ca="1">IF(OR(NOT(INDEX(ExistsTx,$I338,2)),$H338=0),0,INDIRECT("'T"&amp;$I338&amp;"'!$M$"&amp;($J338+5),TRUE)+((1000-ROW())/10000000000000))</f>
        <v>0</v>
      </c>
      <c r="M338" s="230">
        <f t="array" aca="1" ref="M338" ca="1">IF(OR(NOT(INDEX(ExistsTx,$I338,2)),$H338=0),0,INDIRECT("'T"&amp;$I338&amp;"'!$N$"&amp;($J338+5),TRUE)+((1000-ROW())/10000000000000))</f>
        <v>0</v>
      </c>
      <c r="N338" s="230">
        <f t="array" aca="1" ref="N338" ca="1">IF(OR(NOT(INDEX(ExistsTx,$I338,2)),$H338=0),0,INDIRECT("'T"&amp;$I338&amp;"'!$O$"&amp;($J338+5),TRUE)+((1000-ROW())/10000000000000))</f>
        <v>0</v>
      </c>
      <c r="O338" s="230">
        <f t="array" aca="1" ref="O338" ca="1">IF(OR(NOT(INDEX(ExistsTx,$I338,2)),$H338=0),0,INDIRECT("'T"&amp;$I338&amp;"'!$P$"&amp;($J338+5),TRUE)+((1000-ROW())/10000000000000))</f>
        <v>0</v>
      </c>
      <c r="P338" s="230">
        <f t="array" aca="1" ref="P338" ca="1">IF(OR(NOT(INDEX(ExistsTx,$I338,2)),$H338=0),0,INDIRECT("'T"&amp;$I338&amp;"'!$Q$"&amp;($J338+5),TRUE)+((1000-ROW())/10000000000000))</f>
        <v>0</v>
      </c>
      <c r="Q338" s="230">
        <f t="shared" ca="1" si="65"/>
        <v>8.5114285799399996E-7</v>
      </c>
      <c r="R338" s="230"/>
      <c r="S338" s="230"/>
      <c r="T338" s="230"/>
      <c r="U338" s="230"/>
      <c r="V338" s="230"/>
      <c r="W338" s="230"/>
      <c r="X338" s="229"/>
      <c r="Y338" s="229"/>
      <c r="Z338" s="229"/>
      <c r="AA338" s="230"/>
      <c r="AB338" s="230"/>
      <c r="AC338" s="230"/>
      <c r="AD338" s="229"/>
      <c r="AE338" s="230"/>
    </row>
    <row r="339" spans="1:31" ht="12.75" customHeight="1">
      <c r="A339" s="229" t="str">
        <f t="shared" ca="1" si="59"/>
        <v/>
      </c>
      <c r="B339" s="229" t="str">
        <f t="shared" ca="1" si="60"/>
        <v/>
      </c>
      <c r="C339" s="229" t="str">
        <f t="shared" ca="1" si="61"/>
        <v/>
      </c>
      <c r="D339" s="229" t="str">
        <f t="shared" ca="1" si="62"/>
        <v/>
      </c>
      <c r="E339" s="229" t="str">
        <f t="shared" ca="1" si="63"/>
        <v/>
      </c>
      <c r="F339" s="229" t="str">
        <f t="shared" ca="1" si="64"/>
        <v/>
      </c>
      <c r="G339" s="230" t="str">
        <f t="array" aca="1" ref="G339" ca="1">IF(INDEX(ExistsTx,$I339,2),IF(INDIRECT("'T"&amp;$I339&amp;"'!$D$"&amp;($J339+5),TRUE)=0,T_NoName,INDIRECT("'T"&amp;$I339&amp;"'!$D$"&amp;($J339+5),TRUE)),"")</f>
        <v/>
      </c>
      <c r="H339" s="230">
        <f t="array" aca="1" ref="H339" ca="1">IF(INDEX(ExistsTx,$I339,2),INDIRECT("'T"&amp;$I339&amp;"'!$E$"&amp;($J339+5),TRUE),0)</f>
        <v>0</v>
      </c>
      <c r="I339" s="229">
        <v>22</v>
      </c>
      <c r="J339" s="229">
        <v>1</v>
      </c>
      <c r="K339" s="230" t="str">
        <f t="array" aca="1" ref="K339" ca="1">INDEX(ListTeams,$I339,1)</f>
        <v/>
      </c>
      <c r="L339" s="230">
        <f t="array" aca="1" ref="L339" ca="1">IF(OR(NOT(INDEX(ExistsTx,$I339,2)),$H339=0),0,INDIRECT("'T"&amp;$I339&amp;"'!$M$"&amp;($J339+5),TRUE)+((1000-ROW())/10000000000000))</f>
        <v>0</v>
      </c>
      <c r="M339" s="230">
        <f t="array" aca="1" ref="M339" ca="1">IF(OR(NOT(INDEX(ExistsTx,$I339,2)),$H339=0),0,INDIRECT("'T"&amp;$I339&amp;"'!$N$"&amp;($J339+5),TRUE)+((1000-ROW())/10000000000000))</f>
        <v>0</v>
      </c>
      <c r="N339" s="230">
        <f t="array" aca="1" ref="N339" ca="1">IF(OR(NOT(INDEX(ExistsTx,$I339,2)),$H339=0),0,INDIRECT("'T"&amp;$I339&amp;"'!$O$"&amp;($J339+5),TRUE)+((1000-ROW())/10000000000000))</f>
        <v>0</v>
      </c>
      <c r="O339" s="230">
        <f t="array" aca="1" ref="O339" ca="1">IF(OR(NOT(INDEX(ExistsTx,$I339,2)),$H339=0),0,INDIRECT("'T"&amp;$I339&amp;"'!$P$"&amp;($J339+5),TRUE)+((1000-ROW())/10000000000000))</f>
        <v>0</v>
      </c>
      <c r="P339" s="230">
        <f t="array" aca="1" ref="P339" ca="1">IF(OR(NOT(INDEX(ExistsTx,$I339,2)),$H339=0),0,INDIRECT("'T"&amp;$I339&amp;"'!$Q$"&amp;($J339+5),TRUE)+((1000-ROW())/10000000000000))</f>
        <v>0</v>
      </c>
      <c r="Q339" s="230">
        <f t="shared" ca="1" si="65"/>
        <v>8.4985714370699995E-7</v>
      </c>
      <c r="R339" s="230"/>
      <c r="S339" s="230"/>
      <c r="T339" s="230"/>
      <c r="U339" s="230"/>
      <c r="V339" s="230"/>
      <c r="W339" s="230"/>
      <c r="X339" s="229"/>
      <c r="Y339" s="229"/>
      <c r="Z339" s="229"/>
      <c r="AA339" s="230"/>
      <c r="AB339" s="230"/>
      <c r="AC339" s="230"/>
      <c r="AD339" s="229"/>
      <c r="AE339" s="230"/>
    </row>
    <row r="340" spans="1:31" ht="12.75" customHeight="1">
      <c r="A340" s="229" t="str">
        <f t="shared" ca="1" si="59"/>
        <v/>
      </c>
      <c r="B340" s="229" t="str">
        <f t="shared" ca="1" si="60"/>
        <v/>
      </c>
      <c r="C340" s="229" t="str">
        <f t="shared" ca="1" si="61"/>
        <v/>
      </c>
      <c r="D340" s="229" t="str">
        <f t="shared" ca="1" si="62"/>
        <v/>
      </c>
      <c r="E340" s="229" t="str">
        <f t="shared" ca="1" si="63"/>
        <v/>
      </c>
      <c r="F340" s="229" t="str">
        <f t="shared" ca="1" si="64"/>
        <v/>
      </c>
      <c r="G340" s="230" t="str">
        <f t="array" aca="1" ref="G340" ca="1">IF(INDEX(ExistsTx,$I340,2),IF(INDIRECT("'T"&amp;$I340&amp;"'!$D$"&amp;($J340+5),TRUE)=0,T_NoName,INDIRECT("'T"&amp;$I340&amp;"'!$D$"&amp;($J340+5),TRUE)),"")</f>
        <v/>
      </c>
      <c r="H340" s="230">
        <f t="array" aca="1" ref="H340" ca="1">IF(INDEX(ExistsTx,$I340,2),INDIRECT("'T"&amp;$I340&amp;"'!$E$"&amp;($J340+5),TRUE),0)</f>
        <v>0</v>
      </c>
      <c r="I340" s="229">
        <v>22</v>
      </c>
      <c r="J340" s="229">
        <v>2</v>
      </c>
      <c r="K340" s="230" t="str">
        <f t="array" aca="1" ref="K340" ca="1">INDEX(ListTeams,$I340,1)</f>
        <v/>
      </c>
      <c r="L340" s="230">
        <f t="array" aca="1" ref="L340" ca="1">IF(OR(NOT(INDEX(ExistsTx,$I340,2)),$H340=0),0,INDIRECT("'T"&amp;$I340&amp;"'!$M$"&amp;($J340+5),TRUE)+((1000-ROW())/10000000000000))</f>
        <v>0</v>
      </c>
      <c r="M340" s="230">
        <f t="array" aca="1" ref="M340" ca="1">IF(OR(NOT(INDEX(ExistsTx,$I340,2)),$H340=0),0,INDIRECT("'T"&amp;$I340&amp;"'!$N$"&amp;($J340+5),TRUE)+((1000-ROW())/10000000000000))</f>
        <v>0</v>
      </c>
      <c r="N340" s="230">
        <f t="array" aca="1" ref="N340" ca="1">IF(OR(NOT(INDEX(ExistsTx,$I340,2)),$H340=0),0,INDIRECT("'T"&amp;$I340&amp;"'!$O$"&amp;($J340+5),TRUE)+((1000-ROW())/10000000000000))</f>
        <v>0</v>
      </c>
      <c r="O340" s="230">
        <f t="array" aca="1" ref="O340" ca="1">IF(OR(NOT(INDEX(ExistsTx,$I340,2)),$H340=0),0,INDIRECT("'T"&amp;$I340&amp;"'!$P$"&amp;($J340+5),TRUE)+((1000-ROW())/10000000000000))</f>
        <v>0</v>
      </c>
      <c r="P340" s="230">
        <f t="array" aca="1" ref="P340" ca="1">IF(OR(NOT(INDEX(ExistsTx,$I340,2)),$H340=0),0,INDIRECT("'T"&amp;$I340&amp;"'!$Q$"&amp;($J340+5),TRUE)+((1000-ROW())/10000000000000))</f>
        <v>0</v>
      </c>
      <c r="Q340" s="230">
        <f t="shared" ca="1" si="65"/>
        <v>8.4857142942000005E-7</v>
      </c>
      <c r="R340" s="230"/>
      <c r="S340" s="230"/>
      <c r="T340" s="230"/>
      <c r="U340" s="230"/>
      <c r="V340" s="230"/>
      <c r="W340" s="230"/>
      <c r="X340" s="229"/>
      <c r="Y340" s="229"/>
      <c r="Z340" s="229"/>
      <c r="AA340" s="230"/>
      <c r="AB340" s="230"/>
      <c r="AC340" s="230"/>
      <c r="AD340" s="229"/>
      <c r="AE340" s="230"/>
    </row>
    <row r="341" spans="1:31" ht="12.75" customHeight="1">
      <c r="A341" s="229" t="str">
        <f t="shared" ca="1" si="59"/>
        <v/>
      </c>
      <c r="B341" s="229" t="str">
        <f t="shared" ca="1" si="60"/>
        <v/>
      </c>
      <c r="C341" s="229" t="str">
        <f t="shared" ca="1" si="61"/>
        <v/>
      </c>
      <c r="D341" s="229" t="str">
        <f t="shared" ca="1" si="62"/>
        <v/>
      </c>
      <c r="E341" s="229" t="str">
        <f t="shared" ca="1" si="63"/>
        <v/>
      </c>
      <c r="F341" s="229" t="str">
        <f t="shared" ca="1" si="64"/>
        <v/>
      </c>
      <c r="G341" s="230" t="str">
        <f t="array" aca="1" ref="G341" ca="1">IF(INDEX(ExistsTx,$I341,2),IF(INDIRECT("'T"&amp;$I341&amp;"'!$D$"&amp;($J341+5),TRUE)=0,T_NoName,INDIRECT("'T"&amp;$I341&amp;"'!$D$"&amp;($J341+5),TRUE)),"")</f>
        <v/>
      </c>
      <c r="H341" s="230">
        <f t="array" aca="1" ref="H341" ca="1">IF(INDEX(ExistsTx,$I341,2),INDIRECT("'T"&amp;$I341&amp;"'!$E$"&amp;($J341+5),TRUE),0)</f>
        <v>0</v>
      </c>
      <c r="I341" s="229">
        <v>22</v>
      </c>
      <c r="J341" s="229">
        <v>3</v>
      </c>
      <c r="K341" s="230" t="str">
        <f t="array" aca="1" ref="K341" ca="1">INDEX(ListTeams,$I341,1)</f>
        <v/>
      </c>
      <c r="L341" s="230">
        <f t="array" aca="1" ref="L341" ca="1">IF(OR(NOT(INDEX(ExistsTx,$I341,2)),$H341=0),0,INDIRECT("'T"&amp;$I341&amp;"'!$M$"&amp;($J341+5),TRUE)+((1000-ROW())/10000000000000))</f>
        <v>0</v>
      </c>
      <c r="M341" s="230">
        <f t="array" aca="1" ref="M341" ca="1">IF(OR(NOT(INDEX(ExistsTx,$I341,2)),$H341=0),0,INDIRECT("'T"&amp;$I341&amp;"'!$N$"&amp;($J341+5),TRUE)+((1000-ROW())/10000000000000))</f>
        <v>0</v>
      </c>
      <c r="N341" s="230">
        <f t="array" aca="1" ref="N341" ca="1">IF(OR(NOT(INDEX(ExistsTx,$I341,2)),$H341=0),0,INDIRECT("'T"&amp;$I341&amp;"'!$O$"&amp;($J341+5),TRUE)+((1000-ROW())/10000000000000))</f>
        <v>0</v>
      </c>
      <c r="O341" s="230">
        <f t="array" aca="1" ref="O341" ca="1">IF(OR(NOT(INDEX(ExistsTx,$I341,2)),$H341=0),0,INDIRECT("'T"&amp;$I341&amp;"'!$P$"&amp;($J341+5),TRUE)+((1000-ROW())/10000000000000))</f>
        <v>0</v>
      </c>
      <c r="P341" s="230">
        <f t="array" aca="1" ref="P341" ca="1">IF(OR(NOT(INDEX(ExistsTx,$I341,2)),$H341=0),0,INDIRECT("'T"&amp;$I341&amp;"'!$Q$"&amp;($J341+5),TRUE)+((1000-ROW())/10000000000000))</f>
        <v>0</v>
      </c>
      <c r="Q341" s="230">
        <f t="shared" ca="1" si="65"/>
        <v>8.4728571513300003E-7</v>
      </c>
      <c r="R341" s="230"/>
      <c r="S341" s="230"/>
      <c r="T341" s="230"/>
      <c r="U341" s="230"/>
      <c r="V341" s="230"/>
      <c r="W341" s="230"/>
      <c r="X341" s="229"/>
      <c r="Y341" s="229"/>
      <c r="Z341" s="229"/>
      <c r="AA341" s="230"/>
      <c r="AB341" s="230"/>
      <c r="AC341" s="230"/>
      <c r="AD341" s="229"/>
      <c r="AE341" s="230"/>
    </row>
    <row r="342" spans="1:31" ht="12.75" customHeight="1">
      <c r="A342" s="229" t="str">
        <f t="shared" ca="1" si="59"/>
        <v/>
      </c>
      <c r="B342" s="229" t="str">
        <f t="shared" ca="1" si="60"/>
        <v/>
      </c>
      <c r="C342" s="229" t="str">
        <f t="shared" ca="1" si="61"/>
        <v/>
      </c>
      <c r="D342" s="229" t="str">
        <f t="shared" ca="1" si="62"/>
        <v/>
      </c>
      <c r="E342" s="229" t="str">
        <f t="shared" ca="1" si="63"/>
        <v/>
      </c>
      <c r="F342" s="229" t="str">
        <f t="shared" ca="1" si="64"/>
        <v/>
      </c>
      <c r="G342" s="230" t="str">
        <f t="array" aca="1" ref="G342" ca="1">IF(INDEX(ExistsTx,$I342,2),IF(INDIRECT("'T"&amp;$I342&amp;"'!$D$"&amp;($J342+5),TRUE)=0,T_NoName,INDIRECT("'T"&amp;$I342&amp;"'!$D$"&amp;($J342+5),TRUE)),"")</f>
        <v/>
      </c>
      <c r="H342" s="230">
        <f t="array" aca="1" ref="H342" ca="1">IF(INDEX(ExistsTx,$I342,2),INDIRECT("'T"&amp;$I342&amp;"'!$E$"&amp;($J342+5),TRUE),0)</f>
        <v>0</v>
      </c>
      <c r="I342" s="229">
        <v>22</v>
      </c>
      <c r="J342" s="229">
        <v>4</v>
      </c>
      <c r="K342" s="230" t="str">
        <f t="array" aca="1" ref="K342" ca="1">INDEX(ListTeams,$I342,1)</f>
        <v/>
      </c>
      <c r="L342" s="230">
        <f t="array" aca="1" ref="L342" ca="1">IF(OR(NOT(INDEX(ExistsTx,$I342,2)),$H342=0),0,INDIRECT("'T"&amp;$I342&amp;"'!$M$"&amp;($J342+5),TRUE)+((1000-ROW())/10000000000000))</f>
        <v>0</v>
      </c>
      <c r="M342" s="230">
        <f t="array" aca="1" ref="M342" ca="1">IF(OR(NOT(INDEX(ExistsTx,$I342,2)),$H342=0),0,INDIRECT("'T"&amp;$I342&amp;"'!$N$"&amp;($J342+5),TRUE)+((1000-ROW())/10000000000000))</f>
        <v>0</v>
      </c>
      <c r="N342" s="230">
        <f t="array" aca="1" ref="N342" ca="1">IF(OR(NOT(INDEX(ExistsTx,$I342,2)),$H342=0),0,INDIRECT("'T"&amp;$I342&amp;"'!$O$"&amp;($J342+5),TRUE)+((1000-ROW())/10000000000000))</f>
        <v>0</v>
      </c>
      <c r="O342" s="230">
        <f t="array" aca="1" ref="O342" ca="1">IF(OR(NOT(INDEX(ExistsTx,$I342,2)),$H342=0),0,INDIRECT("'T"&amp;$I342&amp;"'!$P$"&amp;($J342+5),TRUE)+((1000-ROW())/10000000000000))</f>
        <v>0</v>
      </c>
      <c r="P342" s="230">
        <f t="array" aca="1" ref="P342" ca="1">IF(OR(NOT(INDEX(ExistsTx,$I342,2)),$H342=0),0,INDIRECT("'T"&amp;$I342&amp;"'!$Q$"&amp;($J342+5),TRUE)+((1000-ROW())/10000000000000))</f>
        <v>0</v>
      </c>
      <c r="Q342" s="230">
        <f t="shared" ca="1" si="65"/>
        <v>8.4600000084600002E-7</v>
      </c>
      <c r="R342" s="230"/>
      <c r="S342" s="230"/>
      <c r="T342" s="230"/>
      <c r="U342" s="230"/>
      <c r="V342" s="230"/>
      <c r="W342" s="230"/>
      <c r="X342" s="229"/>
      <c r="Y342" s="229"/>
      <c r="Z342" s="229"/>
      <c r="AA342" s="230"/>
      <c r="AB342" s="230"/>
      <c r="AC342" s="230"/>
      <c r="AD342" s="229"/>
      <c r="AE342" s="230"/>
    </row>
    <row r="343" spans="1:31" ht="12.75" customHeight="1">
      <c r="A343" s="229" t="str">
        <f t="shared" ca="1" si="59"/>
        <v/>
      </c>
      <c r="B343" s="229" t="str">
        <f t="shared" ca="1" si="60"/>
        <v/>
      </c>
      <c r="C343" s="229" t="str">
        <f t="shared" ca="1" si="61"/>
        <v/>
      </c>
      <c r="D343" s="229" t="str">
        <f t="shared" ca="1" si="62"/>
        <v/>
      </c>
      <c r="E343" s="229" t="str">
        <f t="shared" ca="1" si="63"/>
        <v/>
      </c>
      <c r="F343" s="229" t="str">
        <f t="shared" ca="1" si="64"/>
        <v/>
      </c>
      <c r="G343" s="230" t="str">
        <f t="array" aca="1" ref="G343" ca="1">IF(INDEX(ExistsTx,$I343,2),IF(INDIRECT("'T"&amp;$I343&amp;"'!$D$"&amp;($J343+5),TRUE)=0,T_NoName,INDIRECT("'T"&amp;$I343&amp;"'!$D$"&amp;($J343+5),TRUE)),"")</f>
        <v/>
      </c>
      <c r="H343" s="230">
        <f t="array" aca="1" ref="H343" ca="1">IF(INDEX(ExistsTx,$I343,2),INDIRECT("'T"&amp;$I343&amp;"'!$E$"&amp;($J343+5),TRUE),0)</f>
        <v>0</v>
      </c>
      <c r="I343" s="229">
        <v>22</v>
      </c>
      <c r="J343" s="229">
        <v>5</v>
      </c>
      <c r="K343" s="230" t="str">
        <f t="array" aca="1" ref="K343" ca="1">INDEX(ListTeams,$I343,1)</f>
        <v/>
      </c>
      <c r="L343" s="230">
        <f t="array" aca="1" ref="L343" ca="1">IF(OR(NOT(INDEX(ExistsTx,$I343,2)),$H343=0),0,INDIRECT("'T"&amp;$I343&amp;"'!$M$"&amp;($J343+5),TRUE)+((1000-ROW())/10000000000000))</f>
        <v>0</v>
      </c>
      <c r="M343" s="230">
        <f t="array" aca="1" ref="M343" ca="1">IF(OR(NOT(INDEX(ExistsTx,$I343,2)),$H343=0),0,INDIRECT("'T"&amp;$I343&amp;"'!$N$"&amp;($J343+5),TRUE)+((1000-ROW())/10000000000000))</f>
        <v>0</v>
      </c>
      <c r="N343" s="230">
        <f t="array" aca="1" ref="N343" ca="1">IF(OR(NOT(INDEX(ExistsTx,$I343,2)),$H343=0),0,INDIRECT("'T"&amp;$I343&amp;"'!$O$"&amp;($J343+5),TRUE)+((1000-ROW())/10000000000000))</f>
        <v>0</v>
      </c>
      <c r="O343" s="230">
        <f t="array" aca="1" ref="O343" ca="1">IF(OR(NOT(INDEX(ExistsTx,$I343,2)),$H343=0),0,INDIRECT("'T"&amp;$I343&amp;"'!$P$"&amp;($J343+5),TRUE)+((1000-ROW())/10000000000000))</f>
        <v>0</v>
      </c>
      <c r="P343" s="230">
        <f t="array" aca="1" ref="P343" ca="1">IF(OR(NOT(INDEX(ExistsTx,$I343,2)),$H343=0),0,INDIRECT("'T"&amp;$I343&amp;"'!$Q$"&amp;($J343+5),TRUE)+((1000-ROW())/10000000000000))</f>
        <v>0</v>
      </c>
      <c r="Q343" s="230">
        <f t="shared" ca="1" si="65"/>
        <v>8.4471428655900001E-7</v>
      </c>
      <c r="R343" s="230"/>
      <c r="S343" s="230"/>
      <c r="T343" s="230"/>
      <c r="U343" s="230"/>
      <c r="V343" s="230"/>
      <c r="W343" s="230"/>
      <c r="X343" s="229"/>
      <c r="Y343" s="229"/>
      <c r="Z343" s="229"/>
      <c r="AA343" s="230"/>
      <c r="AB343" s="230"/>
      <c r="AC343" s="230"/>
      <c r="AD343" s="229"/>
      <c r="AE343" s="230"/>
    </row>
    <row r="344" spans="1:31" ht="12.75" customHeight="1">
      <c r="A344" s="229" t="str">
        <f t="shared" ca="1" si="59"/>
        <v/>
      </c>
      <c r="B344" s="229" t="str">
        <f t="shared" ca="1" si="60"/>
        <v/>
      </c>
      <c r="C344" s="229" t="str">
        <f t="shared" ca="1" si="61"/>
        <v/>
      </c>
      <c r="D344" s="229" t="str">
        <f t="shared" ca="1" si="62"/>
        <v/>
      </c>
      <c r="E344" s="229" t="str">
        <f t="shared" ca="1" si="63"/>
        <v/>
      </c>
      <c r="F344" s="229" t="str">
        <f t="shared" ca="1" si="64"/>
        <v/>
      </c>
      <c r="G344" s="230" t="str">
        <f t="array" aca="1" ref="G344" ca="1">IF(INDEX(ExistsTx,$I344,2),IF(INDIRECT("'T"&amp;$I344&amp;"'!$D$"&amp;($J344+5),TRUE)=0,T_NoName,INDIRECT("'T"&amp;$I344&amp;"'!$D$"&amp;($J344+5),TRUE)),"")</f>
        <v/>
      </c>
      <c r="H344" s="230">
        <f t="array" aca="1" ref="H344" ca="1">IF(INDEX(ExistsTx,$I344,2),INDIRECT("'T"&amp;$I344&amp;"'!$E$"&amp;($J344+5),TRUE),0)</f>
        <v>0</v>
      </c>
      <c r="I344" s="229">
        <v>22</v>
      </c>
      <c r="J344" s="229">
        <v>6</v>
      </c>
      <c r="K344" s="230" t="str">
        <f t="array" aca="1" ref="K344" ca="1">INDEX(ListTeams,$I344,1)</f>
        <v/>
      </c>
      <c r="L344" s="230">
        <f t="array" aca="1" ref="L344" ca="1">IF(OR(NOT(INDEX(ExistsTx,$I344,2)),$H344=0),0,INDIRECT("'T"&amp;$I344&amp;"'!$M$"&amp;($J344+5),TRUE)+((1000-ROW())/10000000000000))</f>
        <v>0</v>
      </c>
      <c r="M344" s="230">
        <f t="array" aca="1" ref="M344" ca="1">IF(OR(NOT(INDEX(ExistsTx,$I344,2)),$H344=0),0,INDIRECT("'T"&amp;$I344&amp;"'!$N$"&amp;($J344+5),TRUE)+((1000-ROW())/10000000000000))</f>
        <v>0</v>
      </c>
      <c r="N344" s="230">
        <f t="array" aca="1" ref="N344" ca="1">IF(OR(NOT(INDEX(ExistsTx,$I344,2)),$H344=0),0,INDIRECT("'T"&amp;$I344&amp;"'!$O$"&amp;($J344+5),TRUE)+((1000-ROW())/10000000000000))</f>
        <v>0</v>
      </c>
      <c r="O344" s="230">
        <f t="array" aca="1" ref="O344" ca="1">IF(OR(NOT(INDEX(ExistsTx,$I344,2)),$H344=0),0,INDIRECT("'T"&amp;$I344&amp;"'!$P$"&amp;($J344+5),TRUE)+((1000-ROW())/10000000000000))</f>
        <v>0</v>
      </c>
      <c r="P344" s="230">
        <f t="array" aca="1" ref="P344" ca="1">IF(OR(NOT(INDEX(ExistsTx,$I344,2)),$H344=0),0,INDIRECT("'T"&amp;$I344&amp;"'!$Q$"&amp;($J344+5),TRUE)+((1000-ROW())/10000000000000))</f>
        <v>0</v>
      </c>
      <c r="Q344" s="230">
        <f t="shared" ca="1" si="65"/>
        <v>8.43428572272E-7</v>
      </c>
      <c r="R344" s="230"/>
      <c r="S344" s="230"/>
      <c r="T344" s="230"/>
      <c r="U344" s="230"/>
      <c r="V344" s="230"/>
      <c r="W344" s="230"/>
      <c r="X344" s="229"/>
      <c r="Y344" s="229"/>
      <c r="Z344" s="229"/>
      <c r="AA344" s="230"/>
      <c r="AB344" s="230"/>
      <c r="AC344" s="230"/>
      <c r="AD344" s="229"/>
      <c r="AE344" s="230"/>
    </row>
    <row r="345" spans="1:31" ht="12.75" customHeight="1">
      <c r="A345" s="229" t="str">
        <f t="shared" ca="1" si="59"/>
        <v/>
      </c>
      <c r="B345" s="229" t="str">
        <f t="shared" ca="1" si="60"/>
        <v/>
      </c>
      <c r="C345" s="229" t="str">
        <f t="shared" ca="1" si="61"/>
        <v/>
      </c>
      <c r="D345" s="229" t="str">
        <f t="shared" ca="1" si="62"/>
        <v/>
      </c>
      <c r="E345" s="229" t="str">
        <f t="shared" ca="1" si="63"/>
        <v/>
      </c>
      <c r="F345" s="229" t="str">
        <f t="shared" ca="1" si="64"/>
        <v/>
      </c>
      <c r="G345" s="230" t="str">
        <f t="array" aca="1" ref="G345" ca="1">IF(INDEX(ExistsTx,$I345,2),IF(INDIRECT("'T"&amp;$I345&amp;"'!$D$"&amp;($J345+5),TRUE)=0,T_NoName,INDIRECT("'T"&amp;$I345&amp;"'!$D$"&amp;($J345+5),TRUE)),"")</f>
        <v/>
      </c>
      <c r="H345" s="230">
        <f t="array" aca="1" ref="H345" ca="1">IF(INDEX(ExistsTx,$I345,2),INDIRECT("'T"&amp;$I345&amp;"'!$E$"&amp;($J345+5),TRUE),0)</f>
        <v>0</v>
      </c>
      <c r="I345" s="229">
        <v>22</v>
      </c>
      <c r="J345" s="229">
        <v>7</v>
      </c>
      <c r="K345" s="230" t="str">
        <f t="array" aca="1" ref="K345" ca="1">INDEX(ListTeams,$I345,1)</f>
        <v/>
      </c>
      <c r="L345" s="230">
        <f t="array" aca="1" ref="L345" ca="1">IF(OR(NOT(INDEX(ExistsTx,$I345,2)),$H345=0),0,INDIRECT("'T"&amp;$I345&amp;"'!$M$"&amp;($J345+5),TRUE)+((1000-ROW())/10000000000000))</f>
        <v>0</v>
      </c>
      <c r="M345" s="230">
        <f t="array" aca="1" ref="M345" ca="1">IF(OR(NOT(INDEX(ExistsTx,$I345,2)),$H345=0),0,INDIRECT("'T"&amp;$I345&amp;"'!$N$"&amp;($J345+5),TRUE)+((1000-ROW())/10000000000000))</f>
        <v>0</v>
      </c>
      <c r="N345" s="230">
        <f t="array" aca="1" ref="N345" ca="1">IF(OR(NOT(INDEX(ExistsTx,$I345,2)),$H345=0),0,INDIRECT("'T"&amp;$I345&amp;"'!$O$"&amp;($J345+5),TRUE)+((1000-ROW())/10000000000000))</f>
        <v>0</v>
      </c>
      <c r="O345" s="230">
        <f t="array" aca="1" ref="O345" ca="1">IF(OR(NOT(INDEX(ExistsTx,$I345,2)),$H345=0),0,INDIRECT("'T"&amp;$I345&amp;"'!$P$"&amp;($J345+5),TRUE)+((1000-ROW())/10000000000000))</f>
        <v>0</v>
      </c>
      <c r="P345" s="230">
        <f t="array" aca="1" ref="P345" ca="1">IF(OR(NOT(INDEX(ExistsTx,$I345,2)),$H345=0),0,INDIRECT("'T"&amp;$I345&amp;"'!$Q$"&amp;($J345+5),TRUE)+((1000-ROW())/10000000000000))</f>
        <v>0</v>
      </c>
      <c r="Q345" s="230">
        <f t="shared" ca="1" si="65"/>
        <v>8.4214285798499999E-7</v>
      </c>
      <c r="R345" s="230"/>
      <c r="S345" s="230"/>
      <c r="T345" s="230"/>
      <c r="U345" s="230"/>
      <c r="V345" s="230"/>
      <c r="W345" s="230"/>
      <c r="X345" s="229"/>
      <c r="Y345" s="229"/>
      <c r="Z345" s="229"/>
      <c r="AA345" s="230"/>
      <c r="AB345" s="230"/>
      <c r="AC345" s="230"/>
      <c r="AD345" s="229"/>
      <c r="AE345" s="230"/>
    </row>
    <row r="346" spans="1:31" ht="12.75" customHeight="1">
      <c r="A346" s="229" t="str">
        <f t="shared" ca="1" si="59"/>
        <v/>
      </c>
      <c r="B346" s="229" t="str">
        <f t="shared" ca="1" si="60"/>
        <v/>
      </c>
      <c r="C346" s="229" t="str">
        <f t="shared" ca="1" si="61"/>
        <v/>
      </c>
      <c r="D346" s="229" t="str">
        <f t="shared" ca="1" si="62"/>
        <v/>
      </c>
      <c r="E346" s="229" t="str">
        <f t="shared" ca="1" si="63"/>
        <v/>
      </c>
      <c r="F346" s="229" t="str">
        <f t="shared" ca="1" si="64"/>
        <v/>
      </c>
      <c r="G346" s="230" t="str">
        <f t="array" aca="1" ref="G346" ca="1">IF(INDEX(ExistsTx,$I346,2),IF(INDIRECT("'T"&amp;$I346&amp;"'!$D$"&amp;($J346+5),TRUE)=0,T_NoName,INDIRECT("'T"&amp;$I346&amp;"'!$D$"&amp;($J346+5),TRUE)),"")</f>
        <v/>
      </c>
      <c r="H346" s="230">
        <f t="array" aca="1" ref="H346" ca="1">IF(INDEX(ExistsTx,$I346,2),INDIRECT("'T"&amp;$I346&amp;"'!$E$"&amp;($J346+5),TRUE),0)</f>
        <v>0</v>
      </c>
      <c r="I346" s="229">
        <v>22</v>
      </c>
      <c r="J346" s="229">
        <v>8</v>
      </c>
      <c r="K346" s="230" t="str">
        <f t="array" aca="1" ref="K346" ca="1">INDEX(ListTeams,$I346,1)</f>
        <v/>
      </c>
      <c r="L346" s="230">
        <f t="array" aca="1" ref="L346" ca="1">IF(OR(NOT(INDEX(ExistsTx,$I346,2)),$H346=0),0,INDIRECT("'T"&amp;$I346&amp;"'!$M$"&amp;($J346+5),TRUE)+((1000-ROW())/10000000000000))</f>
        <v>0</v>
      </c>
      <c r="M346" s="230">
        <f t="array" aca="1" ref="M346" ca="1">IF(OR(NOT(INDEX(ExistsTx,$I346,2)),$H346=0),0,INDIRECT("'T"&amp;$I346&amp;"'!$N$"&amp;($J346+5),TRUE)+((1000-ROW())/10000000000000))</f>
        <v>0</v>
      </c>
      <c r="N346" s="230">
        <f t="array" aca="1" ref="N346" ca="1">IF(OR(NOT(INDEX(ExistsTx,$I346,2)),$H346=0),0,INDIRECT("'T"&amp;$I346&amp;"'!$O$"&amp;($J346+5),TRUE)+((1000-ROW())/10000000000000))</f>
        <v>0</v>
      </c>
      <c r="O346" s="230">
        <f t="array" aca="1" ref="O346" ca="1">IF(OR(NOT(INDEX(ExistsTx,$I346,2)),$H346=0),0,INDIRECT("'T"&amp;$I346&amp;"'!$P$"&amp;($J346+5),TRUE)+((1000-ROW())/10000000000000))</f>
        <v>0</v>
      </c>
      <c r="P346" s="230">
        <f t="array" aca="1" ref="P346" ca="1">IF(OR(NOT(INDEX(ExistsTx,$I346,2)),$H346=0),0,INDIRECT("'T"&amp;$I346&amp;"'!$Q$"&amp;($J346+5),TRUE)+((1000-ROW())/10000000000000))</f>
        <v>0</v>
      </c>
      <c r="Q346" s="230">
        <f t="shared" ca="1" si="65"/>
        <v>8.4085714369799997E-7</v>
      </c>
      <c r="R346" s="230"/>
      <c r="S346" s="230"/>
      <c r="T346" s="230"/>
      <c r="U346" s="230"/>
      <c r="V346" s="230"/>
      <c r="W346" s="230"/>
      <c r="X346" s="229"/>
      <c r="Y346" s="229"/>
      <c r="Z346" s="229"/>
      <c r="AA346" s="230"/>
      <c r="AB346" s="230"/>
      <c r="AC346" s="230"/>
      <c r="AD346" s="229"/>
      <c r="AE346" s="230"/>
    </row>
    <row r="347" spans="1:31" ht="12.75" customHeight="1">
      <c r="A347" s="229" t="str">
        <f t="shared" ca="1" si="59"/>
        <v/>
      </c>
      <c r="B347" s="229" t="str">
        <f t="shared" ca="1" si="60"/>
        <v/>
      </c>
      <c r="C347" s="229" t="str">
        <f t="shared" ca="1" si="61"/>
        <v/>
      </c>
      <c r="D347" s="229" t="str">
        <f t="shared" ca="1" si="62"/>
        <v/>
      </c>
      <c r="E347" s="229" t="str">
        <f t="shared" ca="1" si="63"/>
        <v/>
      </c>
      <c r="F347" s="229" t="str">
        <f t="shared" ca="1" si="64"/>
        <v/>
      </c>
      <c r="G347" s="230" t="str">
        <f t="array" aca="1" ref="G347" ca="1">IF(INDEX(ExistsTx,$I347,2),IF(INDIRECT("'T"&amp;$I347&amp;"'!$D$"&amp;($J347+5),TRUE)=0,T_NoName,INDIRECT("'T"&amp;$I347&amp;"'!$D$"&amp;($J347+5),TRUE)),"")</f>
        <v/>
      </c>
      <c r="H347" s="230">
        <f t="array" aca="1" ref="H347" ca="1">IF(INDEX(ExistsTx,$I347,2),INDIRECT("'T"&amp;$I347&amp;"'!$E$"&amp;($J347+5),TRUE),0)</f>
        <v>0</v>
      </c>
      <c r="I347" s="229">
        <v>22</v>
      </c>
      <c r="J347" s="229">
        <v>9</v>
      </c>
      <c r="K347" s="230" t="str">
        <f t="array" aca="1" ref="K347" ca="1">INDEX(ListTeams,$I347,1)</f>
        <v/>
      </c>
      <c r="L347" s="230">
        <f t="array" aca="1" ref="L347" ca="1">IF(OR(NOT(INDEX(ExistsTx,$I347,2)),$H347=0),0,INDIRECT("'T"&amp;$I347&amp;"'!$M$"&amp;($J347+5),TRUE)+((1000-ROW())/10000000000000))</f>
        <v>0</v>
      </c>
      <c r="M347" s="230">
        <f t="array" aca="1" ref="M347" ca="1">IF(OR(NOT(INDEX(ExistsTx,$I347,2)),$H347=0),0,INDIRECT("'T"&amp;$I347&amp;"'!$N$"&amp;($J347+5),TRUE)+((1000-ROW())/10000000000000))</f>
        <v>0</v>
      </c>
      <c r="N347" s="230">
        <f t="array" aca="1" ref="N347" ca="1">IF(OR(NOT(INDEX(ExistsTx,$I347,2)),$H347=0),0,INDIRECT("'T"&amp;$I347&amp;"'!$O$"&amp;($J347+5),TRUE)+((1000-ROW())/10000000000000))</f>
        <v>0</v>
      </c>
      <c r="O347" s="230">
        <f t="array" aca="1" ref="O347" ca="1">IF(OR(NOT(INDEX(ExistsTx,$I347,2)),$H347=0),0,INDIRECT("'T"&amp;$I347&amp;"'!$P$"&amp;($J347+5),TRUE)+((1000-ROW())/10000000000000))</f>
        <v>0</v>
      </c>
      <c r="P347" s="230">
        <f t="array" aca="1" ref="P347" ca="1">IF(OR(NOT(INDEX(ExistsTx,$I347,2)),$H347=0),0,INDIRECT("'T"&amp;$I347&amp;"'!$Q$"&amp;($J347+5),TRUE)+((1000-ROW())/10000000000000))</f>
        <v>0</v>
      </c>
      <c r="Q347" s="230">
        <f t="shared" ca="1" si="65"/>
        <v>8.3957142941099996E-7</v>
      </c>
      <c r="R347" s="230"/>
      <c r="S347" s="230"/>
      <c r="T347" s="230"/>
      <c r="U347" s="230"/>
      <c r="V347" s="230"/>
      <c r="W347" s="230"/>
      <c r="X347" s="229"/>
      <c r="Y347" s="229"/>
      <c r="Z347" s="229"/>
      <c r="AA347" s="230"/>
      <c r="AB347" s="230"/>
      <c r="AC347" s="230"/>
      <c r="AD347" s="229"/>
      <c r="AE347" s="230"/>
    </row>
    <row r="348" spans="1:31" ht="12.75" customHeight="1">
      <c r="A348" s="229" t="str">
        <f t="shared" ca="1" si="59"/>
        <v/>
      </c>
      <c r="B348" s="229" t="str">
        <f t="shared" ca="1" si="60"/>
        <v/>
      </c>
      <c r="C348" s="229" t="str">
        <f t="shared" ca="1" si="61"/>
        <v/>
      </c>
      <c r="D348" s="229" t="str">
        <f t="shared" ca="1" si="62"/>
        <v/>
      </c>
      <c r="E348" s="229" t="str">
        <f t="shared" ca="1" si="63"/>
        <v/>
      </c>
      <c r="F348" s="229" t="str">
        <f t="shared" ca="1" si="64"/>
        <v/>
      </c>
      <c r="G348" s="230" t="str">
        <f t="array" aca="1" ref="G348" ca="1">IF(INDEX(ExistsTx,$I348,2),IF(INDIRECT("'T"&amp;$I348&amp;"'!$D$"&amp;($J348+5),TRUE)=0,T_NoName,INDIRECT("'T"&amp;$I348&amp;"'!$D$"&amp;($J348+5),TRUE)),"")</f>
        <v/>
      </c>
      <c r="H348" s="230">
        <f t="array" aca="1" ref="H348" ca="1">IF(INDEX(ExistsTx,$I348,2),INDIRECT("'T"&amp;$I348&amp;"'!$E$"&amp;($J348+5),TRUE),0)</f>
        <v>0</v>
      </c>
      <c r="I348" s="229">
        <v>22</v>
      </c>
      <c r="J348" s="229">
        <v>10</v>
      </c>
      <c r="K348" s="230" t="str">
        <f t="array" aca="1" ref="K348" ca="1">INDEX(ListTeams,$I348,1)</f>
        <v/>
      </c>
      <c r="L348" s="230">
        <f t="array" aca="1" ref="L348" ca="1">IF(OR(NOT(INDEX(ExistsTx,$I348,2)),$H348=0),0,INDIRECT("'T"&amp;$I348&amp;"'!$M$"&amp;($J348+5),TRUE)+((1000-ROW())/10000000000000))</f>
        <v>0</v>
      </c>
      <c r="M348" s="230">
        <f t="array" aca="1" ref="M348" ca="1">IF(OR(NOT(INDEX(ExistsTx,$I348,2)),$H348=0),0,INDIRECT("'T"&amp;$I348&amp;"'!$N$"&amp;($J348+5),TRUE)+((1000-ROW())/10000000000000))</f>
        <v>0</v>
      </c>
      <c r="N348" s="230">
        <f t="array" aca="1" ref="N348" ca="1">IF(OR(NOT(INDEX(ExistsTx,$I348,2)),$H348=0),0,INDIRECT("'T"&amp;$I348&amp;"'!$O$"&amp;($J348+5),TRUE)+((1000-ROW())/10000000000000))</f>
        <v>0</v>
      </c>
      <c r="O348" s="230">
        <f t="array" aca="1" ref="O348" ca="1">IF(OR(NOT(INDEX(ExistsTx,$I348,2)),$H348=0),0,INDIRECT("'T"&amp;$I348&amp;"'!$P$"&amp;($J348+5),TRUE)+((1000-ROW())/10000000000000))</f>
        <v>0</v>
      </c>
      <c r="P348" s="230">
        <f t="array" aca="1" ref="P348" ca="1">IF(OR(NOT(INDEX(ExistsTx,$I348,2)),$H348=0),0,INDIRECT("'T"&amp;$I348&amp;"'!$Q$"&amp;($J348+5),TRUE)+((1000-ROW())/10000000000000))</f>
        <v>0</v>
      </c>
      <c r="Q348" s="230">
        <f t="shared" ca="1" si="65"/>
        <v>8.3828571512399995E-7</v>
      </c>
      <c r="R348" s="230"/>
      <c r="S348" s="230"/>
      <c r="T348" s="230"/>
      <c r="U348" s="230"/>
      <c r="V348" s="230"/>
      <c r="W348" s="230"/>
      <c r="X348" s="229"/>
      <c r="Y348" s="229"/>
      <c r="Z348" s="229"/>
      <c r="AA348" s="230"/>
      <c r="AB348" s="230"/>
      <c r="AC348" s="230"/>
      <c r="AD348" s="229"/>
      <c r="AE348" s="230"/>
    </row>
    <row r="349" spans="1:31" ht="12.75" customHeight="1">
      <c r="A349" s="229" t="str">
        <f t="shared" ca="1" si="59"/>
        <v/>
      </c>
      <c r="B349" s="229" t="str">
        <f t="shared" ca="1" si="60"/>
        <v/>
      </c>
      <c r="C349" s="229" t="str">
        <f t="shared" ca="1" si="61"/>
        <v/>
      </c>
      <c r="D349" s="229" t="str">
        <f t="shared" ca="1" si="62"/>
        <v/>
      </c>
      <c r="E349" s="229" t="str">
        <f t="shared" ca="1" si="63"/>
        <v/>
      </c>
      <c r="F349" s="229" t="str">
        <f t="shared" ca="1" si="64"/>
        <v/>
      </c>
      <c r="G349" s="230" t="str">
        <f t="array" aca="1" ref="G349" ca="1">IF(INDEX(ExistsTx,$I349,2),IF(INDIRECT("'T"&amp;$I349&amp;"'!$D$"&amp;($J349+5),TRUE)=0,T_NoName,INDIRECT("'T"&amp;$I349&amp;"'!$D$"&amp;($J349+5),TRUE)),"")</f>
        <v/>
      </c>
      <c r="H349" s="230">
        <f t="array" aca="1" ref="H349" ca="1">IF(INDEX(ExistsTx,$I349,2),INDIRECT("'T"&amp;$I349&amp;"'!$E$"&amp;($J349+5),TRUE),0)</f>
        <v>0</v>
      </c>
      <c r="I349" s="229">
        <v>22</v>
      </c>
      <c r="J349" s="229">
        <v>11</v>
      </c>
      <c r="K349" s="230" t="str">
        <f t="array" aca="1" ref="K349" ca="1">INDEX(ListTeams,$I349,1)</f>
        <v/>
      </c>
      <c r="L349" s="230">
        <f t="array" aca="1" ref="L349" ca="1">IF(OR(NOT(INDEX(ExistsTx,$I349,2)),$H349=0),0,INDIRECT("'T"&amp;$I349&amp;"'!$M$"&amp;($J349+5),TRUE)+((1000-ROW())/10000000000000))</f>
        <v>0</v>
      </c>
      <c r="M349" s="230">
        <f t="array" aca="1" ref="M349" ca="1">IF(OR(NOT(INDEX(ExistsTx,$I349,2)),$H349=0),0,INDIRECT("'T"&amp;$I349&amp;"'!$N$"&amp;($J349+5),TRUE)+((1000-ROW())/10000000000000))</f>
        <v>0</v>
      </c>
      <c r="N349" s="230">
        <f t="array" aca="1" ref="N349" ca="1">IF(OR(NOT(INDEX(ExistsTx,$I349,2)),$H349=0),0,INDIRECT("'T"&amp;$I349&amp;"'!$O$"&amp;($J349+5),TRUE)+((1000-ROW())/10000000000000))</f>
        <v>0</v>
      </c>
      <c r="O349" s="230">
        <f t="array" aca="1" ref="O349" ca="1">IF(OR(NOT(INDEX(ExistsTx,$I349,2)),$H349=0),0,INDIRECT("'T"&amp;$I349&amp;"'!$P$"&amp;($J349+5),TRUE)+((1000-ROW())/10000000000000))</f>
        <v>0</v>
      </c>
      <c r="P349" s="230">
        <f t="array" aca="1" ref="P349" ca="1">IF(OR(NOT(INDEX(ExistsTx,$I349,2)),$H349=0),0,INDIRECT("'T"&amp;$I349&amp;"'!$Q$"&amp;($J349+5),TRUE)+((1000-ROW())/10000000000000))</f>
        <v>0</v>
      </c>
      <c r="Q349" s="230">
        <f t="shared" ca="1" si="65"/>
        <v>8.3700000083700004E-7</v>
      </c>
      <c r="R349" s="230"/>
      <c r="S349" s="230"/>
      <c r="T349" s="230"/>
      <c r="U349" s="230"/>
      <c r="V349" s="230"/>
      <c r="W349" s="230"/>
      <c r="X349" s="229"/>
      <c r="Y349" s="229"/>
      <c r="Z349" s="229"/>
      <c r="AA349" s="230"/>
      <c r="AB349" s="230"/>
      <c r="AC349" s="230"/>
      <c r="AD349" s="229"/>
      <c r="AE349" s="230"/>
    </row>
    <row r="350" spans="1:31" ht="12.75" customHeight="1">
      <c r="A350" s="229" t="str">
        <f t="shared" ca="1" si="59"/>
        <v/>
      </c>
      <c r="B350" s="229" t="str">
        <f t="shared" ca="1" si="60"/>
        <v/>
      </c>
      <c r="C350" s="229" t="str">
        <f t="shared" ca="1" si="61"/>
        <v/>
      </c>
      <c r="D350" s="229" t="str">
        <f t="shared" ca="1" si="62"/>
        <v/>
      </c>
      <c r="E350" s="229" t="str">
        <f t="shared" ca="1" si="63"/>
        <v/>
      </c>
      <c r="F350" s="229" t="str">
        <f t="shared" ca="1" si="64"/>
        <v/>
      </c>
      <c r="G350" s="230" t="str">
        <f t="array" aca="1" ref="G350" ca="1">IF(INDEX(ExistsTx,$I350,2),IF(INDIRECT("'T"&amp;$I350&amp;"'!$D$"&amp;($J350+5),TRUE)=0,T_NoName,INDIRECT("'T"&amp;$I350&amp;"'!$D$"&amp;($J350+5),TRUE)),"")</f>
        <v/>
      </c>
      <c r="H350" s="230">
        <f t="array" aca="1" ref="H350" ca="1">IF(INDEX(ExistsTx,$I350,2),INDIRECT("'T"&amp;$I350&amp;"'!$E$"&amp;($J350+5),TRUE),0)</f>
        <v>0</v>
      </c>
      <c r="I350" s="229">
        <v>22</v>
      </c>
      <c r="J350" s="229">
        <v>12</v>
      </c>
      <c r="K350" s="230" t="str">
        <f t="array" aca="1" ref="K350" ca="1">INDEX(ListTeams,$I350,1)</f>
        <v/>
      </c>
      <c r="L350" s="230">
        <f t="array" aca="1" ref="L350" ca="1">IF(OR(NOT(INDEX(ExistsTx,$I350,2)),$H350=0),0,INDIRECT("'T"&amp;$I350&amp;"'!$M$"&amp;($J350+5),TRUE)+((1000-ROW())/10000000000000))</f>
        <v>0</v>
      </c>
      <c r="M350" s="230">
        <f t="array" aca="1" ref="M350" ca="1">IF(OR(NOT(INDEX(ExistsTx,$I350,2)),$H350=0),0,INDIRECT("'T"&amp;$I350&amp;"'!$N$"&amp;($J350+5),TRUE)+((1000-ROW())/10000000000000))</f>
        <v>0</v>
      </c>
      <c r="N350" s="230">
        <f t="array" aca="1" ref="N350" ca="1">IF(OR(NOT(INDEX(ExistsTx,$I350,2)),$H350=0),0,INDIRECT("'T"&amp;$I350&amp;"'!$O$"&amp;($J350+5),TRUE)+((1000-ROW())/10000000000000))</f>
        <v>0</v>
      </c>
      <c r="O350" s="230">
        <f t="array" aca="1" ref="O350" ca="1">IF(OR(NOT(INDEX(ExistsTx,$I350,2)),$H350=0),0,INDIRECT("'T"&amp;$I350&amp;"'!$P$"&amp;($J350+5),TRUE)+((1000-ROW())/10000000000000))</f>
        <v>0</v>
      </c>
      <c r="P350" s="230">
        <f t="array" aca="1" ref="P350" ca="1">IF(OR(NOT(INDEX(ExistsTx,$I350,2)),$H350=0),0,INDIRECT("'T"&amp;$I350&amp;"'!$Q$"&amp;($J350+5),TRUE)+((1000-ROW())/10000000000000))</f>
        <v>0</v>
      </c>
      <c r="Q350" s="230">
        <f t="shared" ca="1" si="65"/>
        <v>8.3571428655000003E-7</v>
      </c>
      <c r="R350" s="230"/>
      <c r="S350" s="230"/>
      <c r="T350" s="230"/>
      <c r="U350" s="230"/>
      <c r="V350" s="230"/>
      <c r="W350" s="230"/>
      <c r="X350" s="229"/>
      <c r="Y350" s="229"/>
      <c r="Z350" s="229"/>
      <c r="AA350" s="230"/>
      <c r="AB350" s="230"/>
      <c r="AC350" s="230"/>
      <c r="AD350" s="229"/>
      <c r="AE350" s="230"/>
    </row>
    <row r="351" spans="1:31" ht="12.75" customHeight="1">
      <c r="A351" s="229" t="str">
        <f t="shared" ca="1" si="59"/>
        <v/>
      </c>
      <c r="B351" s="229" t="str">
        <f t="shared" ca="1" si="60"/>
        <v/>
      </c>
      <c r="C351" s="229" t="str">
        <f t="shared" ca="1" si="61"/>
        <v/>
      </c>
      <c r="D351" s="229" t="str">
        <f t="shared" ca="1" si="62"/>
        <v/>
      </c>
      <c r="E351" s="229" t="str">
        <f t="shared" ca="1" si="63"/>
        <v/>
      </c>
      <c r="F351" s="229" t="str">
        <f t="shared" ca="1" si="64"/>
        <v/>
      </c>
      <c r="G351" s="230" t="str">
        <f t="array" aca="1" ref="G351" ca="1">IF(INDEX(ExistsTx,$I351,2),IF(INDIRECT("'T"&amp;$I351&amp;"'!$D$"&amp;($J351+5),TRUE)=0,T_NoName,INDIRECT("'T"&amp;$I351&amp;"'!$D$"&amp;($J351+5),TRUE)),"")</f>
        <v/>
      </c>
      <c r="H351" s="230">
        <f t="array" aca="1" ref="H351" ca="1">IF(INDEX(ExistsTx,$I351,2),INDIRECT("'T"&amp;$I351&amp;"'!$E$"&amp;($J351+5),TRUE),0)</f>
        <v>0</v>
      </c>
      <c r="I351" s="229">
        <v>22</v>
      </c>
      <c r="J351" s="229">
        <v>13</v>
      </c>
      <c r="K351" s="230" t="str">
        <f t="array" aca="1" ref="K351" ca="1">INDEX(ListTeams,$I351,1)</f>
        <v/>
      </c>
      <c r="L351" s="230">
        <f t="array" aca="1" ref="L351" ca="1">IF(OR(NOT(INDEX(ExistsTx,$I351,2)),$H351=0),0,INDIRECT("'T"&amp;$I351&amp;"'!$M$"&amp;($J351+5),TRUE)+((1000-ROW())/10000000000000))</f>
        <v>0</v>
      </c>
      <c r="M351" s="230">
        <f t="array" aca="1" ref="M351" ca="1">IF(OR(NOT(INDEX(ExistsTx,$I351,2)),$H351=0),0,INDIRECT("'T"&amp;$I351&amp;"'!$N$"&amp;($J351+5),TRUE)+((1000-ROW())/10000000000000))</f>
        <v>0</v>
      </c>
      <c r="N351" s="230">
        <f t="array" aca="1" ref="N351" ca="1">IF(OR(NOT(INDEX(ExistsTx,$I351,2)),$H351=0),0,INDIRECT("'T"&amp;$I351&amp;"'!$O$"&amp;($J351+5),TRUE)+((1000-ROW())/10000000000000))</f>
        <v>0</v>
      </c>
      <c r="O351" s="230">
        <f t="array" aca="1" ref="O351" ca="1">IF(OR(NOT(INDEX(ExistsTx,$I351,2)),$H351=0),0,INDIRECT("'T"&amp;$I351&amp;"'!$P$"&amp;($J351+5),TRUE)+((1000-ROW())/10000000000000))</f>
        <v>0</v>
      </c>
      <c r="P351" s="230">
        <f t="array" aca="1" ref="P351" ca="1">IF(OR(NOT(INDEX(ExistsTx,$I351,2)),$H351=0),0,INDIRECT("'T"&amp;$I351&amp;"'!$Q$"&amp;($J351+5),TRUE)+((1000-ROW())/10000000000000))</f>
        <v>0</v>
      </c>
      <c r="Q351" s="230">
        <f t="shared" ca="1" si="65"/>
        <v>8.3442857226300002E-7</v>
      </c>
      <c r="R351" s="230"/>
      <c r="S351" s="230"/>
      <c r="T351" s="230"/>
      <c r="U351" s="230"/>
      <c r="V351" s="230"/>
      <c r="W351" s="230"/>
      <c r="X351" s="229"/>
      <c r="Y351" s="229"/>
      <c r="Z351" s="229"/>
      <c r="AA351" s="230"/>
      <c r="AB351" s="230"/>
      <c r="AC351" s="230"/>
      <c r="AD351" s="229"/>
      <c r="AE351" s="230"/>
    </row>
    <row r="352" spans="1:31" ht="12.75" customHeight="1">
      <c r="A352" s="229" t="str">
        <f t="shared" ca="1" si="59"/>
        <v/>
      </c>
      <c r="B352" s="229" t="str">
        <f t="shared" ca="1" si="60"/>
        <v/>
      </c>
      <c r="C352" s="229" t="str">
        <f t="shared" ca="1" si="61"/>
        <v/>
      </c>
      <c r="D352" s="229" t="str">
        <f t="shared" ca="1" si="62"/>
        <v/>
      </c>
      <c r="E352" s="229" t="str">
        <f t="shared" ca="1" si="63"/>
        <v/>
      </c>
      <c r="F352" s="229" t="str">
        <f t="shared" ca="1" si="64"/>
        <v/>
      </c>
      <c r="G352" s="230" t="str">
        <f t="array" aca="1" ref="G352" ca="1">IF(INDEX(ExistsTx,$I352,2),IF(INDIRECT("'T"&amp;$I352&amp;"'!$D$"&amp;($J352+5),TRUE)=0,T_NoName,INDIRECT("'T"&amp;$I352&amp;"'!$D$"&amp;($J352+5),TRUE)),"")</f>
        <v/>
      </c>
      <c r="H352" s="230">
        <f t="array" aca="1" ref="H352" ca="1">IF(INDEX(ExistsTx,$I352,2),INDIRECT("'T"&amp;$I352&amp;"'!$E$"&amp;($J352+5),TRUE),0)</f>
        <v>0</v>
      </c>
      <c r="I352" s="229">
        <v>22</v>
      </c>
      <c r="J352" s="229">
        <v>14</v>
      </c>
      <c r="K352" s="230" t="str">
        <f t="array" aca="1" ref="K352" ca="1">INDEX(ListTeams,$I352,1)</f>
        <v/>
      </c>
      <c r="L352" s="230">
        <f t="array" aca="1" ref="L352" ca="1">IF(OR(NOT(INDEX(ExistsTx,$I352,2)),$H352=0),0,INDIRECT("'T"&amp;$I352&amp;"'!$M$"&amp;($J352+5),TRUE)+((1000-ROW())/10000000000000))</f>
        <v>0</v>
      </c>
      <c r="M352" s="230">
        <f t="array" aca="1" ref="M352" ca="1">IF(OR(NOT(INDEX(ExistsTx,$I352,2)),$H352=0),0,INDIRECT("'T"&amp;$I352&amp;"'!$N$"&amp;($J352+5),TRUE)+((1000-ROW())/10000000000000))</f>
        <v>0</v>
      </c>
      <c r="N352" s="230">
        <f t="array" aca="1" ref="N352" ca="1">IF(OR(NOT(INDEX(ExistsTx,$I352,2)),$H352=0),0,INDIRECT("'T"&amp;$I352&amp;"'!$O$"&amp;($J352+5),TRUE)+((1000-ROW())/10000000000000))</f>
        <v>0</v>
      </c>
      <c r="O352" s="230">
        <f t="array" aca="1" ref="O352" ca="1">IF(OR(NOT(INDEX(ExistsTx,$I352,2)),$H352=0),0,INDIRECT("'T"&amp;$I352&amp;"'!$P$"&amp;($J352+5),TRUE)+((1000-ROW())/10000000000000))</f>
        <v>0</v>
      </c>
      <c r="P352" s="230">
        <f t="array" aca="1" ref="P352" ca="1">IF(OR(NOT(INDEX(ExistsTx,$I352,2)),$H352=0),0,INDIRECT("'T"&amp;$I352&amp;"'!$Q$"&amp;($J352+5),TRUE)+((1000-ROW())/10000000000000))</f>
        <v>0</v>
      </c>
      <c r="Q352" s="230">
        <f t="shared" ca="1" si="65"/>
        <v>8.3314285797600001E-7</v>
      </c>
      <c r="R352" s="230"/>
      <c r="S352" s="230"/>
      <c r="T352" s="230"/>
      <c r="U352" s="230"/>
      <c r="V352" s="230"/>
      <c r="W352" s="230"/>
      <c r="X352" s="229"/>
      <c r="Y352" s="229"/>
      <c r="Z352" s="229"/>
      <c r="AA352" s="230"/>
      <c r="AB352" s="230"/>
      <c r="AC352" s="230"/>
      <c r="AD352" s="229"/>
      <c r="AE352" s="230"/>
    </row>
    <row r="353" spans="1:31" ht="12.75" customHeight="1">
      <c r="A353" s="229" t="str">
        <f t="shared" ca="1" si="59"/>
        <v/>
      </c>
      <c r="B353" s="229" t="str">
        <f t="shared" ca="1" si="60"/>
        <v/>
      </c>
      <c r="C353" s="229" t="str">
        <f t="shared" ca="1" si="61"/>
        <v/>
      </c>
      <c r="D353" s="229" t="str">
        <f t="shared" ca="1" si="62"/>
        <v/>
      </c>
      <c r="E353" s="229" t="str">
        <f t="shared" ca="1" si="63"/>
        <v/>
      </c>
      <c r="F353" s="229" t="str">
        <f t="shared" ca="1" si="64"/>
        <v/>
      </c>
      <c r="G353" s="230" t="str">
        <f t="array" aca="1" ref="G353" ca="1">IF(INDEX(ExistsTx,$I353,2),IF(INDIRECT("'T"&amp;$I353&amp;"'!$D$"&amp;($J353+5),TRUE)=0,T_NoName,INDIRECT("'T"&amp;$I353&amp;"'!$D$"&amp;($J353+5),TRUE)),"")</f>
        <v/>
      </c>
      <c r="H353" s="230">
        <f t="array" aca="1" ref="H353" ca="1">IF(INDEX(ExistsTx,$I353,2),INDIRECT("'T"&amp;$I353&amp;"'!$E$"&amp;($J353+5),TRUE),0)</f>
        <v>0</v>
      </c>
      <c r="I353" s="229">
        <v>22</v>
      </c>
      <c r="J353" s="229">
        <v>15</v>
      </c>
      <c r="K353" s="230" t="str">
        <f t="array" aca="1" ref="K353" ca="1">INDEX(ListTeams,$I353,1)</f>
        <v/>
      </c>
      <c r="L353" s="230">
        <f t="array" aca="1" ref="L353" ca="1">IF(OR(NOT(INDEX(ExistsTx,$I353,2)),$H353=0),0,INDIRECT("'T"&amp;$I353&amp;"'!$M$"&amp;($J353+5),TRUE)+((1000-ROW())/10000000000000))</f>
        <v>0</v>
      </c>
      <c r="M353" s="230">
        <f t="array" aca="1" ref="M353" ca="1">IF(OR(NOT(INDEX(ExistsTx,$I353,2)),$H353=0),0,INDIRECT("'T"&amp;$I353&amp;"'!$N$"&amp;($J353+5),TRUE)+((1000-ROW())/10000000000000))</f>
        <v>0</v>
      </c>
      <c r="N353" s="230">
        <f t="array" aca="1" ref="N353" ca="1">IF(OR(NOT(INDEX(ExistsTx,$I353,2)),$H353=0),0,INDIRECT("'T"&amp;$I353&amp;"'!$O$"&amp;($J353+5),TRUE)+((1000-ROW())/10000000000000))</f>
        <v>0</v>
      </c>
      <c r="O353" s="230">
        <f t="array" aca="1" ref="O353" ca="1">IF(OR(NOT(INDEX(ExistsTx,$I353,2)),$H353=0),0,INDIRECT("'T"&amp;$I353&amp;"'!$P$"&amp;($J353+5),TRUE)+((1000-ROW())/10000000000000))</f>
        <v>0</v>
      </c>
      <c r="P353" s="230">
        <f t="array" aca="1" ref="P353" ca="1">IF(OR(NOT(INDEX(ExistsTx,$I353,2)),$H353=0),0,INDIRECT("'T"&amp;$I353&amp;"'!$Q$"&amp;($J353+5),TRUE)+((1000-ROW())/10000000000000))</f>
        <v>0</v>
      </c>
      <c r="Q353" s="230">
        <f t="shared" ca="1" si="65"/>
        <v>8.31857143689E-7</v>
      </c>
      <c r="R353" s="230"/>
      <c r="S353" s="230"/>
      <c r="T353" s="230"/>
      <c r="U353" s="230"/>
      <c r="V353" s="230"/>
      <c r="W353" s="230"/>
      <c r="X353" s="229"/>
      <c r="Y353" s="229"/>
      <c r="Z353" s="229"/>
      <c r="AA353" s="230"/>
      <c r="AB353" s="230"/>
      <c r="AC353" s="230"/>
      <c r="AD353" s="229"/>
      <c r="AE353" s="230"/>
    </row>
    <row r="354" spans="1:31" ht="12.75" customHeight="1">
      <c r="A354" s="229" t="str">
        <f t="shared" ca="1" si="59"/>
        <v/>
      </c>
      <c r="B354" s="229" t="str">
        <f t="shared" ca="1" si="60"/>
        <v/>
      </c>
      <c r="C354" s="229" t="str">
        <f t="shared" ca="1" si="61"/>
        <v/>
      </c>
      <c r="D354" s="229" t="str">
        <f t="shared" ca="1" si="62"/>
        <v/>
      </c>
      <c r="E354" s="229" t="str">
        <f t="shared" ca="1" si="63"/>
        <v/>
      </c>
      <c r="F354" s="229" t="str">
        <f t="shared" ca="1" si="64"/>
        <v/>
      </c>
      <c r="G354" s="230" t="str">
        <f t="array" aca="1" ref="G354" ca="1">IF(INDEX(ExistsTx,$I354,2),IF(INDIRECT("'T"&amp;$I354&amp;"'!$D$"&amp;($J354+5),TRUE)=0,T_NoName,INDIRECT("'T"&amp;$I354&amp;"'!$D$"&amp;($J354+5),TRUE)),"")</f>
        <v/>
      </c>
      <c r="H354" s="230">
        <f t="array" aca="1" ref="H354" ca="1">IF(INDEX(ExistsTx,$I354,2),INDIRECT("'T"&amp;$I354&amp;"'!$E$"&amp;($J354+5),TRUE),0)</f>
        <v>0</v>
      </c>
      <c r="I354" s="229">
        <v>22</v>
      </c>
      <c r="J354" s="229">
        <v>16</v>
      </c>
      <c r="K354" s="230" t="str">
        <f t="array" aca="1" ref="K354" ca="1">INDEX(ListTeams,$I354,1)</f>
        <v/>
      </c>
      <c r="L354" s="230">
        <f t="array" aca="1" ref="L354" ca="1">IF(OR(NOT(INDEX(ExistsTx,$I354,2)),$H354=0),0,INDIRECT("'T"&amp;$I354&amp;"'!$M$"&amp;($J354+5),TRUE)+((1000-ROW())/10000000000000))</f>
        <v>0</v>
      </c>
      <c r="M354" s="230">
        <f t="array" aca="1" ref="M354" ca="1">IF(OR(NOT(INDEX(ExistsTx,$I354,2)),$H354=0),0,INDIRECT("'T"&amp;$I354&amp;"'!$N$"&amp;($J354+5),TRUE)+((1000-ROW())/10000000000000))</f>
        <v>0</v>
      </c>
      <c r="N354" s="230">
        <f t="array" aca="1" ref="N354" ca="1">IF(OR(NOT(INDEX(ExistsTx,$I354,2)),$H354=0),0,INDIRECT("'T"&amp;$I354&amp;"'!$O$"&amp;($J354+5),TRUE)+((1000-ROW())/10000000000000))</f>
        <v>0</v>
      </c>
      <c r="O354" s="230">
        <f t="array" aca="1" ref="O354" ca="1">IF(OR(NOT(INDEX(ExistsTx,$I354,2)),$H354=0),0,INDIRECT("'T"&amp;$I354&amp;"'!$P$"&amp;($J354+5),TRUE)+((1000-ROW())/10000000000000))</f>
        <v>0</v>
      </c>
      <c r="P354" s="230">
        <f t="array" aca="1" ref="P354" ca="1">IF(OR(NOT(INDEX(ExistsTx,$I354,2)),$H354=0),0,INDIRECT("'T"&amp;$I354&amp;"'!$Q$"&amp;($J354+5),TRUE)+((1000-ROW())/10000000000000))</f>
        <v>0</v>
      </c>
      <c r="Q354" s="230">
        <f t="shared" ca="1" si="65"/>
        <v>8.3057142940199998E-7</v>
      </c>
      <c r="R354" s="230"/>
      <c r="S354" s="230"/>
      <c r="T354" s="230"/>
      <c r="U354" s="230"/>
      <c r="V354" s="230"/>
      <c r="W354" s="230"/>
      <c r="X354" s="229"/>
      <c r="Y354" s="229"/>
      <c r="Z354" s="229"/>
      <c r="AA354" s="230"/>
      <c r="AB354" s="230"/>
      <c r="AC354" s="230"/>
      <c r="AD354" s="229"/>
      <c r="AE354" s="230"/>
    </row>
    <row r="355" spans="1:31" ht="12.75" customHeight="1">
      <c r="A355" s="229" t="str">
        <f t="shared" ca="1" si="59"/>
        <v/>
      </c>
      <c r="B355" s="229" t="str">
        <f t="shared" ca="1" si="60"/>
        <v/>
      </c>
      <c r="C355" s="229" t="str">
        <f t="shared" ca="1" si="61"/>
        <v/>
      </c>
      <c r="D355" s="229" t="str">
        <f t="shared" ca="1" si="62"/>
        <v/>
      </c>
      <c r="E355" s="229" t="str">
        <f t="shared" ca="1" si="63"/>
        <v/>
      </c>
      <c r="F355" s="229" t="str">
        <f t="shared" ca="1" si="64"/>
        <v/>
      </c>
      <c r="G355" s="230" t="str">
        <f t="array" aca="1" ref="G355" ca="1">IF(INDEX(ExistsTx,$I355,2),IF(INDIRECT("'T"&amp;$I355&amp;"'!$D$"&amp;($J355+5),TRUE)=0,T_NoName,INDIRECT("'T"&amp;$I355&amp;"'!$D$"&amp;($J355+5),TRUE)),"")</f>
        <v/>
      </c>
      <c r="H355" s="230">
        <f t="array" aca="1" ref="H355" ca="1">IF(INDEX(ExistsTx,$I355,2),INDIRECT("'T"&amp;$I355&amp;"'!$E$"&amp;($J355+5),TRUE),0)</f>
        <v>0</v>
      </c>
      <c r="I355" s="229">
        <v>23</v>
      </c>
      <c r="J355" s="229">
        <v>1</v>
      </c>
      <c r="K355" s="230" t="str">
        <f t="array" aca="1" ref="K355" ca="1">INDEX(ListTeams,$I355,1)</f>
        <v/>
      </c>
      <c r="L355" s="230">
        <f t="array" aca="1" ref="L355" ca="1">IF(OR(NOT(INDEX(ExistsTx,$I355,2)),$H355=0),0,INDIRECT("'T"&amp;$I355&amp;"'!$M$"&amp;($J355+5),TRUE)+((1000-ROW())/10000000000000))</f>
        <v>0</v>
      </c>
      <c r="M355" s="230">
        <f t="array" aca="1" ref="M355" ca="1">IF(OR(NOT(INDEX(ExistsTx,$I355,2)),$H355=0),0,INDIRECT("'T"&amp;$I355&amp;"'!$N$"&amp;($J355+5),TRUE)+((1000-ROW())/10000000000000))</f>
        <v>0</v>
      </c>
      <c r="N355" s="230">
        <f t="array" aca="1" ref="N355" ca="1">IF(OR(NOT(INDEX(ExistsTx,$I355,2)),$H355=0),0,INDIRECT("'T"&amp;$I355&amp;"'!$O$"&amp;($J355+5),TRUE)+((1000-ROW())/10000000000000))</f>
        <v>0</v>
      </c>
      <c r="O355" s="230">
        <f t="array" aca="1" ref="O355" ca="1">IF(OR(NOT(INDEX(ExistsTx,$I355,2)),$H355=0),0,INDIRECT("'T"&amp;$I355&amp;"'!$P$"&amp;($J355+5),TRUE)+((1000-ROW())/10000000000000))</f>
        <v>0</v>
      </c>
      <c r="P355" s="230">
        <f t="array" aca="1" ref="P355" ca="1">IF(OR(NOT(INDEX(ExistsTx,$I355,2)),$H355=0),0,INDIRECT("'T"&amp;$I355&amp;"'!$Q$"&amp;($J355+5),TRUE)+((1000-ROW())/10000000000000))</f>
        <v>0</v>
      </c>
      <c r="Q355" s="230">
        <f t="shared" ca="1" si="65"/>
        <v>8.2928571511499997E-7</v>
      </c>
      <c r="R355" s="230"/>
      <c r="S355" s="230"/>
      <c r="T355" s="230"/>
      <c r="U355" s="230"/>
      <c r="V355" s="230"/>
      <c r="W355" s="230"/>
      <c r="X355" s="229"/>
      <c r="Y355" s="229"/>
      <c r="Z355" s="229"/>
      <c r="AA355" s="230"/>
      <c r="AB355" s="230"/>
      <c r="AC355" s="230"/>
      <c r="AD355" s="229"/>
      <c r="AE355" s="230"/>
    </row>
    <row r="356" spans="1:31" ht="12.75" customHeight="1">
      <c r="A356" s="229" t="str">
        <f t="shared" ca="1" si="59"/>
        <v/>
      </c>
      <c r="B356" s="229" t="str">
        <f t="shared" ca="1" si="60"/>
        <v/>
      </c>
      <c r="C356" s="229" t="str">
        <f t="shared" ca="1" si="61"/>
        <v/>
      </c>
      <c r="D356" s="229" t="str">
        <f t="shared" ca="1" si="62"/>
        <v/>
      </c>
      <c r="E356" s="229" t="str">
        <f t="shared" ca="1" si="63"/>
        <v/>
      </c>
      <c r="F356" s="229" t="str">
        <f t="shared" ca="1" si="64"/>
        <v/>
      </c>
      <c r="G356" s="230" t="str">
        <f t="array" aca="1" ref="G356" ca="1">IF(INDEX(ExistsTx,$I356,2),IF(INDIRECT("'T"&amp;$I356&amp;"'!$D$"&amp;($J356+5),TRUE)=0,T_NoName,INDIRECT("'T"&amp;$I356&amp;"'!$D$"&amp;($J356+5),TRUE)),"")</f>
        <v/>
      </c>
      <c r="H356" s="230">
        <f t="array" aca="1" ref="H356" ca="1">IF(INDEX(ExistsTx,$I356,2),INDIRECT("'T"&amp;$I356&amp;"'!$E$"&amp;($J356+5),TRUE),0)</f>
        <v>0</v>
      </c>
      <c r="I356" s="229">
        <v>23</v>
      </c>
      <c r="J356" s="229">
        <v>2</v>
      </c>
      <c r="K356" s="230" t="str">
        <f t="array" aca="1" ref="K356" ca="1">INDEX(ListTeams,$I356,1)</f>
        <v/>
      </c>
      <c r="L356" s="230">
        <f t="array" aca="1" ref="L356" ca="1">IF(OR(NOT(INDEX(ExistsTx,$I356,2)),$H356=0),0,INDIRECT("'T"&amp;$I356&amp;"'!$M$"&amp;($J356+5),TRUE)+((1000-ROW())/10000000000000))</f>
        <v>0</v>
      </c>
      <c r="M356" s="230">
        <f t="array" aca="1" ref="M356" ca="1">IF(OR(NOT(INDEX(ExistsTx,$I356,2)),$H356=0),0,INDIRECT("'T"&amp;$I356&amp;"'!$N$"&amp;($J356+5),TRUE)+((1000-ROW())/10000000000000))</f>
        <v>0</v>
      </c>
      <c r="N356" s="230">
        <f t="array" aca="1" ref="N356" ca="1">IF(OR(NOT(INDEX(ExistsTx,$I356,2)),$H356=0),0,INDIRECT("'T"&amp;$I356&amp;"'!$O$"&amp;($J356+5),TRUE)+((1000-ROW())/10000000000000))</f>
        <v>0</v>
      </c>
      <c r="O356" s="230">
        <f t="array" aca="1" ref="O356" ca="1">IF(OR(NOT(INDEX(ExistsTx,$I356,2)),$H356=0),0,INDIRECT("'T"&amp;$I356&amp;"'!$P$"&amp;($J356+5),TRUE)+((1000-ROW())/10000000000000))</f>
        <v>0</v>
      </c>
      <c r="P356" s="230">
        <f t="array" aca="1" ref="P356" ca="1">IF(OR(NOT(INDEX(ExistsTx,$I356,2)),$H356=0),0,INDIRECT("'T"&amp;$I356&amp;"'!$Q$"&amp;($J356+5),TRUE)+((1000-ROW())/10000000000000))</f>
        <v>0</v>
      </c>
      <c r="Q356" s="230">
        <f t="shared" ca="1" si="65"/>
        <v>8.2800000082799996E-7</v>
      </c>
      <c r="R356" s="230"/>
      <c r="S356" s="230"/>
      <c r="T356" s="230"/>
      <c r="U356" s="230"/>
      <c r="V356" s="230"/>
      <c r="W356" s="230"/>
      <c r="X356" s="229"/>
      <c r="Y356" s="229"/>
      <c r="Z356" s="229"/>
      <c r="AA356" s="230"/>
      <c r="AB356" s="230"/>
      <c r="AC356" s="230"/>
      <c r="AD356" s="229"/>
      <c r="AE356" s="230"/>
    </row>
    <row r="357" spans="1:31" ht="12.75" customHeight="1">
      <c r="A357" s="229" t="str">
        <f t="shared" ca="1" si="59"/>
        <v/>
      </c>
      <c r="B357" s="229" t="str">
        <f t="shared" ca="1" si="60"/>
        <v/>
      </c>
      <c r="C357" s="229" t="str">
        <f t="shared" ca="1" si="61"/>
        <v/>
      </c>
      <c r="D357" s="229" t="str">
        <f t="shared" ca="1" si="62"/>
        <v/>
      </c>
      <c r="E357" s="229" t="str">
        <f t="shared" ca="1" si="63"/>
        <v/>
      </c>
      <c r="F357" s="229" t="str">
        <f t="shared" ca="1" si="64"/>
        <v/>
      </c>
      <c r="G357" s="230" t="str">
        <f t="array" aca="1" ref="G357" ca="1">IF(INDEX(ExistsTx,$I357,2),IF(INDIRECT("'T"&amp;$I357&amp;"'!$D$"&amp;($J357+5),TRUE)=0,T_NoName,INDIRECT("'T"&amp;$I357&amp;"'!$D$"&amp;($J357+5),TRUE)),"")</f>
        <v/>
      </c>
      <c r="H357" s="230">
        <f t="array" aca="1" ref="H357" ca="1">IF(INDEX(ExistsTx,$I357,2),INDIRECT("'T"&amp;$I357&amp;"'!$E$"&amp;($J357+5),TRUE),0)</f>
        <v>0</v>
      </c>
      <c r="I357" s="229">
        <v>23</v>
      </c>
      <c r="J357" s="229">
        <v>3</v>
      </c>
      <c r="K357" s="230" t="str">
        <f t="array" aca="1" ref="K357" ca="1">INDEX(ListTeams,$I357,1)</f>
        <v/>
      </c>
      <c r="L357" s="230">
        <f t="array" aca="1" ref="L357" ca="1">IF(OR(NOT(INDEX(ExistsTx,$I357,2)),$H357=0),0,INDIRECT("'T"&amp;$I357&amp;"'!$M$"&amp;($J357+5),TRUE)+((1000-ROW())/10000000000000))</f>
        <v>0</v>
      </c>
      <c r="M357" s="230">
        <f t="array" aca="1" ref="M357" ca="1">IF(OR(NOT(INDEX(ExistsTx,$I357,2)),$H357=0),0,INDIRECT("'T"&amp;$I357&amp;"'!$N$"&amp;($J357+5),TRUE)+((1000-ROW())/10000000000000))</f>
        <v>0</v>
      </c>
      <c r="N357" s="230">
        <f t="array" aca="1" ref="N357" ca="1">IF(OR(NOT(INDEX(ExistsTx,$I357,2)),$H357=0),0,INDIRECT("'T"&amp;$I357&amp;"'!$O$"&amp;($J357+5),TRUE)+((1000-ROW())/10000000000000))</f>
        <v>0</v>
      </c>
      <c r="O357" s="230">
        <f t="array" aca="1" ref="O357" ca="1">IF(OR(NOT(INDEX(ExistsTx,$I357,2)),$H357=0),0,INDIRECT("'T"&amp;$I357&amp;"'!$P$"&amp;($J357+5),TRUE)+((1000-ROW())/10000000000000))</f>
        <v>0</v>
      </c>
      <c r="P357" s="230">
        <f t="array" aca="1" ref="P357" ca="1">IF(OR(NOT(INDEX(ExistsTx,$I357,2)),$H357=0),0,INDIRECT("'T"&amp;$I357&amp;"'!$Q$"&amp;($J357+5),TRUE)+((1000-ROW())/10000000000000))</f>
        <v>0</v>
      </c>
      <c r="Q357" s="230">
        <f t="shared" ca="1" si="65"/>
        <v>8.2671428654099995E-7</v>
      </c>
      <c r="R357" s="230"/>
      <c r="S357" s="230"/>
      <c r="T357" s="230"/>
      <c r="U357" s="230"/>
      <c r="V357" s="230"/>
      <c r="W357" s="230"/>
      <c r="X357" s="229"/>
      <c r="Y357" s="229"/>
      <c r="Z357" s="229"/>
      <c r="AA357" s="230"/>
      <c r="AB357" s="230"/>
      <c r="AC357" s="230"/>
      <c r="AD357" s="229"/>
      <c r="AE357" s="230"/>
    </row>
    <row r="358" spans="1:31" ht="12.75" customHeight="1">
      <c r="A358" s="229" t="str">
        <f t="shared" ca="1" si="59"/>
        <v/>
      </c>
      <c r="B358" s="229" t="str">
        <f t="shared" ca="1" si="60"/>
        <v/>
      </c>
      <c r="C358" s="229" t="str">
        <f t="shared" ca="1" si="61"/>
        <v/>
      </c>
      <c r="D358" s="229" t="str">
        <f t="shared" ca="1" si="62"/>
        <v/>
      </c>
      <c r="E358" s="229" t="str">
        <f t="shared" ca="1" si="63"/>
        <v/>
      </c>
      <c r="F358" s="229" t="str">
        <f t="shared" ca="1" si="64"/>
        <v/>
      </c>
      <c r="G358" s="230" t="str">
        <f t="array" aca="1" ref="G358" ca="1">IF(INDEX(ExistsTx,$I358,2),IF(INDIRECT("'T"&amp;$I358&amp;"'!$D$"&amp;($J358+5),TRUE)=0,T_NoName,INDIRECT("'T"&amp;$I358&amp;"'!$D$"&amp;($J358+5),TRUE)),"")</f>
        <v/>
      </c>
      <c r="H358" s="230">
        <f t="array" aca="1" ref="H358" ca="1">IF(INDEX(ExistsTx,$I358,2),INDIRECT("'T"&amp;$I358&amp;"'!$E$"&amp;($J358+5),TRUE),0)</f>
        <v>0</v>
      </c>
      <c r="I358" s="229">
        <v>23</v>
      </c>
      <c r="J358" s="229">
        <v>4</v>
      </c>
      <c r="K358" s="230" t="str">
        <f t="array" aca="1" ref="K358" ca="1">INDEX(ListTeams,$I358,1)</f>
        <v/>
      </c>
      <c r="L358" s="230">
        <f t="array" aca="1" ref="L358" ca="1">IF(OR(NOT(INDEX(ExistsTx,$I358,2)),$H358=0),0,INDIRECT("'T"&amp;$I358&amp;"'!$M$"&amp;($J358+5),TRUE)+((1000-ROW())/10000000000000))</f>
        <v>0</v>
      </c>
      <c r="M358" s="230">
        <f t="array" aca="1" ref="M358" ca="1">IF(OR(NOT(INDEX(ExistsTx,$I358,2)),$H358=0),0,INDIRECT("'T"&amp;$I358&amp;"'!$N$"&amp;($J358+5),TRUE)+((1000-ROW())/10000000000000))</f>
        <v>0</v>
      </c>
      <c r="N358" s="230">
        <f t="array" aca="1" ref="N358" ca="1">IF(OR(NOT(INDEX(ExistsTx,$I358,2)),$H358=0),0,INDIRECT("'T"&amp;$I358&amp;"'!$O$"&amp;($J358+5),TRUE)+((1000-ROW())/10000000000000))</f>
        <v>0</v>
      </c>
      <c r="O358" s="230">
        <f t="array" aca="1" ref="O358" ca="1">IF(OR(NOT(INDEX(ExistsTx,$I358,2)),$H358=0),0,INDIRECT("'T"&amp;$I358&amp;"'!$P$"&amp;($J358+5),TRUE)+((1000-ROW())/10000000000000))</f>
        <v>0</v>
      </c>
      <c r="P358" s="230">
        <f t="array" aca="1" ref="P358" ca="1">IF(OR(NOT(INDEX(ExistsTx,$I358,2)),$H358=0),0,INDIRECT("'T"&amp;$I358&amp;"'!$Q$"&amp;($J358+5),TRUE)+((1000-ROW())/10000000000000))</f>
        <v>0</v>
      </c>
      <c r="Q358" s="230">
        <f t="shared" ca="1" si="65"/>
        <v>8.2542857225400004E-7</v>
      </c>
      <c r="R358" s="230"/>
      <c r="S358" s="230"/>
      <c r="T358" s="230"/>
      <c r="U358" s="230"/>
      <c r="V358" s="230"/>
      <c r="W358" s="230"/>
      <c r="X358" s="229"/>
      <c r="Y358" s="229"/>
      <c r="Z358" s="229"/>
      <c r="AA358" s="230"/>
      <c r="AB358" s="230"/>
      <c r="AC358" s="230"/>
      <c r="AD358" s="229"/>
      <c r="AE358" s="230"/>
    </row>
    <row r="359" spans="1:31" ht="12.75" customHeight="1">
      <c r="A359" s="229" t="str">
        <f t="shared" ca="1" si="59"/>
        <v/>
      </c>
      <c r="B359" s="229" t="str">
        <f t="shared" ca="1" si="60"/>
        <v/>
      </c>
      <c r="C359" s="229" t="str">
        <f t="shared" ca="1" si="61"/>
        <v/>
      </c>
      <c r="D359" s="229" t="str">
        <f t="shared" ca="1" si="62"/>
        <v/>
      </c>
      <c r="E359" s="229" t="str">
        <f t="shared" ca="1" si="63"/>
        <v/>
      </c>
      <c r="F359" s="229" t="str">
        <f t="shared" ca="1" si="64"/>
        <v/>
      </c>
      <c r="G359" s="230" t="str">
        <f t="array" aca="1" ref="G359" ca="1">IF(INDEX(ExistsTx,$I359,2),IF(INDIRECT("'T"&amp;$I359&amp;"'!$D$"&amp;($J359+5),TRUE)=0,T_NoName,INDIRECT("'T"&amp;$I359&amp;"'!$D$"&amp;($J359+5),TRUE)),"")</f>
        <v/>
      </c>
      <c r="H359" s="230">
        <f t="array" aca="1" ref="H359" ca="1">IF(INDEX(ExistsTx,$I359,2),INDIRECT("'T"&amp;$I359&amp;"'!$E$"&amp;($J359+5),TRUE),0)</f>
        <v>0</v>
      </c>
      <c r="I359" s="229">
        <v>23</v>
      </c>
      <c r="J359" s="229">
        <v>5</v>
      </c>
      <c r="K359" s="230" t="str">
        <f t="array" aca="1" ref="K359" ca="1">INDEX(ListTeams,$I359,1)</f>
        <v/>
      </c>
      <c r="L359" s="230">
        <f t="array" aca="1" ref="L359" ca="1">IF(OR(NOT(INDEX(ExistsTx,$I359,2)),$H359=0),0,INDIRECT("'T"&amp;$I359&amp;"'!$M$"&amp;($J359+5),TRUE)+((1000-ROW())/10000000000000))</f>
        <v>0</v>
      </c>
      <c r="M359" s="230">
        <f t="array" aca="1" ref="M359" ca="1">IF(OR(NOT(INDEX(ExistsTx,$I359,2)),$H359=0),0,INDIRECT("'T"&amp;$I359&amp;"'!$N$"&amp;($J359+5),TRUE)+((1000-ROW())/10000000000000))</f>
        <v>0</v>
      </c>
      <c r="N359" s="230">
        <f t="array" aca="1" ref="N359" ca="1">IF(OR(NOT(INDEX(ExistsTx,$I359,2)),$H359=0),0,INDIRECT("'T"&amp;$I359&amp;"'!$O$"&amp;($J359+5),TRUE)+((1000-ROW())/10000000000000))</f>
        <v>0</v>
      </c>
      <c r="O359" s="230">
        <f t="array" aca="1" ref="O359" ca="1">IF(OR(NOT(INDEX(ExistsTx,$I359,2)),$H359=0),0,INDIRECT("'T"&amp;$I359&amp;"'!$P$"&amp;($J359+5),TRUE)+((1000-ROW())/10000000000000))</f>
        <v>0</v>
      </c>
      <c r="P359" s="230">
        <f t="array" aca="1" ref="P359" ca="1">IF(OR(NOT(INDEX(ExistsTx,$I359,2)),$H359=0),0,INDIRECT("'T"&amp;$I359&amp;"'!$Q$"&amp;($J359+5),TRUE)+((1000-ROW())/10000000000000))</f>
        <v>0</v>
      </c>
      <c r="Q359" s="230">
        <f t="shared" ca="1" si="65"/>
        <v>8.2414285796700003E-7</v>
      </c>
      <c r="R359" s="230"/>
      <c r="S359" s="230"/>
      <c r="T359" s="230"/>
      <c r="U359" s="230"/>
      <c r="V359" s="230"/>
      <c r="W359" s="230"/>
      <c r="X359" s="229"/>
      <c r="Y359" s="229"/>
      <c r="Z359" s="229"/>
      <c r="AA359" s="230"/>
      <c r="AB359" s="230"/>
      <c r="AC359" s="230"/>
      <c r="AD359" s="229"/>
      <c r="AE359" s="230"/>
    </row>
    <row r="360" spans="1:31" ht="12.75" customHeight="1">
      <c r="A360" s="229" t="str">
        <f t="shared" ca="1" si="59"/>
        <v/>
      </c>
      <c r="B360" s="229" t="str">
        <f t="shared" ca="1" si="60"/>
        <v/>
      </c>
      <c r="C360" s="229" t="str">
        <f t="shared" ca="1" si="61"/>
        <v/>
      </c>
      <c r="D360" s="229" t="str">
        <f t="shared" ca="1" si="62"/>
        <v/>
      </c>
      <c r="E360" s="229" t="str">
        <f t="shared" ca="1" si="63"/>
        <v/>
      </c>
      <c r="F360" s="229" t="str">
        <f t="shared" ca="1" si="64"/>
        <v/>
      </c>
      <c r="G360" s="230" t="str">
        <f t="array" aca="1" ref="G360" ca="1">IF(INDEX(ExistsTx,$I360,2),IF(INDIRECT("'T"&amp;$I360&amp;"'!$D$"&amp;($J360+5),TRUE)=0,T_NoName,INDIRECT("'T"&amp;$I360&amp;"'!$D$"&amp;($J360+5),TRUE)),"")</f>
        <v/>
      </c>
      <c r="H360" s="230">
        <f t="array" aca="1" ref="H360" ca="1">IF(INDEX(ExistsTx,$I360,2),INDIRECT("'T"&amp;$I360&amp;"'!$E$"&amp;($J360+5),TRUE),0)</f>
        <v>0</v>
      </c>
      <c r="I360" s="229">
        <v>23</v>
      </c>
      <c r="J360" s="229">
        <v>6</v>
      </c>
      <c r="K360" s="230" t="str">
        <f t="array" aca="1" ref="K360" ca="1">INDEX(ListTeams,$I360,1)</f>
        <v/>
      </c>
      <c r="L360" s="230">
        <f t="array" aca="1" ref="L360" ca="1">IF(OR(NOT(INDEX(ExistsTx,$I360,2)),$H360=0),0,INDIRECT("'T"&amp;$I360&amp;"'!$M$"&amp;($J360+5),TRUE)+((1000-ROW())/10000000000000))</f>
        <v>0</v>
      </c>
      <c r="M360" s="230">
        <f t="array" aca="1" ref="M360" ca="1">IF(OR(NOT(INDEX(ExistsTx,$I360,2)),$H360=0),0,INDIRECT("'T"&amp;$I360&amp;"'!$N$"&amp;($J360+5),TRUE)+((1000-ROW())/10000000000000))</f>
        <v>0</v>
      </c>
      <c r="N360" s="230">
        <f t="array" aca="1" ref="N360" ca="1">IF(OR(NOT(INDEX(ExistsTx,$I360,2)),$H360=0),0,INDIRECT("'T"&amp;$I360&amp;"'!$O$"&amp;($J360+5),TRUE)+((1000-ROW())/10000000000000))</f>
        <v>0</v>
      </c>
      <c r="O360" s="230">
        <f t="array" aca="1" ref="O360" ca="1">IF(OR(NOT(INDEX(ExistsTx,$I360,2)),$H360=0),0,INDIRECT("'T"&amp;$I360&amp;"'!$P$"&amp;($J360+5),TRUE)+((1000-ROW())/10000000000000))</f>
        <v>0</v>
      </c>
      <c r="P360" s="230">
        <f t="array" aca="1" ref="P360" ca="1">IF(OR(NOT(INDEX(ExistsTx,$I360,2)),$H360=0),0,INDIRECT("'T"&amp;$I360&amp;"'!$Q$"&amp;($J360+5),TRUE)+((1000-ROW())/10000000000000))</f>
        <v>0</v>
      </c>
      <c r="Q360" s="230">
        <f t="shared" ca="1" si="65"/>
        <v>8.2285714368000002E-7</v>
      </c>
      <c r="R360" s="230"/>
      <c r="S360" s="230"/>
      <c r="T360" s="230"/>
      <c r="U360" s="230"/>
      <c r="V360" s="230"/>
      <c r="W360" s="230"/>
      <c r="X360" s="229"/>
      <c r="Y360" s="229"/>
      <c r="Z360" s="229"/>
      <c r="AA360" s="230"/>
      <c r="AB360" s="230"/>
      <c r="AC360" s="230"/>
      <c r="AD360" s="229"/>
      <c r="AE360" s="230"/>
    </row>
    <row r="361" spans="1:31" ht="12.75" customHeight="1">
      <c r="A361" s="229" t="str">
        <f t="shared" ca="1" si="59"/>
        <v/>
      </c>
      <c r="B361" s="229" t="str">
        <f t="shared" ca="1" si="60"/>
        <v/>
      </c>
      <c r="C361" s="229" t="str">
        <f t="shared" ca="1" si="61"/>
        <v/>
      </c>
      <c r="D361" s="229" t="str">
        <f t="shared" ca="1" si="62"/>
        <v/>
      </c>
      <c r="E361" s="229" t="str">
        <f t="shared" ca="1" si="63"/>
        <v/>
      </c>
      <c r="F361" s="229" t="str">
        <f t="shared" ca="1" si="64"/>
        <v/>
      </c>
      <c r="G361" s="230" t="str">
        <f t="array" aca="1" ref="G361" ca="1">IF(INDEX(ExistsTx,$I361,2),IF(INDIRECT("'T"&amp;$I361&amp;"'!$D$"&amp;($J361+5),TRUE)=0,T_NoName,INDIRECT("'T"&amp;$I361&amp;"'!$D$"&amp;($J361+5),TRUE)),"")</f>
        <v/>
      </c>
      <c r="H361" s="230">
        <f t="array" aca="1" ref="H361" ca="1">IF(INDEX(ExistsTx,$I361,2),INDIRECT("'T"&amp;$I361&amp;"'!$E$"&amp;($J361+5),TRUE),0)</f>
        <v>0</v>
      </c>
      <c r="I361" s="229">
        <v>23</v>
      </c>
      <c r="J361" s="229">
        <v>7</v>
      </c>
      <c r="K361" s="230" t="str">
        <f t="array" aca="1" ref="K361" ca="1">INDEX(ListTeams,$I361,1)</f>
        <v/>
      </c>
      <c r="L361" s="230">
        <f t="array" aca="1" ref="L361" ca="1">IF(OR(NOT(INDEX(ExistsTx,$I361,2)),$H361=0),0,INDIRECT("'T"&amp;$I361&amp;"'!$M$"&amp;($J361+5),TRUE)+((1000-ROW())/10000000000000))</f>
        <v>0</v>
      </c>
      <c r="M361" s="230">
        <f t="array" aca="1" ref="M361" ca="1">IF(OR(NOT(INDEX(ExistsTx,$I361,2)),$H361=0),0,INDIRECT("'T"&amp;$I361&amp;"'!$N$"&amp;($J361+5),TRUE)+((1000-ROW())/10000000000000))</f>
        <v>0</v>
      </c>
      <c r="N361" s="230">
        <f t="array" aca="1" ref="N361" ca="1">IF(OR(NOT(INDEX(ExistsTx,$I361,2)),$H361=0),0,INDIRECT("'T"&amp;$I361&amp;"'!$O$"&amp;($J361+5),TRUE)+((1000-ROW())/10000000000000))</f>
        <v>0</v>
      </c>
      <c r="O361" s="230">
        <f t="array" aca="1" ref="O361" ca="1">IF(OR(NOT(INDEX(ExistsTx,$I361,2)),$H361=0),0,INDIRECT("'T"&amp;$I361&amp;"'!$P$"&amp;($J361+5),TRUE)+((1000-ROW())/10000000000000))</f>
        <v>0</v>
      </c>
      <c r="P361" s="230">
        <f t="array" aca="1" ref="P361" ca="1">IF(OR(NOT(INDEX(ExistsTx,$I361,2)),$H361=0),0,INDIRECT("'T"&amp;$I361&amp;"'!$Q$"&amp;($J361+5),TRUE)+((1000-ROW())/10000000000000))</f>
        <v>0</v>
      </c>
      <c r="Q361" s="230">
        <f t="shared" ca="1" si="65"/>
        <v>8.2157142939300001E-7</v>
      </c>
      <c r="R361" s="230"/>
      <c r="S361" s="230"/>
      <c r="T361" s="230"/>
      <c r="U361" s="230"/>
      <c r="V361" s="230"/>
      <c r="W361" s="230"/>
      <c r="X361" s="229"/>
      <c r="Y361" s="229"/>
      <c r="Z361" s="229"/>
      <c r="AA361" s="230"/>
      <c r="AB361" s="230"/>
      <c r="AC361" s="230"/>
      <c r="AD361" s="229"/>
      <c r="AE361" s="230"/>
    </row>
    <row r="362" spans="1:31" ht="12.75" customHeight="1">
      <c r="A362" s="229" t="str">
        <f t="shared" ca="1" si="59"/>
        <v/>
      </c>
      <c r="B362" s="229" t="str">
        <f t="shared" ca="1" si="60"/>
        <v/>
      </c>
      <c r="C362" s="229" t="str">
        <f t="shared" ca="1" si="61"/>
        <v/>
      </c>
      <c r="D362" s="229" t="str">
        <f t="shared" ca="1" si="62"/>
        <v/>
      </c>
      <c r="E362" s="229" t="str">
        <f t="shared" ca="1" si="63"/>
        <v/>
      </c>
      <c r="F362" s="229" t="str">
        <f t="shared" ca="1" si="64"/>
        <v/>
      </c>
      <c r="G362" s="230" t="str">
        <f t="array" aca="1" ref="G362" ca="1">IF(INDEX(ExistsTx,$I362,2),IF(INDIRECT("'T"&amp;$I362&amp;"'!$D$"&amp;($J362+5),TRUE)=0,T_NoName,INDIRECT("'T"&amp;$I362&amp;"'!$D$"&amp;($J362+5),TRUE)),"")</f>
        <v/>
      </c>
      <c r="H362" s="230">
        <f t="array" aca="1" ref="H362" ca="1">IF(INDEX(ExistsTx,$I362,2),INDIRECT("'T"&amp;$I362&amp;"'!$E$"&amp;($J362+5),TRUE),0)</f>
        <v>0</v>
      </c>
      <c r="I362" s="229">
        <v>23</v>
      </c>
      <c r="J362" s="229">
        <v>8</v>
      </c>
      <c r="K362" s="230" t="str">
        <f t="array" aca="1" ref="K362" ca="1">INDEX(ListTeams,$I362,1)</f>
        <v/>
      </c>
      <c r="L362" s="230">
        <f t="array" aca="1" ref="L362" ca="1">IF(OR(NOT(INDEX(ExistsTx,$I362,2)),$H362=0),0,INDIRECT("'T"&amp;$I362&amp;"'!$M$"&amp;($J362+5),TRUE)+((1000-ROW())/10000000000000))</f>
        <v>0</v>
      </c>
      <c r="M362" s="230">
        <f t="array" aca="1" ref="M362" ca="1">IF(OR(NOT(INDEX(ExistsTx,$I362,2)),$H362=0),0,INDIRECT("'T"&amp;$I362&amp;"'!$N$"&amp;($J362+5),TRUE)+((1000-ROW())/10000000000000))</f>
        <v>0</v>
      </c>
      <c r="N362" s="230">
        <f t="array" aca="1" ref="N362" ca="1">IF(OR(NOT(INDEX(ExistsTx,$I362,2)),$H362=0),0,INDIRECT("'T"&amp;$I362&amp;"'!$O$"&amp;($J362+5),TRUE)+((1000-ROW())/10000000000000))</f>
        <v>0</v>
      </c>
      <c r="O362" s="230">
        <f t="array" aca="1" ref="O362" ca="1">IF(OR(NOT(INDEX(ExistsTx,$I362,2)),$H362=0),0,INDIRECT("'T"&amp;$I362&amp;"'!$P$"&amp;($J362+5),TRUE)+((1000-ROW())/10000000000000))</f>
        <v>0</v>
      </c>
      <c r="P362" s="230">
        <f t="array" aca="1" ref="P362" ca="1">IF(OR(NOT(INDEX(ExistsTx,$I362,2)),$H362=0),0,INDIRECT("'T"&amp;$I362&amp;"'!$Q$"&amp;($J362+5),TRUE)+((1000-ROW())/10000000000000))</f>
        <v>0</v>
      </c>
      <c r="Q362" s="230">
        <f t="shared" ca="1" si="65"/>
        <v>8.20285715106E-7</v>
      </c>
      <c r="R362" s="230"/>
      <c r="S362" s="230"/>
      <c r="T362" s="230"/>
      <c r="U362" s="230"/>
      <c r="V362" s="230"/>
      <c r="W362" s="230"/>
      <c r="X362" s="229"/>
      <c r="Y362" s="229"/>
      <c r="Z362" s="229"/>
      <c r="AA362" s="230"/>
      <c r="AB362" s="230"/>
      <c r="AC362" s="230"/>
      <c r="AD362" s="229"/>
      <c r="AE362" s="230"/>
    </row>
    <row r="363" spans="1:31" ht="12.75" customHeight="1">
      <c r="A363" s="229" t="str">
        <f t="shared" ca="1" si="59"/>
        <v/>
      </c>
      <c r="B363" s="229" t="str">
        <f t="shared" ca="1" si="60"/>
        <v/>
      </c>
      <c r="C363" s="229" t="str">
        <f t="shared" ca="1" si="61"/>
        <v/>
      </c>
      <c r="D363" s="229" t="str">
        <f t="shared" ca="1" si="62"/>
        <v/>
      </c>
      <c r="E363" s="229" t="str">
        <f t="shared" ca="1" si="63"/>
        <v/>
      </c>
      <c r="F363" s="229" t="str">
        <f t="shared" ca="1" si="64"/>
        <v/>
      </c>
      <c r="G363" s="230" t="str">
        <f t="array" aca="1" ref="G363" ca="1">IF(INDEX(ExistsTx,$I363,2),IF(INDIRECT("'T"&amp;$I363&amp;"'!$D$"&amp;($J363+5),TRUE)=0,T_NoName,INDIRECT("'T"&amp;$I363&amp;"'!$D$"&amp;($J363+5),TRUE)),"")</f>
        <v/>
      </c>
      <c r="H363" s="230">
        <f t="array" aca="1" ref="H363" ca="1">IF(INDEX(ExistsTx,$I363,2),INDIRECT("'T"&amp;$I363&amp;"'!$E$"&amp;($J363+5),TRUE),0)</f>
        <v>0</v>
      </c>
      <c r="I363" s="229">
        <v>23</v>
      </c>
      <c r="J363" s="229">
        <v>9</v>
      </c>
      <c r="K363" s="230" t="str">
        <f t="array" aca="1" ref="K363" ca="1">INDEX(ListTeams,$I363,1)</f>
        <v/>
      </c>
      <c r="L363" s="230">
        <f t="array" aca="1" ref="L363" ca="1">IF(OR(NOT(INDEX(ExistsTx,$I363,2)),$H363=0),0,INDIRECT("'T"&amp;$I363&amp;"'!$M$"&amp;($J363+5),TRUE)+((1000-ROW())/10000000000000))</f>
        <v>0</v>
      </c>
      <c r="M363" s="230">
        <f t="array" aca="1" ref="M363" ca="1">IF(OR(NOT(INDEX(ExistsTx,$I363,2)),$H363=0),0,INDIRECT("'T"&amp;$I363&amp;"'!$N$"&amp;($J363+5),TRUE)+((1000-ROW())/10000000000000))</f>
        <v>0</v>
      </c>
      <c r="N363" s="230">
        <f t="array" aca="1" ref="N363" ca="1">IF(OR(NOT(INDEX(ExistsTx,$I363,2)),$H363=0),0,INDIRECT("'T"&amp;$I363&amp;"'!$O$"&amp;($J363+5),TRUE)+((1000-ROW())/10000000000000))</f>
        <v>0</v>
      </c>
      <c r="O363" s="230">
        <f t="array" aca="1" ref="O363" ca="1">IF(OR(NOT(INDEX(ExistsTx,$I363,2)),$H363=0),0,INDIRECT("'T"&amp;$I363&amp;"'!$P$"&amp;($J363+5),TRUE)+((1000-ROW())/10000000000000))</f>
        <v>0</v>
      </c>
      <c r="P363" s="230">
        <f t="array" aca="1" ref="P363" ca="1">IF(OR(NOT(INDEX(ExistsTx,$I363,2)),$H363=0),0,INDIRECT("'T"&amp;$I363&amp;"'!$Q$"&amp;($J363+5),TRUE)+((1000-ROW())/10000000000000))</f>
        <v>0</v>
      </c>
      <c r="Q363" s="230">
        <f t="shared" ca="1" si="65"/>
        <v>8.1900000081899998E-7</v>
      </c>
      <c r="R363" s="230"/>
      <c r="S363" s="230"/>
      <c r="T363" s="230"/>
      <c r="U363" s="230"/>
      <c r="V363" s="230"/>
      <c r="W363" s="230"/>
      <c r="X363" s="229"/>
      <c r="Y363" s="229"/>
      <c r="Z363" s="229"/>
      <c r="AA363" s="230"/>
      <c r="AB363" s="230"/>
      <c r="AC363" s="230"/>
      <c r="AD363" s="229"/>
      <c r="AE363" s="230"/>
    </row>
    <row r="364" spans="1:31" ht="12.75" customHeight="1">
      <c r="A364" s="229" t="str">
        <f t="shared" ca="1" si="59"/>
        <v/>
      </c>
      <c r="B364" s="229" t="str">
        <f t="shared" ca="1" si="60"/>
        <v/>
      </c>
      <c r="C364" s="229" t="str">
        <f t="shared" ca="1" si="61"/>
        <v/>
      </c>
      <c r="D364" s="229" t="str">
        <f t="shared" ca="1" si="62"/>
        <v/>
      </c>
      <c r="E364" s="229" t="str">
        <f t="shared" ca="1" si="63"/>
        <v/>
      </c>
      <c r="F364" s="229" t="str">
        <f t="shared" ca="1" si="64"/>
        <v/>
      </c>
      <c r="G364" s="230" t="str">
        <f t="array" aca="1" ref="G364" ca="1">IF(INDEX(ExistsTx,$I364,2),IF(INDIRECT("'T"&amp;$I364&amp;"'!$D$"&amp;($J364+5),TRUE)=0,T_NoName,INDIRECT("'T"&amp;$I364&amp;"'!$D$"&amp;($J364+5),TRUE)),"")</f>
        <v/>
      </c>
      <c r="H364" s="230">
        <f t="array" aca="1" ref="H364" ca="1">IF(INDEX(ExistsTx,$I364,2),INDIRECT("'T"&amp;$I364&amp;"'!$E$"&amp;($J364+5),TRUE),0)</f>
        <v>0</v>
      </c>
      <c r="I364" s="229">
        <v>23</v>
      </c>
      <c r="J364" s="229">
        <v>10</v>
      </c>
      <c r="K364" s="230" t="str">
        <f t="array" aca="1" ref="K364" ca="1">INDEX(ListTeams,$I364,1)</f>
        <v/>
      </c>
      <c r="L364" s="230">
        <f t="array" aca="1" ref="L364" ca="1">IF(OR(NOT(INDEX(ExistsTx,$I364,2)),$H364=0),0,INDIRECT("'T"&amp;$I364&amp;"'!$M$"&amp;($J364+5),TRUE)+((1000-ROW())/10000000000000))</f>
        <v>0</v>
      </c>
      <c r="M364" s="230">
        <f t="array" aca="1" ref="M364" ca="1">IF(OR(NOT(INDEX(ExistsTx,$I364,2)),$H364=0),0,INDIRECT("'T"&amp;$I364&amp;"'!$N$"&amp;($J364+5),TRUE)+((1000-ROW())/10000000000000))</f>
        <v>0</v>
      </c>
      <c r="N364" s="230">
        <f t="array" aca="1" ref="N364" ca="1">IF(OR(NOT(INDEX(ExistsTx,$I364,2)),$H364=0),0,INDIRECT("'T"&amp;$I364&amp;"'!$O$"&amp;($J364+5),TRUE)+((1000-ROW())/10000000000000))</f>
        <v>0</v>
      </c>
      <c r="O364" s="230">
        <f t="array" aca="1" ref="O364" ca="1">IF(OR(NOT(INDEX(ExistsTx,$I364,2)),$H364=0),0,INDIRECT("'T"&amp;$I364&amp;"'!$P$"&amp;($J364+5),TRUE)+((1000-ROW())/10000000000000))</f>
        <v>0</v>
      </c>
      <c r="P364" s="230">
        <f t="array" aca="1" ref="P364" ca="1">IF(OR(NOT(INDEX(ExistsTx,$I364,2)),$H364=0),0,INDIRECT("'T"&amp;$I364&amp;"'!$Q$"&amp;($J364+5),TRUE)+((1000-ROW())/10000000000000))</f>
        <v>0</v>
      </c>
      <c r="Q364" s="230">
        <f t="shared" ca="1" si="65"/>
        <v>8.1771428653199997E-7</v>
      </c>
      <c r="R364" s="230"/>
      <c r="S364" s="230"/>
      <c r="T364" s="230"/>
      <c r="U364" s="230"/>
      <c r="V364" s="230"/>
      <c r="W364" s="230"/>
      <c r="X364" s="229"/>
      <c r="Y364" s="229"/>
      <c r="Z364" s="229"/>
      <c r="AA364" s="230"/>
      <c r="AB364" s="230"/>
      <c r="AC364" s="230"/>
      <c r="AD364" s="229"/>
      <c r="AE364" s="230"/>
    </row>
    <row r="365" spans="1:31" ht="12.75" customHeight="1">
      <c r="A365" s="229" t="str">
        <f t="shared" ca="1" si="59"/>
        <v/>
      </c>
      <c r="B365" s="229" t="str">
        <f t="shared" ca="1" si="60"/>
        <v/>
      </c>
      <c r="C365" s="229" t="str">
        <f t="shared" ca="1" si="61"/>
        <v/>
      </c>
      <c r="D365" s="229" t="str">
        <f t="shared" ca="1" si="62"/>
        <v/>
      </c>
      <c r="E365" s="229" t="str">
        <f t="shared" ca="1" si="63"/>
        <v/>
      </c>
      <c r="F365" s="229" t="str">
        <f t="shared" ca="1" si="64"/>
        <v/>
      </c>
      <c r="G365" s="230" t="str">
        <f t="array" aca="1" ref="G365" ca="1">IF(INDEX(ExistsTx,$I365,2),IF(INDIRECT("'T"&amp;$I365&amp;"'!$D$"&amp;($J365+5),TRUE)=0,T_NoName,INDIRECT("'T"&amp;$I365&amp;"'!$D$"&amp;($J365+5),TRUE)),"")</f>
        <v/>
      </c>
      <c r="H365" s="230">
        <f t="array" aca="1" ref="H365" ca="1">IF(INDEX(ExistsTx,$I365,2),INDIRECT("'T"&amp;$I365&amp;"'!$E$"&amp;($J365+5),TRUE),0)</f>
        <v>0</v>
      </c>
      <c r="I365" s="229">
        <v>23</v>
      </c>
      <c r="J365" s="229">
        <v>11</v>
      </c>
      <c r="K365" s="230" t="str">
        <f t="array" aca="1" ref="K365" ca="1">INDEX(ListTeams,$I365,1)</f>
        <v/>
      </c>
      <c r="L365" s="230">
        <f t="array" aca="1" ref="L365" ca="1">IF(OR(NOT(INDEX(ExistsTx,$I365,2)),$H365=0),0,INDIRECT("'T"&amp;$I365&amp;"'!$M$"&amp;($J365+5),TRUE)+((1000-ROW())/10000000000000))</f>
        <v>0</v>
      </c>
      <c r="M365" s="230">
        <f t="array" aca="1" ref="M365" ca="1">IF(OR(NOT(INDEX(ExistsTx,$I365,2)),$H365=0),0,INDIRECT("'T"&amp;$I365&amp;"'!$N$"&amp;($J365+5),TRUE)+((1000-ROW())/10000000000000))</f>
        <v>0</v>
      </c>
      <c r="N365" s="230">
        <f t="array" aca="1" ref="N365" ca="1">IF(OR(NOT(INDEX(ExistsTx,$I365,2)),$H365=0),0,INDIRECT("'T"&amp;$I365&amp;"'!$O$"&amp;($J365+5),TRUE)+((1000-ROW())/10000000000000))</f>
        <v>0</v>
      </c>
      <c r="O365" s="230">
        <f t="array" aca="1" ref="O365" ca="1">IF(OR(NOT(INDEX(ExistsTx,$I365,2)),$H365=0),0,INDIRECT("'T"&amp;$I365&amp;"'!$P$"&amp;($J365+5),TRUE)+((1000-ROW())/10000000000000))</f>
        <v>0</v>
      </c>
      <c r="P365" s="230">
        <f t="array" aca="1" ref="P365" ca="1">IF(OR(NOT(INDEX(ExistsTx,$I365,2)),$H365=0),0,INDIRECT("'T"&amp;$I365&amp;"'!$Q$"&amp;($J365+5),TRUE)+((1000-ROW())/10000000000000))</f>
        <v>0</v>
      </c>
      <c r="Q365" s="230">
        <f t="shared" ca="1" si="65"/>
        <v>8.1642857224499996E-7</v>
      </c>
      <c r="R365" s="230"/>
      <c r="S365" s="230"/>
      <c r="T365" s="230"/>
      <c r="U365" s="230"/>
      <c r="V365" s="230"/>
      <c r="W365" s="230"/>
      <c r="X365" s="229"/>
      <c r="Y365" s="229"/>
      <c r="Z365" s="229"/>
      <c r="AA365" s="230"/>
      <c r="AB365" s="230"/>
      <c r="AC365" s="230"/>
      <c r="AD365" s="229"/>
      <c r="AE365" s="230"/>
    </row>
    <row r="366" spans="1:31" ht="12.75" customHeight="1">
      <c r="A366" s="229" t="str">
        <f t="shared" ca="1" si="59"/>
        <v/>
      </c>
      <c r="B366" s="229" t="str">
        <f t="shared" ca="1" si="60"/>
        <v/>
      </c>
      <c r="C366" s="229" t="str">
        <f t="shared" ca="1" si="61"/>
        <v/>
      </c>
      <c r="D366" s="229" t="str">
        <f t="shared" ca="1" si="62"/>
        <v/>
      </c>
      <c r="E366" s="229" t="str">
        <f t="shared" ca="1" si="63"/>
        <v/>
      </c>
      <c r="F366" s="229" t="str">
        <f t="shared" ca="1" si="64"/>
        <v/>
      </c>
      <c r="G366" s="230" t="str">
        <f t="array" aca="1" ref="G366" ca="1">IF(INDEX(ExistsTx,$I366,2),IF(INDIRECT("'T"&amp;$I366&amp;"'!$D$"&amp;($J366+5),TRUE)=0,T_NoName,INDIRECT("'T"&amp;$I366&amp;"'!$D$"&amp;($J366+5),TRUE)),"")</f>
        <v/>
      </c>
      <c r="H366" s="230">
        <f t="array" aca="1" ref="H366" ca="1">IF(INDEX(ExistsTx,$I366,2),INDIRECT("'T"&amp;$I366&amp;"'!$E$"&amp;($J366+5),TRUE),0)</f>
        <v>0</v>
      </c>
      <c r="I366" s="229">
        <v>23</v>
      </c>
      <c r="J366" s="229">
        <v>12</v>
      </c>
      <c r="K366" s="230" t="str">
        <f t="array" aca="1" ref="K366" ca="1">INDEX(ListTeams,$I366,1)</f>
        <v/>
      </c>
      <c r="L366" s="230">
        <f t="array" aca="1" ref="L366" ca="1">IF(OR(NOT(INDEX(ExistsTx,$I366,2)),$H366=0),0,INDIRECT("'T"&amp;$I366&amp;"'!$M$"&amp;($J366+5),TRUE)+((1000-ROW())/10000000000000))</f>
        <v>0</v>
      </c>
      <c r="M366" s="230">
        <f t="array" aca="1" ref="M366" ca="1">IF(OR(NOT(INDEX(ExistsTx,$I366,2)),$H366=0),0,INDIRECT("'T"&amp;$I366&amp;"'!$N$"&amp;($J366+5),TRUE)+((1000-ROW())/10000000000000))</f>
        <v>0</v>
      </c>
      <c r="N366" s="230">
        <f t="array" aca="1" ref="N366" ca="1">IF(OR(NOT(INDEX(ExistsTx,$I366,2)),$H366=0),0,INDIRECT("'T"&amp;$I366&amp;"'!$O$"&amp;($J366+5),TRUE)+((1000-ROW())/10000000000000))</f>
        <v>0</v>
      </c>
      <c r="O366" s="230">
        <f t="array" aca="1" ref="O366" ca="1">IF(OR(NOT(INDEX(ExistsTx,$I366,2)),$H366=0),0,INDIRECT("'T"&amp;$I366&amp;"'!$P$"&amp;($J366+5),TRUE)+((1000-ROW())/10000000000000))</f>
        <v>0</v>
      </c>
      <c r="P366" s="230">
        <f t="array" aca="1" ref="P366" ca="1">IF(OR(NOT(INDEX(ExistsTx,$I366,2)),$H366=0),0,INDIRECT("'T"&amp;$I366&amp;"'!$Q$"&amp;($J366+5),TRUE)+((1000-ROW())/10000000000000))</f>
        <v>0</v>
      </c>
      <c r="Q366" s="230">
        <f t="shared" ca="1" si="65"/>
        <v>8.1514285795800005E-7</v>
      </c>
      <c r="R366" s="230"/>
      <c r="S366" s="230"/>
      <c r="T366" s="230"/>
      <c r="U366" s="230"/>
      <c r="V366" s="230"/>
      <c r="W366" s="230"/>
      <c r="X366" s="229"/>
      <c r="Y366" s="229"/>
      <c r="Z366" s="229"/>
      <c r="AA366" s="230"/>
      <c r="AB366" s="230"/>
      <c r="AC366" s="230"/>
      <c r="AD366" s="229"/>
      <c r="AE366" s="230"/>
    </row>
    <row r="367" spans="1:31" ht="12.75" customHeight="1">
      <c r="A367" s="229" t="str">
        <f t="shared" ca="1" si="59"/>
        <v/>
      </c>
      <c r="B367" s="229" t="str">
        <f t="shared" ca="1" si="60"/>
        <v/>
      </c>
      <c r="C367" s="229" t="str">
        <f t="shared" ca="1" si="61"/>
        <v/>
      </c>
      <c r="D367" s="229" t="str">
        <f t="shared" ca="1" si="62"/>
        <v/>
      </c>
      <c r="E367" s="229" t="str">
        <f t="shared" ca="1" si="63"/>
        <v/>
      </c>
      <c r="F367" s="229" t="str">
        <f t="shared" ca="1" si="64"/>
        <v/>
      </c>
      <c r="G367" s="230" t="str">
        <f t="array" aca="1" ref="G367" ca="1">IF(INDEX(ExistsTx,$I367,2),IF(INDIRECT("'T"&amp;$I367&amp;"'!$D$"&amp;($J367+5),TRUE)=0,T_NoName,INDIRECT("'T"&amp;$I367&amp;"'!$D$"&amp;($J367+5),TRUE)),"")</f>
        <v/>
      </c>
      <c r="H367" s="230">
        <f t="array" aca="1" ref="H367" ca="1">IF(INDEX(ExistsTx,$I367,2),INDIRECT("'T"&amp;$I367&amp;"'!$E$"&amp;($J367+5),TRUE),0)</f>
        <v>0</v>
      </c>
      <c r="I367" s="229">
        <v>23</v>
      </c>
      <c r="J367" s="229">
        <v>13</v>
      </c>
      <c r="K367" s="230" t="str">
        <f t="array" aca="1" ref="K367" ca="1">INDEX(ListTeams,$I367,1)</f>
        <v/>
      </c>
      <c r="L367" s="230">
        <f t="array" aca="1" ref="L367" ca="1">IF(OR(NOT(INDEX(ExistsTx,$I367,2)),$H367=0),0,INDIRECT("'T"&amp;$I367&amp;"'!$M$"&amp;($J367+5),TRUE)+((1000-ROW())/10000000000000))</f>
        <v>0</v>
      </c>
      <c r="M367" s="230">
        <f t="array" aca="1" ref="M367" ca="1">IF(OR(NOT(INDEX(ExistsTx,$I367,2)),$H367=0),0,INDIRECT("'T"&amp;$I367&amp;"'!$N$"&amp;($J367+5),TRUE)+((1000-ROW())/10000000000000))</f>
        <v>0</v>
      </c>
      <c r="N367" s="230">
        <f t="array" aca="1" ref="N367" ca="1">IF(OR(NOT(INDEX(ExistsTx,$I367,2)),$H367=0),0,INDIRECT("'T"&amp;$I367&amp;"'!$O$"&amp;($J367+5),TRUE)+((1000-ROW())/10000000000000))</f>
        <v>0</v>
      </c>
      <c r="O367" s="230">
        <f t="array" aca="1" ref="O367" ca="1">IF(OR(NOT(INDEX(ExistsTx,$I367,2)),$H367=0),0,INDIRECT("'T"&amp;$I367&amp;"'!$P$"&amp;($J367+5),TRUE)+((1000-ROW())/10000000000000))</f>
        <v>0</v>
      </c>
      <c r="P367" s="230">
        <f t="array" aca="1" ref="P367" ca="1">IF(OR(NOT(INDEX(ExistsTx,$I367,2)),$H367=0),0,INDIRECT("'T"&amp;$I367&amp;"'!$Q$"&amp;($J367+5),TRUE)+((1000-ROW())/10000000000000))</f>
        <v>0</v>
      </c>
      <c r="Q367" s="230">
        <f t="shared" ca="1" si="65"/>
        <v>8.1385714367100004E-7</v>
      </c>
      <c r="R367" s="230"/>
      <c r="S367" s="230"/>
      <c r="T367" s="230"/>
      <c r="U367" s="230"/>
      <c r="V367" s="230"/>
      <c r="W367" s="230"/>
      <c r="X367" s="229"/>
      <c r="Y367" s="229"/>
      <c r="Z367" s="229"/>
      <c r="AA367" s="230"/>
      <c r="AB367" s="230"/>
      <c r="AC367" s="230"/>
      <c r="AD367" s="229"/>
      <c r="AE367" s="230"/>
    </row>
    <row r="368" spans="1:31" ht="12.75" customHeight="1">
      <c r="A368" s="229" t="str">
        <f t="shared" ca="1" si="59"/>
        <v/>
      </c>
      <c r="B368" s="229" t="str">
        <f t="shared" ca="1" si="60"/>
        <v/>
      </c>
      <c r="C368" s="229" t="str">
        <f t="shared" ca="1" si="61"/>
        <v/>
      </c>
      <c r="D368" s="229" t="str">
        <f t="shared" ca="1" si="62"/>
        <v/>
      </c>
      <c r="E368" s="229" t="str">
        <f t="shared" ca="1" si="63"/>
        <v/>
      </c>
      <c r="F368" s="229" t="str">
        <f t="shared" ca="1" si="64"/>
        <v/>
      </c>
      <c r="G368" s="230" t="str">
        <f t="array" aca="1" ref="G368" ca="1">IF(INDEX(ExistsTx,$I368,2),IF(INDIRECT("'T"&amp;$I368&amp;"'!$D$"&amp;($J368+5),TRUE)=0,T_NoName,INDIRECT("'T"&amp;$I368&amp;"'!$D$"&amp;($J368+5),TRUE)),"")</f>
        <v/>
      </c>
      <c r="H368" s="230">
        <f t="array" aca="1" ref="H368" ca="1">IF(INDEX(ExistsTx,$I368,2),INDIRECT("'T"&amp;$I368&amp;"'!$E$"&amp;($J368+5),TRUE),0)</f>
        <v>0</v>
      </c>
      <c r="I368" s="229">
        <v>23</v>
      </c>
      <c r="J368" s="229">
        <v>14</v>
      </c>
      <c r="K368" s="230" t="str">
        <f t="array" aca="1" ref="K368" ca="1">INDEX(ListTeams,$I368,1)</f>
        <v/>
      </c>
      <c r="L368" s="230">
        <f t="array" aca="1" ref="L368" ca="1">IF(OR(NOT(INDEX(ExistsTx,$I368,2)),$H368=0),0,INDIRECT("'T"&amp;$I368&amp;"'!$M$"&amp;($J368+5),TRUE)+((1000-ROW())/10000000000000))</f>
        <v>0</v>
      </c>
      <c r="M368" s="230">
        <f t="array" aca="1" ref="M368" ca="1">IF(OR(NOT(INDEX(ExistsTx,$I368,2)),$H368=0),0,INDIRECT("'T"&amp;$I368&amp;"'!$N$"&amp;($J368+5),TRUE)+((1000-ROW())/10000000000000))</f>
        <v>0</v>
      </c>
      <c r="N368" s="230">
        <f t="array" aca="1" ref="N368" ca="1">IF(OR(NOT(INDEX(ExistsTx,$I368,2)),$H368=0),0,INDIRECT("'T"&amp;$I368&amp;"'!$O$"&amp;($J368+5),TRUE)+((1000-ROW())/10000000000000))</f>
        <v>0</v>
      </c>
      <c r="O368" s="230">
        <f t="array" aca="1" ref="O368" ca="1">IF(OR(NOT(INDEX(ExistsTx,$I368,2)),$H368=0),0,INDIRECT("'T"&amp;$I368&amp;"'!$P$"&amp;($J368+5),TRUE)+((1000-ROW())/10000000000000))</f>
        <v>0</v>
      </c>
      <c r="P368" s="230">
        <f t="array" aca="1" ref="P368" ca="1">IF(OR(NOT(INDEX(ExistsTx,$I368,2)),$H368=0),0,INDIRECT("'T"&amp;$I368&amp;"'!$Q$"&amp;($J368+5),TRUE)+((1000-ROW())/10000000000000))</f>
        <v>0</v>
      </c>
      <c r="Q368" s="230">
        <f t="shared" ca="1" si="65"/>
        <v>8.1257142938400003E-7</v>
      </c>
      <c r="R368" s="230"/>
      <c r="S368" s="230"/>
      <c r="T368" s="230"/>
      <c r="U368" s="230"/>
      <c r="V368" s="230"/>
      <c r="W368" s="230"/>
      <c r="X368" s="229"/>
      <c r="Y368" s="229"/>
      <c r="Z368" s="229"/>
      <c r="AA368" s="230"/>
      <c r="AB368" s="230"/>
      <c r="AC368" s="230"/>
      <c r="AD368" s="229"/>
      <c r="AE368" s="230"/>
    </row>
    <row r="369" spans="1:31" ht="12.75" customHeight="1">
      <c r="A369" s="229" t="str">
        <f t="shared" ca="1" si="59"/>
        <v/>
      </c>
      <c r="B369" s="229" t="str">
        <f t="shared" ca="1" si="60"/>
        <v/>
      </c>
      <c r="C369" s="229" t="str">
        <f t="shared" ca="1" si="61"/>
        <v/>
      </c>
      <c r="D369" s="229" t="str">
        <f t="shared" ca="1" si="62"/>
        <v/>
      </c>
      <c r="E369" s="229" t="str">
        <f t="shared" ca="1" si="63"/>
        <v/>
      </c>
      <c r="F369" s="229" t="str">
        <f t="shared" ca="1" si="64"/>
        <v/>
      </c>
      <c r="G369" s="230" t="str">
        <f t="array" aca="1" ref="G369" ca="1">IF(INDEX(ExistsTx,$I369,2),IF(INDIRECT("'T"&amp;$I369&amp;"'!$D$"&amp;($J369+5),TRUE)=0,T_NoName,INDIRECT("'T"&amp;$I369&amp;"'!$D$"&amp;($J369+5),TRUE)),"")</f>
        <v/>
      </c>
      <c r="H369" s="230">
        <f t="array" aca="1" ref="H369" ca="1">IF(INDEX(ExistsTx,$I369,2),INDIRECT("'T"&amp;$I369&amp;"'!$E$"&amp;($J369+5),TRUE),0)</f>
        <v>0</v>
      </c>
      <c r="I369" s="229">
        <v>23</v>
      </c>
      <c r="J369" s="229">
        <v>15</v>
      </c>
      <c r="K369" s="230" t="str">
        <f t="array" aca="1" ref="K369" ca="1">INDEX(ListTeams,$I369,1)</f>
        <v/>
      </c>
      <c r="L369" s="230">
        <f t="array" aca="1" ref="L369" ca="1">IF(OR(NOT(INDEX(ExistsTx,$I369,2)),$H369=0),0,INDIRECT("'T"&amp;$I369&amp;"'!$M$"&amp;($J369+5),TRUE)+((1000-ROW())/10000000000000))</f>
        <v>0</v>
      </c>
      <c r="M369" s="230">
        <f t="array" aca="1" ref="M369" ca="1">IF(OR(NOT(INDEX(ExistsTx,$I369,2)),$H369=0),0,INDIRECT("'T"&amp;$I369&amp;"'!$N$"&amp;($J369+5),TRUE)+((1000-ROW())/10000000000000))</f>
        <v>0</v>
      </c>
      <c r="N369" s="230">
        <f t="array" aca="1" ref="N369" ca="1">IF(OR(NOT(INDEX(ExistsTx,$I369,2)),$H369=0),0,INDIRECT("'T"&amp;$I369&amp;"'!$O$"&amp;($J369+5),TRUE)+((1000-ROW())/10000000000000))</f>
        <v>0</v>
      </c>
      <c r="O369" s="230">
        <f t="array" aca="1" ref="O369" ca="1">IF(OR(NOT(INDEX(ExistsTx,$I369,2)),$H369=0),0,INDIRECT("'T"&amp;$I369&amp;"'!$P$"&amp;($J369+5),TRUE)+((1000-ROW())/10000000000000))</f>
        <v>0</v>
      </c>
      <c r="P369" s="230">
        <f t="array" aca="1" ref="P369" ca="1">IF(OR(NOT(INDEX(ExistsTx,$I369,2)),$H369=0),0,INDIRECT("'T"&amp;$I369&amp;"'!$Q$"&amp;($J369+5),TRUE)+((1000-ROW())/10000000000000))</f>
        <v>0</v>
      </c>
      <c r="Q369" s="230">
        <f t="shared" ca="1" si="65"/>
        <v>8.1128571509700002E-7</v>
      </c>
      <c r="R369" s="230"/>
      <c r="S369" s="230"/>
      <c r="T369" s="230"/>
      <c r="U369" s="230"/>
      <c r="V369" s="230"/>
      <c r="W369" s="230"/>
      <c r="X369" s="229"/>
      <c r="Y369" s="229"/>
      <c r="Z369" s="229"/>
      <c r="AA369" s="230"/>
      <c r="AB369" s="230"/>
      <c r="AC369" s="230"/>
      <c r="AD369" s="229"/>
      <c r="AE369" s="230"/>
    </row>
    <row r="370" spans="1:31" ht="12.75" customHeight="1">
      <c r="A370" s="229" t="str">
        <f t="shared" ca="1" si="59"/>
        <v/>
      </c>
      <c r="B370" s="229" t="str">
        <f t="shared" ca="1" si="60"/>
        <v/>
      </c>
      <c r="C370" s="229" t="str">
        <f t="shared" ca="1" si="61"/>
        <v/>
      </c>
      <c r="D370" s="229" t="str">
        <f t="shared" ca="1" si="62"/>
        <v/>
      </c>
      <c r="E370" s="229" t="str">
        <f t="shared" ca="1" si="63"/>
        <v/>
      </c>
      <c r="F370" s="229" t="str">
        <f t="shared" ca="1" si="64"/>
        <v/>
      </c>
      <c r="G370" s="230" t="str">
        <f t="array" aca="1" ref="G370" ca="1">IF(INDEX(ExistsTx,$I370,2),IF(INDIRECT("'T"&amp;$I370&amp;"'!$D$"&amp;($J370+5),TRUE)=0,T_NoName,INDIRECT("'T"&amp;$I370&amp;"'!$D$"&amp;($J370+5),TRUE)),"")</f>
        <v/>
      </c>
      <c r="H370" s="230">
        <f t="array" aca="1" ref="H370" ca="1">IF(INDEX(ExistsTx,$I370,2),INDIRECT("'T"&amp;$I370&amp;"'!$E$"&amp;($J370+5),TRUE),0)</f>
        <v>0</v>
      </c>
      <c r="I370" s="229">
        <v>23</v>
      </c>
      <c r="J370" s="229">
        <v>16</v>
      </c>
      <c r="K370" s="230" t="str">
        <f t="array" aca="1" ref="K370" ca="1">INDEX(ListTeams,$I370,1)</f>
        <v/>
      </c>
      <c r="L370" s="230">
        <f t="array" aca="1" ref="L370" ca="1">IF(OR(NOT(INDEX(ExistsTx,$I370,2)),$H370=0),0,INDIRECT("'T"&amp;$I370&amp;"'!$M$"&amp;($J370+5),TRUE)+((1000-ROW())/10000000000000))</f>
        <v>0</v>
      </c>
      <c r="M370" s="230">
        <f t="array" aca="1" ref="M370" ca="1">IF(OR(NOT(INDEX(ExistsTx,$I370,2)),$H370=0),0,INDIRECT("'T"&amp;$I370&amp;"'!$N$"&amp;($J370+5),TRUE)+((1000-ROW())/10000000000000))</f>
        <v>0</v>
      </c>
      <c r="N370" s="230">
        <f t="array" aca="1" ref="N370" ca="1">IF(OR(NOT(INDEX(ExistsTx,$I370,2)),$H370=0),0,INDIRECT("'T"&amp;$I370&amp;"'!$O$"&amp;($J370+5),TRUE)+((1000-ROW())/10000000000000))</f>
        <v>0</v>
      </c>
      <c r="O370" s="230">
        <f t="array" aca="1" ref="O370" ca="1">IF(OR(NOT(INDEX(ExistsTx,$I370,2)),$H370=0),0,INDIRECT("'T"&amp;$I370&amp;"'!$P$"&amp;($J370+5),TRUE)+((1000-ROW())/10000000000000))</f>
        <v>0</v>
      </c>
      <c r="P370" s="230">
        <f t="array" aca="1" ref="P370" ca="1">IF(OR(NOT(INDEX(ExistsTx,$I370,2)),$H370=0),0,INDIRECT("'T"&amp;$I370&amp;"'!$Q$"&amp;($J370+5),TRUE)+((1000-ROW())/10000000000000))</f>
        <v>0</v>
      </c>
      <c r="Q370" s="230">
        <f t="shared" ca="1" si="65"/>
        <v>8.1000000081000001E-7</v>
      </c>
      <c r="R370" s="230"/>
      <c r="S370" s="230"/>
      <c r="T370" s="230"/>
      <c r="U370" s="230"/>
      <c r="V370" s="230"/>
      <c r="W370" s="230"/>
      <c r="X370" s="229"/>
      <c r="Y370" s="229"/>
      <c r="Z370" s="229"/>
      <c r="AA370" s="230"/>
      <c r="AB370" s="230"/>
      <c r="AC370" s="230"/>
      <c r="AD370" s="229"/>
      <c r="AE370" s="230"/>
    </row>
    <row r="371" spans="1:31" ht="12.75" customHeight="1">
      <c r="A371" s="229" t="str">
        <f t="shared" ca="1" si="59"/>
        <v/>
      </c>
      <c r="B371" s="229" t="str">
        <f t="shared" ca="1" si="60"/>
        <v/>
      </c>
      <c r="C371" s="229" t="str">
        <f t="shared" ca="1" si="61"/>
        <v/>
      </c>
      <c r="D371" s="229" t="str">
        <f t="shared" ca="1" si="62"/>
        <v/>
      </c>
      <c r="E371" s="229" t="str">
        <f t="shared" ca="1" si="63"/>
        <v/>
      </c>
      <c r="F371" s="229" t="str">
        <f t="shared" ca="1" si="64"/>
        <v/>
      </c>
      <c r="G371" s="230" t="str">
        <f t="array" aca="1" ref="G371" ca="1">IF(INDEX(ExistsTx,$I371,2),IF(INDIRECT("'T"&amp;$I371&amp;"'!$D$"&amp;($J371+5),TRUE)=0,T_NoName,INDIRECT("'T"&amp;$I371&amp;"'!$D$"&amp;($J371+5),TRUE)),"")</f>
        <v/>
      </c>
      <c r="H371" s="230">
        <f t="array" aca="1" ref="H371" ca="1">IF(INDEX(ExistsTx,$I371,2),INDIRECT("'T"&amp;$I371&amp;"'!$E$"&amp;($J371+5),TRUE),0)</f>
        <v>0</v>
      </c>
      <c r="I371" s="229">
        <v>24</v>
      </c>
      <c r="J371" s="229">
        <v>1</v>
      </c>
      <c r="K371" s="230" t="str">
        <f t="array" aca="1" ref="K371" ca="1">INDEX(ListTeams,$I371,1)</f>
        <v/>
      </c>
      <c r="L371" s="230">
        <f t="array" aca="1" ref="L371" ca="1">IF(OR(NOT(INDEX(ExistsTx,$I371,2)),$H371=0),0,INDIRECT("'T"&amp;$I371&amp;"'!$M$"&amp;($J371+5),TRUE)+((1000-ROW())/10000000000000))</f>
        <v>0</v>
      </c>
      <c r="M371" s="230">
        <f t="array" aca="1" ref="M371" ca="1">IF(OR(NOT(INDEX(ExistsTx,$I371,2)),$H371=0),0,INDIRECT("'T"&amp;$I371&amp;"'!$N$"&amp;($J371+5),TRUE)+((1000-ROW())/10000000000000))</f>
        <v>0</v>
      </c>
      <c r="N371" s="230">
        <f t="array" aca="1" ref="N371" ca="1">IF(OR(NOT(INDEX(ExistsTx,$I371,2)),$H371=0),0,INDIRECT("'T"&amp;$I371&amp;"'!$O$"&amp;($J371+5),TRUE)+((1000-ROW())/10000000000000))</f>
        <v>0</v>
      </c>
      <c r="O371" s="230">
        <f t="array" aca="1" ref="O371" ca="1">IF(OR(NOT(INDEX(ExistsTx,$I371,2)),$H371=0),0,INDIRECT("'T"&amp;$I371&amp;"'!$P$"&amp;($J371+5),TRUE)+((1000-ROW())/10000000000000))</f>
        <v>0</v>
      </c>
      <c r="P371" s="230">
        <f t="array" aca="1" ref="P371" ca="1">IF(OR(NOT(INDEX(ExistsTx,$I371,2)),$H371=0),0,INDIRECT("'T"&amp;$I371&amp;"'!$Q$"&amp;($J371+5),TRUE)+((1000-ROW())/10000000000000))</f>
        <v>0</v>
      </c>
      <c r="Q371" s="230">
        <f t="shared" ca="1" si="65"/>
        <v>8.0871428652299999E-7</v>
      </c>
      <c r="R371" s="230"/>
      <c r="S371" s="230"/>
      <c r="T371" s="230"/>
      <c r="U371" s="230"/>
      <c r="V371" s="230"/>
      <c r="W371" s="230"/>
      <c r="X371" s="229"/>
      <c r="Y371" s="229"/>
      <c r="Z371" s="229"/>
      <c r="AA371" s="230"/>
      <c r="AB371" s="230"/>
      <c r="AC371" s="230"/>
      <c r="AD371" s="229"/>
      <c r="AE371" s="230"/>
    </row>
    <row r="372" spans="1:31" ht="12.75" customHeight="1">
      <c r="A372" s="229" t="str">
        <f t="shared" ca="1" si="59"/>
        <v/>
      </c>
      <c r="B372" s="229" t="str">
        <f t="shared" ca="1" si="60"/>
        <v/>
      </c>
      <c r="C372" s="229" t="str">
        <f t="shared" ca="1" si="61"/>
        <v/>
      </c>
      <c r="D372" s="229" t="str">
        <f t="shared" ca="1" si="62"/>
        <v/>
      </c>
      <c r="E372" s="229" t="str">
        <f t="shared" ca="1" si="63"/>
        <v/>
      </c>
      <c r="F372" s="229" t="str">
        <f t="shared" ca="1" si="64"/>
        <v/>
      </c>
      <c r="G372" s="230" t="str">
        <f t="array" aca="1" ref="G372" ca="1">IF(INDEX(ExistsTx,$I372,2),IF(INDIRECT("'T"&amp;$I372&amp;"'!$D$"&amp;($J372+5),TRUE)=0,T_NoName,INDIRECT("'T"&amp;$I372&amp;"'!$D$"&amp;($J372+5),TRUE)),"")</f>
        <v/>
      </c>
      <c r="H372" s="230">
        <f t="array" aca="1" ref="H372" ca="1">IF(INDEX(ExistsTx,$I372,2),INDIRECT("'T"&amp;$I372&amp;"'!$E$"&amp;($J372+5),TRUE),0)</f>
        <v>0</v>
      </c>
      <c r="I372" s="229">
        <v>24</v>
      </c>
      <c r="J372" s="229">
        <v>2</v>
      </c>
      <c r="K372" s="230" t="str">
        <f t="array" aca="1" ref="K372" ca="1">INDEX(ListTeams,$I372,1)</f>
        <v/>
      </c>
      <c r="L372" s="230">
        <f t="array" aca="1" ref="L372" ca="1">IF(OR(NOT(INDEX(ExistsTx,$I372,2)),$H372=0),0,INDIRECT("'T"&amp;$I372&amp;"'!$M$"&amp;($J372+5),TRUE)+((1000-ROW())/10000000000000))</f>
        <v>0</v>
      </c>
      <c r="M372" s="230">
        <f t="array" aca="1" ref="M372" ca="1">IF(OR(NOT(INDEX(ExistsTx,$I372,2)),$H372=0),0,INDIRECT("'T"&amp;$I372&amp;"'!$N$"&amp;($J372+5),TRUE)+((1000-ROW())/10000000000000))</f>
        <v>0</v>
      </c>
      <c r="N372" s="230">
        <f t="array" aca="1" ref="N372" ca="1">IF(OR(NOT(INDEX(ExistsTx,$I372,2)),$H372=0),0,INDIRECT("'T"&amp;$I372&amp;"'!$O$"&amp;($J372+5),TRUE)+((1000-ROW())/10000000000000))</f>
        <v>0</v>
      </c>
      <c r="O372" s="230">
        <f t="array" aca="1" ref="O372" ca="1">IF(OR(NOT(INDEX(ExistsTx,$I372,2)),$H372=0),0,INDIRECT("'T"&amp;$I372&amp;"'!$P$"&amp;($J372+5),TRUE)+((1000-ROW())/10000000000000))</f>
        <v>0</v>
      </c>
      <c r="P372" s="230">
        <f t="array" aca="1" ref="P372" ca="1">IF(OR(NOT(INDEX(ExistsTx,$I372,2)),$H372=0),0,INDIRECT("'T"&amp;$I372&amp;"'!$Q$"&amp;($J372+5),TRUE)+((1000-ROW())/10000000000000))</f>
        <v>0</v>
      </c>
      <c r="Q372" s="230">
        <f t="shared" ca="1" si="65"/>
        <v>8.0742857223599998E-7</v>
      </c>
      <c r="R372" s="230"/>
      <c r="S372" s="230"/>
      <c r="T372" s="230"/>
      <c r="U372" s="230"/>
      <c r="V372" s="230"/>
      <c r="W372" s="230"/>
      <c r="X372" s="229"/>
      <c r="Y372" s="229"/>
      <c r="Z372" s="229"/>
      <c r="AA372" s="230"/>
      <c r="AB372" s="230"/>
      <c r="AC372" s="230"/>
      <c r="AD372" s="229"/>
      <c r="AE372" s="230"/>
    </row>
    <row r="373" spans="1:31" ht="12.75" customHeight="1">
      <c r="A373" s="229" t="str">
        <f t="shared" ca="1" si="59"/>
        <v/>
      </c>
      <c r="B373" s="229" t="str">
        <f t="shared" ca="1" si="60"/>
        <v/>
      </c>
      <c r="C373" s="229" t="str">
        <f t="shared" ca="1" si="61"/>
        <v/>
      </c>
      <c r="D373" s="229" t="str">
        <f t="shared" ca="1" si="62"/>
        <v/>
      </c>
      <c r="E373" s="229" t="str">
        <f t="shared" ca="1" si="63"/>
        <v/>
      </c>
      <c r="F373" s="229" t="str">
        <f t="shared" ca="1" si="64"/>
        <v/>
      </c>
      <c r="G373" s="230" t="str">
        <f t="array" aca="1" ref="G373" ca="1">IF(INDEX(ExistsTx,$I373,2),IF(INDIRECT("'T"&amp;$I373&amp;"'!$D$"&amp;($J373+5),TRUE)=0,T_NoName,INDIRECT("'T"&amp;$I373&amp;"'!$D$"&amp;($J373+5),TRUE)),"")</f>
        <v/>
      </c>
      <c r="H373" s="230">
        <f t="array" aca="1" ref="H373" ca="1">IF(INDEX(ExistsTx,$I373,2),INDIRECT("'T"&amp;$I373&amp;"'!$E$"&amp;($J373+5),TRUE),0)</f>
        <v>0</v>
      </c>
      <c r="I373" s="229">
        <v>24</v>
      </c>
      <c r="J373" s="229">
        <v>3</v>
      </c>
      <c r="K373" s="230" t="str">
        <f t="array" aca="1" ref="K373" ca="1">INDEX(ListTeams,$I373,1)</f>
        <v/>
      </c>
      <c r="L373" s="230">
        <f t="array" aca="1" ref="L373" ca="1">IF(OR(NOT(INDEX(ExistsTx,$I373,2)),$H373=0),0,INDIRECT("'T"&amp;$I373&amp;"'!$M$"&amp;($J373+5),TRUE)+((1000-ROW())/10000000000000))</f>
        <v>0</v>
      </c>
      <c r="M373" s="230">
        <f t="array" aca="1" ref="M373" ca="1">IF(OR(NOT(INDEX(ExistsTx,$I373,2)),$H373=0),0,INDIRECT("'T"&amp;$I373&amp;"'!$N$"&amp;($J373+5),TRUE)+((1000-ROW())/10000000000000))</f>
        <v>0</v>
      </c>
      <c r="N373" s="230">
        <f t="array" aca="1" ref="N373" ca="1">IF(OR(NOT(INDEX(ExistsTx,$I373,2)),$H373=0),0,INDIRECT("'T"&amp;$I373&amp;"'!$O$"&amp;($J373+5),TRUE)+((1000-ROW())/10000000000000))</f>
        <v>0</v>
      </c>
      <c r="O373" s="230">
        <f t="array" aca="1" ref="O373" ca="1">IF(OR(NOT(INDEX(ExistsTx,$I373,2)),$H373=0),0,INDIRECT("'T"&amp;$I373&amp;"'!$P$"&amp;($J373+5),TRUE)+((1000-ROW())/10000000000000))</f>
        <v>0</v>
      </c>
      <c r="P373" s="230">
        <f t="array" aca="1" ref="P373" ca="1">IF(OR(NOT(INDEX(ExistsTx,$I373,2)),$H373=0),0,INDIRECT("'T"&amp;$I373&amp;"'!$Q$"&amp;($J373+5),TRUE)+((1000-ROW())/10000000000000))</f>
        <v>0</v>
      </c>
      <c r="Q373" s="230">
        <f t="shared" ca="1" si="65"/>
        <v>8.0614285794899997E-7</v>
      </c>
      <c r="R373" s="230"/>
      <c r="S373" s="230"/>
      <c r="T373" s="230"/>
      <c r="U373" s="230"/>
      <c r="V373" s="230"/>
      <c r="W373" s="230"/>
      <c r="X373" s="229"/>
      <c r="Y373" s="229"/>
      <c r="Z373" s="229"/>
      <c r="AA373" s="230"/>
      <c r="AB373" s="230"/>
      <c r="AC373" s="230"/>
      <c r="AD373" s="229"/>
      <c r="AE373" s="230"/>
    </row>
    <row r="374" spans="1:31" ht="12.75" customHeight="1">
      <c r="A374" s="229" t="str">
        <f t="shared" ca="1" si="59"/>
        <v/>
      </c>
      <c r="B374" s="229" t="str">
        <f t="shared" ca="1" si="60"/>
        <v/>
      </c>
      <c r="C374" s="229" t="str">
        <f t="shared" ca="1" si="61"/>
        <v/>
      </c>
      <c r="D374" s="229" t="str">
        <f t="shared" ca="1" si="62"/>
        <v/>
      </c>
      <c r="E374" s="229" t="str">
        <f t="shared" ca="1" si="63"/>
        <v/>
      </c>
      <c r="F374" s="229" t="str">
        <f t="shared" ca="1" si="64"/>
        <v/>
      </c>
      <c r="G374" s="230" t="str">
        <f t="array" aca="1" ref="G374" ca="1">IF(INDEX(ExistsTx,$I374,2),IF(INDIRECT("'T"&amp;$I374&amp;"'!$D$"&amp;($J374+5),TRUE)=0,T_NoName,INDIRECT("'T"&amp;$I374&amp;"'!$D$"&amp;($J374+5),TRUE)),"")</f>
        <v/>
      </c>
      <c r="H374" s="230">
        <f t="array" aca="1" ref="H374" ca="1">IF(INDEX(ExistsTx,$I374,2),INDIRECT("'T"&amp;$I374&amp;"'!$E$"&amp;($J374+5),TRUE),0)</f>
        <v>0</v>
      </c>
      <c r="I374" s="229">
        <v>24</v>
      </c>
      <c r="J374" s="229">
        <v>4</v>
      </c>
      <c r="K374" s="230" t="str">
        <f t="array" aca="1" ref="K374" ca="1">INDEX(ListTeams,$I374,1)</f>
        <v/>
      </c>
      <c r="L374" s="230">
        <f t="array" aca="1" ref="L374" ca="1">IF(OR(NOT(INDEX(ExistsTx,$I374,2)),$H374=0),0,INDIRECT("'T"&amp;$I374&amp;"'!$M$"&amp;($J374+5),TRUE)+((1000-ROW())/10000000000000))</f>
        <v>0</v>
      </c>
      <c r="M374" s="230">
        <f t="array" aca="1" ref="M374" ca="1">IF(OR(NOT(INDEX(ExistsTx,$I374,2)),$H374=0),0,INDIRECT("'T"&amp;$I374&amp;"'!$N$"&amp;($J374+5),TRUE)+((1000-ROW())/10000000000000))</f>
        <v>0</v>
      </c>
      <c r="N374" s="230">
        <f t="array" aca="1" ref="N374" ca="1">IF(OR(NOT(INDEX(ExistsTx,$I374,2)),$H374=0),0,INDIRECT("'T"&amp;$I374&amp;"'!$O$"&amp;($J374+5),TRUE)+((1000-ROW())/10000000000000))</f>
        <v>0</v>
      </c>
      <c r="O374" s="230">
        <f t="array" aca="1" ref="O374" ca="1">IF(OR(NOT(INDEX(ExistsTx,$I374,2)),$H374=0),0,INDIRECT("'T"&amp;$I374&amp;"'!$P$"&amp;($J374+5),TRUE)+((1000-ROW())/10000000000000))</f>
        <v>0</v>
      </c>
      <c r="P374" s="230">
        <f t="array" aca="1" ref="P374" ca="1">IF(OR(NOT(INDEX(ExistsTx,$I374,2)),$H374=0),0,INDIRECT("'T"&amp;$I374&amp;"'!$Q$"&amp;($J374+5),TRUE)+((1000-ROW())/10000000000000))</f>
        <v>0</v>
      </c>
      <c r="Q374" s="230">
        <f t="shared" ca="1" si="65"/>
        <v>8.0485714366199996E-7</v>
      </c>
      <c r="R374" s="230"/>
      <c r="S374" s="230"/>
      <c r="T374" s="230"/>
      <c r="U374" s="230"/>
      <c r="V374" s="230"/>
      <c r="W374" s="230"/>
      <c r="X374" s="229"/>
      <c r="Y374" s="229"/>
      <c r="Z374" s="229"/>
      <c r="AA374" s="230"/>
      <c r="AB374" s="230"/>
      <c r="AC374" s="230"/>
      <c r="AD374" s="229"/>
      <c r="AE374" s="230"/>
    </row>
    <row r="375" spans="1:31" ht="12.75" customHeight="1">
      <c r="A375" s="229" t="str">
        <f t="shared" ca="1" si="59"/>
        <v/>
      </c>
      <c r="B375" s="229" t="str">
        <f t="shared" ca="1" si="60"/>
        <v/>
      </c>
      <c r="C375" s="229" t="str">
        <f t="shared" ca="1" si="61"/>
        <v/>
      </c>
      <c r="D375" s="229" t="str">
        <f t="shared" ca="1" si="62"/>
        <v/>
      </c>
      <c r="E375" s="229" t="str">
        <f t="shared" ca="1" si="63"/>
        <v/>
      </c>
      <c r="F375" s="229" t="str">
        <f t="shared" ca="1" si="64"/>
        <v/>
      </c>
      <c r="G375" s="230" t="str">
        <f t="array" aca="1" ref="G375" ca="1">IF(INDEX(ExistsTx,$I375,2),IF(INDIRECT("'T"&amp;$I375&amp;"'!$D$"&amp;($J375+5),TRUE)=0,T_NoName,INDIRECT("'T"&amp;$I375&amp;"'!$D$"&amp;($J375+5),TRUE)),"")</f>
        <v/>
      </c>
      <c r="H375" s="230">
        <f t="array" aca="1" ref="H375" ca="1">IF(INDEX(ExistsTx,$I375,2),INDIRECT("'T"&amp;$I375&amp;"'!$E$"&amp;($J375+5),TRUE),0)</f>
        <v>0</v>
      </c>
      <c r="I375" s="229">
        <v>24</v>
      </c>
      <c r="J375" s="229">
        <v>5</v>
      </c>
      <c r="K375" s="230" t="str">
        <f t="array" aca="1" ref="K375" ca="1">INDEX(ListTeams,$I375,1)</f>
        <v/>
      </c>
      <c r="L375" s="230">
        <f t="array" aca="1" ref="L375" ca="1">IF(OR(NOT(INDEX(ExistsTx,$I375,2)),$H375=0),0,INDIRECT("'T"&amp;$I375&amp;"'!$M$"&amp;($J375+5),TRUE)+((1000-ROW())/10000000000000))</f>
        <v>0</v>
      </c>
      <c r="M375" s="230">
        <f t="array" aca="1" ref="M375" ca="1">IF(OR(NOT(INDEX(ExistsTx,$I375,2)),$H375=0),0,INDIRECT("'T"&amp;$I375&amp;"'!$N$"&amp;($J375+5),TRUE)+((1000-ROW())/10000000000000))</f>
        <v>0</v>
      </c>
      <c r="N375" s="230">
        <f t="array" aca="1" ref="N375" ca="1">IF(OR(NOT(INDEX(ExistsTx,$I375,2)),$H375=0),0,INDIRECT("'T"&amp;$I375&amp;"'!$O$"&amp;($J375+5),TRUE)+((1000-ROW())/10000000000000))</f>
        <v>0</v>
      </c>
      <c r="O375" s="230">
        <f t="array" aca="1" ref="O375" ca="1">IF(OR(NOT(INDEX(ExistsTx,$I375,2)),$H375=0),0,INDIRECT("'T"&amp;$I375&amp;"'!$P$"&amp;($J375+5),TRUE)+((1000-ROW())/10000000000000))</f>
        <v>0</v>
      </c>
      <c r="P375" s="230">
        <f t="array" aca="1" ref="P375" ca="1">IF(OR(NOT(INDEX(ExistsTx,$I375,2)),$H375=0),0,INDIRECT("'T"&amp;$I375&amp;"'!$Q$"&amp;($J375+5),TRUE)+((1000-ROW())/10000000000000))</f>
        <v>0</v>
      </c>
      <c r="Q375" s="230">
        <f t="shared" ca="1" si="65"/>
        <v>8.0357142937500005E-7</v>
      </c>
      <c r="R375" s="230"/>
      <c r="S375" s="230"/>
      <c r="T375" s="230"/>
      <c r="U375" s="230"/>
      <c r="V375" s="230"/>
      <c r="W375" s="230"/>
      <c r="X375" s="229"/>
      <c r="Y375" s="229"/>
      <c r="Z375" s="229"/>
      <c r="AA375" s="230"/>
      <c r="AB375" s="230"/>
      <c r="AC375" s="230"/>
      <c r="AD375" s="229"/>
      <c r="AE375" s="230"/>
    </row>
    <row r="376" spans="1:31" ht="12.75" customHeight="1">
      <c r="A376" s="229" t="str">
        <f t="shared" ca="1" si="59"/>
        <v/>
      </c>
      <c r="B376" s="229" t="str">
        <f t="shared" ca="1" si="60"/>
        <v/>
      </c>
      <c r="C376" s="229" t="str">
        <f t="shared" ca="1" si="61"/>
        <v/>
      </c>
      <c r="D376" s="229" t="str">
        <f t="shared" ca="1" si="62"/>
        <v/>
      </c>
      <c r="E376" s="229" t="str">
        <f t="shared" ca="1" si="63"/>
        <v/>
      </c>
      <c r="F376" s="229" t="str">
        <f t="shared" ca="1" si="64"/>
        <v/>
      </c>
      <c r="G376" s="230" t="str">
        <f t="array" aca="1" ref="G376" ca="1">IF(INDEX(ExistsTx,$I376,2),IF(INDIRECT("'T"&amp;$I376&amp;"'!$D$"&amp;($J376+5),TRUE)=0,T_NoName,INDIRECT("'T"&amp;$I376&amp;"'!$D$"&amp;($J376+5),TRUE)),"")</f>
        <v/>
      </c>
      <c r="H376" s="230">
        <f t="array" aca="1" ref="H376" ca="1">IF(INDEX(ExistsTx,$I376,2),INDIRECT("'T"&amp;$I376&amp;"'!$E$"&amp;($J376+5),TRUE),0)</f>
        <v>0</v>
      </c>
      <c r="I376" s="229">
        <v>24</v>
      </c>
      <c r="J376" s="229">
        <v>6</v>
      </c>
      <c r="K376" s="230" t="str">
        <f t="array" aca="1" ref="K376" ca="1">INDEX(ListTeams,$I376,1)</f>
        <v/>
      </c>
      <c r="L376" s="230">
        <f t="array" aca="1" ref="L376" ca="1">IF(OR(NOT(INDEX(ExistsTx,$I376,2)),$H376=0),0,INDIRECT("'T"&amp;$I376&amp;"'!$M$"&amp;($J376+5),TRUE)+((1000-ROW())/10000000000000))</f>
        <v>0</v>
      </c>
      <c r="M376" s="230">
        <f t="array" aca="1" ref="M376" ca="1">IF(OR(NOT(INDEX(ExistsTx,$I376,2)),$H376=0),0,INDIRECT("'T"&amp;$I376&amp;"'!$N$"&amp;($J376+5),TRUE)+((1000-ROW())/10000000000000))</f>
        <v>0</v>
      </c>
      <c r="N376" s="230">
        <f t="array" aca="1" ref="N376" ca="1">IF(OR(NOT(INDEX(ExistsTx,$I376,2)),$H376=0),0,INDIRECT("'T"&amp;$I376&amp;"'!$O$"&amp;($J376+5),TRUE)+((1000-ROW())/10000000000000))</f>
        <v>0</v>
      </c>
      <c r="O376" s="230">
        <f t="array" aca="1" ref="O376" ca="1">IF(OR(NOT(INDEX(ExistsTx,$I376,2)),$H376=0),0,INDIRECT("'T"&amp;$I376&amp;"'!$P$"&amp;($J376+5),TRUE)+((1000-ROW())/10000000000000))</f>
        <v>0</v>
      </c>
      <c r="P376" s="230">
        <f t="array" aca="1" ref="P376" ca="1">IF(OR(NOT(INDEX(ExistsTx,$I376,2)),$H376=0),0,INDIRECT("'T"&amp;$I376&amp;"'!$Q$"&amp;($J376+5),TRUE)+((1000-ROW())/10000000000000))</f>
        <v>0</v>
      </c>
      <c r="Q376" s="230">
        <f t="shared" ca="1" si="65"/>
        <v>8.0228571508800004E-7</v>
      </c>
      <c r="R376" s="230"/>
      <c r="S376" s="230"/>
      <c r="T376" s="230"/>
      <c r="U376" s="230"/>
      <c r="V376" s="230"/>
      <c r="W376" s="230"/>
      <c r="X376" s="229"/>
      <c r="Y376" s="229"/>
      <c r="Z376" s="229"/>
      <c r="AA376" s="230"/>
      <c r="AB376" s="230"/>
      <c r="AC376" s="230"/>
      <c r="AD376" s="229"/>
      <c r="AE376" s="230"/>
    </row>
    <row r="377" spans="1:31" ht="12.75" customHeight="1">
      <c r="A377" s="229" t="str">
        <f t="shared" ca="1" si="59"/>
        <v/>
      </c>
      <c r="B377" s="229" t="str">
        <f t="shared" ca="1" si="60"/>
        <v/>
      </c>
      <c r="C377" s="229" t="str">
        <f t="shared" ca="1" si="61"/>
        <v/>
      </c>
      <c r="D377" s="229" t="str">
        <f t="shared" ca="1" si="62"/>
        <v/>
      </c>
      <c r="E377" s="229" t="str">
        <f t="shared" ca="1" si="63"/>
        <v/>
      </c>
      <c r="F377" s="229" t="str">
        <f t="shared" ca="1" si="64"/>
        <v/>
      </c>
      <c r="G377" s="230" t="str">
        <f t="array" aca="1" ref="G377" ca="1">IF(INDEX(ExistsTx,$I377,2),IF(INDIRECT("'T"&amp;$I377&amp;"'!$D$"&amp;($J377+5),TRUE)=0,T_NoName,INDIRECT("'T"&amp;$I377&amp;"'!$D$"&amp;($J377+5),TRUE)),"")</f>
        <v/>
      </c>
      <c r="H377" s="230">
        <f t="array" aca="1" ref="H377" ca="1">IF(INDEX(ExistsTx,$I377,2),INDIRECT("'T"&amp;$I377&amp;"'!$E$"&amp;($J377+5),TRUE),0)</f>
        <v>0</v>
      </c>
      <c r="I377" s="229">
        <v>24</v>
      </c>
      <c r="J377" s="229">
        <v>7</v>
      </c>
      <c r="K377" s="230" t="str">
        <f t="array" aca="1" ref="K377" ca="1">INDEX(ListTeams,$I377,1)</f>
        <v/>
      </c>
      <c r="L377" s="230">
        <f t="array" aca="1" ref="L377" ca="1">IF(OR(NOT(INDEX(ExistsTx,$I377,2)),$H377=0),0,INDIRECT("'T"&amp;$I377&amp;"'!$M$"&amp;($J377+5),TRUE)+((1000-ROW())/10000000000000))</f>
        <v>0</v>
      </c>
      <c r="M377" s="230">
        <f t="array" aca="1" ref="M377" ca="1">IF(OR(NOT(INDEX(ExistsTx,$I377,2)),$H377=0),0,INDIRECT("'T"&amp;$I377&amp;"'!$N$"&amp;($J377+5),TRUE)+((1000-ROW())/10000000000000))</f>
        <v>0</v>
      </c>
      <c r="N377" s="230">
        <f t="array" aca="1" ref="N377" ca="1">IF(OR(NOT(INDEX(ExistsTx,$I377,2)),$H377=0),0,INDIRECT("'T"&amp;$I377&amp;"'!$O$"&amp;($J377+5),TRUE)+((1000-ROW())/10000000000000))</f>
        <v>0</v>
      </c>
      <c r="O377" s="230">
        <f t="array" aca="1" ref="O377" ca="1">IF(OR(NOT(INDEX(ExistsTx,$I377,2)),$H377=0),0,INDIRECT("'T"&amp;$I377&amp;"'!$P$"&amp;($J377+5),TRUE)+((1000-ROW())/10000000000000))</f>
        <v>0</v>
      </c>
      <c r="P377" s="230">
        <f t="array" aca="1" ref="P377" ca="1">IF(OR(NOT(INDEX(ExistsTx,$I377,2)),$H377=0),0,INDIRECT("'T"&amp;$I377&amp;"'!$Q$"&amp;($J377+5),TRUE)+((1000-ROW())/10000000000000))</f>
        <v>0</v>
      </c>
      <c r="Q377" s="230">
        <f t="shared" ca="1" si="65"/>
        <v>8.0100000080100003E-7</v>
      </c>
      <c r="R377" s="230"/>
      <c r="S377" s="230"/>
      <c r="T377" s="230"/>
      <c r="U377" s="230"/>
      <c r="V377" s="230"/>
      <c r="W377" s="230"/>
      <c r="X377" s="229"/>
      <c r="Y377" s="229"/>
      <c r="Z377" s="229"/>
      <c r="AA377" s="230"/>
      <c r="AB377" s="230"/>
      <c r="AC377" s="230"/>
      <c r="AD377" s="229"/>
      <c r="AE377" s="230"/>
    </row>
    <row r="378" spans="1:31" ht="12.75" customHeight="1">
      <c r="A378" s="229" t="str">
        <f t="shared" ca="1" si="59"/>
        <v/>
      </c>
      <c r="B378" s="229" t="str">
        <f t="shared" ca="1" si="60"/>
        <v/>
      </c>
      <c r="C378" s="229" t="str">
        <f t="shared" ca="1" si="61"/>
        <v/>
      </c>
      <c r="D378" s="229" t="str">
        <f t="shared" ca="1" si="62"/>
        <v/>
      </c>
      <c r="E378" s="229" t="str">
        <f t="shared" ca="1" si="63"/>
        <v/>
      </c>
      <c r="F378" s="229" t="str">
        <f t="shared" ca="1" si="64"/>
        <v/>
      </c>
      <c r="G378" s="230" t="str">
        <f t="array" aca="1" ref="G378" ca="1">IF(INDEX(ExistsTx,$I378,2),IF(INDIRECT("'T"&amp;$I378&amp;"'!$D$"&amp;($J378+5),TRUE)=0,T_NoName,INDIRECT("'T"&amp;$I378&amp;"'!$D$"&amp;($J378+5),TRUE)),"")</f>
        <v/>
      </c>
      <c r="H378" s="230">
        <f t="array" aca="1" ref="H378" ca="1">IF(INDEX(ExistsTx,$I378,2),INDIRECT("'T"&amp;$I378&amp;"'!$E$"&amp;($J378+5),TRUE),0)</f>
        <v>0</v>
      </c>
      <c r="I378" s="229">
        <v>24</v>
      </c>
      <c r="J378" s="229">
        <v>8</v>
      </c>
      <c r="K378" s="230" t="str">
        <f t="array" aca="1" ref="K378" ca="1">INDEX(ListTeams,$I378,1)</f>
        <v/>
      </c>
      <c r="L378" s="230">
        <f t="array" aca="1" ref="L378" ca="1">IF(OR(NOT(INDEX(ExistsTx,$I378,2)),$H378=0),0,INDIRECT("'T"&amp;$I378&amp;"'!$M$"&amp;($J378+5),TRUE)+((1000-ROW())/10000000000000))</f>
        <v>0</v>
      </c>
      <c r="M378" s="230">
        <f t="array" aca="1" ref="M378" ca="1">IF(OR(NOT(INDEX(ExistsTx,$I378,2)),$H378=0),0,INDIRECT("'T"&amp;$I378&amp;"'!$N$"&amp;($J378+5),TRUE)+((1000-ROW())/10000000000000))</f>
        <v>0</v>
      </c>
      <c r="N378" s="230">
        <f t="array" aca="1" ref="N378" ca="1">IF(OR(NOT(INDEX(ExistsTx,$I378,2)),$H378=0),0,INDIRECT("'T"&amp;$I378&amp;"'!$O$"&amp;($J378+5),TRUE)+((1000-ROW())/10000000000000))</f>
        <v>0</v>
      </c>
      <c r="O378" s="230">
        <f t="array" aca="1" ref="O378" ca="1">IF(OR(NOT(INDEX(ExistsTx,$I378,2)),$H378=0),0,INDIRECT("'T"&amp;$I378&amp;"'!$P$"&amp;($J378+5),TRUE)+((1000-ROW())/10000000000000))</f>
        <v>0</v>
      </c>
      <c r="P378" s="230">
        <f t="array" aca="1" ref="P378" ca="1">IF(OR(NOT(INDEX(ExistsTx,$I378,2)),$H378=0),0,INDIRECT("'T"&amp;$I378&amp;"'!$Q$"&amp;($J378+5),TRUE)+((1000-ROW())/10000000000000))</f>
        <v>0</v>
      </c>
      <c r="Q378" s="230">
        <f t="shared" ca="1" si="65"/>
        <v>7.9971428651400002E-7</v>
      </c>
      <c r="R378" s="230"/>
      <c r="S378" s="230"/>
      <c r="T378" s="230"/>
      <c r="U378" s="230"/>
      <c r="V378" s="230"/>
      <c r="W378" s="230"/>
      <c r="X378" s="229"/>
      <c r="Y378" s="229"/>
      <c r="Z378" s="229"/>
      <c r="AA378" s="230"/>
      <c r="AB378" s="230"/>
      <c r="AC378" s="230"/>
      <c r="AD378" s="229"/>
      <c r="AE378" s="230"/>
    </row>
    <row r="379" spans="1:31" ht="12.75" customHeight="1">
      <c r="A379" s="229" t="str">
        <f t="shared" ca="1" si="59"/>
        <v/>
      </c>
      <c r="B379" s="229" t="str">
        <f t="shared" ca="1" si="60"/>
        <v/>
      </c>
      <c r="C379" s="229" t="str">
        <f t="shared" ca="1" si="61"/>
        <v/>
      </c>
      <c r="D379" s="229" t="str">
        <f t="shared" ca="1" si="62"/>
        <v/>
      </c>
      <c r="E379" s="229" t="str">
        <f t="shared" ca="1" si="63"/>
        <v/>
      </c>
      <c r="F379" s="229" t="str">
        <f t="shared" ca="1" si="64"/>
        <v/>
      </c>
      <c r="G379" s="230" t="str">
        <f t="array" aca="1" ref="G379" ca="1">IF(INDEX(ExistsTx,$I379,2),IF(INDIRECT("'T"&amp;$I379&amp;"'!$D$"&amp;($J379+5),TRUE)=0,T_NoName,INDIRECT("'T"&amp;$I379&amp;"'!$D$"&amp;($J379+5),TRUE)),"")</f>
        <v/>
      </c>
      <c r="H379" s="230">
        <f t="array" aca="1" ref="H379" ca="1">IF(INDEX(ExistsTx,$I379,2),INDIRECT("'T"&amp;$I379&amp;"'!$E$"&amp;($J379+5),TRUE),0)</f>
        <v>0</v>
      </c>
      <c r="I379" s="229">
        <v>24</v>
      </c>
      <c r="J379" s="229">
        <v>9</v>
      </c>
      <c r="K379" s="230" t="str">
        <f t="array" aca="1" ref="K379" ca="1">INDEX(ListTeams,$I379,1)</f>
        <v/>
      </c>
      <c r="L379" s="230">
        <f t="array" aca="1" ref="L379" ca="1">IF(OR(NOT(INDEX(ExistsTx,$I379,2)),$H379=0),0,INDIRECT("'T"&amp;$I379&amp;"'!$M$"&amp;($J379+5),TRUE)+((1000-ROW())/10000000000000))</f>
        <v>0</v>
      </c>
      <c r="M379" s="230">
        <f t="array" aca="1" ref="M379" ca="1">IF(OR(NOT(INDEX(ExistsTx,$I379,2)),$H379=0),0,INDIRECT("'T"&amp;$I379&amp;"'!$N$"&amp;($J379+5),TRUE)+((1000-ROW())/10000000000000))</f>
        <v>0</v>
      </c>
      <c r="N379" s="230">
        <f t="array" aca="1" ref="N379" ca="1">IF(OR(NOT(INDEX(ExistsTx,$I379,2)),$H379=0),0,INDIRECT("'T"&amp;$I379&amp;"'!$O$"&amp;($J379+5),TRUE)+((1000-ROW())/10000000000000))</f>
        <v>0</v>
      </c>
      <c r="O379" s="230">
        <f t="array" aca="1" ref="O379" ca="1">IF(OR(NOT(INDEX(ExistsTx,$I379,2)),$H379=0),0,INDIRECT("'T"&amp;$I379&amp;"'!$P$"&amp;($J379+5),TRUE)+((1000-ROW())/10000000000000))</f>
        <v>0</v>
      </c>
      <c r="P379" s="230">
        <f t="array" aca="1" ref="P379" ca="1">IF(OR(NOT(INDEX(ExistsTx,$I379,2)),$H379=0),0,INDIRECT("'T"&amp;$I379&amp;"'!$Q$"&amp;($J379+5),TRUE)+((1000-ROW())/10000000000000))</f>
        <v>0</v>
      </c>
      <c r="Q379" s="230">
        <f t="shared" ca="1" si="65"/>
        <v>7.98428572227E-7</v>
      </c>
      <c r="R379" s="230"/>
      <c r="S379" s="230"/>
      <c r="T379" s="230"/>
      <c r="U379" s="230"/>
      <c r="V379" s="230"/>
      <c r="W379" s="230"/>
      <c r="X379" s="229"/>
      <c r="Y379" s="229"/>
      <c r="Z379" s="229"/>
      <c r="AA379" s="230"/>
      <c r="AB379" s="230"/>
      <c r="AC379" s="230"/>
      <c r="AD379" s="229"/>
      <c r="AE379" s="230"/>
    </row>
    <row r="380" spans="1:31" ht="12.75" customHeight="1">
      <c r="A380" s="229" t="str">
        <f t="shared" ca="1" si="59"/>
        <v/>
      </c>
      <c r="B380" s="229" t="str">
        <f t="shared" ca="1" si="60"/>
        <v/>
      </c>
      <c r="C380" s="229" t="str">
        <f t="shared" ca="1" si="61"/>
        <v/>
      </c>
      <c r="D380" s="229" t="str">
        <f t="shared" ca="1" si="62"/>
        <v/>
      </c>
      <c r="E380" s="229" t="str">
        <f t="shared" ca="1" si="63"/>
        <v/>
      </c>
      <c r="F380" s="229" t="str">
        <f t="shared" ca="1" si="64"/>
        <v/>
      </c>
      <c r="G380" s="230" t="str">
        <f t="array" aca="1" ref="G380" ca="1">IF(INDEX(ExistsTx,$I380,2),IF(INDIRECT("'T"&amp;$I380&amp;"'!$D$"&amp;($J380+5),TRUE)=0,T_NoName,INDIRECT("'T"&amp;$I380&amp;"'!$D$"&amp;($J380+5),TRUE)),"")</f>
        <v/>
      </c>
      <c r="H380" s="230">
        <f t="array" aca="1" ref="H380" ca="1">IF(INDEX(ExistsTx,$I380,2),INDIRECT("'T"&amp;$I380&amp;"'!$E$"&amp;($J380+5),TRUE),0)</f>
        <v>0</v>
      </c>
      <c r="I380" s="229">
        <v>24</v>
      </c>
      <c r="J380" s="229">
        <v>10</v>
      </c>
      <c r="K380" s="230" t="str">
        <f t="array" aca="1" ref="K380" ca="1">INDEX(ListTeams,$I380,1)</f>
        <v/>
      </c>
      <c r="L380" s="230">
        <f t="array" aca="1" ref="L380" ca="1">IF(OR(NOT(INDEX(ExistsTx,$I380,2)),$H380=0),0,INDIRECT("'T"&amp;$I380&amp;"'!$M$"&amp;($J380+5),TRUE)+((1000-ROW())/10000000000000))</f>
        <v>0</v>
      </c>
      <c r="M380" s="230">
        <f t="array" aca="1" ref="M380" ca="1">IF(OR(NOT(INDEX(ExistsTx,$I380,2)),$H380=0),0,INDIRECT("'T"&amp;$I380&amp;"'!$N$"&amp;($J380+5),TRUE)+((1000-ROW())/10000000000000))</f>
        <v>0</v>
      </c>
      <c r="N380" s="230">
        <f t="array" aca="1" ref="N380" ca="1">IF(OR(NOT(INDEX(ExistsTx,$I380,2)),$H380=0),0,INDIRECT("'T"&amp;$I380&amp;"'!$O$"&amp;($J380+5),TRUE)+((1000-ROW())/10000000000000))</f>
        <v>0</v>
      </c>
      <c r="O380" s="230">
        <f t="array" aca="1" ref="O380" ca="1">IF(OR(NOT(INDEX(ExistsTx,$I380,2)),$H380=0),0,INDIRECT("'T"&amp;$I380&amp;"'!$P$"&amp;($J380+5),TRUE)+((1000-ROW())/10000000000000))</f>
        <v>0</v>
      </c>
      <c r="P380" s="230">
        <f t="array" aca="1" ref="P380" ca="1">IF(OR(NOT(INDEX(ExistsTx,$I380,2)),$H380=0),0,INDIRECT("'T"&amp;$I380&amp;"'!$Q$"&amp;($J380+5),TRUE)+((1000-ROW())/10000000000000))</f>
        <v>0</v>
      </c>
      <c r="Q380" s="230">
        <f t="shared" ca="1" si="65"/>
        <v>7.9714285793999999E-7</v>
      </c>
      <c r="R380" s="230"/>
      <c r="S380" s="230"/>
      <c r="T380" s="230"/>
      <c r="U380" s="230"/>
      <c r="V380" s="230"/>
      <c r="W380" s="230"/>
      <c r="X380" s="229"/>
      <c r="Y380" s="229"/>
      <c r="Z380" s="229"/>
      <c r="AA380" s="230"/>
      <c r="AB380" s="230"/>
      <c r="AC380" s="230"/>
      <c r="AD380" s="229"/>
      <c r="AE380" s="230"/>
    </row>
    <row r="381" spans="1:31" ht="12.75" customHeight="1">
      <c r="A381" s="229" t="str">
        <f t="shared" ca="1" si="59"/>
        <v/>
      </c>
      <c r="B381" s="229" t="str">
        <f t="shared" ca="1" si="60"/>
        <v/>
      </c>
      <c r="C381" s="229" t="str">
        <f t="shared" ca="1" si="61"/>
        <v/>
      </c>
      <c r="D381" s="229" t="str">
        <f t="shared" ca="1" si="62"/>
        <v/>
      </c>
      <c r="E381" s="229" t="str">
        <f t="shared" ca="1" si="63"/>
        <v/>
      </c>
      <c r="F381" s="229" t="str">
        <f t="shared" ca="1" si="64"/>
        <v/>
      </c>
      <c r="G381" s="230" t="str">
        <f t="array" aca="1" ref="G381" ca="1">IF(INDEX(ExistsTx,$I381,2),IF(INDIRECT("'T"&amp;$I381&amp;"'!$D$"&amp;($J381+5),TRUE)=0,T_NoName,INDIRECT("'T"&amp;$I381&amp;"'!$D$"&amp;($J381+5),TRUE)),"")</f>
        <v/>
      </c>
      <c r="H381" s="230">
        <f t="array" aca="1" ref="H381" ca="1">IF(INDEX(ExistsTx,$I381,2),INDIRECT("'T"&amp;$I381&amp;"'!$E$"&amp;($J381+5),TRUE),0)</f>
        <v>0</v>
      </c>
      <c r="I381" s="229">
        <v>24</v>
      </c>
      <c r="J381" s="229">
        <v>11</v>
      </c>
      <c r="K381" s="230" t="str">
        <f t="array" aca="1" ref="K381" ca="1">INDEX(ListTeams,$I381,1)</f>
        <v/>
      </c>
      <c r="L381" s="230">
        <f t="array" aca="1" ref="L381" ca="1">IF(OR(NOT(INDEX(ExistsTx,$I381,2)),$H381=0),0,INDIRECT("'T"&amp;$I381&amp;"'!$M$"&amp;($J381+5),TRUE)+((1000-ROW())/10000000000000))</f>
        <v>0</v>
      </c>
      <c r="M381" s="230">
        <f t="array" aca="1" ref="M381" ca="1">IF(OR(NOT(INDEX(ExistsTx,$I381,2)),$H381=0),0,INDIRECT("'T"&amp;$I381&amp;"'!$N$"&amp;($J381+5),TRUE)+((1000-ROW())/10000000000000))</f>
        <v>0</v>
      </c>
      <c r="N381" s="230">
        <f t="array" aca="1" ref="N381" ca="1">IF(OR(NOT(INDEX(ExistsTx,$I381,2)),$H381=0),0,INDIRECT("'T"&amp;$I381&amp;"'!$O$"&amp;($J381+5),TRUE)+((1000-ROW())/10000000000000))</f>
        <v>0</v>
      </c>
      <c r="O381" s="230">
        <f t="array" aca="1" ref="O381" ca="1">IF(OR(NOT(INDEX(ExistsTx,$I381,2)),$H381=0),0,INDIRECT("'T"&amp;$I381&amp;"'!$P$"&amp;($J381+5),TRUE)+((1000-ROW())/10000000000000))</f>
        <v>0</v>
      </c>
      <c r="P381" s="230">
        <f t="array" aca="1" ref="P381" ca="1">IF(OR(NOT(INDEX(ExistsTx,$I381,2)),$H381=0),0,INDIRECT("'T"&amp;$I381&amp;"'!$Q$"&amp;($J381+5),TRUE)+((1000-ROW())/10000000000000))</f>
        <v>0</v>
      </c>
      <c r="Q381" s="230">
        <f t="shared" ca="1" si="65"/>
        <v>7.9585714365299998E-7</v>
      </c>
      <c r="R381" s="230"/>
      <c r="S381" s="230"/>
      <c r="T381" s="230"/>
      <c r="U381" s="230"/>
      <c r="V381" s="230"/>
      <c r="W381" s="230"/>
      <c r="X381" s="229"/>
      <c r="Y381" s="229"/>
      <c r="Z381" s="229"/>
      <c r="AA381" s="230"/>
      <c r="AB381" s="230"/>
      <c r="AC381" s="230"/>
      <c r="AD381" s="229"/>
      <c r="AE381" s="230"/>
    </row>
    <row r="382" spans="1:31" ht="12.75" customHeight="1">
      <c r="A382" s="229" t="str">
        <f t="shared" ca="1" si="59"/>
        <v/>
      </c>
      <c r="B382" s="229" t="str">
        <f t="shared" ca="1" si="60"/>
        <v/>
      </c>
      <c r="C382" s="229" t="str">
        <f t="shared" ca="1" si="61"/>
        <v/>
      </c>
      <c r="D382" s="229" t="str">
        <f t="shared" ca="1" si="62"/>
        <v/>
      </c>
      <c r="E382" s="229" t="str">
        <f t="shared" ca="1" si="63"/>
        <v/>
      </c>
      <c r="F382" s="229" t="str">
        <f t="shared" ca="1" si="64"/>
        <v/>
      </c>
      <c r="G382" s="230" t="str">
        <f t="array" aca="1" ref="G382" ca="1">IF(INDEX(ExistsTx,$I382,2),IF(INDIRECT("'T"&amp;$I382&amp;"'!$D$"&amp;($J382+5),TRUE)=0,T_NoName,INDIRECT("'T"&amp;$I382&amp;"'!$D$"&amp;($J382+5),TRUE)),"")</f>
        <v/>
      </c>
      <c r="H382" s="230">
        <f t="array" aca="1" ref="H382" ca="1">IF(INDEX(ExistsTx,$I382,2),INDIRECT("'T"&amp;$I382&amp;"'!$E$"&amp;($J382+5),TRUE),0)</f>
        <v>0</v>
      </c>
      <c r="I382" s="229">
        <v>24</v>
      </c>
      <c r="J382" s="229">
        <v>12</v>
      </c>
      <c r="K382" s="230" t="str">
        <f t="array" aca="1" ref="K382" ca="1">INDEX(ListTeams,$I382,1)</f>
        <v/>
      </c>
      <c r="L382" s="230">
        <f t="array" aca="1" ref="L382" ca="1">IF(OR(NOT(INDEX(ExistsTx,$I382,2)),$H382=0),0,INDIRECT("'T"&amp;$I382&amp;"'!$M$"&amp;($J382+5),TRUE)+((1000-ROW())/10000000000000))</f>
        <v>0</v>
      </c>
      <c r="M382" s="230">
        <f t="array" aca="1" ref="M382" ca="1">IF(OR(NOT(INDEX(ExistsTx,$I382,2)),$H382=0),0,INDIRECT("'T"&amp;$I382&amp;"'!$N$"&amp;($J382+5),TRUE)+((1000-ROW())/10000000000000))</f>
        <v>0</v>
      </c>
      <c r="N382" s="230">
        <f t="array" aca="1" ref="N382" ca="1">IF(OR(NOT(INDEX(ExistsTx,$I382,2)),$H382=0),0,INDIRECT("'T"&amp;$I382&amp;"'!$O$"&amp;($J382+5),TRUE)+((1000-ROW())/10000000000000))</f>
        <v>0</v>
      </c>
      <c r="O382" s="230">
        <f t="array" aca="1" ref="O382" ca="1">IF(OR(NOT(INDEX(ExistsTx,$I382,2)),$H382=0),0,INDIRECT("'T"&amp;$I382&amp;"'!$P$"&amp;($J382+5),TRUE)+((1000-ROW())/10000000000000))</f>
        <v>0</v>
      </c>
      <c r="P382" s="230">
        <f t="array" aca="1" ref="P382" ca="1">IF(OR(NOT(INDEX(ExistsTx,$I382,2)),$H382=0),0,INDIRECT("'T"&amp;$I382&amp;"'!$Q$"&amp;($J382+5),TRUE)+((1000-ROW())/10000000000000))</f>
        <v>0</v>
      </c>
      <c r="Q382" s="230">
        <f t="shared" ca="1" si="65"/>
        <v>7.9457142936599997E-7</v>
      </c>
      <c r="R382" s="230"/>
      <c r="S382" s="230"/>
      <c r="T382" s="230"/>
      <c r="U382" s="230"/>
      <c r="V382" s="230"/>
      <c r="W382" s="230"/>
      <c r="X382" s="229"/>
      <c r="Y382" s="229"/>
      <c r="Z382" s="229"/>
      <c r="AA382" s="230"/>
      <c r="AB382" s="230"/>
      <c r="AC382" s="230"/>
      <c r="AD382" s="229"/>
      <c r="AE382" s="230"/>
    </row>
    <row r="383" spans="1:31" ht="12.75" customHeight="1">
      <c r="A383" s="229" t="str">
        <f t="shared" ca="1" si="59"/>
        <v/>
      </c>
      <c r="B383" s="229" t="str">
        <f t="shared" ca="1" si="60"/>
        <v/>
      </c>
      <c r="C383" s="229" t="str">
        <f t="shared" ca="1" si="61"/>
        <v/>
      </c>
      <c r="D383" s="229" t="str">
        <f t="shared" ca="1" si="62"/>
        <v/>
      </c>
      <c r="E383" s="229" t="str">
        <f t="shared" ca="1" si="63"/>
        <v/>
      </c>
      <c r="F383" s="229" t="str">
        <f t="shared" ca="1" si="64"/>
        <v/>
      </c>
      <c r="G383" s="230" t="str">
        <f t="array" aca="1" ref="G383" ca="1">IF(INDEX(ExistsTx,$I383,2),IF(INDIRECT("'T"&amp;$I383&amp;"'!$D$"&amp;($J383+5),TRUE)=0,T_NoName,INDIRECT("'T"&amp;$I383&amp;"'!$D$"&amp;($J383+5),TRUE)),"")</f>
        <v/>
      </c>
      <c r="H383" s="230">
        <f t="array" aca="1" ref="H383" ca="1">IF(INDEX(ExistsTx,$I383,2),INDIRECT("'T"&amp;$I383&amp;"'!$E$"&amp;($J383+5),TRUE),0)</f>
        <v>0</v>
      </c>
      <c r="I383" s="229">
        <v>24</v>
      </c>
      <c r="J383" s="229">
        <v>13</v>
      </c>
      <c r="K383" s="230" t="str">
        <f t="array" aca="1" ref="K383" ca="1">INDEX(ListTeams,$I383,1)</f>
        <v/>
      </c>
      <c r="L383" s="230">
        <f t="array" aca="1" ref="L383" ca="1">IF(OR(NOT(INDEX(ExistsTx,$I383,2)),$H383=0),0,INDIRECT("'T"&amp;$I383&amp;"'!$M$"&amp;($J383+5),TRUE)+((1000-ROW())/10000000000000))</f>
        <v>0</v>
      </c>
      <c r="M383" s="230">
        <f t="array" aca="1" ref="M383" ca="1">IF(OR(NOT(INDEX(ExistsTx,$I383,2)),$H383=0),0,INDIRECT("'T"&amp;$I383&amp;"'!$N$"&amp;($J383+5),TRUE)+((1000-ROW())/10000000000000))</f>
        <v>0</v>
      </c>
      <c r="N383" s="230">
        <f t="array" aca="1" ref="N383" ca="1">IF(OR(NOT(INDEX(ExistsTx,$I383,2)),$H383=0),0,INDIRECT("'T"&amp;$I383&amp;"'!$O$"&amp;($J383+5),TRUE)+((1000-ROW())/10000000000000))</f>
        <v>0</v>
      </c>
      <c r="O383" s="230">
        <f t="array" aca="1" ref="O383" ca="1">IF(OR(NOT(INDEX(ExistsTx,$I383,2)),$H383=0),0,INDIRECT("'T"&amp;$I383&amp;"'!$P$"&amp;($J383+5),TRUE)+((1000-ROW())/10000000000000))</f>
        <v>0</v>
      </c>
      <c r="P383" s="230">
        <f t="array" aca="1" ref="P383" ca="1">IF(OR(NOT(INDEX(ExistsTx,$I383,2)),$H383=0),0,INDIRECT("'T"&amp;$I383&amp;"'!$Q$"&amp;($J383+5),TRUE)+((1000-ROW())/10000000000000))</f>
        <v>0</v>
      </c>
      <c r="Q383" s="230">
        <f t="shared" ca="1" si="65"/>
        <v>7.9328571507899996E-7</v>
      </c>
      <c r="R383" s="230"/>
      <c r="S383" s="230"/>
      <c r="T383" s="230"/>
      <c r="U383" s="230"/>
      <c r="V383" s="230"/>
      <c r="W383" s="230"/>
      <c r="X383" s="229"/>
      <c r="Y383" s="229"/>
      <c r="Z383" s="229"/>
      <c r="AA383" s="230"/>
      <c r="AB383" s="230"/>
      <c r="AC383" s="230"/>
      <c r="AD383" s="229"/>
      <c r="AE383" s="230"/>
    </row>
    <row r="384" spans="1:31" ht="12.75" customHeight="1">
      <c r="A384" s="229" t="str">
        <f t="shared" ca="1" si="59"/>
        <v/>
      </c>
      <c r="B384" s="229" t="str">
        <f t="shared" ca="1" si="60"/>
        <v/>
      </c>
      <c r="C384" s="229" t="str">
        <f t="shared" ca="1" si="61"/>
        <v/>
      </c>
      <c r="D384" s="229" t="str">
        <f t="shared" ca="1" si="62"/>
        <v/>
      </c>
      <c r="E384" s="229" t="str">
        <f t="shared" ca="1" si="63"/>
        <v/>
      </c>
      <c r="F384" s="229" t="str">
        <f t="shared" ca="1" si="64"/>
        <v/>
      </c>
      <c r="G384" s="230" t="str">
        <f t="array" aca="1" ref="G384" ca="1">IF(INDEX(ExistsTx,$I384,2),IF(INDIRECT("'T"&amp;$I384&amp;"'!$D$"&amp;($J384+5),TRUE)=0,T_NoName,INDIRECT("'T"&amp;$I384&amp;"'!$D$"&amp;($J384+5),TRUE)),"")</f>
        <v/>
      </c>
      <c r="H384" s="230">
        <f t="array" aca="1" ref="H384" ca="1">IF(INDEX(ExistsTx,$I384,2),INDIRECT("'T"&amp;$I384&amp;"'!$E$"&amp;($J384+5),TRUE),0)</f>
        <v>0</v>
      </c>
      <c r="I384" s="229">
        <v>24</v>
      </c>
      <c r="J384" s="229">
        <v>14</v>
      </c>
      <c r="K384" s="230" t="str">
        <f t="array" aca="1" ref="K384" ca="1">INDEX(ListTeams,$I384,1)</f>
        <v/>
      </c>
      <c r="L384" s="230">
        <f t="array" aca="1" ref="L384" ca="1">IF(OR(NOT(INDEX(ExistsTx,$I384,2)),$H384=0),0,INDIRECT("'T"&amp;$I384&amp;"'!$M$"&amp;($J384+5),TRUE)+((1000-ROW())/10000000000000))</f>
        <v>0</v>
      </c>
      <c r="M384" s="230">
        <f t="array" aca="1" ref="M384" ca="1">IF(OR(NOT(INDEX(ExistsTx,$I384,2)),$H384=0),0,INDIRECT("'T"&amp;$I384&amp;"'!$N$"&amp;($J384+5),TRUE)+((1000-ROW())/10000000000000))</f>
        <v>0</v>
      </c>
      <c r="N384" s="230">
        <f t="array" aca="1" ref="N384" ca="1">IF(OR(NOT(INDEX(ExistsTx,$I384,2)),$H384=0),0,INDIRECT("'T"&amp;$I384&amp;"'!$O$"&amp;($J384+5),TRUE)+((1000-ROW())/10000000000000))</f>
        <v>0</v>
      </c>
      <c r="O384" s="230">
        <f t="array" aca="1" ref="O384" ca="1">IF(OR(NOT(INDEX(ExistsTx,$I384,2)),$H384=0),0,INDIRECT("'T"&amp;$I384&amp;"'!$P$"&amp;($J384+5),TRUE)+((1000-ROW())/10000000000000))</f>
        <v>0</v>
      </c>
      <c r="P384" s="230">
        <f t="array" aca="1" ref="P384" ca="1">IF(OR(NOT(INDEX(ExistsTx,$I384,2)),$H384=0),0,INDIRECT("'T"&amp;$I384&amp;"'!$Q$"&amp;($J384+5),TRUE)+((1000-ROW())/10000000000000))</f>
        <v>0</v>
      </c>
      <c r="Q384" s="230">
        <f t="shared" ca="1" si="65"/>
        <v>7.9200000079200005E-7</v>
      </c>
      <c r="R384" s="230"/>
      <c r="S384" s="230"/>
      <c r="T384" s="230"/>
      <c r="U384" s="230"/>
      <c r="V384" s="230"/>
      <c r="W384" s="230"/>
      <c r="X384" s="229"/>
      <c r="Y384" s="229"/>
      <c r="Z384" s="229"/>
      <c r="AA384" s="230"/>
      <c r="AB384" s="230"/>
      <c r="AC384" s="230"/>
      <c r="AD384" s="229"/>
      <c r="AE384" s="230"/>
    </row>
    <row r="385" spans="1:31" ht="12.75" customHeight="1">
      <c r="A385" s="229" t="str">
        <f t="shared" ca="1" si="59"/>
        <v/>
      </c>
      <c r="B385" s="229" t="str">
        <f t="shared" ca="1" si="60"/>
        <v/>
      </c>
      <c r="C385" s="229" t="str">
        <f t="shared" ca="1" si="61"/>
        <v/>
      </c>
      <c r="D385" s="229" t="str">
        <f t="shared" ca="1" si="62"/>
        <v/>
      </c>
      <c r="E385" s="229" t="str">
        <f t="shared" ca="1" si="63"/>
        <v/>
      </c>
      <c r="F385" s="229" t="str">
        <f t="shared" ca="1" si="64"/>
        <v/>
      </c>
      <c r="G385" s="230" t="str">
        <f t="array" aca="1" ref="G385" ca="1">IF(INDEX(ExistsTx,$I385,2),IF(INDIRECT("'T"&amp;$I385&amp;"'!$D$"&amp;($J385+5),TRUE)=0,T_NoName,INDIRECT("'T"&amp;$I385&amp;"'!$D$"&amp;($J385+5),TRUE)),"")</f>
        <v/>
      </c>
      <c r="H385" s="230">
        <f t="array" aca="1" ref="H385" ca="1">IF(INDEX(ExistsTx,$I385,2),INDIRECT("'T"&amp;$I385&amp;"'!$E$"&amp;($J385+5),TRUE),0)</f>
        <v>0</v>
      </c>
      <c r="I385" s="229">
        <v>24</v>
      </c>
      <c r="J385" s="229">
        <v>15</v>
      </c>
      <c r="K385" s="230" t="str">
        <f t="array" aca="1" ref="K385" ca="1">INDEX(ListTeams,$I385,1)</f>
        <v/>
      </c>
      <c r="L385" s="230">
        <f t="array" aca="1" ref="L385" ca="1">IF(OR(NOT(INDEX(ExistsTx,$I385,2)),$H385=0),0,INDIRECT("'T"&amp;$I385&amp;"'!$M$"&amp;($J385+5),TRUE)+((1000-ROW())/10000000000000))</f>
        <v>0</v>
      </c>
      <c r="M385" s="230">
        <f t="array" aca="1" ref="M385" ca="1">IF(OR(NOT(INDEX(ExistsTx,$I385,2)),$H385=0),0,INDIRECT("'T"&amp;$I385&amp;"'!$N$"&amp;($J385+5),TRUE)+((1000-ROW())/10000000000000))</f>
        <v>0</v>
      </c>
      <c r="N385" s="230">
        <f t="array" aca="1" ref="N385" ca="1">IF(OR(NOT(INDEX(ExistsTx,$I385,2)),$H385=0),0,INDIRECT("'T"&amp;$I385&amp;"'!$O$"&amp;($J385+5),TRUE)+((1000-ROW())/10000000000000))</f>
        <v>0</v>
      </c>
      <c r="O385" s="230">
        <f t="array" aca="1" ref="O385" ca="1">IF(OR(NOT(INDEX(ExistsTx,$I385,2)),$H385=0),0,INDIRECT("'T"&amp;$I385&amp;"'!$P$"&amp;($J385+5),TRUE)+((1000-ROW())/10000000000000))</f>
        <v>0</v>
      </c>
      <c r="P385" s="230">
        <f t="array" aca="1" ref="P385" ca="1">IF(OR(NOT(INDEX(ExistsTx,$I385,2)),$H385=0),0,INDIRECT("'T"&amp;$I385&amp;"'!$Q$"&amp;($J385+5),TRUE)+((1000-ROW())/10000000000000))</f>
        <v>0</v>
      </c>
      <c r="Q385" s="230">
        <f t="shared" ca="1" si="65"/>
        <v>7.9071428650500004E-7</v>
      </c>
      <c r="R385" s="230"/>
      <c r="S385" s="230"/>
      <c r="T385" s="230"/>
      <c r="U385" s="230"/>
      <c r="V385" s="230"/>
      <c r="W385" s="230"/>
      <c r="X385" s="229"/>
      <c r="Y385" s="229"/>
      <c r="Z385" s="229"/>
      <c r="AA385" s="230"/>
      <c r="AB385" s="230"/>
      <c r="AC385" s="230"/>
      <c r="AD385" s="229"/>
      <c r="AE385" s="230"/>
    </row>
    <row r="386" spans="1:31" ht="12.75" customHeight="1">
      <c r="A386" s="229" t="str">
        <f t="shared" ca="1" si="59"/>
        <v/>
      </c>
      <c r="B386" s="229" t="str">
        <f t="shared" ca="1" si="60"/>
        <v/>
      </c>
      <c r="C386" s="229" t="str">
        <f t="shared" ca="1" si="61"/>
        <v/>
      </c>
      <c r="D386" s="229" t="str">
        <f t="shared" ca="1" si="62"/>
        <v/>
      </c>
      <c r="E386" s="229" t="str">
        <f t="shared" ca="1" si="63"/>
        <v/>
      </c>
      <c r="F386" s="229" t="str">
        <f t="shared" ca="1" si="64"/>
        <v/>
      </c>
      <c r="G386" s="230" t="str">
        <f t="array" aca="1" ref="G386" ca="1">IF(INDEX(ExistsTx,$I386,2),IF(INDIRECT("'T"&amp;$I386&amp;"'!$D$"&amp;($J386+5),TRUE)=0,T_NoName,INDIRECT("'T"&amp;$I386&amp;"'!$D$"&amp;($J386+5),TRUE)),"")</f>
        <v/>
      </c>
      <c r="H386" s="230">
        <f t="array" aca="1" ref="H386" ca="1">IF(INDEX(ExistsTx,$I386,2),INDIRECT("'T"&amp;$I386&amp;"'!$E$"&amp;($J386+5),TRUE),0)</f>
        <v>0</v>
      </c>
      <c r="I386" s="229">
        <v>24</v>
      </c>
      <c r="J386" s="229">
        <v>16</v>
      </c>
      <c r="K386" s="230" t="str">
        <f t="array" aca="1" ref="K386" ca="1">INDEX(ListTeams,$I386,1)</f>
        <v/>
      </c>
      <c r="L386" s="230">
        <f t="array" aca="1" ref="L386" ca="1">IF(OR(NOT(INDEX(ExistsTx,$I386,2)),$H386=0),0,INDIRECT("'T"&amp;$I386&amp;"'!$M$"&amp;($J386+5),TRUE)+((1000-ROW())/10000000000000))</f>
        <v>0</v>
      </c>
      <c r="M386" s="230">
        <f t="array" aca="1" ref="M386" ca="1">IF(OR(NOT(INDEX(ExistsTx,$I386,2)),$H386=0),0,INDIRECT("'T"&amp;$I386&amp;"'!$N$"&amp;($J386+5),TRUE)+((1000-ROW())/10000000000000))</f>
        <v>0</v>
      </c>
      <c r="N386" s="230">
        <f t="array" aca="1" ref="N386" ca="1">IF(OR(NOT(INDEX(ExistsTx,$I386,2)),$H386=0),0,INDIRECT("'T"&amp;$I386&amp;"'!$O$"&amp;($J386+5),TRUE)+((1000-ROW())/10000000000000))</f>
        <v>0</v>
      </c>
      <c r="O386" s="230">
        <f t="array" aca="1" ref="O386" ca="1">IF(OR(NOT(INDEX(ExistsTx,$I386,2)),$H386=0),0,INDIRECT("'T"&amp;$I386&amp;"'!$P$"&amp;($J386+5),TRUE)+((1000-ROW())/10000000000000))</f>
        <v>0</v>
      </c>
      <c r="P386" s="230">
        <f t="array" aca="1" ref="P386" ca="1">IF(OR(NOT(INDEX(ExistsTx,$I386,2)),$H386=0),0,INDIRECT("'T"&amp;$I386&amp;"'!$Q$"&amp;($J386+5),TRUE)+((1000-ROW())/10000000000000))</f>
        <v>0</v>
      </c>
      <c r="Q386" s="230">
        <f t="shared" ca="1" si="65"/>
        <v>7.8942857221800003E-7</v>
      </c>
      <c r="R386" s="230"/>
      <c r="S386" s="230"/>
      <c r="T386" s="230"/>
      <c r="U386" s="230"/>
      <c r="V386" s="230"/>
      <c r="W386" s="230"/>
      <c r="X386" s="229"/>
      <c r="Y386" s="229"/>
      <c r="Z386" s="229"/>
      <c r="AA386" s="230"/>
      <c r="AB386" s="230"/>
      <c r="AC386" s="230"/>
      <c r="AD386" s="229"/>
      <c r="AE386" s="230"/>
    </row>
    <row r="387" spans="1:31" ht="12.75" customHeight="1">
      <c r="A387" s="229" t="str">
        <f t="shared" ref="A387:A402" ca="1" si="66">IF(L387&lt;1,"",RANK(L387,PSTAT_CP))</f>
        <v/>
      </c>
      <c r="B387" s="229" t="str">
        <f t="shared" ref="B387:B402" ca="1" si="67">IF(M387&lt;1,"",RANK(M387,PSTAT_TD))</f>
        <v/>
      </c>
      <c r="C387" s="229" t="str">
        <f t="shared" ref="C387:C402" ca="1" si="68">IF(N387&lt;1,"",RANK(N387,PSTAT_IN))</f>
        <v/>
      </c>
      <c r="D387" s="229" t="str">
        <f t="shared" ref="D387:D402" ca="1" si="69">IF(O387&lt;1,"",RANK(O387,PSTAT_CS))</f>
        <v/>
      </c>
      <c r="E387" s="229" t="str">
        <f t="shared" ref="E387:E402" ca="1" si="70">IF(P387&lt;1,"",RANK(P387,PSTAT_VP))</f>
        <v/>
      </c>
      <c r="F387" s="229" t="str">
        <f t="shared" ref="F387:F402" ca="1" si="71">IF(Q387&lt;1,"",RANK(Q387,PSTAT_SP))</f>
        <v/>
      </c>
      <c r="G387" s="230" t="str">
        <f t="array" aca="1" ref="G387" ca="1">IF(INDEX(ExistsTx,$I387,2),IF(INDIRECT("'T"&amp;$I387&amp;"'!$D$"&amp;($J387+5),TRUE)=0,T_NoName,INDIRECT("'T"&amp;$I387&amp;"'!$D$"&amp;($J387+5),TRUE)),"")</f>
        <v/>
      </c>
      <c r="H387" s="230">
        <f t="array" aca="1" ref="H387" ca="1">IF(INDEX(ExistsTx,$I387,2),INDIRECT("'T"&amp;$I387&amp;"'!$E$"&amp;($J387+5),TRUE),0)</f>
        <v>0</v>
      </c>
      <c r="I387" s="229">
        <v>25</v>
      </c>
      <c r="J387" s="229">
        <v>1</v>
      </c>
      <c r="K387" s="230" t="str">
        <f t="array" aca="1" ref="K387" ca="1">INDEX(ListTeams,$I387,1)</f>
        <v/>
      </c>
      <c r="L387" s="230">
        <f t="array" aca="1" ref="L387" ca="1">IF(OR(NOT(INDEX(ExistsTx,$I387,2)),$H387=0),0,INDIRECT("'T"&amp;$I387&amp;"'!$M$"&amp;($J387+5),TRUE)+((1000-ROW())/10000000000000))</f>
        <v>0</v>
      </c>
      <c r="M387" s="230">
        <f t="array" aca="1" ref="M387" ca="1">IF(OR(NOT(INDEX(ExistsTx,$I387,2)),$H387=0),0,INDIRECT("'T"&amp;$I387&amp;"'!$N$"&amp;($J387+5),TRUE)+((1000-ROW())/10000000000000))</f>
        <v>0</v>
      </c>
      <c r="N387" s="230">
        <f t="array" aca="1" ref="N387" ca="1">IF(OR(NOT(INDEX(ExistsTx,$I387,2)),$H387=0),0,INDIRECT("'T"&amp;$I387&amp;"'!$O$"&amp;($J387+5),TRUE)+((1000-ROW())/10000000000000))</f>
        <v>0</v>
      </c>
      <c r="O387" s="230">
        <f t="array" aca="1" ref="O387" ca="1">IF(OR(NOT(INDEX(ExistsTx,$I387,2)),$H387=0),0,INDIRECT("'T"&amp;$I387&amp;"'!$P$"&amp;($J387+5),TRUE)+((1000-ROW())/10000000000000))</f>
        <v>0</v>
      </c>
      <c r="P387" s="230">
        <f t="array" aca="1" ref="P387" ca="1">IF(OR(NOT(INDEX(ExistsTx,$I387,2)),$H387=0),0,INDIRECT("'T"&amp;$I387&amp;"'!$Q$"&amp;($J387+5),TRUE)+((1000-ROW())/10000000000000))</f>
        <v>0</v>
      </c>
      <c r="Q387" s="230">
        <f t="shared" ref="Q387:Q402" ca="1" si="72">L387*SPP_CP+M387*SPP_TD+N387*SPP_IN+O387*SPP_CS+P387*SPP_VP+((1000-ROW())/777777777)</f>
        <v>7.8814285793100001E-7</v>
      </c>
      <c r="R387" s="230"/>
      <c r="S387" s="230"/>
      <c r="T387" s="230"/>
      <c r="U387" s="230"/>
      <c r="V387" s="230"/>
      <c r="W387" s="230"/>
      <c r="X387" s="229"/>
      <c r="Y387" s="229"/>
      <c r="Z387" s="229"/>
      <c r="AA387" s="230"/>
      <c r="AB387" s="230"/>
      <c r="AC387" s="230"/>
      <c r="AD387" s="229"/>
      <c r="AE387" s="230"/>
    </row>
    <row r="388" spans="1:31" ht="12.75" customHeight="1">
      <c r="A388" s="229" t="str">
        <f t="shared" ca="1" si="66"/>
        <v/>
      </c>
      <c r="B388" s="229" t="str">
        <f t="shared" ca="1" si="67"/>
        <v/>
      </c>
      <c r="C388" s="229" t="str">
        <f t="shared" ca="1" si="68"/>
        <v/>
      </c>
      <c r="D388" s="229" t="str">
        <f t="shared" ca="1" si="69"/>
        <v/>
      </c>
      <c r="E388" s="229" t="str">
        <f t="shared" ca="1" si="70"/>
        <v/>
      </c>
      <c r="F388" s="229" t="str">
        <f t="shared" ca="1" si="71"/>
        <v/>
      </c>
      <c r="G388" s="230" t="str">
        <f t="array" aca="1" ref="G388" ca="1">IF(INDEX(ExistsTx,$I388,2),IF(INDIRECT("'T"&amp;$I388&amp;"'!$D$"&amp;($J388+5),TRUE)=0,T_NoName,INDIRECT("'T"&amp;$I388&amp;"'!$D$"&amp;($J388+5),TRUE)),"")</f>
        <v/>
      </c>
      <c r="H388" s="230">
        <f t="array" aca="1" ref="H388" ca="1">IF(INDEX(ExistsTx,$I388,2),INDIRECT("'T"&amp;$I388&amp;"'!$E$"&amp;($J388+5),TRUE),0)</f>
        <v>0</v>
      </c>
      <c r="I388" s="229">
        <v>25</v>
      </c>
      <c r="J388" s="229">
        <v>2</v>
      </c>
      <c r="K388" s="230" t="str">
        <f t="array" aca="1" ref="K388" ca="1">INDEX(ListTeams,$I388,1)</f>
        <v/>
      </c>
      <c r="L388" s="230">
        <f t="array" aca="1" ref="L388" ca="1">IF(OR(NOT(INDEX(ExistsTx,$I388,2)),$H388=0),0,INDIRECT("'T"&amp;$I388&amp;"'!$M$"&amp;($J388+5),TRUE)+((1000-ROW())/10000000000000))</f>
        <v>0</v>
      </c>
      <c r="M388" s="230">
        <f t="array" aca="1" ref="M388" ca="1">IF(OR(NOT(INDEX(ExistsTx,$I388,2)),$H388=0),0,INDIRECT("'T"&amp;$I388&amp;"'!$N$"&amp;($J388+5),TRUE)+((1000-ROW())/10000000000000))</f>
        <v>0</v>
      </c>
      <c r="N388" s="230">
        <f t="array" aca="1" ref="N388" ca="1">IF(OR(NOT(INDEX(ExistsTx,$I388,2)),$H388=0),0,INDIRECT("'T"&amp;$I388&amp;"'!$O$"&amp;($J388+5),TRUE)+((1000-ROW())/10000000000000))</f>
        <v>0</v>
      </c>
      <c r="O388" s="230">
        <f t="array" aca="1" ref="O388" ca="1">IF(OR(NOT(INDEX(ExistsTx,$I388,2)),$H388=0),0,INDIRECT("'T"&amp;$I388&amp;"'!$P$"&amp;($J388+5),TRUE)+((1000-ROW())/10000000000000))</f>
        <v>0</v>
      </c>
      <c r="P388" s="230">
        <f t="array" aca="1" ref="P388" ca="1">IF(OR(NOT(INDEX(ExistsTx,$I388,2)),$H388=0),0,INDIRECT("'T"&amp;$I388&amp;"'!$Q$"&amp;($J388+5),TRUE)+((1000-ROW())/10000000000000))</f>
        <v>0</v>
      </c>
      <c r="Q388" s="230">
        <f t="shared" ca="1" si="72"/>
        <v>7.86857143644E-7</v>
      </c>
      <c r="R388" s="230"/>
      <c r="S388" s="230"/>
      <c r="T388" s="230"/>
      <c r="U388" s="230"/>
      <c r="V388" s="230"/>
      <c r="W388" s="230"/>
      <c r="X388" s="229"/>
      <c r="Y388" s="229"/>
      <c r="Z388" s="229"/>
      <c r="AA388" s="230"/>
      <c r="AB388" s="230"/>
      <c r="AC388" s="230"/>
      <c r="AD388" s="229"/>
      <c r="AE388" s="230"/>
    </row>
    <row r="389" spans="1:31" ht="12.75" customHeight="1">
      <c r="A389" s="229" t="str">
        <f t="shared" ca="1" si="66"/>
        <v/>
      </c>
      <c r="B389" s="229" t="str">
        <f t="shared" ca="1" si="67"/>
        <v/>
      </c>
      <c r="C389" s="229" t="str">
        <f t="shared" ca="1" si="68"/>
        <v/>
      </c>
      <c r="D389" s="229" t="str">
        <f t="shared" ca="1" si="69"/>
        <v/>
      </c>
      <c r="E389" s="229" t="str">
        <f t="shared" ca="1" si="70"/>
        <v/>
      </c>
      <c r="F389" s="229" t="str">
        <f t="shared" ca="1" si="71"/>
        <v/>
      </c>
      <c r="G389" s="230" t="str">
        <f t="array" aca="1" ref="G389" ca="1">IF(INDEX(ExistsTx,$I389,2),IF(INDIRECT("'T"&amp;$I389&amp;"'!$D$"&amp;($J389+5),TRUE)=0,T_NoName,INDIRECT("'T"&amp;$I389&amp;"'!$D$"&amp;($J389+5),TRUE)),"")</f>
        <v/>
      </c>
      <c r="H389" s="230">
        <f t="array" aca="1" ref="H389" ca="1">IF(INDEX(ExistsTx,$I389,2),INDIRECT("'T"&amp;$I389&amp;"'!$E$"&amp;($J389+5),TRUE),0)</f>
        <v>0</v>
      </c>
      <c r="I389" s="229">
        <v>25</v>
      </c>
      <c r="J389" s="229">
        <v>3</v>
      </c>
      <c r="K389" s="230" t="str">
        <f t="array" aca="1" ref="K389" ca="1">INDEX(ListTeams,$I389,1)</f>
        <v/>
      </c>
      <c r="L389" s="230">
        <f t="array" aca="1" ref="L389" ca="1">IF(OR(NOT(INDEX(ExistsTx,$I389,2)),$H389=0),0,INDIRECT("'T"&amp;$I389&amp;"'!$M$"&amp;($J389+5),TRUE)+((1000-ROW())/10000000000000))</f>
        <v>0</v>
      </c>
      <c r="M389" s="230">
        <f t="array" aca="1" ref="M389" ca="1">IF(OR(NOT(INDEX(ExistsTx,$I389,2)),$H389=0),0,INDIRECT("'T"&amp;$I389&amp;"'!$N$"&amp;($J389+5),TRUE)+((1000-ROW())/10000000000000))</f>
        <v>0</v>
      </c>
      <c r="N389" s="230">
        <f t="array" aca="1" ref="N389" ca="1">IF(OR(NOT(INDEX(ExistsTx,$I389,2)),$H389=0),0,INDIRECT("'T"&amp;$I389&amp;"'!$O$"&amp;($J389+5),TRUE)+((1000-ROW())/10000000000000))</f>
        <v>0</v>
      </c>
      <c r="O389" s="230">
        <f t="array" aca="1" ref="O389" ca="1">IF(OR(NOT(INDEX(ExistsTx,$I389,2)),$H389=0),0,INDIRECT("'T"&amp;$I389&amp;"'!$P$"&amp;($J389+5),TRUE)+((1000-ROW())/10000000000000))</f>
        <v>0</v>
      </c>
      <c r="P389" s="230">
        <f t="array" aca="1" ref="P389" ca="1">IF(OR(NOT(INDEX(ExistsTx,$I389,2)),$H389=0),0,INDIRECT("'T"&amp;$I389&amp;"'!$Q$"&amp;($J389+5),TRUE)+((1000-ROW())/10000000000000))</f>
        <v>0</v>
      </c>
      <c r="Q389" s="230">
        <f t="shared" ca="1" si="72"/>
        <v>7.8557142935699999E-7</v>
      </c>
      <c r="R389" s="230"/>
      <c r="S389" s="230"/>
      <c r="T389" s="230"/>
      <c r="U389" s="230"/>
      <c r="V389" s="230"/>
      <c r="W389" s="230"/>
      <c r="X389" s="229"/>
      <c r="Y389" s="229"/>
      <c r="Z389" s="229"/>
      <c r="AA389" s="230"/>
      <c r="AB389" s="230"/>
      <c r="AC389" s="230"/>
      <c r="AD389" s="229"/>
      <c r="AE389" s="230"/>
    </row>
    <row r="390" spans="1:31" ht="12.75" customHeight="1">
      <c r="A390" s="229" t="str">
        <f t="shared" ca="1" si="66"/>
        <v/>
      </c>
      <c r="B390" s="229" t="str">
        <f t="shared" ca="1" si="67"/>
        <v/>
      </c>
      <c r="C390" s="229" t="str">
        <f t="shared" ca="1" si="68"/>
        <v/>
      </c>
      <c r="D390" s="229" t="str">
        <f t="shared" ca="1" si="69"/>
        <v/>
      </c>
      <c r="E390" s="229" t="str">
        <f t="shared" ca="1" si="70"/>
        <v/>
      </c>
      <c r="F390" s="229" t="str">
        <f t="shared" ca="1" si="71"/>
        <v/>
      </c>
      <c r="G390" s="230" t="str">
        <f t="array" aca="1" ref="G390" ca="1">IF(INDEX(ExistsTx,$I390,2),IF(INDIRECT("'T"&amp;$I390&amp;"'!$D$"&amp;($J390+5),TRUE)=0,T_NoName,INDIRECT("'T"&amp;$I390&amp;"'!$D$"&amp;($J390+5),TRUE)),"")</f>
        <v/>
      </c>
      <c r="H390" s="230">
        <f t="array" aca="1" ref="H390" ca="1">IF(INDEX(ExistsTx,$I390,2),INDIRECT("'T"&amp;$I390&amp;"'!$E$"&amp;($J390+5),TRUE),0)</f>
        <v>0</v>
      </c>
      <c r="I390" s="229">
        <v>25</v>
      </c>
      <c r="J390" s="229">
        <v>4</v>
      </c>
      <c r="K390" s="230" t="str">
        <f t="array" aca="1" ref="K390" ca="1">INDEX(ListTeams,$I390,1)</f>
        <v/>
      </c>
      <c r="L390" s="230">
        <f t="array" aca="1" ref="L390" ca="1">IF(OR(NOT(INDEX(ExistsTx,$I390,2)),$H390=0),0,INDIRECT("'T"&amp;$I390&amp;"'!$M$"&amp;($J390+5),TRUE)+((1000-ROW())/10000000000000))</f>
        <v>0</v>
      </c>
      <c r="M390" s="230">
        <f t="array" aca="1" ref="M390" ca="1">IF(OR(NOT(INDEX(ExistsTx,$I390,2)),$H390=0),0,INDIRECT("'T"&amp;$I390&amp;"'!$N$"&amp;($J390+5),TRUE)+((1000-ROW())/10000000000000))</f>
        <v>0</v>
      </c>
      <c r="N390" s="230">
        <f t="array" aca="1" ref="N390" ca="1">IF(OR(NOT(INDEX(ExistsTx,$I390,2)),$H390=0),0,INDIRECT("'T"&amp;$I390&amp;"'!$O$"&amp;($J390+5),TRUE)+((1000-ROW())/10000000000000))</f>
        <v>0</v>
      </c>
      <c r="O390" s="230">
        <f t="array" aca="1" ref="O390" ca="1">IF(OR(NOT(INDEX(ExistsTx,$I390,2)),$H390=0),0,INDIRECT("'T"&amp;$I390&amp;"'!$P$"&amp;($J390+5),TRUE)+((1000-ROW())/10000000000000))</f>
        <v>0</v>
      </c>
      <c r="P390" s="230">
        <f t="array" aca="1" ref="P390" ca="1">IF(OR(NOT(INDEX(ExistsTx,$I390,2)),$H390=0),0,INDIRECT("'T"&amp;$I390&amp;"'!$Q$"&amp;($J390+5),TRUE)+((1000-ROW())/10000000000000))</f>
        <v>0</v>
      </c>
      <c r="Q390" s="230">
        <f t="shared" ca="1" si="72"/>
        <v>7.8428571506999998E-7</v>
      </c>
      <c r="R390" s="230"/>
      <c r="S390" s="230"/>
      <c r="T390" s="230"/>
      <c r="U390" s="230"/>
      <c r="V390" s="230"/>
      <c r="W390" s="230"/>
      <c r="X390" s="229"/>
      <c r="Y390" s="229"/>
      <c r="Z390" s="229"/>
      <c r="AA390" s="230"/>
      <c r="AB390" s="230"/>
      <c r="AC390" s="230"/>
      <c r="AD390" s="229"/>
      <c r="AE390" s="230"/>
    </row>
    <row r="391" spans="1:31" ht="12.75" customHeight="1">
      <c r="A391" s="229" t="str">
        <f t="shared" ca="1" si="66"/>
        <v/>
      </c>
      <c r="B391" s="229" t="str">
        <f t="shared" ca="1" si="67"/>
        <v/>
      </c>
      <c r="C391" s="229" t="str">
        <f t="shared" ca="1" si="68"/>
        <v/>
      </c>
      <c r="D391" s="229" t="str">
        <f t="shared" ca="1" si="69"/>
        <v/>
      </c>
      <c r="E391" s="229" t="str">
        <f t="shared" ca="1" si="70"/>
        <v/>
      </c>
      <c r="F391" s="229" t="str">
        <f t="shared" ca="1" si="71"/>
        <v/>
      </c>
      <c r="G391" s="230" t="str">
        <f t="array" aca="1" ref="G391" ca="1">IF(INDEX(ExistsTx,$I391,2),IF(INDIRECT("'T"&amp;$I391&amp;"'!$D$"&amp;($J391+5),TRUE)=0,T_NoName,INDIRECT("'T"&amp;$I391&amp;"'!$D$"&amp;($J391+5),TRUE)),"")</f>
        <v/>
      </c>
      <c r="H391" s="230">
        <f t="array" aca="1" ref="H391" ca="1">IF(INDEX(ExistsTx,$I391,2),INDIRECT("'T"&amp;$I391&amp;"'!$E$"&amp;($J391+5),TRUE),0)</f>
        <v>0</v>
      </c>
      <c r="I391" s="229">
        <v>25</v>
      </c>
      <c r="J391" s="229">
        <v>5</v>
      </c>
      <c r="K391" s="230" t="str">
        <f t="array" aca="1" ref="K391" ca="1">INDEX(ListTeams,$I391,1)</f>
        <v/>
      </c>
      <c r="L391" s="230">
        <f t="array" aca="1" ref="L391" ca="1">IF(OR(NOT(INDEX(ExistsTx,$I391,2)),$H391=0),0,INDIRECT("'T"&amp;$I391&amp;"'!$M$"&amp;($J391+5),TRUE)+((1000-ROW())/10000000000000))</f>
        <v>0</v>
      </c>
      <c r="M391" s="230">
        <f t="array" aca="1" ref="M391" ca="1">IF(OR(NOT(INDEX(ExistsTx,$I391,2)),$H391=0),0,INDIRECT("'T"&amp;$I391&amp;"'!$N$"&amp;($J391+5),TRUE)+((1000-ROW())/10000000000000))</f>
        <v>0</v>
      </c>
      <c r="N391" s="230">
        <f t="array" aca="1" ref="N391" ca="1">IF(OR(NOT(INDEX(ExistsTx,$I391,2)),$H391=0),0,INDIRECT("'T"&amp;$I391&amp;"'!$O$"&amp;($J391+5),TRUE)+((1000-ROW())/10000000000000))</f>
        <v>0</v>
      </c>
      <c r="O391" s="230">
        <f t="array" aca="1" ref="O391" ca="1">IF(OR(NOT(INDEX(ExistsTx,$I391,2)),$H391=0),0,INDIRECT("'T"&amp;$I391&amp;"'!$P$"&amp;($J391+5),TRUE)+((1000-ROW())/10000000000000))</f>
        <v>0</v>
      </c>
      <c r="P391" s="230">
        <f t="array" aca="1" ref="P391" ca="1">IF(OR(NOT(INDEX(ExistsTx,$I391,2)),$H391=0),0,INDIRECT("'T"&amp;$I391&amp;"'!$Q$"&amp;($J391+5),TRUE)+((1000-ROW())/10000000000000))</f>
        <v>0</v>
      </c>
      <c r="Q391" s="230">
        <f t="shared" ca="1" si="72"/>
        <v>7.8300000078299997E-7</v>
      </c>
      <c r="R391" s="230"/>
      <c r="S391" s="230"/>
      <c r="T391" s="230"/>
      <c r="U391" s="230"/>
      <c r="V391" s="230"/>
      <c r="W391" s="230"/>
      <c r="X391" s="229"/>
      <c r="Y391" s="229"/>
      <c r="Z391" s="229"/>
      <c r="AA391" s="230"/>
      <c r="AB391" s="230"/>
      <c r="AC391" s="230"/>
      <c r="AD391" s="229"/>
      <c r="AE391" s="230"/>
    </row>
    <row r="392" spans="1:31" ht="12.75" customHeight="1">
      <c r="A392" s="229" t="str">
        <f t="shared" ca="1" si="66"/>
        <v/>
      </c>
      <c r="B392" s="229" t="str">
        <f t="shared" ca="1" si="67"/>
        <v/>
      </c>
      <c r="C392" s="229" t="str">
        <f t="shared" ca="1" si="68"/>
        <v/>
      </c>
      <c r="D392" s="229" t="str">
        <f t="shared" ca="1" si="69"/>
        <v/>
      </c>
      <c r="E392" s="229" t="str">
        <f t="shared" ca="1" si="70"/>
        <v/>
      </c>
      <c r="F392" s="229" t="str">
        <f t="shared" ca="1" si="71"/>
        <v/>
      </c>
      <c r="G392" s="230" t="str">
        <f t="array" aca="1" ref="G392" ca="1">IF(INDEX(ExistsTx,$I392,2),IF(INDIRECT("'T"&amp;$I392&amp;"'!$D$"&amp;($J392+5),TRUE)=0,T_NoName,INDIRECT("'T"&amp;$I392&amp;"'!$D$"&amp;($J392+5),TRUE)),"")</f>
        <v/>
      </c>
      <c r="H392" s="230">
        <f t="array" aca="1" ref="H392" ca="1">IF(INDEX(ExistsTx,$I392,2),INDIRECT("'T"&amp;$I392&amp;"'!$E$"&amp;($J392+5),TRUE),0)</f>
        <v>0</v>
      </c>
      <c r="I392" s="229">
        <v>25</v>
      </c>
      <c r="J392" s="229">
        <v>6</v>
      </c>
      <c r="K392" s="230" t="str">
        <f t="array" aca="1" ref="K392" ca="1">INDEX(ListTeams,$I392,1)</f>
        <v/>
      </c>
      <c r="L392" s="230">
        <f t="array" aca="1" ref="L392" ca="1">IF(OR(NOT(INDEX(ExistsTx,$I392,2)),$H392=0),0,INDIRECT("'T"&amp;$I392&amp;"'!$M$"&amp;($J392+5),TRUE)+((1000-ROW())/10000000000000))</f>
        <v>0</v>
      </c>
      <c r="M392" s="230">
        <f t="array" aca="1" ref="M392" ca="1">IF(OR(NOT(INDEX(ExistsTx,$I392,2)),$H392=0),0,INDIRECT("'T"&amp;$I392&amp;"'!$N$"&amp;($J392+5),TRUE)+((1000-ROW())/10000000000000))</f>
        <v>0</v>
      </c>
      <c r="N392" s="230">
        <f t="array" aca="1" ref="N392" ca="1">IF(OR(NOT(INDEX(ExistsTx,$I392,2)),$H392=0),0,INDIRECT("'T"&amp;$I392&amp;"'!$O$"&amp;($J392+5),TRUE)+((1000-ROW())/10000000000000))</f>
        <v>0</v>
      </c>
      <c r="O392" s="230">
        <f t="array" aca="1" ref="O392" ca="1">IF(OR(NOT(INDEX(ExistsTx,$I392,2)),$H392=0),0,INDIRECT("'T"&amp;$I392&amp;"'!$P$"&amp;($J392+5),TRUE)+((1000-ROW())/10000000000000))</f>
        <v>0</v>
      </c>
      <c r="P392" s="230">
        <f t="array" aca="1" ref="P392" ca="1">IF(OR(NOT(INDEX(ExistsTx,$I392,2)),$H392=0),0,INDIRECT("'T"&amp;$I392&amp;"'!$Q$"&amp;($J392+5),TRUE)+((1000-ROW())/10000000000000))</f>
        <v>0</v>
      </c>
      <c r="Q392" s="230">
        <f t="shared" ca="1" si="72"/>
        <v>7.8171428649599995E-7</v>
      </c>
      <c r="R392" s="230"/>
      <c r="S392" s="230"/>
      <c r="T392" s="230"/>
      <c r="U392" s="230"/>
      <c r="V392" s="230"/>
      <c r="W392" s="230"/>
      <c r="X392" s="229"/>
      <c r="Y392" s="229"/>
      <c r="Z392" s="229"/>
      <c r="AA392" s="230"/>
      <c r="AB392" s="230"/>
      <c r="AC392" s="230"/>
      <c r="AD392" s="229"/>
      <c r="AE392" s="230"/>
    </row>
    <row r="393" spans="1:31" ht="12.75" customHeight="1">
      <c r="A393" s="229" t="str">
        <f t="shared" ca="1" si="66"/>
        <v/>
      </c>
      <c r="B393" s="229" t="str">
        <f t="shared" ca="1" si="67"/>
        <v/>
      </c>
      <c r="C393" s="229" t="str">
        <f t="shared" ca="1" si="68"/>
        <v/>
      </c>
      <c r="D393" s="229" t="str">
        <f t="shared" ca="1" si="69"/>
        <v/>
      </c>
      <c r="E393" s="229" t="str">
        <f t="shared" ca="1" si="70"/>
        <v/>
      </c>
      <c r="F393" s="229" t="str">
        <f t="shared" ca="1" si="71"/>
        <v/>
      </c>
      <c r="G393" s="230" t="str">
        <f t="array" aca="1" ref="G393" ca="1">IF(INDEX(ExistsTx,$I393,2),IF(INDIRECT("'T"&amp;$I393&amp;"'!$D$"&amp;($J393+5),TRUE)=0,T_NoName,INDIRECT("'T"&amp;$I393&amp;"'!$D$"&amp;($J393+5),TRUE)),"")</f>
        <v/>
      </c>
      <c r="H393" s="230">
        <f t="array" aca="1" ref="H393" ca="1">IF(INDEX(ExistsTx,$I393,2),INDIRECT("'T"&amp;$I393&amp;"'!$E$"&amp;($J393+5),TRUE),0)</f>
        <v>0</v>
      </c>
      <c r="I393" s="229">
        <v>25</v>
      </c>
      <c r="J393" s="229">
        <v>7</v>
      </c>
      <c r="K393" s="230" t="str">
        <f t="array" aca="1" ref="K393" ca="1">INDEX(ListTeams,$I393,1)</f>
        <v/>
      </c>
      <c r="L393" s="230">
        <f t="array" aca="1" ref="L393" ca="1">IF(OR(NOT(INDEX(ExistsTx,$I393,2)),$H393=0),0,INDIRECT("'T"&amp;$I393&amp;"'!$M$"&amp;($J393+5),TRUE)+((1000-ROW())/10000000000000))</f>
        <v>0</v>
      </c>
      <c r="M393" s="230">
        <f t="array" aca="1" ref="M393" ca="1">IF(OR(NOT(INDEX(ExistsTx,$I393,2)),$H393=0),0,INDIRECT("'T"&amp;$I393&amp;"'!$N$"&amp;($J393+5),TRUE)+((1000-ROW())/10000000000000))</f>
        <v>0</v>
      </c>
      <c r="N393" s="230">
        <f t="array" aca="1" ref="N393" ca="1">IF(OR(NOT(INDEX(ExistsTx,$I393,2)),$H393=0),0,INDIRECT("'T"&amp;$I393&amp;"'!$O$"&amp;($J393+5),TRUE)+((1000-ROW())/10000000000000))</f>
        <v>0</v>
      </c>
      <c r="O393" s="230">
        <f t="array" aca="1" ref="O393" ca="1">IF(OR(NOT(INDEX(ExistsTx,$I393,2)),$H393=0),0,INDIRECT("'T"&amp;$I393&amp;"'!$P$"&amp;($J393+5),TRUE)+((1000-ROW())/10000000000000))</f>
        <v>0</v>
      </c>
      <c r="P393" s="230">
        <f t="array" aca="1" ref="P393" ca="1">IF(OR(NOT(INDEX(ExistsTx,$I393,2)),$H393=0),0,INDIRECT("'T"&amp;$I393&amp;"'!$Q$"&amp;($J393+5),TRUE)+((1000-ROW())/10000000000000))</f>
        <v>0</v>
      </c>
      <c r="Q393" s="230">
        <f t="shared" ca="1" si="72"/>
        <v>7.8042857220900005E-7</v>
      </c>
      <c r="R393" s="230"/>
      <c r="S393" s="230"/>
      <c r="T393" s="230"/>
      <c r="U393" s="230"/>
      <c r="V393" s="230"/>
      <c r="W393" s="230"/>
      <c r="X393" s="229"/>
      <c r="Y393" s="229"/>
      <c r="Z393" s="229"/>
      <c r="AA393" s="230"/>
      <c r="AB393" s="230"/>
      <c r="AC393" s="230"/>
      <c r="AD393" s="229"/>
      <c r="AE393" s="230"/>
    </row>
    <row r="394" spans="1:31" ht="12.75" customHeight="1">
      <c r="A394" s="229" t="str">
        <f t="shared" ca="1" si="66"/>
        <v/>
      </c>
      <c r="B394" s="229" t="str">
        <f t="shared" ca="1" si="67"/>
        <v/>
      </c>
      <c r="C394" s="229" t="str">
        <f t="shared" ca="1" si="68"/>
        <v/>
      </c>
      <c r="D394" s="229" t="str">
        <f t="shared" ca="1" si="69"/>
        <v/>
      </c>
      <c r="E394" s="229" t="str">
        <f t="shared" ca="1" si="70"/>
        <v/>
      </c>
      <c r="F394" s="229" t="str">
        <f t="shared" ca="1" si="71"/>
        <v/>
      </c>
      <c r="G394" s="230" t="str">
        <f t="array" aca="1" ref="G394" ca="1">IF(INDEX(ExistsTx,$I394,2),IF(INDIRECT("'T"&amp;$I394&amp;"'!$D$"&amp;($J394+5),TRUE)=0,T_NoName,INDIRECT("'T"&amp;$I394&amp;"'!$D$"&amp;($J394+5),TRUE)),"")</f>
        <v/>
      </c>
      <c r="H394" s="230">
        <f t="array" aca="1" ref="H394" ca="1">IF(INDEX(ExistsTx,$I394,2),INDIRECT("'T"&amp;$I394&amp;"'!$E$"&amp;($J394+5),TRUE),0)</f>
        <v>0</v>
      </c>
      <c r="I394" s="229">
        <v>25</v>
      </c>
      <c r="J394" s="229">
        <v>8</v>
      </c>
      <c r="K394" s="230" t="str">
        <f t="array" aca="1" ref="K394" ca="1">INDEX(ListTeams,$I394,1)</f>
        <v/>
      </c>
      <c r="L394" s="230">
        <f t="array" aca="1" ref="L394" ca="1">IF(OR(NOT(INDEX(ExistsTx,$I394,2)),$H394=0),0,INDIRECT("'T"&amp;$I394&amp;"'!$M$"&amp;($J394+5),TRUE)+((1000-ROW())/10000000000000))</f>
        <v>0</v>
      </c>
      <c r="M394" s="230">
        <f t="array" aca="1" ref="M394" ca="1">IF(OR(NOT(INDEX(ExistsTx,$I394,2)),$H394=0),0,INDIRECT("'T"&amp;$I394&amp;"'!$N$"&amp;($J394+5),TRUE)+((1000-ROW())/10000000000000))</f>
        <v>0</v>
      </c>
      <c r="N394" s="230">
        <f t="array" aca="1" ref="N394" ca="1">IF(OR(NOT(INDEX(ExistsTx,$I394,2)),$H394=0),0,INDIRECT("'T"&amp;$I394&amp;"'!$O$"&amp;($J394+5),TRUE)+((1000-ROW())/10000000000000))</f>
        <v>0</v>
      </c>
      <c r="O394" s="230">
        <f t="array" aca="1" ref="O394" ca="1">IF(OR(NOT(INDEX(ExistsTx,$I394,2)),$H394=0),0,INDIRECT("'T"&amp;$I394&amp;"'!$P$"&amp;($J394+5),TRUE)+((1000-ROW())/10000000000000))</f>
        <v>0</v>
      </c>
      <c r="P394" s="230">
        <f t="array" aca="1" ref="P394" ca="1">IF(OR(NOT(INDEX(ExistsTx,$I394,2)),$H394=0),0,INDIRECT("'T"&amp;$I394&amp;"'!$Q$"&amp;($J394+5),TRUE)+((1000-ROW())/10000000000000))</f>
        <v>0</v>
      </c>
      <c r="Q394" s="230">
        <f t="shared" ca="1" si="72"/>
        <v>7.7914285792200004E-7</v>
      </c>
      <c r="R394" s="230"/>
      <c r="S394" s="230"/>
      <c r="T394" s="230"/>
      <c r="U394" s="230"/>
      <c r="V394" s="230"/>
      <c r="W394" s="230"/>
      <c r="X394" s="229"/>
      <c r="Y394" s="229"/>
      <c r="Z394" s="229"/>
      <c r="AA394" s="230"/>
      <c r="AB394" s="230"/>
      <c r="AC394" s="230"/>
      <c r="AD394" s="229"/>
      <c r="AE394" s="230"/>
    </row>
    <row r="395" spans="1:31" ht="12.75" customHeight="1">
      <c r="A395" s="229" t="str">
        <f t="shared" ca="1" si="66"/>
        <v/>
      </c>
      <c r="B395" s="229" t="str">
        <f t="shared" ca="1" si="67"/>
        <v/>
      </c>
      <c r="C395" s="229" t="str">
        <f t="shared" ca="1" si="68"/>
        <v/>
      </c>
      <c r="D395" s="229" t="str">
        <f t="shared" ca="1" si="69"/>
        <v/>
      </c>
      <c r="E395" s="229" t="str">
        <f t="shared" ca="1" si="70"/>
        <v/>
      </c>
      <c r="F395" s="229" t="str">
        <f t="shared" ca="1" si="71"/>
        <v/>
      </c>
      <c r="G395" s="230" t="str">
        <f t="array" aca="1" ref="G395" ca="1">IF(INDEX(ExistsTx,$I395,2),IF(INDIRECT("'T"&amp;$I395&amp;"'!$D$"&amp;($J395+5),TRUE)=0,T_NoName,INDIRECT("'T"&amp;$I395&amp;"'!$D$"&amp;($J395+5),TRUE)),"")</f>
        <v/>
      </c>
      <c r="H395" s="230">
        <f t="array" aca="1" ref="H395" ca="1">IF(INDEX(ExistsTx,$I395,2),INDIRECT("'T"&amp;$I395&amp;"'!$E$"&amp;($J395+5),TRUE),0)</f>
        <v>0</v>
      </c>
      <c r="I395" s="229">
        <v>25</v>
      </c>
      <c r="J395" s="229">
        <v>9</v>
      </c>
      <c r="K395" s="230" t="str">
        <f t="array" aca="1" ref="K395" ca="1">INDEX(ListTeams,$I395,1)</f>
        <v/>
      </c>
      <c r="L395" s="230">
        <f t="array" aca="1" ref="L395" ca="1">IF(OR(NOT(INDEX(ExistsTx,$I395,2)),$H395=0),0,INDIRECT("'T"&amp;$I395&amp;"'!$M$"&amp;($J395+5),TRUE)+((1000-ROW())/10000000000000))</f>
        <v>0</v>
      </c>
      <c r="M395" s="230">
        <f t="array" aca="1" ref="M395" ca="1">IF(OR(NOT(INDEX(ExistsTx,$I395,2)),$H395=0),0,INDIRECT("'T"&amp;$I395&amp;"'!$N$"&amp;($J395+5),TRUE)+((1000-ROW())/10000000000000))</f>
        <v>0</v>
      </c>
      <c r="N395" s="230">
        <f t="array" aca="1" ref="N395" ca="1">IF(OR(NOT(INDEX(ExistsTx,$I395,2)),$H395=0),0,INDIRECT("'T"&amp;$I395&amp;"'!$O$"&amp;($J395+5),TRUE)+((1000-ROW())/10000000000000))</f>
        <v>0</v>
      </c>
      <c r="O395" s="230">
        <f t="array" aca="1" ref="O395" ca="1">IF(OR(NOT(INDEX(ExistsTx,$I395,2)),$H395=0),0,INDIRECT("'T"&amp;$I395&amp;"'!$P$"&amp;($J395+5),TRUE)+((1000-ROW())/10000000000000))</f>
        <v>0</v>
      </c>
      <c r="P395" s="230">
        <f t="array" aca="1" ref="P395" ca="1">IF(OR(NOT(INDEX(ExistsTx,$I395,2)),$H395=0),0,INDIRECT("'T"&amp;$I395&amp;"'!$Q$"&amp;($J395+5),TRUE)+((1000-ROW())/10000000000000))</f>
        <v>0</v>
      </c>
      <c r="Q395" s="230">
        <f t="shared" ca="1" si="72"/>
        <v>7.7785714363500002E-7</v>
      </c>
      <c r="R395" s="230"/>
      <c r="S395" s="230"/>
      <c r="T395" s="230"/>
      <c r="U395" s="230"/>
      <c r="V395" s="230"/>
      <c r="W395" s="230"/>
      <c r="X395" s="229"/>
      <c r="Y395" s="229"/>
      <c r="Z395" s="229"/>
      <c r="AA395" s="230"/>
      <c r="AB395" s="230"/>
      <c r="AC395" s="230"/>
      <c r="AD395" s="229"/>
      <c r="AE395" s="230"/>
    </row>
    <row r="396" spans="1:31" ht="12.75" customHeight="1">
      <c r="A396" s="229" t="str">
        <f t="shared" ca="1" si="66"/>
        <v/>
      </c>
      <c r="B396" s="229" t="str">
        <f t="shared" ca="1" si="67"/>
        <v/>
      </c>
      <c r="C396" s="229" t="str">
        <f t="shared" ca="1" si="68"/>
        <v/>
      </c>
      <c r="D396" s="229" t="str">
        <f t="shared" ca="1" si="69"/>
        <v/>
      </c>
      <c r="E396" s="229" t="str">
        <f t="shared" ca="1" si="70"/>
        <v/>
      </c>
      <c r="F396" s="229" t="str">
        <f t="shared" ca="1" si="71"/>
        <v/>
      </c>
      <c r="G396" s="230" t="str">
        <f t="array" aca="1" ref="G396" ca="1">IF(INDEX(ExistsTx,$I396,2),IF(INDIRECT("'T"&amp;$I396&amp;"'!$D$"&amp;($J396+5),TRUE)=0,T_NoName,INDIRECT("'T"&amp;$I396&amp;"'!$D$"&amp;($J396+5),TRUE)),"")</f>
        <v/>
      </c>
      <c r="H396" s="230">
        <f t="array" aca="1" ref="H396" ca="1">IF(INDEX(ExistsTx,$I396,2),INDIRECT("'T"&amp;$I396&amp;"'!$E$"&amp;($J396+5),TRUE),0)</f>
        <v>0</v>
      </c>
      <c r="I396" s="229">
        <v>25</v>
      </c>
      <c r="J396" s="229">
        <v>10</v>
      </c>
      <c r="K396" s="230" t="str">
        <f t="array" aca="1" ref="K396" ca="1">INDEX(ListTeams,$I396,1)</f>
        <v/>
      </c>
      <c r="L396" s="230">
        <f t="array" aca="1" ref="L396" ca="1">IF(OR(NOT(INDEX(ExistsTx,$I396,2)),$H396=0),0,INDIRECT("'T"&amp;$I396&amp;"'!$M$"&amp;($J396+5),TRUE)+((1000-ROW())/10000000000000))</f>
        <v>0</v>
      </c>
      <c r="M396" s="230">
        <f t="array" aca="1" ref="M396" ca="1">IF(OR(NOT(INDEX(ExistsTx,$I396,2)),$H396=0),0,INDIRECT("'T"&amp;$I396&amp;"'!$N$"&amp;($J396+5),TRUE)+((1000-ROW())/10000000000000))</f>
        <v>0</v>
      </c>
      <c r="N396" s="230">
        <f t="array" aca="1" ref="N396" ca="1">IF(OR(NOT(INDEX(ExistsTx,$I396,2)),$H396=0),0,INDIRECT("'T"&amp;$I396&amp;"'!$O$"&amp;($J396+5),TRUE)+((1000-ROW())/10000000000000))</f>
        <v>0</v>
      </c>
      <c r="O396" s="230">
        <f t="array" aca="1" ref="O396" ca="1">IF(OR(NOT(INDEX(ExistsTx,$I396,2)),$H396=0),0,INDIRECT("'T"&amp;$I396&amp;"'!$P$"&amp;($J396+5),TRUE)+((1000-ROW())/10000000000000))</f>
        <v>0</v>
      </c>
      <c r="P396" s="230">
        <f t="array" aca="1" ref="P396" ca="1">IF(OR(NOT(INDEX(ExistsTx,$I396,2)),$H396=0),0,INDIRECT("'T"&amp;$I396&amp;"'!$Q$"&amp;($J396+5),TRUE)+((1000-ROW())/10000000000000))</f>
        <v>0</v>
      </c>
      <c r="Q396" s="230">
        <f t="shared" ca="1" si="72"/>
        <v>7.7657142934800001E-7</v>
      </c>
      <c r="R396" s="230"/>
      <c r="S396" s="230"/>
      <c r="T396" s="230"/>
      <c r="U396" s="230"/>
      <c r="V396" s="230"/>
      <c r="W396" s="230"/>
      <c r="X396" s="229"/>
      <c r="Y396" s="229"/>
      <c r="Z396" s="229"/>
      <c r="AA396" s="230"/>
      <c r="AB396" s="230"/>
      <c r="AC396" s="230"/>
      <c r="AD396" s="229"/>
      <c r="AE396" s="230"/>
    </row>
    <row r="397" spans="1:31" ht="12.75" customHeight="1">
      <c r="A397" s="229" t="str">
        <f t="shared" ca="1" si="66"/>
        <v/>
      </c>
      <c r="B397" s="229" t="str">
        <f t="shared" ca="1" si="67"/>
        <v/>
      </c>
      <c r="C397" s="229" t="str">
        <f t="shared" ca="1" si="68"/>
        <v/>
      </c>
      <c r="D397" s="229" t="str">
        <f t="shared" ca="1" si="69"/>
        <v/>
      </c>
      <c r="E397" s="229" t="str">
        <f t="shared" ca="1" si="70"/>
        <v/>
      </c>
      <c r="F397" s="229" t="str">
        <f t="shared" ca="1" si="71"/>
        <v/>
      </c>
      <c r="G397" s="230" t="str">
        <f t="array" aca="1" ref="G397" ca="1">IF(INDEX(ExistsTx,$I397,2),IF(INDIRECT("'T"&amp;$I397&amp;"'!$D$"&amp;($J397+5),TRUE)=0,T_NoName,INDIRECT("'T"&amp;$I397&amp;"'!$D$"&amp;($J397+5),TRUE)),"")</f>
        <v/>
      </c>
      <c r="H397" s="230">
        <f t="array" aca="1" ref="H397" ca="1">IF(INDEX(ExistsTx,$I397,2),INDIRECT("'T"&amp;$I397&amp;"'!$E$"&amp;($J397+5),TRUE),0)</f>
        <v>0</v>
      </c>
      <c r="I397" s="229">
        <v>25</v>
      </c>
      <c r="J397" s="229">
        <v>11</v>
      </c>
      <c r="K397" s="230" t="str">
        <f t="array" aca="1" ref="K397" ca="1">INDEX(ListTeams,$I397,1)</f>
        <v/>
      </c>
      <c r="L397" s="230">
        <f t="array" aca="1" ref="L397" ca="1">IF(OR(NOT(INDEX(ExistsTx,$I397,2)),$H397=0),0,INDIRECT("'T"&amp;$I397&amp;"'!$M$"&amp;($J397+5),TRUE)+((1000-ROW())/10000000000000))</f>
        <v>0</v>
      </c>
      <c r="M397" s="230">
        <f t="array" aca="1" ref="M397" ca="1">IF(OR(NOT(INDEX(ExistsTx,$I397,2)),$H397=0),0,INDIRECT("'T"&amp;$I397&amp;"'!$N$"&amp;($J397+5),TRUE)+((1000-ROW())/10000000000000))</f>
        <v>0</v>
      </c>
      <c r="N397" s="230">
        <f t="array" aca="1" ref="N397" ca="1">IF(OR(NOT(INDEX(ExistsTx,$I397,2)),$H397=0),0,INDIRECT("'T"&amp;$I397&amp;"'!$O$"&amp;($J397+5),TRUE)+((1000-ROW())/10000000000000))</f>
        <v>0</v>
      </c>
      <c r="O397" s="230">
        <f t="array" aca="1" ref="O397" ca="1">IF(OR(NOT(INDEX(ExistsTx,$I397,2)),$H397=0),0,INDIRECT("'T"&amp;$I397&amp;"'!$P$"&amp;($J397+5),TRUE)+((1000-ROW())/10000000000000))</f>
        <v>0</v>
      </c>
      <c r="P397" s="230">
        <f t="array" aca="1" ref="P397" ca="1">IF(OR(NOT(INDEX(ExistsTx,$I397,2)),$H397=0),0,INDIRECT("'T"&amp;$I397&amp;"'!$Q$"&amp;($J397+5),TRUE)+((1000-ROW())/10000000000000))</f>
        <v>0</v>
      </c>
      <c r="Q397" s="230">
        <f t="shared" ca="1" si="72"/>
        <v>7.75285715061E-7</v>
      </c>
      <c r="R397" s="230"/>
      <c r="S397" s="230"/>
      <c r="T397" s="230"/>
      <c r="U397" s="230"/>
      <c r="V397" s="230"/>
      <c r="W397" s="230"/>
      <c r="X397" s="229"/>
      <c r="Y397" s="229"/>
      <c r="Z397" s="229"/>
      <c r="AA397" s="230"/>
      <c r="AB397" s="230"/>
      <c r="AC397" s="230"/>
      <c r="AD397" s="229"/>
      <c r="AE397" s="230"/>
    </row>
    <row r="398" spans="1:31" ht="12.75" customHeight="1">
      <c r="A398" s="229" t="str">
        <f t="shared" ca="1" si="66"/>
        <v/>
      </c>
      <c r="B398" s="229" t="str">
        <f t="shared" ca="1" si="67"/>
        <v/>
      </c>
      <c r="C398" s="229" t="str">
        <f t="shared" ca="1" si="68"/>
        <v/>
      </c>
      <c r="D398" s="229" t="str">
        <f t="shared" ca="1" si="69"/>
        <v/>
      </c>
      <c r="E398" s="229" t="str">
        <f t="shared" ca="1" si="70"/>
        <v/>
      </c>
      <c r="F398" s="229" t="str">
        <f t="shared" ca="1" si="71"/>
        <v/>
      </c>
      <c r="G398" s="230" t="str">
        <f t="array" aca="1" ref="G398" ca="1">IF(INDEX(ExistsTx,$I398,2),IF(INDIRECT("'T"&amp;$I398&amp;"'!$D$"&amp;($J398+5),TRUE)=0,T_NoName,INDIRECT("'T"&amp;$I398&amp;"'!$D$"&amp;($J398+5),TRUE)),"")</f>
        <v/>
      </c>
      <c r="H398" s="230">
        <f t="array" aca="1" ref="H398" ca="1">IF(INDEX(ExistsTx,$I398,2),INDIRECT("'T"&amp;$I398&amp;"'!$E$"&amp;($J398+5),TRUE),0)</f>
        <v>0</v>
      </c>
      <c r="I398" s="229">
        <v>25</v>
      </c>
      <c r="J398" s="229">
        <v>12</v>
      </c>
      <c r="K398" s="230" t="str">
        <f t="array" aca="1" ref="K398" ca="1">INDEX(ListTeams,$I398,1)</f>
        <v/>
      </c>
      <c r="L398" s="230">
        <f t="array" aca="1" ref="L398" ca="1">IF(OR(NOT(INDEX(ExistsTx,$I398,2)),$H398=0),0,INDIRECT("'T"&amp;$I398&amp;"'!$M$"&amp;($J398+5),TRUE)+((1000-ROW())/10000000000000))</f>
        <v>0</v>
      </c>
      <c r="M398" s="230">
        <f t="array" aca="1" ref="M398" ca="1">IF(OR(NOT(INDEX(ExistsTx,$I398,2)),$H398=0),0,INDIRECT("'T"&amp;$I398&amp;"'!$N$"&amp;($J398+5),TRUE)+((1000-ROW())/10000000000000))</f>
        <v>0</v>
      </c>
      <c r="N398" s="230">
        <f t="array" aca="1" ref="N398" ca="1">IF(OR(NOT(INDEX(ExistsTx,$I398,2)),$H398=0),0,INDIRECT("'T"&amp;$I398&amp;"'!$O$"&amp;($J398+5),TRUE)+((1000-ROW())/10000000000000))</f>
        <v>0</v>
      </c>
      <c r="O398" s="230">
        <f t="array" aca="1" ref="O398" ca="1">IF(OR(NOT(INDEX(ExistsTx,$I398,2)),$H398=0),0,INDIRECT("'T"&amp;$I398&amp;"'!$P$"&amp;($J398+5),TRUE)+((1000-ROW())/10000000000000))</f>
        <v>0</v>
      </c>
      <c r="P398" s="230">
        <f t="array" aca="1" ref="P398" ca="1">IF(OR(NOT(INDEX(ExistsTx,$I398,2)),$H398=0),0,INDIRECT("'T"&amp;$I398&amp;"'!$Q$"&amp;($J398+5),TRUE)+((1000-ROW())/10000000000000))</f>
        <v>0</v>
      </c>
      <c r="Q398" s="230">
        <f t="shared" ca="1" si="72"/>
        <v>7.7400000077399999E-7</v>
      </c>
      <c r="R398" s="230"/>
      <c r="S398" s="230"/>
      <c r="T398" s="230"/>
      <c r="U398" s="230"/>
      <c r="V398" s="230"/>
      <c r="W398" s="230"/>
      <c r="X398" s="229"/>
      <c r="Y398" s="229"/>
      <c r="Z398" s="229"/>
      <c r="AA398" s="230"/>
      <c r="AB398" s="230"/>
      <c r="AC398" s="230"/>
      <c r="AD398" s="229"/>
      <c r="AE398" s="230"/>
    </row>
    <row r="399" spans="1:31" ht="12.75" customHeight="1">
      <c r="A399" s="229" t="str">
        <f t="shared" ca="1" si="66"/>
        <v/>
      </c>
      <c r="B399" s="229" t="str">
        <f t="shared" ca="1" si="67"/>
        <v/>
      </c>
      <c r="C399" s="229" t="str">
        <f t="shared" ca="1" si="68"/>
        <v/>
      </c>
      <c r="D399" s="229" t="str">
        <f t="shared" ca="1" si="69"/>
        <v/>
      </c>
      <c r="E399" s="229" t="str">
        <f t="shared" ca="1" si="70"/>
        <v/>
      </c>
      <c r="F399" s="229" t="str">
        <f t="shared" ca="1" si="71"/>
        <v/>
      </c>
      <c r="G399" s="230" t="str">
        <f t="array" aca="1" ref="G399" ca="1">IF(INDEX(ExistsTx,$I399,2),IF(INDIRECT("'T"&amp;$I399&amp;"'!$D$"&amp;($J399+5),TRUE)=0,T_NoName,INDIRECT("'T"&amp;$I399&amp;"'!$D$"&amp;($J399+5),TRUE)),"")</f>
        <v/>
      </c>
      <c r="H399" s="230">
        <f t="array" aca="1" ref="H399" ca="1">IF(INDEX(ExistsTx,$I399,2),INDIRECT("'T"&amp;$I399&amp;"'!$E$"&amp;($J399+5),TRUE),0)</f>
        <v>0</v>
      </c>
      <c r="I399" s="229">
        <v>25</v>
      </c>
      <c r="J399" s="229">
        <v>13</v>
      </c>
      <c r="K399" s="230" t="str">
        <f t="array" aca="1" ref="K399" ca="1">INDEX(ListTeams,$I399,1)</f>
        <v/>
      </c>
      <c r="L399" s="230">
        <f t="array" aca="1" ref="L399" ca="1">IF(OR(NOT(INDEX(ExistsTx,$I399,2)),$H399=0),0,INDIRECT("'T"&amp;$I399&amp;"'!$M$"&amp;($J399+5),TRUE)+((1000-ROW())/10000000000000))</f>
        <v>0</v>
      </c>
      <c r="M399" s="230">
        <f t="array" aca="1" ref="M399" ca="1">IF(OR(NOT(INDEX(ExistsTx,$I399,2)),$H399=0),0,INDIRECT("'T"&amp;$I399&amp;"'!$N$"&amp;($J399+5),TRUE)+((1000-ROW())/10000000000000))</f>
        <v>0</v>
      </c>
      <c r="N399" s="230">
        <f t="array" aca="1" ref="N399" ca="1">IF(OR(NOT(INDEX(ExistsTx,$I399,2)),$H399=0),0,INDIRECT("'T"&amp;$I399&amp;"'!$O$"&amp;($J399+5),TRUE)+((1000-ROW())/10000000000000))</f>
        <v>0</v>
      </c>
      <c r="O399" s="230">
        <f t="array" aca="1" ref="O399" ca="1">IF(OR(NOT(INDEX(ExistsTx,$I399,2)),$H399=0),0,INDIRECT("'T"&amp;$I399&amp;"'!$P$"&amp;($J399+5),TRUE)+((1000-ROW())/10000000000000))</f>
        <v>0</v>
      </c>
      <c r="P399" s="230">
        <f t="array" aca="1" ref="P399" ca="1">IF(OR(NOT(INDEX(ExistsTx,$I399,2)),$H399=0),0,INDIRECT("'T"&amp;$I399&amp;"'!$Q$"&amp;($J399+5),TRUE)+((1000-ROW())/10000000000000))</f>
        <v>0</v>
      </c>
      <c r="Q399" s="230">
        <f t="shared" ca="1" si="72"/>
        <v>7.7271428648699998E-7</v>
      </c>
      <c r="R399" s="230"/>
      <c r="S399" s="230"/>
      <c r="T399" s="230"/>
      <c r="U399" s="230"/>
      <c r="V399" s="230"/>
      <c r="W399" s="230"/>
      <c r="X399" s="229"/>
      <c r="Y399" s="229"/>
      <c r="Z399" s="229"/>
      <c r="AA399" s="230"/>
      <c r="AB399" s="230"/>
      <c r="AC399" s="230"/>
      <c r="AD399" s="229"/>
      <c r="AE399" s="230"/>
    </row>
    <row r="400" spans="1:31" ht="12.75" customHeight="1">
      <c r="A400" s="229" t="str">
        <f t="shared" ca="1" si="66"/>
        <v/>
      </c>
      <c r="B400" s="229" t="str">
        <f t="shared" ca="1" si="67"/>
        <v/>
      </c>
      <c r="C400" s="229" t="str">
        <f t="shared" ca="1" si="68"/>
        <v/>
      </c>
      <c r="D400" s="229" t="str">
        <f t="shared" ca="1" si="69"/>
        <v/>
      </c>
      <c r="E400" s="229" t="str">
        <f t="shared" ca="1" si="70"/>
        <v/>
      </c>
      <c r="F400" s="229" t="str">
        <f t="shared" ca="1" si="71"/>
        <v/>
      </c>
      <c r="G400" s="230" t="str">
        <f t="array" aca="1" ref="G400" ca="1">IF(INDEX(ExistsTx,$I400,2),IF(INDIRECT("'T"&amp;$I400&amp;"'!$D$"&amp;($J400+5),TRUE)=0,T_NoName,INDIRECT("'T"&amp;$I400&amp;"'!$D$"&amp;($J400+5),TRUE)),"")</f>
        <v/>
      </c>
      <c r="H400" s="230">
        <f t="array" aca="1" ref="H400" ca="1">IF(INDEX(ExistsTx,$I400,2),INDIRECT("'T"&amp;$I400&amp;"'!$E$"&amp;($J400+5),TRUE),0)</f>
        <v>0</v>
      </c>
      <c r="I400" s="229">
        <v>25</v>
      </c>
      <c r="J400" s="229">
        <v>14</v>
      </c>
      <c r="K400" s="230" t="str">
        <f t="array" aca="1" ref="K400" ca="1">INDEX(ListTeams,$I400,1)</f>
        <v/>
      </c>
      <c r="L400" s="230">
        <f t="array" aca="1" ref="L400" ca="1">IF(OR(NOT(INDEX(ExistsTx,$I400,2)),$H400=0),0,INDIRECT("'T"&amp;$I400&amp;"'!$M$"&amp;($J400+5),TRUE)+((1000-ROW())/10000000000000))</f>
        <v>0</v>
      </c>
      <c r="M400" s="230">
        <f t="array" aca="1" ref="M400" ca="1">IF(OR(NOT(INDEX(ExistsTx,$I400,2)),$H400=0),0,INDIRECT("'T"&amp;$I400&amp;"'!$N$"&amp;($J400+5),TRUE)+((1000-ROW())/10000000000000))</f>
        <v>0</v>
      </c>
      <c r="N400" s="230">
        <f t="array" aca="1" ref="N400" ca="1">IF(OR(NOT(INDEX(ExistsTx,$I400,2)),$H400=0),0,INDIRECT("'T"&amp;$I400&amp;"'!$O$"&amp;($J400+5),TRUE)+((1000-ROW())/10000000000000))</f>
        <v>0</v>
      </c>
      <c r="O400" s="230">
        <f t="array" aca="1" ref="O400" ca="1">IF(OR(NOT(INDEX(ExistsTx,$I400,2)),$H400=0),0,INDIRECT("'T"&amp;$I400&amp;"'!$P$"&amp;($J400+5),TRUE)+((1000-ROW())/10000000000000))</f>
        <v>0</v>
      </c>
      <c r="P400" s="230">
        <f t="array" aca="1" ref="P400" ca="1">IF(OR(NOT(INDEX(ExistsTx,$I400,2)),$H400=0),0,INDIRECT("'T"&amp;$I400&amp;"'!$Q$"&amp;($J400+5),TRUE)+((1000-ROW())/10000000000000))</f>
        <v>0</v>
      </c>
      <c r="Q400" s="230">
        <f t="shared" ca="1" si="72"/>
        <v>7.7142857219999996E-7</v>
      </c>
      <c r="R400" s="230"/>
      <c r="S400" s="230"/>
      <c r="T400" s="230"/>
      <c r="U400" s="230"/>
      <c r="V400" s="230"/>
      <c r="W400" s="230"/>
      <c r="X400" s="229"/>
      <c r="Y400" s="229"/>
      <c r="Z400" s="229"/>
      <c r="AA400" s="230"/>
      <c r="AB400" s="230"/>
      <c r="AC400" s="230"/>
      <c r="AD400" s="229"/>
      <c r="AE400" s="230"/>
    </row>
    <row r="401" spans="1:31" ht="12.75" customHeight="1">
      <c r="A401" s="229" t="str">
        <f t="shared" ca="1" si="66"/>
        <v/>
      </c>
      <c r="B401" s="229" t="str">
        <f t="shared" ca="1" si="67"/>
        <v/>
      </c>
      <c r="C401" s="229" t="str">
        <f t="shared" ca="1" si="68"/>
        <v/>
      </c>
      <c r="D401" s="229" t="str">
        <f t="shared" ca="1" si="69"/>
        <v/>
      </c>
      <c r="E401" s="229" t="str">
        <f t="shared" ca="1" si="70"/>
        <v/>
      </c>
      <c r="F401" s="229" t="str">
        <f t="shared" ca="1" si="71"/>
        <v/>
      </c>
      <c r="G401" s="230" t="str">
        <f t="array" aca="1" ref="G401" ca="1">IF(INDEX(ExistsTx,$I401,2),IF(INDIRECT("'T"&amp;$I401&amp;"'!$D$"&amp;($J401+5),TRUE)=0,T_NoName,INDIRECT("'T"&amp;$I401&amp;"'!$D$"&amp;($J401+5),TRUE)),"")</f>
        <v/>
      </c>
      <c r="H401" s="230">
        <f t="array" aca="1" ref="H401" ca="1">IF(INDEX(ExistsTx,$I401,2),INDIRECT("'T"&amp;$I401&amp;"'!$E$"&amp;($J401+5),TRUE),0)</f>
        <v>0</v>
      </c>
      <c r="I401" s="229">
        <v>25</v>
      </c>
      <c r="J401" s="229">
        <v>15</v>
      </c>
      <c r="K401" s="230" t="str">
        <f t="array" aca="1" ref="K401" ca="1">INDEX(ListTeams,$I401,1)</f>
        <v/>
      </c>
      <c r="L401" s="230">
        <f t="array" aca="1" ref="L401" ca="1">IF(OR(NOT(INDEX(ExistsTx,$I401,2)),$H401=0),0,INDIRECT("'T"&amp;$I401&amp;"'!$M$"&amp;($J401+5),TRUE)+((1000-ROW())/10000000000000))</f>
        <v>0</v>
      </c>
      <c r="M401" s="230">
        <f t="array" aca="1" ref="M401" ca="1">IF(OR(NOT(INDEX(ExistsTx,$I401,2)),$H401=0),0,INDIRECT("'T"&amp;$I401&amp;"'!$N$"&amp;($J401+5),TRUE)+((1000-ROW())/10000000000000))</f>
        <v>0</v>
      </c>
      <c r="N401" s="230">
        <f t="array" aca="1" ref="N401" ca="1">IF(OR(NOT(INDEX(ExistsTx,$I401,2)),$H401=0),0,INDIRECT("'T"&amp;$I401&amp;"'!$O$"&amp;($J401+5),TRUE)+((1000-ROW())/10000000000000))</f>
        <v>0</v>
      </c>
      <c r="O401" s="230">
        <f t="array" aca="1" ref="O401" ca="1">IF(OR(NOT(INDEX(ExistsTx,$I401,2)),$H401=0),0,INDIRECT("'T"&amp;$I401&amp;"'!$P$"&amp;($J401+5),TRUE)+((1000-ROW())/10000000000000))</f>
        <v>0</v>
      </c>
      <c r="P401" s="230">
        <f t="array" aca="1" ref="P401" ca="1">IF(OR(NOT(INDEX(ExistsTx,$I401,2)),$H401=0),0,INDIRECT("'T"&amp;$I401&amp;"'!$Q$"&amp;($J401+5),TRUE)+((1000-ROW())/10000000000000))</f>
        <v>0</v>
      </c>
      <c r="Q401" s="230">
        <f t="shared" ca="1" si="72"/>
        <v>7.7014285791299995E-7</v>
      </c>
      <c r="R401" s="230"/>
      <c r="S401" s="230"/>
      <c r="T401" s="230"/>
      <c r="U401" s="230"/>
      <c r="V401" s="230"/>
      <c r="W401" s="230"/>
      <c r="X401" s="229"/>
      <c r="Y401" s="229"/>
      <c r="Z401" s="229"/>
      <c r="AA401" s="230"/>
      <c r="AB401" s="230"/>
      <c r="AC401" s="230"/>
      <c r="AD401" s="229"/>
      <c r="AE401" s="230"/>
    </row>
    <row r="402" spans="1:31" ht="12.75" customHeight="1">
      <c r="A402" s="229" t="str">
        <f t="shared" ca="1" si="66"/>
        <v/>
      </c>
      <c r="B402" s="229" t="str">
        <f t="shared" ca="1" si="67"/>
        <v/>
      </c>
      <c r="C402" s="229" t="str">
        <f t="shared" ca="1" si="68"/>
        <v/>
      </c>
      <c r="D402" s="229" t="str">
        <f t="shared" ca="1" si="69"/>
        <v/>
      </c>
      <c r="E402" s="229" t="str">
        <f t="shared" ca="1" si="70"/>
        <v/>
      </c>
      <c r="F402" s="229" t="str">
        <f t="shared" ca="1" si="71"/>
        <v/>
      </c>
      <c r="G402" s="230" t="str">
        <f t="array" aca="1" ref="G402" ca="1">IF(INDEX(ExistsTx,$I402,2),IF(INDIRECT("'T"&amp;$I402&amp;"'!$D$"&amp;($J402+5),TRUE)=0,T_NoName,INDIRECT("'T"&amp;$I402&amp;"'!$D$"&amp;($J402+5),TRUE)),"")</f>
        <v/>
      </c>
      <c r="H402" s="230">
        <f t="array" aca="1" ref="H402" ca="1">IF(INDEX(ExistsTx,$I402,2),INDIRECT("'T"&amp;$I402&amp;"'!$E$"&amp;($J402+5),TRUE),0)</f>
        <v>0</v>
      </c>
      <c r="I402" s="229">
        <v>25</v>
      </c>
      <c r="J402" s="229">
        <v>16</v>
      </c>
      <c r="K402" s="230" t="str">
        <f t="array" aca="1" ref="K402" ca="1">INDEX(ListTeams,$I402,1)</f>
        <v/>
      </c>
      <c r="L402" s="230">
        <f t="array" aca="1" ref="L402" ca="1">IF(OR(NOT(INDEX(ExistsTx,$I402,2)),$H402=0),0,INDIRECT("'T"&amp;$I402&amp;"'!$M$"&amp;($J402+5),TRUE)+((1000-ROW())/10000000000000))</f>
        <v>0</v>
      </c>
      <c r="M402" s="230">
        <f t="array" aca="1" ref="M402" ca="1">IF(OR(NOT(INDEX(ExistsTx,$I402,2)),$H402=0),0,INDIRECT("'T"&amp;$I402&amp;"'!$N$"&amp;($J402+5),TRUE)+((1000-ROW())/10000000000000))</f>
        <v>0</v>
      </c>
      <c r="N402" s="230">
        <f t="array" aca="1" ref="N402" ca="1">IF(OR(NOT(INDEX(ExistsTx,$I402,2)),$H402=0),0,INDIRECT("'T"&amp;$I402&amp;"'!$O$"&amp;($J402+5),TRUE)+((1000-ROW())/10000000000000))</f>
        <v>0</v>
      </c>
      <c r="O402" s="230">
        <f t="array" aca="1" ref="O402" ca="1">IF(OR(NOT(INDEX(ExistsTx,$I402,2)),$H402=0),0,INDIRECT("'T"&amp;$I402&amp;"'!$P$"&amp;($J402+5),TRUE)+((1000-ROW())/10000000000000))</f>
        <v>0</v>
      </c>
      <c r="P402" s="230">
        <f t="array" aca="1" ref="P402" ca="1">IF(OR(NOT(INDEX(ExistsTx,$I402,2)),$H402=0),0,INDIRECT("'T"&amp;$I402&amp;"'!$Q$"&amp;($J402+5),TRUE)+((1000-ROW())/10000000000000))</f>
        <v>0</v>
      </c>
      <c r="Q402" s="230">
        <f t="shared" ca="1" si="72"/>
        <v>7.6885714362600005E-7</v>
      </c>
      <c r="R402" s="230"/>
      <c r="S402" s="230"/>
      <c r="T402" s="230"/>
      <c r="U402" s="230"/>
      <c r="V402" s="230"/>
      <c r="W402" s="230"/>
      <c r="X402" s="229"/>
      <c r="Y402" s="229"/>
      <c r="Z402" s="229"/>
      <c r="AA402" s="230"/>
      <c r="AB402" s="230"/>
      <c r="AC402" s="230"/>
      <c r="AD402" s="229"/>
      <c r="AE402" s="230"/>
    </row>
    <row r="403" spans="1:31" ht="12.75" customHeight="1">
      <c r="A403" s="230"/>
      <c r="B403" s="230"/>
      <c r="C403" s="230"/>
      <c r="D403" s="230"/>
      <c r="E403" s="230"/>
      <c r="F403" s="230"/>
      <c r="G403" s="230"/>
      <c r="H403" s="230" t="s">
        <v>933</v>
      </c>
      <c r="I403" s="229"/>
      <c r="J403" s="229"/>
      <c r="K403" s="230"/>
      <c r="L403" s="230">
        <v>0</v>
      </c>
      <c r="M403" s="230">
        <v>0</v>
      </c>
      <c r="N403" s="230">
        <v>0</v>
      </c>
      <c r="O403" s="230">
        <v>0</v>
      </c>
      <c r="P403" s="230">
        <v>0</v>
      </c>
      <c r="Q403" s="230">
        <v>0</v>
      </c>
      <c r="R403" s="230"/>
      <c r="S403" s="230"/>
      <c r="T403" s="230"/>
      <c r="U403" s="230"/>
      <c r="V403" s="230"/>
      <c r="W403" s="230"/>
      <c r="X403" s="229"/>
      <c r="Y403" s="229"/>
      <c r="Z403" s="229"/>
      <c r="AA403" s="230"/>
      <c r="AB403" s="230"/>
      <c r="AC403" s="230"/>
      <c r="AD403" s="229"/>
      <c r="AE403" s="230"/>
    </row>
    <row r="404" spans="1:31" ht="12.75" customHeight="1">
      <c r="A404" s="229" t="str">
        <f t="shared" ref="A404:A435" si="73">IF(L404&lt;1,"",RANK(L404,PSTAT_CP))</f>
        <v/>
      </c>
      <c r="B404" s="229" t="str">
        <f t="shared" ref="B404:B435" si="74">IF(M404&lt;1,"",RANK(M404,PSTAT_TD))</f>
        <v/>
      </c>
      <c r="C404" s="229" t="str">
        <f t="shared" ref="C404:C435" si="75">IF(N404&lt;1,"",RANK(N404,PSTAT_IN))</f>
        <v/>
      </c>
      <c r="D404" s="229" t="str">
        <f t="shared" ref="D404:D435" si="76">IF(O404&lt;1,"",RANK(O404,PSTAT_CS))</f>
        <v/>
      </c>
      <c r="E404" s="229" t="str">
        <f t="shared" ref="E404:E435" si="77">IF(P404&lt;1,"",RANK(P404,PSTAT_VP))</f>
        <v/>
      </c>
      <c r="F404" s="229" t="str">
        <f t="shared" ref="F404:F435" si="78">IF(Q404&lt;1,"",RANK(Q404,PSTAT_SP))</f>
        <v/>
      </c>
      <c r="G404" s="230" t="str">
        <f>IF(HallOfFame!$G4="",T_NoName,HallOfFame!$G4)&amp;IF(HallOfFame!$C4=""," ("&amp;T_retired&amp;")"," ("&amp;HallOfFame!$C4&amp;")")</f>
        <v>Nameless (retired)</v>
      </c>
      <c r="H404" s="230">
        <f>HallOfFame!$H4</f>
        <v>0</v>
      </c>
      <c r="I404" s="229"/>
      <c r="J404" s="229">
        <v>1</v>
      </c>
      <c r="K404" s="311">
        <f>HallOfFame!$E4</f>
        <v>0</v>
      </c>
      <c r="L404" s="230">
        <f>HallOfFame!P4+((1000-ROW())/777777777)</f>
        <v>7.6628571505200002E-7</v>
      </c>
      <c r="M404" s="230">
        <f>HallOfFame!$Q4+((1000-ROW())/777777777)</f>
        <v>7.6628571505200002E-7</v>
      </c>
      <c r="N404" s="230">
        <f>HallOfFame!$R4+((1000-ROW())/777777777)</f>
        <v>7.6628571505200002E-7</v>
      </c>
      <c r="O404" s="312">
        <f>HallOfFame!$S4+((1000-ROW())/777777777)</f>
        <v>7.6628571505200002E-7</v>
      </c>
      <c r="P404" s="230">
        <f>HallOfFame!$T4+((1000-ROW())/777777777)</f>
        <v>7.6628571505200002E-7</v>
      </c>
      <c r="Q404" s="230">
        <f>HallOfFame!$U4+((1000-ROW())/777777777)</f>
        <v>7.6628571505200002E-7</v>
      </c>
      <c r="R404" s="230"/>
      <c r="S404" s="230"/>
      <c r="T404" s="230"/>
      <c r="U404" s="230"/>
      <c r="V404" s="230"/>
      <c r="W404" s="230"/>
      <c r="X404" s="229"/>
      <c r="Y404" s="229"/>
      <c r="Z404" s="229"/>
      <c r="AA404" s="230"/>
      <c r="AB404" s="230"/>
      <c r="AC404" s="230"/>
      <c r="AD404" s="229"/>
      <c r="AE404" s="230"/>
    </row>
    <row r="405" spans="1:31" ht="12.75" customHeight="1">
      <c r="A405" s="229" t="str">
        <f t="shared" si="73"/>
        <v/>
      </c>
      <c r="B405" s="229" t="str">
        <f t="shared" si="74"/>
        <v/>
      </c>
      <c r="C405" s="229" t="str">
        <f t="shared" si="75"/>
        <v/>
      </c>
      <c r="D405" s="229" t="str">
        <f t="shared" si="76"/>
        <v/>
      </c>
      <c r="E405" s="229" t="str">
        <f t="shared" si="77"/>
        <v/>
      </c>
      <c r="F405" s="229" t="str">
        <f t="shared" si="78"/>
        <v/>
      </c>
      <c r="G405" s="230" t="str">
        <f>IF(HallOfFame!$G5="",T_NoName,HallOfFame!$G5)&amp;IF(HallOfFame!$C5=""," ("&amp;T_retired&amp;")"," ("&amp;HallOfFame!$C5&amp;")")</f>
        <v>Nameless (retired)</v>
      </c>
      <c r="H405" s="230">
        <f>HallOfFame!$H5</f>
        <v>0</v>
      </c>
      <c r="I405" s="229"/>
      <c r="J405" s="229">
        <v>2</v>
      </c>
      <c r="K405" s="311">
        <f>HallOfFame!$E5</f>
        <v>0</v>
      </c>
      <c r="L405" s="230">
        <f>HallOfFame!P5+((1000-ROW())/777777777)</f>
        <v>7.6500000076500001E-7</v>
      </c>
      <c r="M405" s="230">
        <f>HallOfFame!$Q5+((1000-ROW())/777777777)</f>
        <v>7.6500000076500001E-7</v>
      </c>
      <c r="N405" s="230">
        <f>HallOfFame!$R5+((1000-ROW())/777777777)</f>
        <v>7.6500000076500001E-7</v>
      </c>
      <c r="O405" s="312">
        <f>HallOfFame!$S5+((1000-ROW())/777777777)</f>
        <v>7.6500000076500001E-7</v>
      </c>
      <c r="P405" s="230">
        <f>HallOfFame!$T5+((1000-ROW())/777777777)</f>
        <v>7.6500000076500001E-7</v>
      </c>
      <c r="Q405" s="230">
        <f>HallOfFame!$U5+((1000-ROW())/777777777)</f>
        <v>7.6500000076500001E-7</v>
      </c>
      <c r="R405" s="230"/>
      <c r="S405" s="230"/>
      <c r="T405" s="230"/>
      <c r="U405" s="230"/>
      <c r="V405" s="230"/>
      <c r="W405" s="230"/>
      <c r="X405" s="229"/>
      <c r="Y405" s="229"/>
      <c r="Z405" s="229"/>
      <c r="AA405" s="230"/>
      <c r="AB405" s="230"/>
      <c r="AC405" s="230"/>
      <c r="AD405" s="229"/>
      <c r="AE405" s="230"/>
    </row>
    <row r="406" spans="1:31" ht="12.75" customHeight="1">
      <c r="A406" s="229" t="str">
        <f t="shared" si="73"/>
        <v/>
      </c>
      <c r="B406" s="229" t="str">
        <f t="shared" si="74"/>
        <v/>
      </c>
      <c r="C406" s="229" t="str">
        <f t="shared" si="75"/>
        <v/>
      </c>
      <c r="D406" s="229" t="str">
        <f t="shared" si="76"/>
        <v/>
      </c>
      <c r="E406" s="229" t="str">
        <f t="shared" si="77"/>
        <v/>
      </c>
      <c r="F406" s="229" t="str">
        <f t="shared" si="78"/>
        <v/>
      </c>
      <c r="G406" s="230" t="str">
        <f>IF(HallOfFame!$G6="",T_NoName,HallOfFame!$G6)&amp;IF(HallOfFame!$C6=""," ("&amp;T_retired&amp;")"," ("&amp;HallOfFame!$C6&amp;")")</f>
        <v>Nameless (retired)</v>
      </c>
      <c r="H406" s="230">
        <f>HallOfFame!$H6</f>
        <v>0</v>
      </c>
      <c r="I406" s="229"/>
      <c r="J406" s="229">
        <v>3</v>
      </c>
      <c r="K406" s="311">
        <f>HallOfFame!$E6</f>
        <v>0</v>
      </c>
      <c r="L406" s="230">
        <f>HallOfFame!P6+((1000-ROW())/777777777)</f>
        <v>7.63714286478E-7</v>
      </c>
      <c r="M406" s="230">
        <f>HallOfFame!$Q6+((1000-ROW())/777777777)</f>
        <v>7.63714286478E-7</v>
      </c>
      <c r="N406" s="230">
        <f>HallOfFame!$R6+((1000-ROW())/777777777)</f>
        <v>7.63714286478E-7</v>
      </c>
      <c r="O406" s="312">
        <f>HallOfFame!$S6+((1000-ROW())/777777777)</f>
        <v>7.63714286478E-7</v>
      </c>
      <c r="P406" s="230">
        <f>HallOfFame!$T6+((1000-ROW())/777777777)</f>
        <v>7.63714286478E-7</v>
      </c>
      <c r="Q406" s="230">
        <f>HallOfFame!$U6+((1000-ROW())/777777777)</f>
        <v>7.63714286478E-7</v>
      </c>
      <c r="R406" s="230"/>
      <c r="S406" s="230"/>
      <c r="T406" s="230"/>
      <c r="U406" s="230"/>
      <c r="V406" s="230"/>
      <c r="W406" s="230"/>
      <c r="X406" s="229"/>
      <c r="Y406" s="229"/>
      <c r="Z406" s="229"/>
      <c r="AA406" s="230"/>
      <c r="AB406" s="230"/>
      <c r="AC406" s="230"/>
      <c r="AD406" s="229"/>
      <c r="AE406" s="230"/>
    </row>
    <row r="407" spans="1:31" ht="12.75" customHeight="1">
      <c r="A407" s="229" t="str">
        <f t="shared" si="73"/>
        <v/>
      </c>
      <c r="B407" s="229" t="str">
        <f t="shared" si="74"/>
        <v/>
      </c>
      <c r="C407" s="229" t="str">
        <f t="shared" si="75"/>
        <v/>
      </c>
      <c r="D407" s="229" t="str">
        <f t="shared" si="76"/>
        <v/>
      </c>
      <c r="E407" s="229" t="str">
        <f t="shared" si="77"/>
        <v/>
      </c>
      <c r="F407" s="229" t="str">
        <f t="shared" si="78"/>
        <v/>
      </c>
      <c r="G407" s="230" t="str">
        <f>IF(HallOfFame!$G7="",T_NoName,HallOfFame!$G7)&amp;IF(HallOfFame!$C7=""," ("&amp;T_retired&amp;")"," ("&amp;HallOfFame!$C7&amp;")")</f>
        <v>Nameless (retired)</v>
      </c>
      <c r="H407" s="230">
        <f>HallOfFame!$H7</f>
        <v>0</v>
      </c>
      <c r="I407" s="229"/>
      <c r="J407" s="229">
        <v>4</v>
      </c>
      <c r="K407" s="311">
        <f>HallOfFame!$E7</f>
        <v>0</v>
      </c>
      <c r="L407" s="230">
        <f>HallOfFame!P7+((1000-ROW())/777777777)</f>
        <v>7.6242857219099999E-7</v>
      </c>
      <c r="M407" s="230">
        <f>HallOfFame!$Q7+((1000-ROW())/777777777)</f>
        <v>7.6242857219099999E-7</v>
      </c>
      <c r="N407" s="230">
        <f>HallOfFame!$R7+((1000-ROW())/777777777)</f>
        <v>7.6242857219099999E-7</v>
      </c>
      <c r="O407" s="312">
        <f>HallOfFame!$S7+((1000-ROW())/777777777)</f>
        <v>7.6242857219099999E-7</v>
      </c>
      <c r="P407" s="230">
        <f>HallOfFame!$T7+((1000-ROW())/777777777)</f>
        <v>7.6242857219099999E-7</v>
      </c>
      <c r="Q407" s="230">
        <f>HallOfFame!$U7+((1000-ROW())/777777777)</f>
        <v>7.6242857219099999E-7</v>
      </c>
      <c r="R407" s="230"/>
      <c r="S407" s="230"/>
      <c r="T407" s="230"/>
      <c r="U407" s="230"/>
      <c r="V407" s="230"/>
      <c r="W407" s="230"/>
      <c r="X407" s="229"/>
      <c r="Y407" s="229"/>
      <c r="Z407" s="229"/>
      <c r="AA407" s="230"/>
      <c r="AB407" s="230"/>
      <c r="AC407" s="230"/>
      <c r="AD407" s="229"/>
      <c r="AE407" s="230"/>
    </row>
    <row r="408" spans="1:31" ht="12.75" customHeight="1">
      <c r="A408" s="229" t="str">
        <f t="shared" si="73"/>
        <v/>
      </c>
      <c r="B408" s="229" t="str">
        <f t="shared" si="74"/>
        <v/>
      </c>
      <c r="C408" s="229" t="str">
        <f t="shared" si="75"/>
        <v/>
      </c>
      <c r="D408" s="229" t="str">
        <f t="shared" si="76"/>
        <v/>
      </c>
      <c r="E408" s="229" t="str">
        <f t="shared" si="77"/>
        <v/>
      </c>
      <c r="F408" s="229" t="str">
        <f t="shared" si="78"/>
        <v/>
      </c>
      <c r="G408" s="230" t="str">
        <f>IF(HallOfFame!$G8="",T_NoName,HallOfFame!$G8)&amp;IF(HallOfFame!$C8=""," ("&amp;T_retired&amp;")"," ("&amp;HallOfFame!$C8&amp;")")</f>
        <v>Nameless (retired)</v>
      </c>
      <c r="H408" s="230">
        <f>HallOfFame!$H8</f>
        <v>0</v>
      </c>
      <c r="I408" s="229"/>
      <c r="J408" s="229">
        <v>5</v>
      </c>
      <c r="K408" s="311">
        <f>HallOfFame!$E8</f>
        <v>0</v>
      </c>
      <c r="L408" s="230">
        <f>HallOfFame!P8+((1000-ROW())/777777777)</f>
        <v>7.6114285790399998E-7</v>
      </c>
      <c r="M408" s="230">
        <f>HallOfFame!$Q8+((1000-ROW())/777777777)</f>
        <v>7.6114285790399998E-7</v>
      </c>
      <c r="N408" s="230">
        <f>HallOfFame!$R8+((1000-ROW())/777777777)</f>
        <v>7.6114285790399998E-7</v>
      </c>
      <c r="O408" s="312">
        <f>HallOfFame!$S8+((1000-ROW())/777777777)</f>
        <v>7.6114285790399998E-7</v>
      </c>
      <c r="P408" s="230">
        <f>HallOfFame!$T8+((1000-ROW())/777777777)</f>
        <v>7.6114285790399998E-7</v>
      </c>
      <c r="Q408" s="230">
        <f>HallOfFame!$U8+((1000-ROW())/777777777)</f>
        <v>7.6114285790399998E-7</v>
      </c>
      <c r="R408" s="230"/>
      <c r="S408" s="230"/>
      <c r="T408" s="230"/>
      <c r="U408" s="230"/>
      <c r="V408" s="230"/>
      <c r="W408" s="230"/>
      <c r="X408" s="229"/>
      <c r="Y408" s="229"/>
      <c r="Z408" s="229"/>
      <c r="AA408" s="230"/>
      <c r="AB408" s="230"/>
      <c r="AC408" s="230"/>
      <c r="AD408" s="229"/>
      <c r="AE408" s="230"/>
    </row>
    <row r="409" spans="1:31" ht="12.75" customHeight="1">
      <c r="A409" s="229" t="str">
        <f t="shared" si="73"/>
        <v/>
      </c>
      <c r="B409" s="229" t="str">
        <f t="shared" si="74"/>
        <v/>
      </c>
      <c r="C409" s="229" t="str">
        <f t="shared" si="75"/>
        <v/>
      </c>
      <c r="D409" s="229" t="str">
        <f t="shared" si="76"/>
        <v/>
      </c>
      <c r="E409" s="229" t="str">
        <f t="shared" si="77"/>
        <v/>
      </c>
      <c r="F409" s="229" t="str">
        <f t="shared" si="78"/>
        <v/>
      </c>
      <c r="G409" s="230" t="str">
        <f>IF(HallOfFame!$G9="",T_NoName,HallOfFame!$G9)&amp;IF(HallOfFame!$C9=""," ("&amp;T_retired&amp;")"," ("&amp;HallOfFame!$C9&amp;")")</f>
        <v>Nameless (retired)</v>
      </c>
      <c r="H409" s="230">
        <f>HallOfFame!$H9</f>
        <v>0</v>
      </c>
      <c r="I409" s="229"/>
      <c r="J409" s="229">
        <v>6</v>
      </c>
      <c r="K409" s="311">
        <f>HallOfFame!$E9</f>
        <v>0</v>
      </c>
      <c r="L409" s="230">
        <f>HallOfFame!P9+((1000-ROW())/777777777)</f>
        <v>7.5985714361699996E-7</v>
      </c>
      <c r="M409" s="230">
        <f>HallOfFame!$Q9+((1000-ROW())/777777777)</f>
        <v>7.5985714361699996E-7</v>
      </c>
      <c r="N409" s="230">
        <f>HallOfFame!$R9+((1000-ROW())/777777777)</f>
        <v>7.5985714361699996E-7</v>
      </c>
      <c r="O409" s="312">
        <f>HallOfFame!$S9+((1000-ROW())/777777777)</f>
        <v>7.5985714361699996E-7</v>
      </c>
      <c r="P409" s="230">
        <f>HallOfFame!$T9+((1000-ROW())/777777777)</f>
        <v>7.5985714361699996E-7</v>
      </c>
      <c r="Q409" s="230">
        <f>HallOfFame!$U9+((1000-ROW())/777777777)</f>
        <v>7.5985714361699996E-7</v>
      </c>
      <c r="R409" s="230"/>
      <c r="S409" s="230"/>
      <c r="T409" s="230"/>
      <c r="U409" s="230"/>
      <c r="V409" s="230"/>
      <c r="W409" s="230"/>
      <c r="X409" s="229"/>
      <c r="Y409" s="229"/>
      <c r="Z409" s="229"/>
      <c r="AA409" s="230"/>
      <c r="AB409" s="230"/>
      <c r="AC409" s="230"/>
      <c r="AD409" s="229"/>
      <c r="AE409" s="230"/>
    </row>
    <row r="410" spans="1:31" ht="12.75" customHeight="1">
      <c r="A410" s="229" t="str">
        <f t="shared" si="73"/>
        <v/>
      </c>
      <c r="B410" s="229" t="str">
        <f t="shared" si="74"/>
        <v/>
      </c>
      <c r="C410" s="229" t="str">
        <f t="shared" si="75"/>
        <v/>
      </c>
      <c r="D410" s="229" t="str">
        <f t="shared" si="76"/>
        <v/>
      </c>
      <c r="E410" s="229" t="str">
        <f t="shared" si="77"/>
        <v/>
      </c>
      <c r="F410" s="229" t="str">
        <f t="shared" si="78"/>
        <v/>
      </c>
      <c r="G410" s="230" t="str">
        <f>IF(HallOfFame!$G10="",T_NoName,HallOfFame!$G10)&amp;IF(HallOfFame!$C10=""," ("&amp;T_retired&amp;")"," ("&amp;HallOfFame!$C10&amp;")")</f>
        <v>Nameless (retired)</v>
      </c>
      <c r="H410" s="230">
        <f>HallOfFame!$H10</f>
        <v>0</v>
      </c>
      <c r="I410" s="229"/>
      <c r="J410" s="229">
        <v>7</v>
      </c>
      <c r="K410" s="311">
        <f>HallOfFame!$E10</f>
        <v>0</v>
      </c>
      <c r="L410" s="230">
        <f>HallOfFame!P10+((1000-ROW())/777777777)</f>
        <v>7.5857142932999995E-7</v>
      </c>
      <c r="M410" s="230">
        <f>HallOfFame!$Q10+((1000-ROW())/777777777)</f>
        <v>7.5857142932999995E-7</v>
      </c>
      <c r="N410" s="230">
        <f>HallOfFame!$R10+((1000-ROW())/777777777)</f>
        <v>7.5857142932999995E-7</v>
      </c>
      <c r="O410" s="312">
        <f>HallOfFame!$S10+((1000-ROW())/777777777)</f>
        <v>7.5857142932999995E-7</v>
      </c>
      <c r="P410" s="230">
        <f>HallOfFame!$T10+((1000-ROW())/777777777)</f>
        <v>7.5857142932999995E-7</v>
      </c>
      <c r="Q410" s="230">
        <f>HallOfFame!$U10+((1000-ROW())/777777777)</f>
        <v>7.5857142932999995E-7</v>
      </c>
      <c r="R410" s="230"/>
      <c r="S410" s="230"/>
      <c r="T410" s="230"/>
      <c r="U410" s="230"/>
      <c r="V410" s="230"/>
      <c r="W410" s="230"/>
      <c r="X410" s="229"/>
      <c r="Y410" s="229"/>
      <c r="Z410" s="229"/>
      <c r="AA410" s="230"/>
      <c r="AB410" s="230"/>
      <c r="AC410" s="230"/>
      <c r="AD410" s="229"/>
      <c r="AE410" s="230"/>
    </row>
    <row r="411" spans="1:31" ht="12.75" customHeight="1">
      <c r="A411" s="229" t="str">
        <f t="shared" si="73"/>
        <v/>
      </c>
      <c r="B411" s="229" t="str">
        <f t="shared" si="74"/>
        <v/>
      </c>
      <c r="C411" s="229" t="str">
        <f t="shared" si="75"/>
        <v/>
      </c>
      <c r="D411" s="229" t="str">
        <f t="shared" si="76"/>
        <v/>
      </c>
      <c r="E411" s="229" t="str">
        <f t="shared" si="77"/>
        <v/>
      </c>
      <c r="F411" s="229" t="str">
        <f t="shared" si="78"/>
        <v/>
      </c>
      <c r="G411" s="230" t="str">
        <f>IF(HallOfFame!$G11="",T_NoName,HallOfFame!$G11)&amp;IF(HallOfFame!$C11=""," ("&amp;T_retired&amp;")"," ("&amp;HallOfFame!$C11&amp;")")</f>
        <v>Nameless (retired)</v>
      </c>
      <c r="H411" s="230">
        <f>HallOfFame!$H11</f>
        <v>0</v>
      </c>
      <c r="I411" s="229"/>
      <c r="J411" s="229">
        <v>8</v>
      </c>
      <c r="K411" s="311">
        <f>HallOfFame!$E11</f>
        <v>0</v>
      </c>
      <c r="L411" s="230">
        <f>HallOfFame!P11+((1000-ROW())/777777777)</f>
        <v>7.5728571504300005E-7</v>
      </c>
      <c r="M411" s="230">
        <f>HallOfFame!$Q11+((1000-ROW())/777777777)</f>
        <v>7.5728571504300005E-7</v>
      </c>
      <c r="N411" s="230">
        <f>HallOfFame!$R11+((1000-ROW())/777777777)</f>
        <v>7.5728571504300005E-7</v>
      </c>
      <c r="O411" s="312">
        <f>HallOfFame!$S11+((1000-ROW())/777777777)</f>
        <v>7.5728571504300005E-7</v>
      </c>
      <c r="P411" s="230">
        <f>HallOfFame!$T11+((1000-ROW())/777777777)</f>
        <v>7.5728571504300005E-7</v>
      </c>
      <c r="Q411" s="230">
        <f>HallOfFame!$U11+((1000-ROW())/777777777)</f>
        <v>7.5728571504300005E-7</v>
      </c>
      <c r="R411" s="230"/>
      <c r="S411" s="230"/>
      <c r="T411" s="230"/>
      <c r="U411" s="230"/>
      <c r="V411" s="230"/>
      <c r="W411" s="230"/>
      <c r="X411" s="229"/>
      <c r="Y411" s="229"/>
      <c r="Z411" s="229"/>
      <c r="AA411" s="230"/>
      <c r="AB411" s="230"/>
      <c r="AC411" s="230"/>
      <c r="AD411" s="229"/>
      <c r="AE411" s="230"/>
    </row>
    <row r="412" spans="1:31" ht="12.75" customHeight="1">
      <c r="A412" s="229" t="str">
        <f t="shared" si="73"/>
        <v/>
      </c>
      <c r="B412" s="229" t="str">
        <f t="shared" si="74"/>
        <v/>
      </c>
      <c r="C412" s="229" t="str">
        <f t="shared" si="75"/>
        <v/>
      </c>
      <c r="D412" s="229" t="str">
        <f t="shared" si="76"/>
        <v/>
      </c>
      <c r="E412" s="229" t="str">
        <f t="shared" si="77"/>
        <v/>
      </c>
      <c r="F412" s="229" t="str">
        <f t="shared" si="78"/>
        <v/>
      </c>
      <c r="G412" s="230" t="str">
        <f>IF(HallOfFame!$G12="",T_NoName,HallOfFame!$G12)&amp;IF(HallOfFame!$C12=""," ("&amp;T_retired&amp;")"," ("&amp;HallOfFame!$C12&amp;")")</f>
        <v>Nameless (retired)</v>
      </c>
      <c r="H412" s="230">
        <f>HallOfFame!$H12</f>
        <v>0</v>
      </c>
      <c r="I412" s="229"/>
      <c r="J412" s="229">
        <v>9</v>
      </c>
      <c r="K412" s="311">
        <f>HallOfFame!$E12</f>
        <v>0</v>
      </c>
      <c r="L412" s="230">
        <f>HallOfFame!P12+((1000-ROW())/777777777)</f>
        <v>7.5600000075600003E-7</v>
      </c>
      <c r="M412" s="230">
        <f>HallOfFame!$Q12+((1000-ROW())/777777777)</f>
        <v>7.5600000075600003E-7</v>
      </c>
      <c r="N412" s="230">
        <f>HallOfFame!$R12+((1000-ROW())/777777777)</f>
        <v>7.5600000075600003E-7</v>
      </c>
      <c r="O412" s="312">
        <f>HallOfFame!$S12+((1000-ROW())/777777777)</f>
        <v>7.5600000075600003E-7</v>
      </c>
      <c r="P412" s="230">
        <f>HallOfFame!$T12+((1000-ROW())/777777777)</f>
        <v>7.5600000075600003E-7</v>
      </c>
      <c r="Q412" s="230">
        <f>HallOfFame!$U12+((1000-ROW())/777777777)</f>
        <v>7.5600000075600003E-7</v>
      </c>
      <c r="R412" s="230"/>
      <c r="S412" s="230"/>
      <c r="T412" s="230"/>
      <c r="U412" s="230"/>
      <c r="V412" s="230"/>
      <c r="W412" s="230"/>
      <c r="X412" s="229"/>
      <c r="Y412" s="229"/>
      <c r="Z412" s="229"/>
      <c r="AA412" s="230"/>
      <c r="AB412" s="230"/>
      <c r="AC412" s="230"/>
      <c r="AD412" s="229"/>
      <c r="AE412" s="230"/>
    </row>
    <row r="413" spans="1:31" ht="12.75" customHeight="1">
      <c r="A413" s="229" t="str">
        <f t="shared" si="73"/>
        <v/>
      </c>
      <c r="B413" s="229" t="str">
        <f t="shared" si="74"/>
        <v/>
      </c>
      <c r="C413" s="229" t="str">
        <f t="shared" si="75"/>
        <v/>
      </c>
      <c r="D413" s="229" t="str">
        <f t="shared" si="76"/>
        <v/>
      </c>
      <c r="E413" s="229" t="str">
        <f t="shared" si="77"/>
        <v/>
      </c>
      <c r="F413" s="229" t="str">
        <f t="shared" si="78"/>
        <v/>
      </c>
      <c r="G413" s="230" t="str">
        <f>IF(HallOfFame!$G13="",T_NoName,HallOfFame!$G13)&amp;IF(HallOfFame!$C13=""," ("&amp;T_retired&amp;")"," ("&amp;HallOfFame!$C13&amp;")")</f>
        <v>Nameless (retired)</v>
      </c>
      <c r="H413" s="230">
        <f>HallOfFame!$H13</f>
        <v>0</v>
      </c>
      <c r="I413" s="229"/>
      <c r="J413" s="229">
        <v>10</v>
      </c>
      <c r="K413" s="311">
        <f>HallOfFame!$E13</f>
        <v>0</v>
      </c>
      <c r="L413" s="230">
        <f>HallOfFame!P13+((1000-ROW())/777777777)</f>
        <v>7.5471428646900002E-7</v>
      </c>
      <c r="M413" s="230">
        <f>HallOfFame!$Q13+((1000-ROW())/777777777)</f>
        <v>7.5471428646900002E-7</v>
      </c>
      <c r="N413" s="230">
        <f>HallOfFame!$R13+((1000-ROW())/777777777)</f>
        <v>7.5471428646900002E-7</v>
      </c>
      <c r="O413" s="312">
        <f>HallOfFame!$S13+((1000-ROW())/777777777)</f>
        <v>7.5471428646900002E-7</v>
      </c>
      <c r="P413" s="230">
        <f>HallOfFame!$T13+((1000-ROW())/777777777)</f>
        <v>7.5471428646900002E-7</v>
      </c>
      <c r="Q413" s="230">
        <f>HallOfFame!$U13+((1000-ROW())/777777777)</f>
        <v>7.5471428646900002E-7</v>
      </c>
      <c r="R413" s="230"/>
      <c r="S413" s="230"/>
      <c r="T413" s="230"/>
      <c r="U413" s="230"/>
      <c r="V413" s="230"/>
      <c r="W413" s="230"/>
      <c r="X413" s="229"/>
      <c r="Y413" s="229"/>
      <c r="Z413" s="229"/>
      <c r="AA413" s="230"/>
      <c r="AB413" s="230"/>
      <c r="AC413" s="230"/>
      <c r="AD413" s="229"/>
      <c r="AE413" s="230"/>
    </row>
    <row r="414" spans="1:31" ht="12.75" customHeight="1">
      <c r="A414" s="229" t="str">
        <f t="shared" si="73"/>
        <v/>
      </c>
      <c r="B414" s="229" t="str">
        <f t="shared" si="74"/>
        <v/>
      </c>
      <c r="C414" s="229" t="str">
        <f t="shared" si="75"/>
        <v/>
      </c>
      <c r="D414" s="229" t="str">
        <f t="shared" si="76"/>
        <v/>
      </c>
      <c r="E414" s="229" t="str">
        <f t="shared" si="77"/>
        <v/>
      </c>
      <c r="F414" s="229" t="str">
        <f t="shared" si="78"/>
        <v/>
      </c>
      <c r="G414" s="230" t="str">
        <f>IF(HallOfFame!$G14="",T_NoName,HallOfFame!$G14)&amp;IF(HallOfFame!$C14=""," ("&amp;T_retired&amp;")"," ("&amp;HallOfFame!$C14&amp;")")</f>
        <v>Nameless (retired)</v>
      </c>
      <c r="H414" s="230">
        <f>HallOfFame!$H14</f>
        <v>0</v>
      </c>
      <c r="I414" s="229"/>
      <c r="J414" s="229">
        <v>11</v>
      </c>
      <c r="K414" s="311">
        <f>HallOfFame!$E14</f>
        <v>0</v>
      </c>
      <c r="L414" s="230">
        <f>HallOfFame!P14+((1000-ROW())/777777777)</f>
        <v>7.5342857218200001E-7</v>
      </c>
      <c r="M414" s="230">
        <f>HallOfFame!$Q14+((1000-ROW())/777777777)</f>
        <v>7.5342857218200001E-7</v>
      </c>
      <c r="N414" s="230">
        <f>HallOfFame!$R14+((1000-ROW())/777777777)</f>
        <v>7.5342857218200001E-7</v>
      </c>
      <c r="O414" s="312">
        <f>HallOfFame!$S14+((1000-ROW())/777777777)</f>
        <v>7.5342857218200001E-7</v>
      </c>
      <c r="P414" s="230">
        <f>HallOfFame!$T14+((1000-ROW())/777777777)</f>
        <v>7.5342857218200001E-7</v>
      </c>
      <c r="Q414" s="230">
        <f>HallOfFame!$U14+((1000-ROW())/777777777)</f>
        <v>7.5342857218200001E-7</v>
      </c>
      <c r="R414" s="230"/>
      <c r="S414" s="230"/>
      <c r="T414" s="230"/>
      <c r="U414" s="230"/>
      <c r="V414" s="230"/>
      <c r="W414" s="230"/>
      <c r="X414" s="229"/>
      <c r="Y414" s="229"/>
      <c r="Z414" s="229"/>
      <c r="AA414" s="230"/>
      <c r="AB414" s="230"/>
      <c r="AC414" s="230"/>
      <c r="AD414" s="229"/>
      <c r="AE414" s="230"/>
    </row>
    <row r="415" spans="1:31" ht="12.75" customHeight="1">
      <c r="A415" s="229" t="str">
        <f t="shared" si="73"/>
        <v/>
      </c>
      <c r="B415" s="229" t="str">
        <f t="shared" si="74"/>
        <v/>
      </c>
      <c r="C415" s="229" t="str">
        <f t="shared" si="75"/>
        <v/>
      </c>
      <c r="D415" s="229" t="str">
        <f t="shared" si="76"/>
        <v/>
      </c>
      <c r="E415" s="229" t="str">
        <f t="shared" si="77"/>
        <v/>
      </c>
      <c r="F415" s="229" t="str">
        <f t="shared" si="78"/>
        <v/>
      </c>
      <c r="G415" s="230" t="str">
        <f>IF(HallOfFame!$G15="",T_NoName,HallOfFame!$G15)&amp;IF(HallOfFame!$C15=""," ("&amp;T_retired&amp;")"," ("&amp;HallOfFame!$C15&amp;")")</f>
        <v>Nameless (retired)</v>
      </c>
      <c r="H415" s="230">
        <f>HallOfFame!$H15</f>
        <v>0</v>
      </c>
      <c r="I415" s="229"/>
      <c r="J415" s="229">
        <v>12</v>
      </c>
      <c r="K415" s="230">
        <f>HallOfFame!$E15</f>
        <v>0</v>
      </c>
      <c r="L415" s="230">
        <f>HallOfFame!P15+((1000-ROW())/777777777)</f>
        <v>7.52142857895E-7</v>
      </c>
      <c r="M415" s="230">
        <f>HallOfFame!$Q15+((1000-ROW())/777777777)</f>
        <v>7.52142857895E-7</v>
      </c>
      <c r="N415" s="230">
        <f>HallOfFame!$R15+((1000-ROW())/777777777)</f>
        <v>7.52142857895E-7</v>
      </c>
      <c r="O415" s="312">
        <f>HallOfFame!$S15+((1000-ROW())/777777777)</f>
        <v>7.52142857895E-7</v>
      </c>
      <c r="P415" s="230">
        <f>HallOfFame!$T15+((1000-ROW())/777777777)</f>
        <v>7.52142857895E-7</v>
      </c>
      <c r="Q415" s="230">
        <f>HallOfFame!$U15+((1000-ROW())/777777777)</f>
        <v>7.52142857895E-7</v>
      </c>
      <c r="R415" s="230"/>
      <c r="S415" s="230"/>
      <c r="T415" s="230"/>
      <c r="U415" s="230"/>
      <c r="V415" s="230"/>
      <c r="W415" s="230"/>
      <c r="X415" s="229"/>
      <c r="Y415" s="229"/>
      <c r="Z415" s="229"/>
      <c r="AA415" s="230"/>
      <c r="AB415" s="230"/>
      <c r="AC415" s="230"/>
      <c r="AD415" s="229"/>
      <c r="AE415" s="230"/>
    </row>
    <row r="416" spans="1:31" ht="12.75" customHeight="1">
      <c r="A416" s="229" t="str">
        <f t="shared" si="73"/>
        <v/>
      </c>
      <c r="B416" s="229" t="str">
        <f t="shared" si="74"/>
        <v/>
      </c>
      <c r="C416" s="229" t="str">
        <f t="shared" si="75"/>
        <v/>
      </c>
      <c r="D416" s="229" t="str">
        <f t="shared" si="76"/>
        <v/>
      </c>
      <c r="E416" s="229" t="str">
        <f t="shared" si="77"/>
        <v/>
      </c>
      <c r="F416" s="229" t="str">
        <f t="shared" si="78"/>
        <v/>
      </c>
      <c r="G416" s="230" t="str">
        <f>IF(HallOfFame!$G16="",T_NoName,HallOfFame!$G16)&amp;IF(HallOfFame!$C16=""," ("&amp;T_retired&amp;")"," ("&amp;HallOfFame!$C16&amp;")")</f>
        <v>Nameless (retired)</v>
      </c>
      <c r="H416" s="230">
        <f>HallOfFame!$H16</f>
        <v>0</v>
      </c>
      <c r="I416" s="229"/>
      <c r="J416" s="229">
        <v>13</v>
      </c>
      <c r="K416" s="230">
        <f>HallOfFame!$E16</f>
        <v>0</v>
      </c>
      <c r="L416" s="230">
        <f>HallOfFame!P16+((1000-ROW())/777777777)</f>
        <v>7.5085714360799999E-7</v>
      </c>
      <c r="M416" s="230">
        <f>HallOfFame!$Q16+((1000-ROW())/777777777)</f>
        <v>7.5085714360799999E-7</v>
      </c>
      <c r="N416" s="230">
        <f>HallOfFame!$R16+((1000-ROW())/777777777)</f>
        <v>7.5085714360799999E-7</v>
      </c>
      <c r="O416" s="312">
        <f>HallOfFame!$S16+((1000-ROW())/777777777)</f>
        <v>7.5085714360799999E-7</v>
      </c>
      <c r="P416" s="230">
        <f>HallOfFame!$T16+((1000-ROW())/777777777)</f>
        <v>7.5085714360799999E-7</v>
      </c>
      <c r="Q416" s="230">
        <f>HallOfFame!$U16+((1000-ROW())/777777777)</f>
        <v>7.5085714360799999E-7</v>
      </c>
      <c r="R416" s="230"/>
      <c r="S416" s="230"/>
      <c r="T416" s="230"/>
      <c r="U416" s="230"/>
      <c r="V416" s="230"/>
      <c r="W416" s="230"/>
      <c r="X416" s="229"/>
      <c r="Y416" s="229"/>
      <c r="Z416" s="229"/>
      <c r="AA416" s="230"/>
      <c r="AB416" s="230"/>
      <c r="AC416" s="230"/>
      <c r="AD416" s="229"/>
      <c r="AE416" s="230"/>
    </row>
    <row r="417" spans="1:31" ht="12.75" customHeight="1">
      <c r="A417" s="229" t="str">
        <f t="shared" si="73"/>
        <v/>
      </c>
      <c r="B417" s="229" t="str">
        <f t="shared" si="74"/>
        <v/>
      </c>
      <c r="C417" s="229" t="str">
        <f t="shared" si="75"/>
        <v/>
      </c>
      <c r="D417" s="229" t="str">
        <f t="shared" si="76"/>
        <v/>
      </c>
      <c r="E417" s="229" t="str">
        <f t="shared" si="77"/>
        <v/>
      </c>
      <c r="F417" s="229" t="str">
        <f t="shared" si="78"/>
        <v/>
      </c>
      <c r="G417" s="230" t="str">
        <f>IF(HallOfFame!$G17="",T_NoName,HallOfFame!$G17)&amp;IF(HallOfFame!$C17=""," ("&amp;T_retired&amp;")"," ("&amp;HallOfFame!$C17&amp;")")</f>
        <v>Nameless (retired)</v>
      </c>
      <c r="H417" s="230">
        <f>HallOfFame!$H17</f>
        <v>0</v>
      </c>
      <c r="I417" s="229"/>
      <c r="J417" s="229">
        <v>14</v>
      </c>
      <c r="K417" s="230">
        <f>HallOfFame!$E17</f>
        <v>0</v>
      </c>
      <c r="L417" s="230">
        <f>HallOfFame!P17+((1000-ROW())/777777777)</f>
        <v>7.4957142932099997E-7</v>
      </c>
      <c r="M417" s="230">
        <f>HallOfFame!$Q17+((1000-ROW())/777777777)</f>
        <v>7.4957142932099997E-7</v>
      </c>
      <c r="N417" s="230">
        <f>HallOfFame!$R17+((1000-ROW())/777777777)</f>
        <v>7.4957142932099997E-7</v>
      </c>
      <c r="O417" s="312">
        <f>HallOfFame!$S17+((1000-ROW())/777777777)</f>
        <v>7.4957142932099997E-7</v>
      </c>
      <c r="P417" s="230">
        <f>HallOfFame!$T17+((1000-ROW())/777777777)</f>
        <v>7.4957142932099997E-7</v>
      </c>
      <c r="Q417" s="230">
        <f>HallOfFame!$U17+((1000-ROW())/777777777)</f>
        <v>7.4957142932099997E-7</v>
      </c>
      <c r="R417" s="230"/>
      <c r="S417" s="230"/>
      <c r="T417" s="230"/>
      <c r="U417" s="230"/>
      <c r="V417" s="230"/>
      <c r="W417" s="230"/>
      <c r="X417" s="229"/>
      <c r="Y417" s="229"/>
      <c r="Z417" s="229"/>
      <c r="AA417" s="230"/>
      <c r="AB417" s="230"/>
      <c r="AC417" s="230"/>
      <c r="AD417" s="229"/>
      <c r="AE417" s="230"/>
    </row>
    <row r="418" spans="1:31" ht="12.75" customHeight="1">
      <c r="A418" s="229" t="str">
        <f t="shared" si="73"/>
        <v/>
      </c>
      <c r="B418" s="229" t="str">
        <f t="shared" si="74"/>
        <v/>
      </c>
      <c r="C418" s="229" t="str">
        <f t="shared" si="75"/>
        <v/>
      </c>
      <c r="D418" s="229" t="str">
        <f t="shared" si="76"/>
        <v/>
      </c>
      <c r="E418" s="229" t="str">
        <f t="shared" si="77"/>
        <v/>
      </c>
      <c r="F418" s="229" t="str">
        <f t="shared" si="78"/>
        <v/>
      </c>
      <c r="G418" s="230" t="str">
        <f>IF(HallOfFame!$G18="",T_NoName,HallOfFame!$G18)&amp;IF(HallOfFame!$C18=""," ("&amp;T_retired&amp;")"," ("&amp;HallOfFame!$C18&amp;")")</f>
        <v>Nameless (retired)</v>
      </c>
      <c r="H418" s="230">
        <f>HallOfFame!$H18</f>
        <v>0</v>
      </c>
      <c r="I418" s="229"/>
      <c r="J418" s="229">
        <v>15</v>
      </c>
      <c r="K418" s="230">
        <f>HallOfFame!$E18</f>
        <v>0</v>
      </c>
      <c r="L418" s="230">
        <f>HallOfFame!P18+((1000-ROW())/777777777)</f>
        <v>7.4828571503399996E-7</v>
      </c>
      <c r="M418" s="230">
        <f>HallOfFame!$Q18+((1000-ROW())/777777777)</f>
        <v>7.4828571503399996E-7</v>
      </c>
      <c r="N418" s="230">
        <f>HallOfFame!$R18+((1000-ROW())/777777777)</f>
        <v>7.4828571503399996E-7</v>
      </c>
      <c r="O418" s="312">
        <f>HallOfFame!$S18+((1000-ROW())/777777777)</f>
        <v>7.4828571503399996E-7</v>
      </c>
      <c r="P418" s="230">
        <f>HallOfFame!$T18+((1000-ROW())/777777777)</f>
        <v>7.4828571503399996E-7</v>
      </c>
      <c r="Q418" s="230">
        <f>HallOfFame!$U18+((1000-ROW())/777777777)</f>
        <v>7.4828571503399996E-7</v>
      </c>
      <c r="R418" s="230"/>
      <c r="S418" s="230"/>
      <c r="T418" s="230"/>
      <c r="U418" s="230"/>
      <c r="V418" s="230"/>
      <c r="W418" s="230"/>
      <c r="X418" s="229"/>
      <c r="Y418" s="229"/>
      <c r="Z418" s="229"/>
      <c r="AA418" s="230"/>
      <c r="AB418" s="230"/>
      <c r="AC418" s="230"/>
      <c r="AD418" s="229"/>
      <c r="AE418" s="230"/>
    </row>
    <row r="419" spans="1:31" ht="12.75" customHeight="1">
      <c r="A419" s="229" t="str">
        <f t="shared" si="73"/>
        <v/>
      </c>
      <c r="B419" s="229" t="str">
        <f t="shared" si="74"/>
        <v/>
      </c>
      <c r="C419" s="229" t="str">
        <f t="shared" si="75"/>
        <v/>
      </c>
      <c r="D419" s="229" t="str">
        <f t="shared" si="76"/>
        <v/>
      </c>
      <c r="E419" s="229" t="str">
        <f t="shared" si="77"/>
        <v/>
      </c>
      <c r="F419" s="229" t="str">
        <f t="shared" si="78"/>
        <v/>
      </c>
      <c r="G419" s="230" t="str">
        <f>IF(HallOfFame!$G19="",T_NoName,HallOfFame!$G19)&amp;IF(HallOfFame!$C19=""," ("&amp;T_retired&amp;")"," ("&amp;HallOfFame!$C19&amp;")")</f>
        <v>Nameless (retired)</v>
      </c>
      <c r="H419" s="230">
        <f>HallOfFame!$H19</f>
        <v>0</v>
      </c>
      <c r="I419" s="229"/>
      <c r="J419" s="229">
        <v>16</v>
      </c>
      <c r="K419" s="230">
        <f>HallOfFame!$E19</f>
        <v>0</v>
      </c>
      <c r="L419" s="230">
        <f>HallOfFame!P19+((1000-ROW())/777777777)</f>
        <v>7.4700000074699995E-7</v>
      </c>
      <c r="M419" s="230">
        <f>HallOfFame!$Q19+((1000-ROW())/777777777)</f>
        <v>7.4700000074699995E-7</v>
      </c>
      <c r="N419" s="230">
        <f>HallOfFame!$R19+((1000-ROW())/777777777)</f>
        <v>7.4700000074699995E-7</v>
      </c>
      <c r="O419" s="312">
        <f>HallOfFame!$S19+((1000-ROW())/777777777)</f>
        <v>7.4700000074699995E-7</v>
      </c>
      <c r="P419" s="230">
        <f>HallOfFame!$T19+((1000-ROW())/777777777)</f>
        <v>7.4700000074699995E-7</v>
      </c>
      <c r="Q419" s="230">
        <f>HallOfFame!$U19+((1000-ROW())/777777777)</f>
        <v>7.4700000074699995E-7</v>
      </c>
      <c r="R419" s="230"/>
      <c r="S419" s="230"/>
      <c r="T419" s="230"/>
      <c r="U419" s="230"/>
      <c r="V419" s="230"/>
      <c r="W419" s="230"/>
      <c r="X419" s="229"/>
      <c r="Y419" s="229"/>
      <c r="Z419" s="229"/>
      <c r="AA419" s="230"/>
      <c r="AB419" s="230"/>
      <c r="AC419" s="230"/>
      <c r="AD419" s="229"/>
      <c r="AE419" s="230"/>
    </row>
    <row r="420" spans="1:31" ht="12.75" customHeight="1">
      <c r="A420" s="229" t="str">
        <f t="shared" si="73"/>
        <v/>
      </c>
      <c r="B420" s="229" t="str">
        <f t="shared" si="74"/>
        <v/>
      </c>
      <c r="C420" s="229" t="str">
        <f t="shared" si="75"/>
        <v/>
      </c>
      <c r="D420" s="229" t="str">
        <f t="shared" si="76"/>
        <v/>
      </c>
      <c r="E420" s="229" t="str">
        <f t="shared" si="77"/>
        <v/>
      </c>
      <c r="F420" s="229" t="str">
        <f t="shared" si="78"/>
        <v/>
      </c>
      <c r="G420" s="230" t="str">
        <f>IF(HallOfFame!$G20="",T_NoName,HallOfFame!$G20)&amp;IF(HallOfFame!$C20=""," ("&amp;T_retired&amp;")"," ("&amp;HallOfFame!$C20&amp;")")</f>
        <v>Nameless (retired)</v>
      </c>
      <c r="H420" s="230">
        <f>HallOfFame!$H20</f>
        <v>0</v>
      </c>
      <c r="I420" s="229"/>
      <c r="J420" s="229">
        <v>17</v>
      </c>
      <c r="K420" s="230">
        <f>HallOfFame!$E20</f>
        <v>0</v>
      </c>
      <c r="L420" s="230">
        <f>HallOfFame!P20+((1000-ROW())/777777777)</f>
        <v>7.4571428646000004E-7</v>
      </c>
      <c r="M420" s="230">
        <f>HallOfFame!$Q20+((1000-ROW())/777777777)</f>
        <v>7.4571428646000004E-7</v>
      </c>
      <c r="N420" s="230">
        <f>HallOfFame!$R20+((1000-ROW())/777777777)</f>
        <v>7.4571428646000004E-7</v>
      </c>
      <c r="O420" s="312">
        <f>HallOfFame!$S20+((1000-ROW())/777777777)</f>
        <v>7.4571428646000004E-7</v>
      </c>
      <c r="P420" s="230">
        <f>HallOfFame!$T20+((1000-ROW())/777777777)</f>
        <v>7.4571428646000004E-7</v>
      </c>
      <c r="Q420" s="230">
        <f>HallOfFame!$U20+((1000-ROW())/777777777)</f>
        <v>7.4571428646000004E-7</v>
      </c>
      <c r="R420" s="230"/>
      <c r="S420" s="230"/>
      <c r="T420" s="230"/>
      <c r="U420" s="230"/>
      <c r="V420" s="230"/>
      <c r="W420" s="230"/>
      <c r="X420" s="229"/>
      <c r="Y420" s="229"/>
      <c r="Z420" s="229"/>
      <c r="AA420" s="230"/>
      <c r="AB420" s="230"/>
      <c r="AC420" s="230"/>
      <c r="AD420" s="229"/>
      <c r="AE420" s="230"/>
    </row>
    <row r="421" spans="1:31" ht="12.75" customHeight="1">
      <c r="A421" s="229" t="str">
        <f t="shared" si="73"/>
        <v/>
      </c>
      <c r="B421" s="229" t="str">
        <f t="shared" si="74"/>
        <v/>
      </c>
      <c r="C421" s="229" t="str">
        <f t="shared" si="75"/>
        <v/>
      </c>
      <c r="D421" s="229" t="str">
        <f t="shared" si="76"/>
        <v/>
      </c>
      <c r="E421" s="229" t="str">
        <f t="shared" si="77"/>
        <v/>
      </c>
      <c r="F421" s="229" t="str">
        <f t="shared" si="78"/>
        <v/>
      </c>
      <c r="G421" s="230" t="str">
        <f>IF(HallOfFame!$G21="",T_NoName,HallOfFame!$G21)&amp;IF(HallOfFame!$C21=""," ("&amp;T_retired&amp;")"," ("&amp;HallOfFame!$C21&amp;")")</f>
        <v>Nameless (retired)</v>
      </c>
      <c r="H421" s="230">
        <f>HallOfFame!$H21</f>
        <v>0</v>
      </c>
      <c r="I421" s="229"/>
      <c r="J421" s="229">
        <v>18</v>
      </c>
      <c r="K421" s="230">
        <f>HallOfFame!$E21</f>
        <v>0</v>
      </c>
      <c r="L421" s="230">
        <f>HallOfFame!P21+((1000-ROW())/777777777)</f>
        <v>7.4442857217300003E-7</v>
      </c>
      <c r="M421" s="230">
        <f>HallOfFame!$Q21+((1000-ROW())/777777777)</f>
        <v>7.4442857217300003E-7</v>
      </c>
      <c r="N421" s="230">
        <f>HallOfFame!$R21+((1000-ROW())/777777777)</f>
        <v>7.4442857217300003E-7</v>
      </c>
      <c r="O421" s="312">
        <f>HallOfFame!$S21+((1000-ROW())/777777777)</f>
        <v>7.4442857217300003E-7</v>
      </c>
      <c r="P421" s="230">
        <f>HallOfFame!$T21+((1000-ROW())/777777777)</f>
        <v>7.4442857217300003E-7</v>
      </c>
      <c r="Q421" s="230">
        <f>HallOfFame!$U21+((1000-ROW())/777777777)</f>
        <v>7.4442857217300003E-7</v>
      </c>
      <c r="R421" s="230"/>
      <c r="S421" s="230"/>
      <c r="T421" s="230"/>
      <c r="U421" s="230"/>
      <c r="V421" s="230"/>
      <c r="W421" s="230"/>
      <c r="X421" s="229"/>
      <c r="Y421" s="229"/>
      <c r="Z421" s="229"/>
      <c r="AA421" s="230"/>
      <c r="AB421" s="230"/>
      <c r="AC421" s="230"/>
      <c r="AD421" s="229"/>
      <c r="AE421" s="230"/>
    </row>
    <row r="422" spans="1:31" ht="12.75" customHeight="1">
      <c r="A422" s="229" t="str">
        <f t="shared" si="73"/>
        <v/>
      </c>
      <c r="B422" s="229" t="str">
        <f t="shared" si="74"/>
        <v/>
      </c>
      <c r="C422" s="229" t="str">
        <f t="shared" si="75"/>
        <v/>
      </c>
      <c r="D422" s="229" t="str">
        <f t="shared" si="76"/>
        <v/>
      </c>
      <c r="E422" s="229" t="str">
        <f t="shared" si="77"/>
        <v/>
      </c>
      <c r="F422" s="229" t="str">
        <f t="shared" si="78"/>
        <v/>
      </c>
      <c r="G422" s="230" t="str">
        <f>IF(HallOfFame!$G22="",T_NoName,HallOfFame!$G22)&amp;IF(HallOfFame!$C22=""," ("&amp;T_retired&amp;")"," ("&amp;HallOfFame!$C22&amp;")")</f>
        <v>Nameless (retired)</v>
      </c>
      <c r="H422" s="230">
        <f>HallOfFame!$H22</f>
        <v>0</v>
      </c>
      <c r="I422" s="229"/>
      <c r="J422" s="229">
        <v>19</v>
      </c>
      <c r="K422" s="230">
        <f>HallOfFame!$E22</f>
        <v>0</v>
      </c>
      <c r="L422" s="230">
        <f>HallOfFame!P22+((1000-ROW())/777777777)</f>
        <v>7.4314285788600002E-7</v>
      </c>
      <c r="M422" s="230">
        <f>HallOfFame!$Q22+((1000-ROW())/777777777)</f>
        <v>7.4314285788600002E-7</v>
      </c>
      <c r="N422" s="230">
        <f>HallOfFame!$R22+((1000-ROW())/777777777)</f>
        <v>7.4314285788600002E-7</v>
      </c>
      <c r="O422" s="312">
        <f>HallOfFame!$S22+((1000-ROW())/777777777)</f>
        <v>7.4314285788600002E-7</v>
      </c>
      <c r="P422" s="230">
        <f>HallOfFame!$T22+((1000-ROW())/777777777)</f>
        <v>7.4314285788600002E-7</v>
      </c>
      <c r="Q422" s="230">
        <f>HallOfFame!$U22+((1000-ROW())/777777777)</f>
        <v>7.4314285788600002E-7</v>
      </c>
      <c r="R422" s="230"/>
      <c r="S422" s="230"/>
      <c r="T422" s="230"/>
      <c r="U422" s="230"/>
      <c r="V422" s="230"/>
      <c r="W422" s="230"/>
      <c r="X422" s="229"/>
      <c r="Y422" s="229"/>
      <c r="Z422" s="229"/>
      <c r="AA422" s="230"/>
      <c r="AB422" s="230"/>
      <c r="AC422" s="230"/>
      <c r="AD422" s="229"/>
      <c r="AE422" s="230"/>
    </row>
    <row r="423" spans="1:31" ht="12.75" customHeight="1">
      <c r="A423" s="229" t="str">
        <f t="shared" si="73"/>
        <v/>
      </c>
      <c r="B423" s="229" t="str">
        <f t="shared" si="74"/>
        <v/>
      </c>
      <c r="C423" s="229" t="str">
        <f t="shared" si="75"/>
        <v/>
      </c>
      <c r="D423" s="229" t="str">
        <f t="shared" si="76"/>
        <v/>
      </c>
      <c r="E423" s="229" t="str">
        <f t="shared" si="77"/>
        <v/>
      </c>
      <c r="F423" s="229" t="str">
        <f t="shared" si="78"/>
        <v/>
      </c>
      <c r="G423" s="230" t="str">
        <f>IF(HallOfFame!$G23="",T_NoName,HallOfFame!$G23)&amp;IF(HallOfFame!$C23=""," ("&amp;T_retired&amp;")"," ("&amp;HallOfFame!$C23&amp;")")</f>
        <v>Nameless (retired)</v>
      </c>
      <c r="H423" s="230">
        <f>HallOfFame!$H23</f>
        <v>0</v>
      </c>
      <c r="I423" s="229"/>
      <c r="J423" s="229">
        <v>20</v>
      </c>
      <c r="K423" s="230">
        <f>HallOfFame!$E23</f>
        <v>0</v>
      </c>
      <c r="L423" s="230">
        <f>HallOfFame!P23+((1000-ROW())/777777777)</f>
        <v>7.4185714359900001E-7</v>
      </c>
      <c r="M423" s="230">
        <f>HallOfFame!$Q23+((1000-ROW())/777777777)</f>
        <v>7.4185714359900001E-7</v>
      </c>
      <c r="N423" s="230">
        <f>HallOfFame!$R23+((1000-ROW())/777777777)</f>
        <v>7.4185714359900001E-7</v>
      </c>
      <c r="O423" s="312">
        <f>HallOfFame!$S23+((1000-ROW())/777777777)</f>
        <v>7.4185714359900001E-7</v>
      </c>
      <c r="P423" s="230">
        <f>HallOfFame!$T23+((1000-ROW())/777777777)</f>
        <v>7.4185714359900001E-7</v>
      </c>
      <c r="Q423" s="230">
        <f>HallOfFame!$U23+((1000-ROW())/777777777)</f>
        <v>7.4185714359900001E-7</v>
      </c>
      <c r="R423" s="230"/>
      <c r="S423" s="230"/>
      <c r="T423" s="230"/>
      <c r="U423" s="230"/>
      <c r="V423" s="230"/>
      <c r="W423" s="230"/>
      <c r="X423" s="229"/>
      <c r="Y423" s="229"/>
      <c r="Z423" s="229"/>
      <c r="AA423" s="230"/>
      <c r="AB423" s="230"/>
      <c r="AC423" s="230"/>
      <c r="AD423" s="229"/>
      <c r="AE423" s="230"/>
    </row>
    <row r="424" spans="1:31" ht="12.75" customHeight="1">
      <c r="A424" s="229" t="str">
        <f t="shared" si="73"/>
        <v/>
      </c>
      <c r="B424" s="229" t="str">
        <f t="shared" si="74"/>
        <v/>
      </c>
      <c r="C424" s="229" t="str">
        <f t="shared" si="75"/>
        <v/>
      </c>
      <c r="D424" s="229" t="str">
        <f t="shared" si="76"/>
        <v/>
      </c>
      <c r="E424" s="229" t="str">
        <f t="shared" si="77"/>
        <v/>
      </c>
      <c r="F424" s="229" t="str">
        <f t="shared" si="78"/>
        <v/>
      </c>
      <c r="G424" s="230" t="str">
        <f>IF(HallOfFame!$G24="",T_NoName,HallOfFame!$G24)&amp;IF(HallOfFame!$C24=""," ("&amp;T_retired&amp;")"," ("&amp;HallOfFame!$C24&amp;")")</f>
        <v>Nameless (retired)</v>
      </c>
      <c r="H424" s="230">
        <f>HallOfFame!$H24</f>
        <v>0</v>
      </c>
      <c r="I424" s="229"/>
      <c r="J424" s="229">
        <v>21</v>
      </c>
      <c r="K424" s="230">
        <f>HallOfFame!$E24</f>
        <v>0</v>
      </c>
      <c r="L424" s="230">
        <f>HallOfFame!P24+((1000-ROW())/777777777)</f>
        <v>7.40571429312E-7</v>
      </c>
      <c r="M424" s="230">
        <f>HallOfFame!$Q24+((1000-ROW())/777777777)</f>
        <v>7.40571429312E-7</v>
      </c>
      <c r="N424" s="230">
        <f>HallOfFame!$R24+((1000-ROW())/777777777)</f>
        <v>7.40571429312E-7</v>
      </c>
      <c r="O424" s="312">
        <f>HallOfFame!$S24+((1000-ROW())/777777777)</f>
        <v>7.40571429312E-7</v>
      </c>
      <c r="P424" s="230">
        <f>HallOfFame!$T24+((1000-ROW())/777777777)</f>
        <v>7.40571429312E-7</v>
      </c>
      <c r="Q424" s="230">
        <f>HallOfFame!$U24+((1000-ROW())/777777777)</f>
        <v>7.40571429312E-7</v>
      </c>
      <c r="R424" s="230"/>
      <c r="S424" s="230"/>
      <c r="T424" s="230"/>
      <c r="U424" s="230"/>
      <c r="V424" s="230"/>
      <c r="W424" s="230"/>
      <c r="X424" s="229"/>
      <c r="Y424" s="229"/>
      <c r="Z424" s="229"/>
      <c r="AA424" s="230"/>
      <c r="AB424" s="230"/>
      <c r="AC424" s="230"/>
      <c r="AD424" s="229"/>
      <c r="AE424" s="230"/>
    </row>
    <row r="425" spans="1:31" ht="12.75" customHeight="1">
      <c r="A425" s="229" t="str">
        <f t="shared" si="73"/>
        <v/>
      </c>
      <c r="B425" s="229" t="str">
        <f t="shared" si="74"/>
        <v/>
      </c>
      <c r="C425" s="229" t="str">
        <f t="shared" si="75"/>
        <v/>
      </c>
      <c r="D425" s="229" t="str">
        <f t="shared" si="76"/>
        <v/>
      </c>
      <c r="E425" s="229" t="str">
        <f t="shared" si="77"/>
        <v/>
      </c>
      <c r="F425" s="229" t="str">
        <f t="shared" si="78"/>
        <v/>
      </c>
      <c r="G425" s="230" t="str">
        <f>IF(HallOfFame!$G25="",T_NoName,HallOfFame!$G25)&amp;IF(HallOfFame!$C25=""," ("&amp;T_retired&amp;")"," ("&amp;HallOfFame!$C25&amp;")")</f>
        <v>Nameless (retired)</v>
      </c>
      <c r="H425" s="230">
        <f>HallOfFame!$H25</f>
        <v>0</v>
      </c>
      <c r="I425" s="229"/>
      <c r="J425" s="229">
        <v>22</v>
      </c>
      <c r="K425" s="230">
        <f>HallOfFame!$E25</f>
        <v>0</v>
      </c>
      <c r="L425" s="230">
        <f>HallOfFame!P25+((1000-ROW())/777777777)</f>
        <v>7.3928571502499998E-7</v>
      </c>
      <c r="M425" s="230">
        <f>HallOfFame!$Q25+((1000-ROW())/777777777)</f>
        <v>7.3928571502499998E-7</v>
      </c>
      <c r="N425" s="230">
        <f>HallOfFame!$R25+((1000-ROW())/777777777)</f>
        <v>7.3928571502499998E-7</v>
      </c>
      <c r="O425" s="312">
        <f>HallOfFame!$S25+((1000-ROW())/777777777)</f>
        <v>7.3928571502499998E-7</v>
      </c>
      <c r="P425" s="230">
        <f>HallOfFame!$T25+((1000-ROW())/777777777)</f>
        <v>7.3928571502499998E-7</v>
      </c>
      <c r="Q425" s="230">
        <f>HallOfFame!$U25+((1000-ROW())/777777777)</f>
        <v>7.3928571502499998E-7</v>
      </c>
      <c r="R425" s="230"/>
      <c r="S425" s="230"/>
      <c r="T425" s="230"/>
      <c r="U425" s="230"/>
      <c r="V425" s="230"/>
      <c r="W425" s="230"/>
      <c r="X425" s="229"/>
      <c r="Y425" s="229"/>
      <c r="Z425" s="229"/>
      <c r="AA425" s="230"/>
      <c r="AB425" s="230"/>
      <c r="AC425" s="230"/>
      <c r="AD425" s="229"/>
      <c r="AE425" s="230"/>
    </row>
    <row r="426" spans="1:31" ht="12.75" customHeight="1">
      <c r="A426" s="229" t="str">
        <f t="shared" si="73"/>
        <v/>
      </c>
      <c r="B426" s="229" t="str">
        <f t="shared" si="74"/>
        <v/>
      </c>
      <c r="C426" s="229" t="str">
        <f t="shared" si="75"/>
        <v/>
      </c>
      <c r="D426" s="229" t="str">
        <f t="shared" si="76"/>
        <v/>
      </c>
      <c r="E426" s="229" t="str">
        <f t="shared" si="77"/>
        <v/>
      </c>
      <c r="F426" s="229" t="str">
        <f t="shared" si="78"/>
        <v/>
      </c>
      <c r="G426" s="230" t="str">
        <f>IF(HallOfFame!$G26="",T_NoName,HallOfFame!$G26)&amp;IF(HallOfFame!$C26=""," ("&amp;T_retired&amp;")"," ("&amp;HallOfFame!$C26&amp;")")</f>
        <v>Nameless (retired)</v>
      </c>
      <c r="H426" s="230">
        <f>HallOfFame!$H26</f>
        <v>0</v>
      </c>
      <c r="I426" s="229"/>
      <c r="J426" s="229">
        <v>23</v>
      </c>
      <c r="K426" s="230">
        <f>HallOfFame!$E26</f>
        <v>0</v>
      </c>
      <c r="L426" s="230">
        <f>HallOfFame!P26+((1000-ROW())/777777777)</f>
        <v>7.3800000073799997E-7</v>
      </c>
      <c r="M426" s="230">
        <f>HallOfFame!$Q26+((1000-ROW())/777777777)</f>
        <v>7.3800000073799997E-7</v>
      </c>
      <c r="N426" s="230">
        <f>HallOfFame!$R26+((1000-ROW())/777777777)</f>
        <v>7.3800000073799997E-7</v>
      </c>
      <c r="O426" s="312">
        <f>HallOfFame!$S26+((1000-ROW())/777777777)</f>
        <v>7.3800000073799997E-7</v>
      </c>
      <c r="P426" s="230">
        <f>HallOfFame!$T26+((1000-ROW())/777777777)</f>
        <v>7.3800000073799997E-7</v>
      </c>
      <c r="Q426" s="230">
        <f>HallOfFame!$U26+((1000-ROW())/777777777)</f>
        <v>7.3800000073799997E-7</v>
      </c>
      <c r="R426" s="230"/>
      <c r="S426" s="230"/>
      <c r="T426" s="230"/>
      <c r="U426" s="230"/>
      <c r="V426" s="230"/>
      <c r="W426" s="230"/>
      <c r="X426" s="229"/>
      <c r="Y426" s="229"/>
      <c r="Z426" s="229"/>
      <c r="AA426" s="230"/>
      <c r="AB426" s="230"/>
      <c r="AC426" s="230"/>
      <c r="AD426" s="229"/>
      <c r="AE426" s="230"/>
    </row>
    <row r="427" spans="1:31" ht="12.75" customHeight="1">
      <c r="A427" s="229" t="str">
        <f t="shared" si="73"/>
        <v/>
      </c>
      <c r="B427" s="229" t="str">
        <f t="shared" si="74"/>
        <v/>
      </c>
      <c r="C427" s="229" t="str">
        <f t="shared" si="75"/>
        <v/>
      </c>
      <c r="D427" s="229" t="str">
        <f t="shared" si="76"/>
        <v/>
      </c>
      <c r="E427" s="229" t="str">
        <f t="shared" si="77"/>
        <v/>
      </c>
      <c r="F427" s="229" t="str">
        <f t="shared" si="78"/>
        <v/>
      </c>
      <c r="G427" s="230" t="str">
        <f>IF(HallOfFame!$G27="",T_NoName,HallOfFame!$G27)&amp;IF(HallOfFame!$C27=""," ("&amp;T_retired&amp;")"," ("&amp;HallOfFame!$C27&amp;")")</f>
        <v>Nameless (retired)</v>
      </c>
      <c r="H427" s="230">
        <f>HallOfFame!$H27</f>
        <v>0</v>
      </c>
      <c r="I427" s="229"/>
      <c r="J427" s="229">
        <v>24</v>
      </c>
      <c r="K427" s="230">
        <f>HallOfFame!$E27</f>
        <v>0</v>
      </c>
      <c r="L427" s="230">
        <f>HallOfFame!P27+((1000-ROW())/777777777)</f>
        <v>7.3671428645099996E-7</v>
      </c>
      <c r="M427" s="230">
        <f>HallOfFame!$Q27+((1000-ROW())/777777777)</f>
        <v>7.3671428645099996E-7</v>
      </c>
      <c r="N427" s="230">
        <f>HallOfFame!$R27+((1000-ROW())/777777777)</f>
        <v>7.3671428645099996E-7</v>
      </c>
      <c r="O427" s="312">
        <f>HallOfFame!$S27+((1000-ROW())/777777777)</f>
        <v>7.3671428645099996E-7</v>
      </c>
      <c r="P427" s="230">
        <f>HallOfFame!$T27+((1000-ROW())/777777777)</f>
        <v>7.3671428645099996E-7</v>
      </c>
      <c r="Q427" s="230">
        <f>HallOfFame!$U27+((1000-ROW())/777777777)</f>
        <v>7.3671428645099996E-7</v>
      </c>
      <c r="R427" s="230"/>
      <c r="S427" s="230"/>
      <c r="T427" s="230"/>
      <c r="U427" s="230"/>
      <c r="V427" s="230"/>
      <c r="W427" s="230"/>
      <c r="X427" s="229"/>
      <c r="Y427" s="229"/>
      <c r="Z427" s="229"/>
      <c r="AA427" s="230"/>
      <c r="AB427" s="230"/>
      <c r="AC427" s="230"/>
      <c r="AD427" s="229"/>
      <c r="AE427" s="230"/>
    </row>
    <row r="428" spans="1:31" ht="12.75" customHeight="1">
      <c r="A428" s="229" t="str">
        <f t="shared" si="73"/>
        <v/>
      </c>
      <c r="B428" s="229" t="str">
        <f t="shared" si="74"/>
        <v/>
      </c>
      <c r="C428" s="229" t="str">
        <f t="shared" si="75"/>
        <v/>
      </c>
      <c r="D428" s="229" t="str">
        <f t="shared" si="76"/>
        <v/>
      </c>
      <c r="E428" s="229" t="str">
        <f t="shared" si="77"/>
        <v/>
      </c>
      <c r="F428" s="229" t="str">
        <f t="shared" si="78"/>
        <v/>
      </c>
      <c r="G428" s="230" t="str">
        <f>IF(HallOfFame!$G28="",T_NoName,HallOfFame!$G28)&amp;IF(HallOfFame!$C28=""," ("&amp;T_retired&amp;")"," ("&amp;HallOfFame!$C28&amp;")")</f>
        <v>Nameless (retired)</v>
      </c>
      <c r="H428" s="230">
        <f>HallOfFame!$H28</f>
        <v>0</v>
      </c>
      <c r="I428" s="229"/>
      <c r="J428" s="229">
        <v>25</v>
      </c>
      <c r="K428" s="230">
        <f>HallOfFame!$E28</f>
        <v>0</v>
      </c>
      <c r="L428" s="230">
        <f>HallOfFame!P28+((1000-ROW())/777777777)</f>
        <v>7.3542857216399995E-7</v>
      </c>
      <c r="M428" s="230">
        <f>HallOfFame!$Q28+((1000-ROW())/777777777)</f>
        <v>7.3542857216399995E-7</v>
      </c>
      <c r="N428" s="230">
        <f>HallOfFame!$R28+((1000-ROW())/777777777)</f>
        <v>7.3542857216399995E-7</v>
      </c>
      <c r="O428" s="312">
        <f>HallOfFame!$S28+((1000-ROW())/777777777)</f>
        <v>7.3542857216399995E-7</v>
      </c>
      <c r="P428" s="230">
        <f>HallOfFame!$T28+((1000-ROW())/777777777)</f>
        <v>7.3542857216399995E-7</v>
      </c>
      <c r="Q428" s="230">
        <f>HallOfFame!$U28+((1000-ROW())/777777777)</f>
        <v>7.3542857216399995E-7</v>
      </c>
      <c r="R428" s="230"/>
      <c r="S428" s="230"/>
      <c r="T428" s="230"/>
      <c r="U428" s="230"/>
      <c r="V428" s="230"/>
      <c r="W428" s="230"/>
      <c r="X428" s="229"/>
      <c r="Y428" s="229"/>
      <c r="Z428" s="229"/>
      <c r="AA428" s="230"/>
      <c r="AB428" s="230"/>
      <c r="AC428" s="230"/>
      <c r="AD428" s="229"/>
      <c r="AE428" s="230"/>
    </row>
    <row r="429" spans="1:31" ht="12.75" customHeight="1">
      <c r="A429" s="229" t="str">
        <f t="shared" si="73"/>
        <v/>
      </c>
      <c r="B429" s="229" t="str">
        <f t="shared" si="74"/>
        <v/>
      </c>
      <c r="C429" s="229" t="str">
        <f t="shared" si="75"/>
        <v/>
      </c>
      <c r="D429" s="229" t="str">
        <f t="shared" si="76"/>
        <v/>
      </c>
      <c r="E429" s="229" t="str">
        <f t="shared" si="77"/>
        <v/>
      </c>
      <c r="F429" s="229" t="str">
        <f t="shared" si="78"/>
        <v/>
      </c>
      <c r="G429" s="230" t="str">
        <f>IF(HallOfFame!$G29="",T_NoName,HallOfFame!$G29)&amp;IF(HallOfFame!$C29=""," ("&amp;T_retired&amp;")"," ("&amp;HallOfFame!$C29&amp;")")</f>
        <v>Nameless (retired)</v>
      </c>
      <c r="H429" s="230">
        <f>HallOfFame!$H29</f>
        <v>0</v>
      </c>
      <c r="I429" s="229"/>
      <c r="J429" s="229">
        <v>26</v>
      </c>
      <c r="K429" s="230">
        <f>HallOfFame!$E29</f>
        <v>0</v>
      </c>
      <c r="L429" s="230">
        <f>HallOfFame!P29+((1000-ROW())/777777777)</f>
        <v>7.3414285787700004E-7</v>
      </c>
      <c r="M429" s="230">
        <f>HallOfFame!$Q29+((1000-ROW())/777777777)</f>
        <v>7.3414285787700004E-7</v>
      </c>
      <c r="N429" s="230">
        <f>HallOfFame!$R29+((1000-ROW())/777777777)</f>
        <v>7.3414285787700004E-7</v>
      </c>
      <c r="O429" s="312">
        <f>HallOfFame!$S29+((1000-ROW())/777777777)</f>
        <v>7.3414285787700004E-7</v>
      </c>
      <c r="P429" s="230">
        <f>HallOfFame!$T29+((1000-ROW())/777777777)</f>
        <v>7.3414285787700004E-7</v>
      </c>
      <c r="Q429" s="230">
        <f>HallOfFame!$U29+((1000-ROW())/777777777)</f>
        <v>7.3414285787700004E-7</v>
      </c>
      <c r="R429" s="230"/>
      <c r="S429" s="230"/>
      <c r="T429" s="230"/>
      <c r="U429" s="230"/>
      <c r="V429" s="230"/>
      <c r="W429" s="230"/>
      <c r="X429" s="229"/>
      <c r="Y429" s="229"/>
      <c r="Z429" s="229"/>
      <c r="AA429" s="230"/>
      <c r="AB429" s="230"/>
      <c r="AC429" s="230"/>
      <c r="AD429" s="229"/>
      <c r="AE429" s="230"/>
    </row>
    <row r="430" spans="1:31" ht="12.75" customHeight="1">
      <c r="A430" s="229" t="str">
        <f t="shared" si="73"/>
        <v/>
      </c>
      <c r="B430" s="229" t="str">
        <f t="shared" si="74"/>
        <v/>
      </c>
      <c r="C430" s="229" t="str">
        <f t="shared" si="75"/>
        <v/>
      </c>
      <c r="D430" s="229" t="str">
        <f t="shared" si="76"/>
        <v/>
      </c>
      <c r="E430" s="229" t="str">
        <f t="shared" si="77"/>
        <v/>
      </c>
      <c r="F430" s="229" t="str">
        <f t="shared" si="78"/>
        <v/>
      </c>
      <c r="G430" s="230" t="str">
        <f>IF(HallOfFame!$G30="",T_NoName,HallOfFame!$G30)&amp;IF(HallOfFame!$C30=""," ("&amp;T_retired&amp;")"," ("&amp;HallOfFame!$C30&amp;")")</f>
        <v>Nameless (retired)</v>
      </c>
      <c r="H430" s="230">
        <f>HallOfFame!$H30</f>
        <v>0</v>
      </c>
      <c r="I430" s="229"/>
      <c r="J430" s="229">
        <v>27</v>
      </c>
      <c r="K430" s="230">
        <f>HallOfFame!$E30</f>
        <v>0</v>
      </c>
      <c r="L430" s="230">
        <f>HallOfFame!P30+((1000-ROW())/777777777)</f>
        <v>7.3285714359000003E-7</v>
      </c>
      <c r="M430" s="230">
        <f>HallOfFame!$Q30+((1000-ROW())/777777777)</f>
        <v>7.3285714359000003E-7</v>
      </c>
      <c r="N430" s="230">
        <f>HallOfFame!$R30+((1000-ROW())/777777777)</f>
        <v>7.3285714359000003E-7</v>
      </c>
      <c r="O430" s="312">
        <f>HallOfFame!$S30+((1000-ROW())/777777777)</f>
        <v>7.3285714359000003E-7</v>
      </c>
      <c r="P430" s="230">
        <f>HallOfFame!$T30+((1000-ROW())/777777777)</f>
        <v>7.3285714359000003E-7</v>
      </c>
      <c r="Q430" s="230">
        <f>HallOfFame!$U30+((1000-ROW())/777777777)</f>
        <v>7.3285714359000003E-7</v>
      </c>
      <c r="R430" s="230"/>
      <c r="S430" s="230"/>
      <c r="T430" s="230"/>
      <c r="U430" s="230"/>
      <c r="V430" s="230"/>
      <c r="W430" s="230"/>
      <c r="X430" s="229"/>
      <c r="Y430" s="229"/>
      <c r="Z430" s="229"/>
      <c r="AA430" s="230"/>
      <c r="AB430" s="230"/>
      <c r="AC430" s="230"/>
      <c r="AD430" s="229"/>
      <c r="AE430" s="230"/>
    </row>
    <row r="431" spans="1:31" ht="12.75" customHeight="1">
      <c r="A431" s="229" t="str">
        <f t="shared" si="73"/>
        <v/>
      </c>
      <c r="B431" s="229" t="str">
        <f t="shared" si="74"/>
        <v/>
      </c>
      <c r="C431" s="229" t="str">
        <f t="shared" si="75"/>
        <v/>
      </c>
      <c r="D431" s="229" t="str">
        <f t="shared" si="76"/>
        <v/>
      </c>
      <c r="E431" s="229" t="str">
        <f t="shared" si="77"/>
        <v/>
      </c>
      <c r="F431" s="229" t="str">
        <f t="shared" si="78"/>
        <v/>
      </c>
      <c r="G431" s="230" t="str">
        <f>IF(HallOfFame!$G31="",T_NoName,HallOfFame!$G31)&amp;IF(HallOfFame!$C31=""," ("&amp;T_retired&amp;")"," ("&amp;HallOfFame!$C31&amp;")")</f>
        <v>Nameless (retired)</v>
      </c>
      <c r="H431" s="230">
        <f>HallOfFame!$H31</f>
        <v>0</v>
      </c>
      <c r="I431" s="229"/>
      <c r="J431" s="229">
        <v>28</v>
      </c>
      <c r="K431" s="230">
        <f>HallOfFame!$E31</f>
        <v>0</v>
      </c>
      <c r="L431" s="230">
        <f>HallOfFame!P31+((1000-ROW())/777777777)</f>
        <v>7.3157142930300002E-7</v>
      </c>
      <c r="M431" s="230">
        <f>HallOfFame!$Q31+((1000-ROW())/777777777)</f>
        <v>7.3157142930300002E-7</v>
      </c>
      <c r="N431" s="230">
        <f>HallOfFame!$R31+((1000-ROW())/777777777)</f>
        <v>7.3157142930300002E-7</v>
      </c>
      <c r="O431" s="312">
        <f>HallOfFame!$S31+((1000-ROW())/777777777)</f>
        <v>7.3157142930300002E-7</v>
      </c>
      <c r="P431" s="230">
        <f>HallOfFame!$T31+((1000-ROW())/777777777)</f>
        <v>7.3157142930300002E-7</v>
      </c>
      <c r="Q431" s="230">
        <f>HallOfFame!$U31+((1000-ROW())/777777777)</f>
        <v>7.3157142930300002E-7</v>
      </c>
      <c r="R431" s="230"/>
      <c r="S431" s="230"/>
      <c r="T431" s="230"/>
      <c r="U431" s="230"/>
      <c r="V431" s="230"/>
      <c r="W431" s="230"/>
      <c r="X431" s="229"/>
      <c r="Y431" s="229"/>
      <c r="Z431" s="229"/>
      <c r="AA431" s="230"/>
      <c r="AB431" s="230"/>
      <c r="AC431" s="230"/>
      <c r="AD431" s="229"/>
      <c r="AE431" s="230"/>
    </row>
    <row r="432" spans="1:31" ht="12.75" customHeight="1">
      <c r="A432" s="229" t="str">
        <f t="shared" si="73"/>
        <v/>
      </c>
      <c r="B432" s="229" t="str">
        <f t="shared" si="74"/>
        <v/>
      </c>
      <c r="C432" s="229" t="str">
        <f t="shared" si="75"/>
        <v/>
      </c>
      <c r="D432" s="229" t="str">
        <f t="shared" si="76"/>
        <v/>
      </c>
      <c r="E432" s="229" t="str">
        <f t="shared" si="77"/>
        <v/>
      </c>
      <c r="F432" s="229" t="str">
        <f t="shared" si="78"/>
        <v/>
      </c>
      <c r="G432" s="230" t="str">
        <f>IF(HallOfFame!$G32="",T_NoName,HallOfFame!$G32)&amp;IF(HallOfFame!$C32=""," ("&amp;T_retired&amp;")"," ("&amp;HallOfFame!$C32&amp;")")</f>
        <v>Nameless (retired)</v>
      </c>
      <c r="H432" s="230">
        <f>HallOfFame!$H32</f>
        <v>0</v>
      </c>
      <c r="I432" s="229"/>
      <c r="J432" s="229">
        <v>29</v>
      </c>
      <c r="K432" s="230">
        <f>HallOfFame!$E32</f>
        <v>0</v>
      </c>
      <c r="L432" s="230">
        <f>HallOfFame!P32+((1000-ROW())/777777777)</f>
        <v>7.3028571501600001E-7</v>
      </c>
      <c r="M432" s="230">
        <f>HallOfFame!$Q32+((1000-ROW())/777777777)</f>
        <v>7.3028571501600001E-7</v>
      </c>
      <c r="N432" s="230">
        <f>HallOfFame!$R32+((1000-ROW())/777777777)</f>
        <v>7.3028571501600001E-7</v>
      </c>
      <c r="O432" s="312">
        <f>HallOfFame!$S32+((1000-ROW())/777777777)</f>
        <v>7.3028571501600001E-7</v>
      </c>
      <c r="P432" s="230">
        <f>HallOfFame!$T32+((1000-ROW())/777777777)</f>
        <v>7.3028571501600001E-7</v>
      </c>
      <c r="Q432" s="230">
        <f>HallOfFame!$U32+((1000-ROW())/777777777)</f>
        <v>7.3028571501600001E-7</v>
      </c>
      <c r="R432" s="230"/>
      <c r="S432" s="230"/>
      <c r="T432" s="230"/>
      <c r="U432" s="230"/>
      <c r="V432" s="230"/>
      <c r="W432" s="230"/>
      <c r="X432" s="229"/>
      <c r="Y432" s="229"/>
      <c r="Z432" s="229"/>
      <c r="AA432" s="230"/>
      <c r="AB432" s="230"/>
      <c r="AC432" s="230"/>
      <c r="AD432" s="229"/>
      <c r="AE432" s="230"/>
    </row>
    <row r="433" spans="1:31" ht="12.75" customHeight="1">
      <c r="A433" s="229" t="str">
        <f t="shared" si="73"/>
        <v/>
      </c>
      <c r="B433" s="229" t="str">
        <f t="shared" si="74"/>
        <v/>
      </c>
      <c r="C433" s="229" t="str">
        <f t="shared" si="75"/>
        <v/>
      </c>
      <c r="D433" s="229" t="str">
        <f t="shared" si="76"/>
        <v/>
      </c>
      <c r="E433" s="229" t="str">
        <f t="shared" si="77"/>
        <v/>
      </c>
      <c r="F433" s="229" t="str">
        <f t="shared" si="78"/>
        <v/>
      </c>
      <c r="G433" s="230" t="str">
        <f>IF(HallOfFame!$G33="",T_NoName,HallOfFame!$G33)&amp;IF(HallOfFame!$C33=""," ("&amp;T_retired&amp;")"," ("&amp;HallOfFame!$C33&amp;")")</f>
        <v>Nameless (retired)</v>
      </c>
      <c r="H433" s="230">
        <f>HallOfFame!$H33</f>
        <v>0</v>
      </c>
      <c r="I433" s="229"/>
      <c r="J433" s="229">
        <v>30</v>
      </c>
      <c r="K433" s="230">
        <f>HallOfFame!$E33</f>
        <v>0</v>
      </c>
      <c r="L433" s="230">
        <f>HallOfFame!P33+((1000-ROW())/777777777)</f>
        <v>7.2900000072899999E-7</v>
      </c>
      <c r="M433" s="230">
        <f>HallOfFame!$Q33+((1000-ROW())/777777777)</f>
        <v>7.2900000072899999E-7</v>
      </c>
      <c r="N433" s="230">
        <f>HallOfFame!$R33+((1000-ROW())/777777777)</f>
        <v>7.2900000072899999E-7</v>
      </c>
      <c r="O433" s="312">
        <f>HallOfFame!$S33+((1000-ROW())/777777777)</f>
        <v>7.2900000072899999E-7</v>
      </c>
      <c r="P433" s="230">
        <f>HallOfFame!$T33+((1000-ROW())/777777777)</f>
        <v>7.2900000072899999E-7</v>
      </c>
      <c r="Q433" s="230">
        <f>HallOfFame!$U33+((1000-ROW())/777777777)</f>
        <v>7.2900000072899999E-7</v>
      </c>
      <c r="R433" s="230"/>
      <c r="S433" s="230"/>
      <c r="T433" s="230"/>
      <c r="U433" s="230"/>
      <c r="V433" s="230"/>
      <c r="W433" s="230"/>
      <c r="X433" s="229"/>
      <c r="Y433" s="229"/>
      <c r="Z433" s="229"/>
      <c r="AA433" s="230"/>
      <c r="AB433" s="230"/>
      <c r="AC433" s="230"/>
      <c r="AD433" s="229"/>
      <c r="AE433" s="230"/>
    </row>
    <row r="434" spans="1:31" ht="12.75" customHeight="1">
      <c r="A434" s="229" t="str">
        <f t="shared" si="73"/>
        <v/>
      </c>
      <c r="B434" s="229" t="str">
        <f t="shared" si="74"/>
        <v/>
      </c>
      <c r="C434" s="229" t="str">
        <f t="shared" si="75"/>
        <v/>
      </c>
      <c r="D434" s="229" t="str">
        <f t="shared" si="76"/>
        <v/>
      </c>
      <c r="E434" s="229" t="str">
        <f t="shared" si="77"/>
        <v/>
      </c>
      <c r="F434" s="229" t="str">
        <f t="shared" si="78"/>
        <v/>
      </c>
      <c r="G434" s="230" t="str">
        <f>IF(HallOfFame!$G34="",T_NoName,HallOfFame!$G34)&amp;IF(HallOfFame!$C34=""," ("&amp;T_retired&amp;")"," ("&amp;HallOfFame!$C34&amp;")")</f>
        <v>Nameless (retired)</v>
      </c>
      <c r="H434" s="314">
        <f>HallOfFame!$H34</f>
        <v>0</v>
      </c>
      <c r="I434" s="229"/>
      <c r="J434" s="229">
        <v>31</v>
      </c>
      <c r="K434" s="230">
        <f>HallOfFame!$E34</f>
        <v>0</v>
      </c>
      <c r="L434" s="230">
        <f>HallOfFame!P34+((1000-ROW())/777777777)</f>
        <v>7.2771428644199998E-7</v>
      </c>
      <c r="M434" s="230">
        <f>HallOfFame!$Q34+((1000-ROW())/777777777)</f>
        <v>7.2771428644199998E-7</v>
      </c>
      <c r="N434" s="230">
        <f>HallOfFame!$R34+((1000-ROW())/777777777)</f>
        <v>7.2771428644199998E-7</v>
      </c>
      <c r="O434" s="312">
        <f>HallOfFame!$S34+((1000-ROW())/777777777)</f>
        <v>7.2771428644199998E-7</v>
      </c>
      <c r="P434" s="230">
        <f>HallOfFame!$T34+((1000-ROW())/777777777)</f>
        <v>7.2771428644199998E-7</v>
      </c>
      <c r="Q434" s="230">
        <f>HallOfFame!$U34+((1000-ROW())/777777777)</f>
        <v>7.2771428644199998E-7</v>
      </c>
      <c r="R434" s="230"/>
      <c r="S434" s="230"/>
      <c r="T434" s="230"/>
      <c r="U434" s="230"/>
      <c r="V434" s="230"/>
      <c r="W434" s="230"/>
      <c r="X434" s="229"/>
      <c r="Y434" s="229"/>
      <c r="Z434" s="229"/>
      <c r="AA434" s="230"/>
      <c r="AB434" s="230"/>
      <c r="AC434" s="230"/>
      <c r="AD434" s="229"/>
      <c r="AE434" s="230"/>
    </row>
    <row r="435" spans="1:31" ht="12.75" customHeight="1">
      <c r="A435" s="229" t="str">
        <f t="shared" si="73"/>
        <v/>
      </c>
      <c r="B435" s="229" t="str">
        <f t="shared" si="74"/>
        <v/>
      </c>
      <c r="C435" s="229" t="str">
        <f t="shared" si="75"/>
        <v/>
      </c>
      <c r="D435" s="229" t="str">
        <f t="shared" si="76"/>
        <v/>
      </c>
      <c r="E435" s="229" t="str">
        <f t="shared" si="77"/>
        <v/>
      </c>
      <c r="F435" s="229" t="str">
        <f t="shared" si="78"/>
        <v/>
      </c>
      <c r="G435" s="230" t="str">
        <f>IF(HallOfFame!$G35="",T_NoName,HallOfFame!$G35)&amp;IF(HallOfFame!$C35=""," ("&amp;T_retired&amp;")"," ("&amp;HallOfFame!$C35&amp;")")</f>
        <v>Nameless (retired)</v>
      </c>
      <c r="H435" s="314">
        <f>HallOfFame!$H35</f>
        <v>0</v>
      </c>
      <c r="I435" s="229"/>
      <c r="J435" s="229">
        <v>32</v>
      </c>
      <c r="K435" s="230">
        <f>HallOfFame!$E35</f>
        <v>0</v>
      </c>
      <c r="L435" s="230">
        <f>HallOfFame!P35+((1000-ROW())/777777777)</f>
        <v>7.2642857215499997E-7</v>
      </c>
      <c r="M435" s="230">
        <f>HallOfFame!$Q35+((1000-ROW())/777777777)</f>
        <v>7.2642857215499997E-7</v>
      </c>
      <c r="N435" s="230">
        <f>HallOfFame!$R35+((1000-ROW())/777777777)</f>
        <v>7.2642857215499997E-7</v>
      </c>
      <c r="O435" s="312">
        <f>HallOfFame!$S35+((1000-ROW())/777777777)</f>
        <v>7.2642857215499997E-7</v>
      </c>
      <c r="P435" s="230">
        <f>HallOfFame!$T35+((1000-ROW())/777777777)</f>
        <v>7.2642857215499997E-7</v>
      </c>
      <c r="Q435" s="230">
        <f>HallOfFame!$U35+((1000-ROW())/777777777)</f>
        <v>7.2642857215499997E-7</v>
      </c>
      <c r="R435" s="230"/>
      <c r="S435" s="230"/>
      <c r="T435" s="230"/>
      <c r="U435" s="230"/>
      <c r="V435" s="230"/>
      <c r="W435" s="230"/>
      <c r="X435" s="229"/>
      <c r="Y435" s="229"/>
      <c r="Z435" s="229"/>
      <c r="AA435" s="230"/>
      <c r="AB435" s="230"/>
      <c r="AC435" s="230"/>
      <c r="AD435" s="229"/>
      <c r="AE435" s="230"/>
    </row>
    <row r="436" spans="1:31" ht="12.75" customHeight="1">
      <c r="A436" s="229" t="str">
        <f t="shared" ref="A436:A467" si="79">IF(L436&lt;1,"",RANK(L436,PSTAT_CP))</f>
        <v/>
      </c>
      <c r="B436" s="229" t="str">
        <f t="shared" ref="B436:B467" si="80">IF(M436&lt;1,"",RANK(M436,PSTAT_TD))</f>
        <v/>
      </c>
      <c r="C436" s="229" t="str">
        <f t="shared" ref="C436:C467" si="81">IF(N436&lt;1,"",RANK(N436,PSTAT_IN))</f>
        <v/>
      </c>
      <c r="D436" s="229" t="str">
        <f t="shared" ref="D436:D467" si="82">IF(O436&lt;1,"",RANK(O436,PSTAT_CS))</f>
        <v/>
      </c>
      <c r="E436" s="229" t="str">
        <f t="shared" ref="E436:E467" si="83">IF(P436&lt;1,"",RANK(P436,PSTAT_VP))</f>
        <v/>
      </c>
      <c r="F436" s="229" t="str">
        <f t="shared" ref="F436:F467" si="84">IF(Q436&lt;1,"",RANK(Q436,PSTAT_SP))</f>
        <v/>
      </c>
      <c r="G436" s="230" t="str">
        <f>IF(HallOfFame!$G36="",T_NoName,HallOfFame!$G36)&amp;IF(HallOfFame!$C36=""," ("&amp;T_retired&amp;")"," ("&amp;HallOfFame!$C36&amp;")")</f>
        <v>Nameless (retired)</v>
      </c>
      <c r="H436" s="314">
        <f>HallOfFame!$H36</f>
        <v>0</v>
      </c>
      <c r="I436" s="229"/>
      <c r="J436" s="229">
        <v>33</v>
      </c>
      <c r="K436" s="230">
        <f>HallOfFame!$E36</f>
        <v>0</v>
      </c>
      <c r="L436" s="230">
        <f>HallOfFame!P36+((1000-ROW())/777777777)</f>
        <v>7.2514285786799996E-7</v>
      </c>
      <c r="M436" s="230">
        <f>HallOfFame!$Q36+((1000-ROW())/777777777)</f>
        <v>7.2514285786799996E-7</v>
      </c>
      <c r="N436" s="230">
        <f>HallOfFame!$R36+((1000-ROW())/777777777)</f>
        <v>7.2514285786799996E-7</v>
      </c>
      <c r="O436" s="312">
        <f>HallOfFame!$S36+((1000-ROW())/777777777)</f>
        <v>7.2514285786799996E-7</v>
      </c>
      <c r="P436" s="230">
        <f>HallOfFame!$T36+((1000-ROW())/777777777)</f>
        <v>7.2514285786799996E-7</v>
      </c>
      <c r="Q436" s="230">
        <f>HallOfFame!$U36+((1000-ROW())/777777777)</f>
        <v>7.2514285786799996E-7</v>
      </c>
      <c r="R436" s="230"/>
      <c r="S436" s="230"/>
      <c r="T436" s="230"/>
      <c r="U436" s="230"/>
      <c r="V436" s="230"/>
      <c r="W436" s="230"/>
      <c r="X436" s="229"/>
      <c r="Y436" s="229"/>
      <c r="Z436" s="229"/>
      <c r="AA436" s="230"/>
      <c r="AB436" s="230"/>
      <c r="AC436" s="230"/>
      <c r="AD436" s="229"/>
      <c r="AE436" s="230"/>
    </row>
    <row r="437" spans="1:31" ht="12.75" customHeight="1">
      <c r="A437" s="229" t="str">
        <f t="shared" si="79"/>
        <v/>
      </c>
      <c r="B437" s="229" t="str">
        <f t="shared" si="80"/>
        <v/>
      </c>
      <c r="C437" s="229" t="str">
        <f t="shared" si="81"/>
        <v/>
      </c>
      <c r="D437" s="229" t="str">
        <f t="shared" si="82"/>
        <v/>
      </c>
      <c r="E437" s="229" t="str">
        <f t="shared" si="83"/>
        <v/>
      </c>
      <c r="F437" s="229" t="str">
        <f t="shared" si="84"/>
        <v/>
      </c>
      <c r="G437" s="230" t="str">
        <f>IF(HallOfFame!$G37="",T_NoName,HallOfFame!$G37)&amp;IF(HallOfFame!$C37=""," ("&amp;T_retired&amp;")"," ("&amp;HallOfFame!$C37&amp;")")</f>
        <v>Nameless (retired)</v>
      </c>
      <c r="H437" s="314">
        <f>HallOfFame!$H37</f>
        <v>0</v>
      </c>
      <c r="I437" s="229"/>
      <c r="J437" s="229">
        <v>34</v>
      </c>
      <c r="K437" s="230">
        <f>HallOfFame!$E37</f>
        <v>0</v>
      </c>
      <c r="L437" s="230">
        <f>HallOfFame!P37+((1000-ROW())/777777777)</f>
        <v>7.2385714358100005E-7</v>
      </c>
      <c r="M437" s="230">
        <f>HallOfFame!$Q37+((1000-ROW())/777777777)</f>
        <v>7.2385714358100005E-7</v>
      </c>
      <c r="N437" s="230">
        <f>HallOfFame!$R37+((1000-ROW())/777777777)</f>
        <v>7.2385714358100005E-7</v>
      </c>
      <c r="O437" s="312">
        <f>HallOfFame!$S37+((1000-ROW())/777777777)</f>
        <v>7.2385714358100005E-7</v>
      </c>
      <c r="P437" s="230">
        <f>HallOfFame!$T37+((1000-ROW())/777777777)</f>
        <v>7.2385714358100005E-7</v>
      </c>
      <c r="Q437" s="230">
        <f>HallOfFame!$U37+((1000-ROW())/777777777)</f>
        <v>7.2385714358100005E-7</v>
      </c>
      <c r="R437" s="230"/>
      <c r="S437" s="230"/>
      <c r="T437" s="230"/>
      <c r="U437" s="230"/>
      <c r="V437" s="230"/>
      <c r="W437" s="230"/>
      <c r="X437" s="229"/>
      <c r="Y437" s="229"/>
      <c r="Z437" s="229"/>
      <c r="AA437" s="230"/>
      <c r="AB437" s="230"/>
      <c r="AC437" s="230"/>
      <c r="AD437" s="229"/>
      <c r="AE437" s="230"/>
    </row>
    <row r="438" spans="1:31" ht="12.75" customHeight="1">
      <c r="A438" s="229" t="str">
        <f t="shared" si="79"/>
        <v/>
      </c>
      <c r="B438" s="229" t="str">
        <f t="shared" si="80"/>
        <v/>
      </c>
      <c r="C438" s="229" t="str">
        <f t="shared" si="81"/>
        <v/>
      </c>
      <c r="D438" s="229" t="str">
        <f t="shared" si="82"/>
        <v/>
      </c>
      <c r="E438" s="229" t="str">
        <f t="shared" si="83"/>
        <v/>
      </c>
      <c r="F438" s="229" t="str">
        <f t="shared" si="84"/>
        <v/>
      </c>
      <c r="G438" s="230" t="str">
        <f>IF(HallOfFame!$G38="",T_NoName,HallOfFame!$G38)&amp;IF(HallOfFame!$C38=""," ("&amp;T_retired&amp;")"," ("&amp;HallOfFame!$C38&amp;")")</f>
        <v>Nameless (retired)</v>
      </c>
      <c r="H438" s="314">
        <f>HallOfFame!$H38</f>
        <v>0</v>
      </c>
      <c r="I438" s="229"/>
      <c r="J438" s="229">
        <v>35</v>
      </c>
      <c r="K438" s="230">
        <f>HallOfFame!$E38</f>
        <v>0</v>
      </c>
      <c r="L438" s="230">
        <f>HallOfFame!P38+((1000-ROW())/777777777)</f>
        <v>7.2257142929400004E-7</v>
      </c>
      <c r="M438" s="230">
        <f>HallOfFame!$Q38+((1000-ROW())/777777777)</f>
        <v>7.2257142929400004E-7</v>
      </c>
      <c r="N438" s="230">
        <f>HallOfFame!$R38+((1000-ROW())/777777777)</f>
        <v>7.2257142929400004E-7</v>
      </c>
      <c r="O438" s="312">
        <f>HallOfFame!$S38+((1000-ROW())/777777777)</f>
        <v>7.2257142929400004E-7</v>
      </c>
      <c r="P438" s="230">
        <f>HallOfFame!$T38+((1000-ROW())/777777777)</f>
        <v>7.2257142929400004E-7</v>
      </c>
      <c r="Q438" s="230">
        <f>HallOfFame!$U38+((1000-ROW())/777777777)</f>
        <v>7.2257142929400004E-7</v>
      </c>
      <c r="R438" s="230"/>
      <c r="S438" s="230"/>
      <c r="T438" s="230"/>
      <c r="U438" s="230"/>
      <c r="V438" s="230"/>
      <c r="W438" s="230"/>
      <c r="X438" s="229"/>
      <c r="Y438" s="229"/>
      <c r="Z438" s="229"/>
      <c r="AA438" s="230"/>
      <c r="AB438" s="230"/>
      <c r="AC438" s="230"/>
      <c r="AD438" s="229"/>
      <c r="AE438" s="230"/>
    </row>
    <row r="439" spans="1:31" ht="12.75" customHeight="1">
      <c r="A439" s="229" t="str">
        <f t="shared" si="79"/>
        <v/>
      </c>
      <c r="B439" s="229" t="str">
        <f t="shared" si="80"/>
        <v/>
      </c>
      <c r="C439" s="229" t="str">
        <f t="shared" si="81"/>
        <v/>
      </c>
      <c r="D439" s="229" t="str">
        <f t="shared" si="82"/>
        <v/>
      </c>
      <c r="E439" s="229" t="str">
        <f t="shared" si="83"/>
        <v/>
      </c>
      <c r="F439" s="229" t="str">
        <f t="shared" si="84"/>
        <v/>
      </c>
      <c r="G439" s="230" t="str">
        <f>IF(HallOfFame!$G39="",T_NoName,HallOfFame!$G39)&amp;IF(HallOfFame!$C39=""," ("&amp;T_retired&amp;")"," ("&amp;HallOfFame!$C39&amp;")")</f>
        <v>Nameless (retired)</v>
      </c>
      <c r="H439" s="314">
        <f>HallOfFame!$H39</f>
        <v>0</v>
      </c>
      <c r="I439" s="229"/>
      <c r="J439" s="229">
        <v>36</v>
      </c>
      <c r="K439" s="230">
        <f>HallOfFame!$E39</f>
        <v>0</v>
      </c>
      <c r="L439" s="230">
        <f>HallOfFame!P39+((1000-ROW())/777777777)</f>
        <v>7.2128571500700003E-7</v>
      </c>
      <c r="M439" s="230">
        <f>HallOfFame!$Q39+((1000-ROW())/777777777)</f>
        <v>7.2128571500700003E-7</v>
      </c>
      <c r="N439" s="230">
        <f>HallOfFame!$R39+((1000-ROW())/777777777)</f>
        <v>7.2128571500700003E-7</v>
      </c>
      <c r="O439" s="312">
        <f>HallOfFame!$S39+((1000-ROW())/777777777)</f>
        <v>7.2128571500700003E-7</v>
      </c>
      <c r="P439" s="230">
        <f>HallOfFame!$T39+((1000-ROW())/777777777)</f>
        <v>7.2128571500700003E-7</v>
      </c>
      <c r="Q439" s="230">
        <f>HallOfFame!$U39+((1000-ROW())/777777777)</f>
        <v>7.2128571500700003E-7</v>
      </c>
      <c r="R439" s="230"/>
      <c r="S439" s="230"/>
      <c r="T439" s="230"/>
      <c r="U439" s="230"/>
      <c r="V439" s="230"/>
      <c r="W439" s="230"/>
      <c r="X439" s="229"/>
      <c r="Y439" s="229"/>
      <c r="Z439" s="229"/>
      <c r="AA439" s="230"/>
      <c r="AB439" s="230"/>
      <c r="AC439" s="230"/>
      <c r="AD439" s="229"/>
      <c r="AE439" s="230"/>
    </row>
    <row r="440" spans="1:31" ht="12.75" customHeight="1">
      <c r="A440" s="229" t="str">
        <f t="shared" si="79"/>
        <v/>
      </c>
      <c r="B440" s="229" t="str">
        <f t="shared" si="80"/>
        <v/>
      </c>
      <c r="C440" s="229" t="str">
        <f t="shared" si="81"/>
        <v/>
      </c>
      <c r="D440" s="229" t="str">
        <f t="shared" si="82"/>
        <v/>
      </c>
      <c r="E440" s="229" t="str">
        <f t="shared" si="83"/>
        <v/>
      </c>
      <c r="F440" s="229" t="str">
        <f t="shared" si="84"/>
        <v/>
      </c>
      <c r="G440" s="230" t="str">
        <f>IF(HallOfFame!$G40="",T_NoName,HallOfFame!$G40)&amp;IF(HallOfFame!$C40=""," ("&amp;T_retired&amp;")"," ("&amp;HallOfFame!$C40&amp;")")</f>
        <v>Nameless (retired)</v>
      </c>
      <c r="H440" s="314">
        <f>HallOfFame!$H40</f>
        <v>0</v>
      </c>
      <c r="I440" s="229"/>
      <c r="J440" s="229">
        <v>37</v>
      </c>
      <c r="K440" s="230">
        <f>HallOfFame!$E40</f>
        <v>0</v>
      </c>
      <c r="L440" s="230">
        <f>HallOfFame!P40+((1000-ROW())/777777777)</f>
        <v>7.2000000072000002E-7</v>
      </c>
      <c r="M440" s="230">
        <f>HallOfFame!$Q40+((1000-ROW())/777777777)</f>
        <v>7.2000000072000002E-7</v>
      </c>
      <c r="N440" s="230">
        <f>HallOfFame!$R40+((1000-ROW())/777777777)</f>
        <v>7.2000000072000002E-7</v>
      </c>
      <c r="O440" s="312">
        <f>HallOfFame!$S40+((1000-ROW())/777777777)</f>
        <v>7.2000000072000002E-7</v>
      </c>
      <c r="P440" s="230">
        <f>HallOfFame!$T40+((1000-ROW())/777777777)</f>
        <v>7.2000000072000002E-7</v>
      </c>
      <c r="Q440" s="230">
        <f>HallOfFame!$U40+((1000-ROW())/777777777)</f>
        <v>7.2000000072000002E-7</v>
      </c>
      <c r="R440" s="230"/>
      <c r="S440" s="230"/>
      <c r="T440" s="230"/>
      <c r="U440" s="230"/>
      <c r="V440" s="230"/>
      <c r="W440" s="230"/>
      <c r="X440" s="229"/>
      <c r="Y440" s="229"/>
      <c r="Z440" s="229"/>
      <c r="AA440" s="230"/>
      <c r="AB440" s="230"/>
      <c r="AC440" s="230"/>
      <c r="AD440" s="229"/>
      <c r="AE440" s="230"/>
    </row>
    <row r="441" spans="1:31" ht="12.75" customHeight="1">
      <c r="A441" s="229" t="str">
        <f t="shared" si="79"/>
        <v/>
      </c>
      <c r="B441" s="229" t="str">
        <f t="shared" si="80"/>
        <v/>
      </c>
      <c r="C441" s="229" t="str">
        <f t="shared" si="81"/>
        <v/>
      </c>
      <c r="D441" s="229" t="str">
        <f t="shared" si="82"/>
        <v/>
      </c>
      <c r="E441" s="229" t="str">
        <f t="shared" si="83"/>
        <v/>
      </c>
      <c r="F441" s="229" t="str">
        <f t="shared" si="84"/>
        <v/>
      </c>
      <c r="G441" s="230" t="str">
        <f>IF(HallOfFame!$G41="",T_NoName,HallOfFame!$G41)&amp;IF(HallOfFame!$C41=""," ("&amp;T_retired&amp;")"," ("&amp;HallOfFame!$C41&amp;")")</f>
        <v>Nameless (retired)</v>
      </c>
      <c r="H441" s="230">
        <f>HallOfFame!$H41</f>
        <v>0</v>
      </c>
      <c r="I441" s="229"/>
      <c r="J441" s="229">
        <v>38</v>
      </c>
      <c r="K441" s="230">
        <f>HallOfFame!$E41</f>
        <v>0</v>
      </c>
      <c r="L441" s="230">
        <f>HallOfFame!P41+((1000-ROW())/777777777)</f>
        <v>7.18714286433E-7</v>
      </c>
      <c r="M441" s="230">
        <f>HallOfFame!$Q41+((1000-ROW())/777777777)</f>
        <v>7.18714286433E-7</v>
      </c>
      <c r="N441" s="230">
        <f>HallOfFame!$R41+((1000-ROW())/777777777)</f>
        <v>7.18714286433E-7</v>
      </c>
      <c r="O441" s="312">
        <f>HallOfFame!$S41+((1000-ROW())/777777777)</f>
        <v>7.18714286433E-7</v>
      </c>
      <c r="P441" s="230">
        <f>HallOfFame!$T41+((1000-ROW())/777777777)</f>
        <v>7.18714286433E-7</v>
      </c>
      <c r="Q441" s="230">
        <f>HallOfFame!$U41+((1000-ROW())/777777777)</f>
        <v>7.18714286433E-7</v>
      </c>
      <c r="R441" s="230"/>
      <c r="S441" s="230"/>
      <c r="T441" s="230"/>
      <c r="U441" s="230"/>
      <c r="V441" s="230"/>
      <c r="W441" s="230"/>
      <c r="X441" s="229"/>
      <c r="Y441" s="229"/>
      <c r="Z441" s="229"/>
      <c r="AA441" s="230"/>
      <c r="AB441" s="230"/>
      <c r="AC441" s="230"/>
      <c r="AD441" s="229"/>
      <c r="AE441" s="230"/>
    </row>
    <row r="442" spans="1:31" ht="12.75" customHeight="1">
      <c r="A442" s="229" t="str">
        <f t="shared" si="79"/>
        <v/>
      </c>
      <c r="B442" s="229" t="str">
        <f t="shared" si="80"/>
        <v/>
      </c>
      <c r="C442" s="229" t="str">
        <f t="shared" si="81"/>
        <v/>
      </c>
      <c r="D442" s="229" t="str">
        <f t="shared" si="82"/>
        <v/>
      </c>
      <c r="E442" s="229" t="str">
        <f t="shared" si="83"/>
        <v/>
      </c>
      <c r="F442" s="229" t="str">
        <f t="shared" si="84"/>
        <v/>
      </c>
      <c r="G442" s="230" t="str">
        <f>IF(HallOfFame!$G42="",T_NoName,HallOfFame!$G42)&amp;IF(HallOfFame!$C42=""," ("&amp;T_retired&amp;")"," ("&amp;HallOfFame!$C42&amp;")")</f>
        <v>Nameless (retired)</v>
      </c>
      <c r="H442" s="230">
        <f>HallOfFame!$H42</f>
        <v>0</v>
      </c>
      <c r="I442" s="229"/>
      <c r="J442" s="229">
        <v>39</v>
      </c>
      <c r="K442" s="230">
        <f>HallOfFame!$E42</f>
        <v>0</v>
      </c>
      <c r="L442" s="230">
        <f>HallOfFame!P42+((1000-ROW())/777777777)</f>
        <v>7.1742857214599999E-7</v>
      </c>
      <c r="M442" s="230">
        <f>HallOfFame!$Q42+((1000-ROW())/777777777)</f>
        <v>7.1742857214599999E-7</v>
      </c>
      <c r="N442" s="230">
        <f>HallOfFame!$R42+((1000-ROW())/777777777)</f>
        <v>7.1742857214599999E-7</v>
      </c>
      <c r="O442" s="312">
        <f>HallOfFame!$S42+((1000-ROW())/777777777)</f>
        <v>7.1742857214599999E-7</v>
      </c>
      <c r="P442" s="230">
        <f>HallOfFame!$T42+((1000-ROW())/777777777)</f>
        <v>7.1742857214599999E-7</v>
      </c>
      <c r="Q442" s="230">
        <f>HallOfFame!$U42+((1000-ROW())/777777777)</f>
        <v>7.1742857214599999E-7</v>
      </c>
      <c r="R442" s="230"/>
      <c r="S442" s="230"/>
      <c r="T442" s="230"/>
      <c r="U442" s="230"/>
      <c r="V442" s="230"/>
      <c r="W442" s="230"/>
      <c r="X442" s="229"/>
      <c r="Y442" s="229"/>
      <c r="Z442" s="229"/>
      <c r="AA442" s="230"/>
      <c r="AB442" s="230"/>
      <c r="AC442" s="230"/>
      <c r="AD442" s="229"/>
      <c r="AE442" s="230"/>
    </row>
    <row r="443" spans="1:31" ht="12.75" customHeight="1">
      <c r="A443" s="229" t="str">
        <f t="shared" si="79"/>
        <v/>
      </c>
      <c r="B443" s="229" t="str">
        <f t="shared" si="80"/>
        <v/>
      </c>
      <c r="C443" s="229" t="str">
        <f t="shared" si="81"/>
        <v/>
      </c>
      <c r="D443" s="229" t="str">
        <f t="shared" si="82"/>
        <v/>
      </c>
      <c r="E443" s="229" t="str">
        <f t="shared" si="83"/>
        <v/>
      </c>
      <c r="F443" s="229" t="str">
        <f t="shared" si="84"/>
        <v/>
      </c>
      <c r="G443" s="230" t="str">
        <f>IF(HallOfFame!$G43="",T_NoName,HallOfFame!$G43)&amp;IF(HallOfFame!$C43=""," ("&amp;T_retired&amp;")"," ("&amp;HallOfFame!$C43&amp;")")</f>
        <v>Nameless (retired)</v>
      </c>
      <c r="H443" s="230">
        <f>HallOfFame!$H43</f>
        <v>0</v>
      </c>
      <c r="I443" s="229"/>
      <c r="J443" s="229">
        <v>40</v>
      </c>
      <c r="K443" s="230">
        <f>HallOfFame!$E43</f>
        <v>0</v>
      </c>
      <c r="L443" s="230">
        <f>HallOfFame!P43+((1000-ROW())/777777777)</f>
        <v>7.1614285785899998E-7</v>
      </c>
      <c r="M443" s="230">
        <f>HallOfFame!$Q43+((1000-ROW())/777777777)</f>
        <v>7.1614285785899998E-7</v>
      </c>
      <c r="N443" s="230">
        <f>HallOfFame!$R43+((1000-ROW())/777777777)</f>
        <v>7.1614285785899998E-7</v>
      </c>
      <c r="O443" s="312">
        <f>HallOfFame!$S43+((1000-ROW())/777777777)</f>
        <v>7.1614285785899998E-7</v>
      </c>
      <c r="P443" s="230">
        <f>HallOfFame!$T43+((1000-ROW())/777777777)</f>
        <v>7.1614285785899998E-7</v>
      </c>
      <c r="Q443" s="230">
        <f>HallOfFame!$U43+((1000-ROW())/777777777)</f>
        <v>7.1614285785899998E-7</v>
      </c>
      <c r="R443" s="230"/>
      <c r="S443" s="230"/>
      <c r="T443" s="230"/>
      <c r="U443" s="230"/>
      <c r="V443" s="230"/>
      <c r="W443" s="230"/>
      <c r="X443" s="229"/>
      <c r="Y443" s="229"/>
      <c r="Z443" s="229"/>
      <c r="AA443" s="230"/>
      <c r="AB443" s="230"/>
      <c r="AC443" s="230"/>
      <c r="AD443" s="229"/>
      <c r="AE443" s="230"/>
    </row>
    <row r="444" spans="1:31" ht="12.75" customHeight="1">
      <c r="A444" s="229" t="str">
        <f t="shared" si="79"/>
        <v/>
      </c>
      <c r="B444" s="229" t="str">
        <f t="shared" si="80"/>
        <v/>
      </c>
      <c r="C444" s="229" t="str">
        <f t="shared" si="81"/>
        <v/>
      </c>
      <c r="D444" s="229" t="str">
        <f t="shared" si="82"/>
        <v/>
      </c>
      <c r="E444" s="229" t="str">
        <f t="shared" si="83"/>
        <v/>
      </c>
      <c r="F444" s="229" t="str">
        <f t="shared" si="84"/>
        <v/>
      </c>
      <c r="G444" s="230" t="str">
        <f>IF(HallOfFame!$G44="",T_NoName,HallOfFame!$G44)&amp;IF(HallOfFame!$C44=""," ("&amp;T_retired&amp;")"," ("&amp;HallOfFame!$C44&amp;")")</f>
        <v>Nameless (retired)</v>
      </c>
      <c r="H444" s="230">
        <f>HallOfFame!$H44</f>
        <v>0</v>
      </c>
      <c r="I444" s="229"/>
      <c r="J444" s="229">
        <v>41</v>
      </c>
      <c r="K444" s="230">
        <f>HallOfFame!$E44</f>
        <v>0</v>
      </c>
      <c r="L444" s="230">
        <f>HallOfFame!P44+((1000-ROW())/777777777)</f>
        <v>7.1485714357199997E-7</v>
      </c>
      <c r="M444" s="230">
        <f>HallOfFame!$Q44+((1000-ROW())/777777777)</f>
        <v>7.1485714357199997E-7</v>
      </c>
      <c r="N444" s="230">
        <f>HallOfFame!$R44+((1000-ROW())/777777777)</f>
        <v>7.1485714357199997E-7</v>
      </c>
      <c r="O444" s="312">
        <f>HallOfFame!$S44+((1000-ROW())/777777777)</f>
        <v>7.1485714357199997E-7</v>
      </c>
      <c r="P444" s="230">
        <f>HallOfFame!$T44+((1000-ROW())/777777777)</f>
        <v>7.1485714357199997E-7</v>
      </c>
      <c r="Q444" s="230">
        <f>HallOfFame!$U44+((1000-ROW())/777777777)</f>
        <v>7.1485714357199997E-7</v>
      </c>
      <c r="R444" s="230"/>
      <c r="S444" s="230"/>
      <c r="T444" s="230"/>
      <c r="U444" s="230"/>
      <c r="V444" s="230"/>
      <c r="W444" s="230"/>
      <c r="X444" s="229"/>
      <c r="Y444" s="229"/>
      <c r="Z444" s="229"/>
      <c r="AA444" s="230"/>
      <c r="AB444" s="230"/>
      <c r="AC444" s="230"/>
      <c r="AD444" s="229"/>
      <c r="AE444" s="230"/>
    </row>
    <row r="445" spans="1:31" ht="12.75" customHeight="1">
      <c r="A445" s="229" t="str">
        <f t="shared" si="79"/>
        <v/>
      </c>
      <c r="B445" s="229" t="str">
        <f t="shared" si="80"/>
        <v/>
      </c>
      <c r="C445" s="229" t="str">
        <f t="shared" si="81"/>
        <v/>
      </c>
      <c r="D445" s="229" t="str">
        <f t="shared" si="82"/>
        <v/>
      </c>
      <c r="E445" s="229" t="str">
        <f t="shared" si="83"/>
        <v/>
      </c>
      <c r="F445" s="229" t="str">
        <f t="shared" si="84"/>
        <v/>
      </c>
      <c r="G445" s="230" t="str">
        <f>IF(HallOfFame!$G45="",T_NoName,HallOfFame!$G45)&amp;IF(HallOfFame!$C45=""," ("&amp;T_retired&amp;")"," ("&amp;HallOfFame!$C45&amp;")")</f>
        <v>Nameless (retired)</v>
      </c>
      <c r="H445" s="230">
        <f>HallOfFame!$H45</f>
        <v>0</v>
      </c>
      <c r="I445" s="229"/>
      <c r="J445" s="229">
        <v>42</v>
      </c>
      <c r="K445" s="230">
        <f>HallOfFame!$E45</f>
        <v>0</v>
      </c>
      <c r="L445" s="230">
        <f>HallOfFame!P45+((1000-ROW())/777777777)</f>
        <v>7.1357142928499996E-7</v>
      </c>
      <c r="M445" s="230">
        <f>HallOfFame!$Q45+((1000-ROW())/777777777)</f>
        <v>7.1357142928499996E-7</v>
      </c>
      <c r="N445" s="230">
        <f>HallOfFame!$R45+((1000-ROW())/777777777)</f>
        <v>7.1357142928499996E-7</v>
      </c>
      <c r="O445" s="312">
        <f>HallOfFame!$S45+((1000-ROW())/777777777)</f>
        <v>7.1357142928499996E-7</v>
      </c>
      <c r="P445" s="230">
        <f>HallOfFame!$T45+((1000-ROW())/777777777)</f>
        <v>7.1357142928499996E-7</v>
      </c>
      <c r="Q445" s="230">
        <f>HallOfFame!$U45+((1000-ROW())/777777777)</f>
        <v>7.1357142928499996E-7</v>
      </c>
      <c r="R445" s="230"/>
      <c r="S445" s="230"/>
      <c r="T445" s="230"/>
      <c r="U445" s="230"/>
      <c r="V445" s="230"/>
      <c r="W445" s="230"/>
      <c r="X445" s="229"/>
      <c r="Y445" s="229"/>
      <c r="Z445" s="229"/>
      <c r="AA445" s="230"/>
      <c r="AB445" s="230"/>
      <c r="AC445" s="230"/>
      <c r="AD445" s="229"/>
      <c r="AE445" s="230"/>
    </row>
    <row r="446" spans="1:31" ht="12.75" customHeight="1">
      <c r="A446" s="229" t="str">
        <f t="shared" si="79"/>
        <v/>
      </c>
      <c r="B446" s="229" t="str">
        <f t="shared" si="80"/>
        <v/>
      </c>
      <c r="C446" s="229" t="str">
        <f t="shared" si="81"/>
        <v/>
      </c>
      <c r="D446" s="229" t="str">
        <f t="shared" si="82"/>
        <v/>
      </c>
      <c r="E446" s="229" t="str">
        <f t="shared" si="83"/>
        <v/>
      </c>
      <c r="F446" s="229" t="str">
        <f t="shared" si="84"/>
        <v/>
      </c>
      <c r="G446" s="230" t="str">
        <f>IF(HallOfFame!$G46="",T_NoName,HallOfFame!$G46)&amp;IF(HallOfFame!$C46=""," ("&amp;T_retired&amp;")"," ("&amp;HallOfFame!$C46&amp;")")</f>
        <v>Nameless (retired)</v>
      </c>
      <c r="H446" s="230">
        <f>HallOfFame!$H46</f>
        <v>0</v>
      </c>
      <c r="I446" s="229"/>
      <c r="J446" s="229">
        <v>43</v>
      </c>
      <c r="K446" s="230">
        <f>HallOfFame!$E46</f>
        <v>0</v>
      </c>
      <c r="L446" s="230">
        <f>HallOfFame!P46+((1000-ROW())/777777777)</f>
        <v>7.1228571499800005E-7</v>
      </c>
      <c r="M446" s="230">
        <f>HallOfFame!$Q46+((1000-ROW())/777777777)</f>
        <v>7.1228571499800005E-7</v>
      </c>
      <c r="N446" s="230">
        <f>HallOfFame!$R46+((1000-ROW())/777777777)</f>
        <v>7.1228571499800005E-7</v>
      </c>
      <c r="O446" s="312">
        <f>HallOfFame!$S46+((1000-ROW())/777777777)</f>
        <v>7.1228571499800005E-7</v>
      </c>
      <c r="P446" s="230">
        <f>HallOfFame!$T46+((1000-ROW())/777777777)</f>
        <v>7.1228571499800005E-7</v>
      </c>
      <c r="Q446" s="230">
        <f>HallOfFame!$U46+((1000-ROW())/777777777)</f>
        <v>7.1228571499800005E-7</v>
      </c>
      <c r="R446" s="230"/>
      <c r="S446" s="230"/>
      <c r="T446" s="230"/>
      <c r="U446" s="230"/>
      <c r="V446" s="230"/>
      <c r="W446" s="230"/>
      <c r="X446" s="229"/>
      <c r="Y446" s="229"/>
      <c r="Z446" s="229"/>
      <c r="AA446" s="230"/>
      <c r="AB446" s="230"/>
      <c r="AC446" s="230"/>
      <c r="AD446" s="229"/>
      <c r="AE446" s="230"/>
    </row>
    <row r="447" spans="1:31" ht="12.75" customHeight="1">
      <c r="A447" s="229" t="str">
        <f t="shared" si="79"/>
        <v/>
      </c>
      <c r="B447" s="229" t="str">
        <f t="shared" si="80"/>
        <v/>
      </c>
      <c r="C447" s="229" t="str">
        <f t="shared" si="81"/>
        <v/>
      </c>
      <c r="D447" s="229" t="str">
        <f t="shared" si="82"/>
        <v/>
      </c>
      <c r="E447" s="229" t="str">
        <f t="shared" si="83"/>
        <v/>
      </c>
      <c r="F447" s="229" t="str">
        <f t="shared" si="84"/>
        <v/>
      </c>
      <c r="G447" s="230" t="str">
        <f>IF(HallOfFame!$G47="",T_NoName,HallOfFame!$G47)&amp;IF(HallOfFame!$C47=""," ("&amp;T_retired&amp;")"," ("&amp;HallOfFame!$C47&amp;")")</f>
        <v>Nameless (retired)</v>
      </c>
      <c r="H447" s="230">
        <f>HallOfFame!$H47</f>
        <v>0</v>
      </c>
      <c r="I447" s="229"/>
      <c r="J447" s="229">
        <v>44</v>
      </c>
      <c r="K447" s="230">
        <f>HallOfFame!$E47</f>
        <v>0</v>
      </c>
      <c r="L447" s="230">
        <f>HallOfFame!P47+((1000-ROW())/777777777)</f>
        <v>7.1100000071100004E-7</v>
      </c>
      <c r="M447" s="230">
        <f>HallOfFame!$Q47+((1000-ROW())/777777777)</f>
        <v>7.1100000071100004E-7</v>
      </c>
      <c r="N447" s="230">
        <f>HallOfFame!$R47+((1000-ROW())/777777777)</f>
        <v>7.1100000071100004E-7</v>
      </c>
      <c r="O447" s="312">
        <f>HallOfFame!$S47+((1000-ROW())/777777777)</f>
        <v>7.1100000071100004E-7</v>
      </c>
      <c r="P447" s="230">
        <f>HallOfFame!$T47+((1000-ROW())/777777777)</f>
        <v>7.1100000071100004E-7</v>
      </c>
      <c r="Q447" s="230">
        <f>HallOfFame!$U47+((1000-ROW())/777777777)</f>
        <v>7.1100000071100004E-7</v>
      </c>
      <c r="R447" s="230"/>
      <c r="S447" s="230"/>
      <c r="T447" s="230"/>
      <c r="U447" s="230"/>
      <c r="V447" s="230"/>
      <c r="W447" s="230"/>
      <c r="X447" s="229"/>
      <c r="Y447" s="229"/>
      <c r="Z447" s="229"/>
      <c r="AA447" s="230"/>
      <c r="AB447" s="230"/>
      <c r="AC447" s="230"/>
      <c r="AD447" s="229"/>
      <c r="AE447" s="230"/>
    </row>
    <row r="448" spans="1:31" ht="12.75" customHeight="1">
      <c r="A448" s="229" t="str">
        <f t="shared" si="79"/>
        <v/>
      </c>
      <c r="B448" s="229" t="str">
        <f t="shared" si="80"/>
        <v/>
      </c>
      <c r="C448" s="229" t="str">
        <f t="shared" si="81"/>
        <v/>
      </c>
      <c r="D448" s="229" t="str">
        <f t="shared" si="82"/>
        <v/>
      </c>
      <c r="E448" s="229" t="str">
        <f t="shared" si="83"/>
        <v/>
      </c>
      <c r="F448" s="229" t="str">
        <f t="shared" si="84"/>
        <v/>
      </c>
      <c r="G448" s="230" t="str">
        <f>IF(HallOfFame!$G48="",T_NoName,HallOfFame!$G48)&amp;IF(HallOfFame!$C48=""," ("&amp;T_retired&amp;")"," ("&amp;HallOfFame!$C48&amp;")")</f>
        <v>Nameless (retired)</v>
      </c>
      <c r="H448" s="230">
        <f>HallOfFame!$H48</f>
        <v>0</v>
      </c>
      <c r="I448" s="229"/>
      <c r="J448" s="229">
        <v>45</v>
      </c>
      <c r="K448" s="230">
        <f>HallOfFame!$E48</f>
        <v>0</v>
      </c>
      <c r="L448" s="230">
        <f>HallOfFame!P48+((1000-ROW())/777777777)</f>
        <v>7.0971428642400003E-7</v>
      </c>
      <c r="M448" s="230">
        <f>HallOfFame!$Q48+((1000-ROW())/777777777)</f>
        <v>7.0971428642400003E-7</v>
      </c>
      <c r="N448" s="230">
        <f>HallOfFame!$R48+((1000-ROW())/777777777)</f>
        <v>7.0971428642400003E-7</v>
      </c>
      <c r="O448" s="312">
        <f>HallOfFame!$S48+((1000-ROW())/777777777)</f>
        <v>7.0971428642400003E-7</v>
      </c>
      <c r="P448" s="230">
        <f>HallOfFame!$T48+((1000-ROW())/777777777)</f>
        <v>7.0971428642400003E-7</v>
      </c>
      <c r="Q448" s="230">
        <f>HallOfFame!$U48+((1000-ROW())/777777777)</f>
        <v>7.0971428642400003E-7</v>
      </c>
      <c r="R448" s="230"/>
      <c r="S448" s="230"/>
      <c r="T448" s="230"/>
      <c r="U448" s="230"/>
      <c r="V448" s="230"/>
      <c r="W448" s="230"/>
      <c r="X448" s="229"/>
      <c r="Y448" s="229"/>
      <c r="Z448" s="229"/>
      <c r="AA448" s="230"/>
      <c r="AB448" s="230"/>
      <c r="AC448" s="230"/>
      <c r="AD448" s="229"/>
      <c r="AE448" s="230"/>
    </row>
    <row r="449" spans="1:31" ht="12.75" customHeight="1">
      <c r="A449" s="229" t="str">
        <f t="shared" si="79"/>
        <v/>
      </c>
      <c r="B449" s="229" t="str">
        <f t="shared" si="80"/>
        <v/>
      </c>
      <c r="C449" s="229" t="str">
        <f t="shared" si="81"/>
        <v/>
      </c>
      <c r="D449" s="229" t="str">
        <f t="shared" si="82"/>
        <v/>
      </c>
      <c r="E449" s="229" t="str">
        <f t="shared" si="83"/>
        <v/>
      </c>
      <c r="F449" s="229" t="str">
        <f t="shared" si="84"/>
        <v/>
      </c>
      <c r="G449" s="230" t="str">
        <f>IF(HallOfFame!$G49="",T_NoName,HallOfFame!$G49)&amp;IF(HallOfFame!$C49=""," ("&amp;T_retired&amp;")"," ("&amp;HallOfFame!$C49&amp;")")</f>
        <v>Nameless (retired)</v>
      </c>
      <c r="H449" s="230">
        <f>HallOfFame!$H49</f>
        <v>0</v>
      </c>
      <c r="I449" s="229"/>
      <c r="J449" s="229">
        <v>46</v>
      </c>
      <c r="K449" s="230">
        <f>HallOfFame!$E49</f>
        <v>0</v>
      </c>
      <c r="L449" s="230">
        <f>HallOfFame!P49+((1000-ROW())/777777777)</f>
        <v>7.0842857213700002E-7</v>
      </c>
      <c r="M449" s="230">
        <f>HallOfFame!$Q49+((1000-ROW())/777777777)</f>
        <v>7.0842857213700002E-7</v>
      </c>
      <c r="N449" s="230">
        <f>HallOfFame!$R49+((1000-ROW())/777777777)</f>
        <v>7.0842857213700002E-7</v>
      </c>
      <c r="O449" s="312">
        <f>HallOfFame!$S49+((1000-ROW())/777777777)</f>
        <v>7.0842857213700002E-7</v>
      </c>
      <c r="P449" s="230">
        <f>HallOfFame!$T49+((1000-ROW())/777777777)</f>
        <v>7.0842857213700002E-7</v>
      </c>
      <c r="Q449" s="230">
        <f>HallOfFame!$U49+((1000-ROW())/777777777)</f>
        <v>7.0842857213700002E-7</v>
      </c>
      <c r="R449" s="230"/>
      <c r="S449" s="230"/>
      <c r="T449" s="230"/>
      <c r="U449" s="230"/>
      <c r="V449" s="230"/>
      <c r="W449" s="230"/>
      <c r="X449" s="229"/>
      <c r="Y449" s="229"/>
      <c r="Z449" s="229"/>
      <c r="AA449" s="230"/>
      <c r="AB449" s="230"/>
      <c r="AC449" s="230"/>
      <c r="AD449" s="229"/>
      <c r="AE449" s="230"/>
    </row>
    <row r="450" spans="1:31" ht="12.75" customHeight="1">
      <c r="A450" s="229" t="str">
        <f t="shared" si="79"/>
        <v/>
      </c>
      <c r="B450" s="229" t="str">
        <f t="shared" si="80"/>
        <v/>
      </c>
      <c r="C450" s="229" t="str">
        <f t="shared" si="81"/>
        <v/>
      </c>
      <c r="D450" s="229" t="str">
        <f t="shared" si="82"/>
        <v/>
      </c>
      <c r="E450" s="229" t="str">
        <f t="shared" si="83"/>
        <v/>
      </c>
      <c r="F450" s="229" t="str">
        <f t="shared" si="84"/>
        <v/>
      </c>
      <c r="G450" s="230" t="str">
        <f>IF(HallOfFame!$G50="",T_NoName,HallOfFame!$G50)&amp;IF(HallOfFame!$C50=""," ("&amp;T_retired&amp;")"," ("&amp;HallOfFame!$C50&amp;")")</f>
        <v>Nameless (retired)</v>
      </c>
      <c r="H450" s="230">
        <f>HallOfFame!$H50</f>
        <v>0</v>
      </c>
      <c r="I450" s="229"/>
      <c r="J450" s="229">
        <v>47</v>
      </c>
      <c r="K450" s="230">
        <f>HallOfFame!$E50</f>
        <v>0</v>
      </c>
      <c r="L450" s="230">
        <f>HallOfFame!P50+((1000-ROW())/777777777)</f>
        <v>7.0714285785E-7</v>
      </c>
      <c r="M450" s="230">
        <f>HallOfFame!$Q50+((1000-ROW())/777777777)</f>
        <v>7.0714285785E-7</v>
      </c>
      <c r="N450" s="230">
        <f>HallOfFame!$R50+((1000-ROW())/777777777)</f>
        <v>7.0714285785E-7</v>
      </c>
      <c r="O450" s="312">
        <f>HallOfFame!$S50+((1000-ROW())/777777777)</f>
        <v>7.0714285785E-7</v>
      </c>
      <c r="P450" s="230">
        <f>HallOfFame!$T50+((1000-ROW())/777777777)</f>
        <v>7.0714285785E-7</v>
      </c>
      <c r="Q450" s="230">
        <f>HallOfFame!$U50+((1000-ROW())/777777777)</f>
        <v>7.0714285785E-7</v>
      </c>
      <c r="R450" s="230"/>
      <c r="S450" s="230"/>
      <c r="T450" s="230"/>
      <c r="U450" s="230"/>
      <c r="V450" s="230"/>
      <c r="W450" s="230"/>
      <c r="X450" s="229"/>
      <c r="Y450" s="229"/>
      <c r="Z450" s="229"/>
      <c r="AA450" s="230"/>
      <c r="AB450" s="230"/>
      <c r="AC450" s="230"/>
      <c r="AD450" s="229"/>
      <c r="AE450" s="230"/>
    </row>
    <row r="451" spans="1:31" ht="12.75" customHeight="1">
      <c r="A451" s="229" t="str">
        <f t="shared" si="79"/>
        <v/>
      </c>
      <c r="B451" s="229" t="str">
        <f t="shared" si="80"/>
        <v/>
      </c>
      <c r="C451" s="229" t="str">
        <f t="shared" si="81"/>
        <v/>
      </c>
      <c r="D451" s="229" t="str">
        <f t="shared" si="82"/>
        <v/>
      </c>
      <c r="E451" s="229" t="str">
        <f t="shared" si="83"/>
        <v/>
      </c>
      <c r="F451" s="229" t="str">
        <f t="shared" si="84"/>
        <v/>
      </c>
      <c r="G451" s="230" t="str">
        <f>IF(HallOfFame!$G51="",T_NoName,HallOfFame!$G51)&amp;IF(HallOfFame!$C51=""," ("&amp;T_retired&amp;")"," ("&amp;HallOfFame!$C51&amp;")")</f>
        <v>Nameless (retired)</v>
      </c>
      <c r="H451" s="230">
        <f>HallOfFame!$H51</f>
        <v>0</v>
      </c>
      <c r="I451" s="229"/>
      <c r="J451" s="229">
        <v>48</v>
      </c>
      <c r="K451" s="230">
        <f>HallOfFame!$E51</f>
        <v>0</v>
      </c>
      <c r="L451" s="230">
        <f>HallOfFame!P51+((1000-ROW())/777777777)</f>
        <v>7.0585714356299999E-7</v>
      </c>
      <c r="M451" s="230">
        <f>HallOfFame!$Q51+((1000-ROW())/777777777)</f>
        <v>7.0585714356299999E-7</v>
      </c>
      <c r="N451" s="230">
        <f>HallOfFame!$R51+((1000-ROW())/777777777)</f>
        <v>7.0585714356299999E-7</v>
      </c>
      <c r="O451" s="312">
        <f>HallOfFame!$S51+((1000-ROW())/777777777)</f>
        <v>7.0585714356299999E-7</v>
      </c>
      <c r="P451" s="230">
        <f>HallOfFame!$T51+((1000-ROW())/777777777)</f>
        <v>7.0585714356299999E-7</v>
      </c>
      <c r="Q451" s="230">
        <f>HallOfFame!$U51+((1000-ROW())/777777777)</f>
        <v>7.0585714356299999E-7</v>
      </c>
      <c r="R451" s="230"/>
      <c r="S451" s="230"/>
      <c r="T451" s="230"/>
      <c r="U451" s="230"/>
      <c r="V451" s="230"/>
      <c r="W451" s="230"/>
      <c r="X451" s="229"/>
      <c r="Y451" s="229"/>
      <c r="Z451" s="229"/>
      <c r="AA451" s="230"/>
      <c r="AB451" s="230"/>
      <c r="AC451" s="230"/>
      <c r="AD451" s="229"/>
      <c r="AE451" s="230"/>
    </row>
    <row r="452" spans="1:31" ht="12.75" customHeight="1">
      <c r="A452" s="229" t="str">
        <f t="shared" si="79"/>
        <v/>
      </c>
      <c r="B452" s="229" t="str">
        <f t="shared" si="80"/>
        <v/>
      </c>
      <c r="C452" s="229" t="str">
        <f t="shared" si="81"/>
        <v/>
      </c>
      <c r="D452" s="229" t="str">
        <f t="shared" si="82"/>
        <v/>
      </c>
      <c r="E452" s="229" t="str">
        <f t="shared" si="83"/>
        <v/>
      </c>
      <c r="F452" s="229" t="str">
        <f t="shared" si="84"/>
        <v/>
      </c>
      <c r="G452" s="230" t="str">
        <f>IF(HallOfFame!$G52="",T_NoName,HallOfFame!$G52)&amp;IF(HallOfFame!$C52=""," ("&amp;T_retired&amp;")"," ("&amp;HallOfFame!$C52&amp;")")</f>
        <v>Nameless (retired)</v>
      </c>
      <c r="H452" s="230">
        <f>HallOfFame!$H52</f>
        <v>0</v>
      </c>
      <c r="I452" s="229"/>
      <c r="J452" s="229">
        <v>49</v>
      </c>
      <c r="K452" s="230">
        <f>HallOfFame!$E52</f>
        <v>0</v>
      </c>
      <c r="L452" s="230">
        <f>HallOfFame!P52+((1000-ROW())/777777777)</f>
        <v>7.0457142927599998E-7</v>
      </c>
      <c r="M452" s="230">
        <f>HallOfFame!$Q52+((1000-ROW())/777777777)</f>
        <v>7.0457142927599998E-7</v>
      </c>
      <c r="N452" s="230">
        <f>HallOfFame!$R52+((1000-ROW())/777777777)</f>
        <v>7.0457142927599998E-7</v>
      </c>
      <c r="O452" s="312">
        <f>HallOfFame!$S52+((1000-ROW())/777777777)</f>
        <v>7.0457142927599998E-7</v>
      </c>
      <c r="P452" s="230">
        <f>HallOfFame!$T52+((1000-ROW())/777777777)</f>
        <v>7.0457142927599998E-7</v>
      </c>
      <c r="Q452" s="230">
        <f>HallOfFame!$U52+((1000-ROW())/777777777)</f>
        <v>7.0457142927599998E-7</v>
      </c>
      <c r="R452" s="230"/>
      <c r="S452" s="230"/>
      <c r="T452" s="230"/>
      <c r="U452" s="230"/>
      <c r="V452" s="230"/>
      <c r="W452" s="230"/>
      <c r="X452" s="229"/>
      <c r="Y452" s="229"/>
      <c r="Z452" s="229"/>
      <c r="AA452" s="230"/>
      <c r="AB452" s="230"/>
      <c r="AC452" s="230"/>
      <c r="AD452" s="229"/>
      <c r="AE452" s="230"/>
    </row>
    <row r="453" spans="1:31" ht="12.75" customHeight="1">
      <c r="A453" s="229" t="str">
        <f t="shared" si="79"/>
        <v/>
      </c>
      <c r="B453" s="229" t="str">
        <f t="shared" si="80"/>
        <v/>
      </c>
      <c r="C453" s="229" t="str">
        <f t="shared" si="81"/>
        <v/>
      </c>
      <c r="D453" s="229" t="str">
        <f t="shared" si="82"/>
        <v/>
      </c>
      <c r="E453" s="229" t="str">
        <f t="shared" si="83"/>
        <v/>
      </c>
      <c r="F453" s="229" t="str">
        <f t="shared" si="84"/>
        <v/>
      </c>
      <c r="G453" s="230" t="str">
        <f>IF(HallOfFame!$G53="",T_NoName,HallOfFame!$G53)&amp;IF(HallOfFame!$C53=""," ("&amp;T_retired&amp;")"," ("&amp;HallOfFame!$C53&amp;")")</f>
        <v>Nameless (retired)</v>
      </c>
      <c r="H453" s="230">
        <f>HallOfFame!$H53</f>
        <v>0</v>
      </c>
      <c r="I453" s="229"/>
      <c r="J453" s="229">
        <v>50</v>
      </c>
      <c r="K453" s="230">
        <f>HallOfFame!$E53</f>
        <v>0</v>
      </c>
      <c r="L453" s="230">
        <f>HallOfFame!P53+((1000-ROW())/777777777)</f>
        <v>7.0328571498899997E-7</v>
      </c>
      <c r="M453" s="230">
        <f>HallOfFame!$Q53+((1000-ROW())/777777777)</f>
        <v>7.0328571498899997E-7</v>
      </c>
      <c r="N453" s="230">
        <f>HallOfFame!$R53+((1000-ROW())/777777777)</f>
        <v>7.0328571498899997E-7</v>
      </c>
      <c r="O453" s="312">
        <f>HallOfFame!$S53+((1000-ROW())/777777777)</f>
        <v>7.0328571498899997E-7</v>
      </c>
      <c r="P453" s="230">
        <f>HallOfFame!$T53+((1000-ROW())/777777777)</f>
        <v>7.0328571498899997E-7</v>
      </c>
      <c r="Q453" s="230">
        <f>HallOfFame!$U53+((1000-ROW())/777777777)</f>
        <v>7.0328571498899997E-7</v>
      </c>
      <c r="R453" s="230"/>
      <c r="S453" s="230"/>
      <c r="T453" s="230"/>
      <c r="U453" s="230"/>
      <c r="V453" s="230"/>
      <c r="W453" s="230"/>
      <c r="X453" s="229"/>
      <c r="Y453" s="229"/>
      <c r="Z453" s="229"/>
      <c r="AA453" s="230"/>
      <c r="AB453" s="230"/>
      <c r="AC453" s="230"/>
      <c r="AD453" s="229"/>
      <c r="AE453" s="230"/>
    </row>
    <row r="454" spans="1:31" ht="12.75" customHeight="1">
      <c r="A454" s="229" t="str">
        <f t="shared" si="79"/>
        <v/>
      </c>
      <c r="B454" s="229" t="str">
        <f t="shared" si="80"/>
        <v/>
      </c>
      <c r="C454" s="229" t="str">
        <f t="shared" si="81"/>
        <v/>
      </c>
      <c r="D454" s="229" t="str">
        <f t="shared" si="82"/>
        <v/>
      </c>
      <c r="E454" s="229" t="str">
        <f t="shared" si="83"/>
        <v/>
      </c>
      <c r="F454" s="229" t="str">
        <f t="shared" si="84"/>
        <v/>
      </c>
      <c r="G454" s="230" t="str">
        <f>IF(HallOfFame!$G54="",T_NoName,HallOfFame!$G54)&amp;IF(HallOfFame!$C54=""," ("&amp;T_retired&amp;")"," ("&amp;HallOfFame!$C54&amp;")")</f>
        <v>Nameless (retired)</v>
      </c>
      <c r="H454" s="230">
        <f>HallOfFame!$H54</f>
        <v>0</v>
      </c>
      <c r="I454" s="229"/>
      <c r="J454" s="229">
        <v>51</v>
      </c>
      <c r="K454" s="230">
        <f>HallOfFame!$E54</f>
        <v>0</v>
      </c>
      <c r="L454" s="230">
        <f>HallOfFame!P54+((1000-ROW())/777777777)</f>
        <v>7.0200000070199996E-7</v>
      </c>
      <c r="M454" s="230">
        <f>HallOfFame!$Q54+((1000-ROW())/777777777)</f>
        <v>7.0200000070199996E-7</v>
      </c>
      <c r="N454" s="230">
        <f>HallOfFame!$R54+((1000-ROW())/777777777)</f>
        <v>7.0200000070199996E-7</v>
      </c>
      <c r="O454" s="312">
        <f>HallOfFame!$S54+((1000-ROW())/777777777)</f>
        <v>7.0200000070199996E-7</v>
      </c>
      <c r="P454" s="230">
        <f>HallOfFame!$T54+((1000-ROW())/777777777)</f>
        <v>7.0200000070199996E-7</v>
      </c>
      <c r="Q454" s="230">
        <f>HallOfFame!$U54+((1000-ROW())/777777777)</f>
        <v>7.0200000070199996E-7</v>
      </c>
      <c r="R454" s="230"/>
      <c r="S454" s="230"/>
      <c r="T454" s="230"/>
      <c r="U454" s="230"/>
      <c r="V454" s="230"/>
      <c r="W454" s="230"/>
      <c r="X454" s="229"/>
      <c r="Y454" s="229"/>
      <c r="Z454" s="229"/>
      <c r="AA454" s="230"/>
      <c r="AB454" s="230"/>
      <c r="AC454" s="230"/>
      <c r="AD454" s="229"/>
      <c r="AE454" s="230"/>
    </row>
    <row r="455" spans="1:31" ht="12.75" customHeight="1">
      <c r="A455" s="229" t="str">
        <f t="shared" si="79"/>
        <v/>
      </c>
      <c r="B455" s="229" t="str">
        <f t="shared" si="80"/>
        <v/>
      </c>
      <c r="C455" s="229" t="str">
        <f t="shared" si="81"/>
        <v/>
      </c>
      <c r="D455" s="229" t="str">
        <f t="shared" si="82"/>
        <v/>
      </c>
      <c r="E455" s="229" t="str">
        <f t="shared" si="83"/>
        <v/>
      </c>
      <c r="F455" s="229" t="str">
        <f t="shared" si="84"/>
        <v/>
      </c>
      <c r="G455" s="230" t="str">
        <f>IF(HallOfFame!$G55="",T_NoName,HallOfFame!$G55)&amp;IF(HallOfFame!$C55=""," ("&amp;T_retired&amp;")"," ("&amp;HallOfFame!$C55&amp;")")</f>
        <v>Nameless (retired)</v>
      </c>
      <c r="H455" s="230">
        <f>HallOfFame!$H55</f>
        <v>0</v>
      </c>
      <c r="I455" s="229"/>
      <c r="J455" s="229">
        <v>52</v>
      </c>
      <c r="K455" s="230">
        <f>HallOfFame!$E55</f>
        <v>0</v>
      </c>
      <c r="L455" s="230">
        <f>HallOfFame!P55+((1000-ROW())/777777777)</f>
        <v>7.0071428641500005E-7</v>
      </c>
      <c r="M455" s="230">
        <f>HallOfFame!$Q55+((1000-ROW())/777777777)</f>
        <v>7.0071428641500005E-7</v>
      </c>
      <c r="N455" s="230">
        <f>HallOfFame!$R55+((1000-ROW())/777777777)</f>
        <v>7.0071428641500005E-7</v>
      </c>
      <c r="O455" s="312">
        <f>HallOfFame!$S55+((1000-ROW())/777777777)</f>
        <v>7.0071428641500005E-7</v>
      </c>
      <c r="P455" s="230">
        <f>HallOfFame!$T55+((1000-ROW())/777777777)</f>
        <v>7.0071428641500005E-7</v>
      </c>
      <c r="Q455" s="230">
        <f>HallOfFame!$U55+((1000-ROW())/777777777)</f>
        <v>7.0071428641500005E-7</v>
      </c>
      <c r="R455" s="230"/>
      <c r="S455" s="230"/>
      <c r="T455" s="230"/>
      <c r="U455" s="230"/>
      <c r="V455" s="230"/>
      <c r="W455" s="230"/>
      <c r="X455" s="229"/>
      <c r="Y455" s="229"/>
      <c r="Z455" s="229"/>
      <c r="AA455" s="230"/>
      <c r="AB455" s="230"/>
      <c r="AC455" s="230"/>
      <c r="AD455" s="229"/>
      <c r="AE455" s="230"/>
    </row>
    <row r="456" spans="1:31" ht="12.75" customHeight="1">
      <c r="A456" s="229" t="str">
        <f t="shared" si="79"/>
        <v/>
      </c>
      <c r="B456" s="229" t="str">
        <f t="shared" si="80"/>
        <v/>
      </c>
      <c r="C456" s="229" t="str">
        <f t="shared" si="81"/>
        <v/>
      </c>
      <c r="D456" s="229" t="str">
        <f t="shared" si="82"/>
        <v/>
      </c>
      <c r="E456" s="229" t="str">
        <f t="shared" si="83"/>
        <v/>
      </c>
      <c r="F456" s="229" t="str">
        <f t="shared" si="84"/>
        <v/>
      </c>
      <c r="G456" s="230" t="str">
        <f>IF(HallOfFame!$G56="",T_NoName,HallOfFame!$G56)&amp;IF(HallOfFame!$C56=""," ("&amp;T_retired&amp;")"," ("&amp;HallOfFame!$C56&amp;")")</f>
        <v>Nameless (retired)</v>
      </c>
      <c r="H456" s="230">
        <f>HallOfFame!$H56</f>
        <v>0</v>
      </c>
      <c r="I456" s="229"/>
      <c r="J456" s="229">
        <v>53</v>
      </c>
      <c r="K456" s="230">
        <f>HallOfFame!$E56</f>
        <v>0</v>
      </c>
      <c r="L456" s="230">
        <f>HallOfFame!P56+((1000-ROW())/777777777)</f>
        <v>6.9942857212800004E-7</v>
      </c>
      <c r="M456" s="230">
        <f>HallOfFame!$Q56+((1000-ROW())/777777777)</f>
        <v>6.9942857212800004E-7</v>
      </c>
      <c r="N456" s="230">
        <f>HallOfFame!$R56+((1000-ROW())/777777777)</f>
        <v>6.9942857212800004E-7</v>
      </c>
      <c r="O456" s="312">
        <f>HallOfFame!$S56+((1000-ROW())/777777777)</f>
        <v>6.9942857212800004E-7</v>
      </c>
      <c r="P456" s="230">
        <f>HallOfFame!$T56+((1000-ROW())/777777777)</f>
        <v>6.9942857212800004E-7</v>
      </c>
      <c r="Q456" s="230">
        <f>HallOfFame!$U56+((1000-ROW())/777777777)</f>
        <v>6.9942857212800004E-7</v>
      </c>
      <c r="R456" s="230"/>
      <c r="S456" s="230"/>
      <c r="T456" s="230"/>
      <c r="U456" s="230"/>
      <c r="V456" s="230"/>
      <c r="W456" s="230"/>
      <c r="X456" s="229"/>
      <c r="Y456" s="229"/>
      <c r="Z456" s="229"/>
      <c r="AA456" s="230"/>
      <c r="AB456" s="230"/>
      <c r="AC456" s="230"/>
      <c r="AD456" s="229"/>
      <c r="AE456" s="230"/>
    </row>
    <row r="457" spans="1:31" ht="12.75" customHeight="1">
      <c r="A457" s="229" t="str">
        <f t="shared" si="79"/>
        <v/>
      </c>
      <c r="B457" s="229" t="str">
        <f t="shared" si="80"/>
        <v/>
      </c>
      <c r="C457" s="229" t="str">
        <f t="shared" si="81"/>
        <v/>
      </c>
      <c r="D457" s="229" t="str">
        <f t="shared" si="82"/>
        <v/>
      </c>
      <c r="E457" s="229" t="str">
        <f t="shared" si="83"/>
        <v/>
      </c>
      <c r="F457" s="229" t="str">
        <f t="shared" si="84"/>
        <v/>
      </c>
      <c r="G457" s="230" t="str">
        <f>IF(HallOfFame!$G57="",T_NoName,HallOfFame!$G57)&amp;IF(HallOfFame!$C57=""," ("&amp;T_retired&amp;")"," ("&amp;HallOfFame!$C57&amp;")")</f>
        <v>Nameless (retired)</v>
      </c>
      <c r="H457" s="230">
        <f>HallOfFame!$H57</f>
        <v>0</v>
      </c>
      <c r="I457" s="229"/>
      <c r="J457" s="229">
        <v>54</v>
      </c>
      <c r="K457" s="230">
        <f>HallOfFame!$E57</f>
        <v>0</v>
      </c>
      <c r="L457" s="230">
        <f>HallOfFame!P57+((1000-ROW())/777777777)</f>
        <v>6.9814285784100003E-7</v>
      </c>
      <c r="M457" s="230">
        <f>HallOfFame!$Q57+((1000-ROW())/777777777)</f>
        <v>6.9814285784100003E-7</v>
      </c>
      <c r="N457" s="230">
        <f>HallOfFame!$R57+((1000-ROW())/777777777)</f>
        <v>6.9814285784100003E-7</v>
      </c>
      <c r="O457" s="312">
        <f>HallOfFame!$S57+((1000-ROW())/777777777)</f>
        <v>6.9814285784100003E-7</v>
      </c>
      <c r="P457" s="230">
        <f>HallOfFame!$T57+((1000-ROW())/777777777)</f>
        <v>6.9814285784100003E-7</v>
      </c>
      <c r="Q457" s="230">
        <f>HallOfFame!$U57+((1000-ROW())/777777777)</f>
        <v>6.9814285784100003E-7</v>
      </c>
      <c r="R457" s="230"/>
      <c r="S457" s="230"/>
      <c r="T457" s="230"/>
      <c r="U457" s="230"/>
      <c r="V457" s="230"/>
      <c r="W457" s="230"/>
      <c r="X457" s="229"/>
      <c r="Y457" s="229"/>
      <c r="Z457" s="229"/>
      <c r="AA457" s="230"/>
      <c r="AB457" s="230"/>
      <c r="AC457" s="230"/>
      <c r="AD457" s="229"/>
      <c r="AE457" s="230"/>
    </row>
    <row r="458" spans="1:31" ht="12.75" customHeight="1">
      <c r="A458" s="229" t="str">
        <f t="shared" si="79"/>
        <v/>
      </c>
      <c r="B458" s="229" t="str">
        <f t="shared" si="80"/>
        <v/>
      </c>
      <c r="C458" s="229" t="str">
        <f t="shared" si="81"/>
        <v/>
      </c>
      <c r="D458" s="229" t="str">
        <f t="shared" si="82"/>
        <v/>
      </c>
      <c r="E458" s="229" t="str">
        <f t="shared" si="83"/>
        <v/>
      </c>
      <c r="F458" s="229" t="str">
        <f t="shared" si="84"/>
        <v/>
      </c>
      <c r="G458" s="230" t="str">
        <f>IF(HallOfFame!$G58="",T_NoName,HallOfFame!$G58)&amp;IF(HallOfFame!$C58=""," ("&amp;T_retired&amp;")"," ("&amp;HallOfFame!$C58&amp;")")</f>
        <v>Nameless (retired)</v>
      </c>
      <c r="H458" s="230">
        <f>HallOfFame!$H58</f>
        <v>0</v>
      </c>
      <c r="I458" s="229"/>
      <c r="J458" s="229">
        <v>55</v>
      </c>
      <c r="K458" s="230">
        <f>HallOfFame!$E58</f>
        <v>0</v>
      </c>
      <c r="L458" s="230">
        <f>HallOfFame!P58+((1000-ROW())/777777777)</f>
        <v>6.9685714355400001E-7</v>
      </c>
      <c r="M458" s="230">
        <f>HallOfFame!$Q58+((1000-ROW())/777777777)</f>
        <v>6.9685714355400001E-7</v>
      </c>
      <c r="N458" s="230">
        <f>HallOfFame!$R58+((1000-ROW())/777777777)</f>
        <v>6.9685714355400001E-7</v>
      </c>
      <c r="O458" s="312">
        <f>HallOfFame!$S58+((1000-ROW())/777777777)</f>
        <v>6.9685714355400001E-7</v>
      </c>
      <c r="P458" s="230">
        <f>HallOfFame!$T58+((1000-ROW())/777777777)</f>
        <v>6.9685714355400001E-7</v>
      </c>
      <c r="Q458" s="230">
        <f>HallOfFame!$U58+((1000-ROW())/777777777)</f>
        <v>6.9685714355400001E-7</v>
      </c>
      <c r="R458" s="230"/>
      <c r="S458" s="230"/>
      <c r="T458" s="230"/>
      <c r="U458" s="230"/>
      <c r="V458" s="230"/>
      <c r="W458" s="230"/>
      <c r="X458" s="229"/>
      <c r="Y458" s="229"/>
      <c r="Z458" s="229"/>
      <c r="AA458" s="230"/>
      <c r="AB458" s="230"/>
      <c r="AC458" s="230"/>
      <c r="AD458" s="229"/>
      <c r="AE458" s="230"/>
    </row>
    <row r="459" spans="1:31" ht="12.75" customHeight="1">
      <c r="A459" s="229" t="str">
        <f t="shared" si="79"/>
        <v/>
      </c>
      <c r="B459" s="229" t="str">
        <f t="shared" si="80"/>
        <v/>
      </c>
      <c r="C459" s="229" t="str">
        <f t="shared" si="81"/>
        <v/>
      </c>
      <c r="D459" s="229" t="str">
        <f t="shared" si="82"/>
        <v/>
      </c>
      <c r="E459" s="229" t="str">
        <f t="shared" si="83"/>
        <v/>
      </c>
      <c r="F459" s="229" t="str">
        <f t="shared" si="84"/>
        <v/>
      </c>
      <c r="G459" s="230" t="str">
        <f>IF(HallOfFame!$G59="",T_NoName,HallOfFame!$G59)&amp;IF(HallOfFame!$C59=""," ("&amp;T_retired&amp;")"," ("&amp;HallOfFame!$C59&amp;")")</f>
        <v>Nameless (retired)</v>
      </c>
      <c r="H459" s="230">
        <f>HallOfFame!$H59</f>
        <v>0</v>
      </c>
      <c r="I459" s="229"/>
      <c r="J459" s="229">
        <v>56</v>
      </c>
      <c r="K459" s="230">
        <f>HallOfFame!$E59</f>
        <v>0</v>
      </c>
      <c r="L459" s="230">
        <f>HallOfFame!P59+((1000-ROW())/777777777)</f>
        <v>6.95571429267E-7</v>
      </c>
      <c r="M459" s="230">
        <f>HallOfFame!$Q59+((1000-ROW())/777777777)</f>
        <v>6.95571429267E-7</v>
      </c>
      <c r="N459" s="230">
        <f>HallOfFame!$R59+((1000-ROW())/777777777)</f>
        <v>6.95571429267E-7</v>
      </c>
      <c r="O459" s="312">
        <f>HallOfFame!$S59+((1000-ROW())/777777777)</f>
        <v>6.95571429267E-7</v>
      </c>
      <c r="P459" s="230">
        <f>HallOfFame!$T59+((1000-ROW())/777777777)</f>
        <v>6.95571429267E-7</v>
      </c>
      <c r="Q459" s="230">
        <f>HallOfFame!$U59+((1000-ROW())/777777777)</f>
        <v>6.95571429267E-7</v>
      </c>
      <c r="R459" s="230"/>
      <c r="S459" s="230"/>
      <c r="T459" s="230"/>
      <c r="U459" s="230"/>
      <c r="V459" s="230"/>
      <c r="W459" s="230"/>
      <c r="X459" s="229"/>
      <c r="Y459" s="229"/>
      <c r="Z459" s="229"/>
      <c r="AA459" s="230"/>
      <c r="AB459" s="230"/>
      <c r="AC459" s="230"/>
      <c r="AD459" s="229"/>
      <c r="AE459" s="230"/>
    </row>
    <row r="460" spans="1:31" ht="12.75" customHeight="1">
      <c r="A460" s="229" t="str">
        <f t="shared" si="79"/>
        <v/>
      </c>
      <c r="B460" s="229" t="str">
        <f t="shared" si="80"/>
        <v/>
      </c>
      <c r="C460" s="229" t="str">
        <f t="shared" si="81"/>
        <v/>
      </c>
      <c r="D460" s="229" t="str">
        <f t="shared" si="82"/>
        <v/>
      </c>
      <c r="E460" s="229" t="str">
        <f t="shared" si="83"/>
        <v/>
      </c>
      <c r="F460" s="229" t="str">
        <f t="shared" si="84"/>
        <v/>
      </c>
      <c r="G460" s="230" t="str">
        <f>IF(HallOfFame!$G60="",T_NoName,HallOfFame!$G60)&amp;IF(HallOfFame!$C60=""," ("&amp;T_retired&amp;")"," ("&amp;HallOfFame!$C60&amp;")")</f>
        <v>Nameless (retired)</v>
      </c>
      <c r="H460" s="230">
        <f>HallOfFame!$H60</f>
        <v>0</v>
      </c>
      <c r="I460" s="229"/>
      <c r="J460" s="229">
        <v>57</v>
      </c>
      <c r="K460" s="230">
        <f>HallOfFame!$E60</f>
        <v>0</v>
      </c>
      <c r="L460" s="230">
        <f>HallOfFame!P60+((1000-ROW())/777777777)</f>
        <v>6.9428571497999999E-7</v>
      </c>
      <c r="M460" s="230">
        <f>HallOfFame!$Q60+((1000-ROW())/777777777)</f>
        <v>6.9428571497999999E-7</v>
      </c>
      <c r="N460" s="230">
        <f>HallOfFame!$R60+((1000-ROW())/777777777)</f>
        <v>6.9428571497999999E-7</v>
      </c>
      <c r="O460" s="312">
        <f>HallOfFame!$S60+((1000-ROW())/777777777)</f>
        <v>6.9428571497999999E-7</v>
      </c>
      <c r="P460" s="230">
        <f>HallOfFame!$T60+((1000-ROW())/777777777)</f>
        <v>6.9428571497999999E-7</v>
      </c>
      <c r="Q460" s="230">
        <f>HallOfFame!$U60+((1000-ROW())/777777777)</f>
        <v>6.9428571497999999E-7</v>
      </c>
      <c r="R460" s="230"/>
      <c r="S460" s="230"/>
      <c r="T460" s="230"/>
      <c r="U460" s="230"/>
      <c r="V460" s="230"/>
      <c r="W460" s="230"/>
      <c r="X460" s="229"/>
      <c r="Y460" s="229"/>
      <c r="Z460" s="229"/>
      <c r="AA460" s="230"/>
      <c r="AB460" s="230"/>
      <c r="AC460" s="230"/>
      <c r="AD460" s="229"/>
      <c r="AE460" s="230"/>
    </row>
    <row r="461" spans="1:31" ht="12.75" customHeight="1">
      <c r="A461" s="229" t="str">
        <f t="shared" si="79"/>
        <v/>
      </c>
      <c r="B461" s="229" t="str">
        <f t="shared" si="80"/>
        <v/>
      </c>
      <c r="C461" s="229" t="str">
        <f t="shared" si="81"/>
        <v/>
      </c>
      <c r="D461" s="229" t="str">
        <f t="shared" si="82"/>
        <v/>
      </c>
      <c r="E461" s="229" t="str">
        <f t="shared" si="83"/>
        <v/>
      </c>
      <c r="F461" s="229" t="str">
        <f t="shared" si="84"/>
        <v/>
      </c>
      <c r="G461" s="230" t="str">
        <f>IF(HallOfFame!$G61="",T_NoName,HallOfFame!$G61)&amp;IF(HallOfFame!$C61=""," ("&amp;T_retired&amp;")"," ("&amp;HallOfFame!$C61&amp;")")</f>
        <v>Nameless (retired)</v>
      </c>
      <c r="H461" s="230">
        <f>HallOfFame!$H61</f>
        <v>0</v>
      </c>
      <c r="I461" s="229"/>
      <c r="J461" s="229">
        <v>58</v>
      </c>
      <c r="K461" s="230">
        <f>HallOfFame!$E61</f>
        <v>0</v>
      </c>
      <c r="L461" s="230">
        <f>HallOfFame!P61+((1000-ROW())/777777777)</f>
        <v>6.9300000069299998E-7</v>
      </c>
      <c r="M461" s="230">
        <f>HallOfFame!$Q61+((1000-ROW())/777777777)</f>
        <v>6.9300000069299998E-7</v>
      </c>
      <c r="N461" s="230">
        <f>HallOfFame!$R61+((1000-ROW())/777777777)</f>
        <v>6.9300000069299998E-7</v>
      </c>
      <c r="O461" s="312">
        <f>HallOfFame!$S61+((1000-ROW())/777777777)</f>
        <v>6.9300000069299998E-7</v>
      </c>
      <c r="P461" s="230">
        <f>HallOfFame!$T61+((1000-ROW())/777777777)</f>
        <v>6.9300000069299998E-7</v>
      </c>
      <c r="Q461" s="230">
        <f>HallOfFame!$U61+((1000-ROW())/777777777)</f>
        <v>6.9300000069299998E-7</v>
      </c>
      <c r="R461" s="230"/>
      <c r="S461" s="230"/>
      <c r="T461" s="230"/>
      <c r="U461" s="230"/>
      <c r="V461" s="230"/>
      <c r="W461" s="230"/>
      <c r="X461" s="229"/>
      <c r="Y461" s="229"/>
      <c r="Z461" s="229"/>
      <c r="AA461" s="230"/>
      <c r="AB461" s="230"/>
      <c r="AC461" s="230"/>
      <c r="AD461" s="229"/>
      <c r="AE461" s="230"/>
    </row>
    <row r="462" spans="1:31" ht="12.75" customHeight="1">
      <c r="A462" s="229" t="str">
        <f t="shared" si="79"/>
        <v/>
      </c>
      <c r="B462" s="229" t="str">
        <f t="shared" si="80"/>
        <v/>
      </c>
      <c r="C462" s="229" t="str">
        <f t="shared" si="81"/>
        <v/>
      </c>
      <c r="D462" s="229" t="str">
        <f t="shared" si="82"/>
        <v/>
      </c>
      <c r="E462" s="229" t="str">
        <f t="shared" si="83"/>
        <v/>
      </c>
      <c r="F462" s="229" t="str">
        <f t="shared" si="84"/>
        <v/>
      </c>
      <c r="G462" s="230" t="str">
        <f>IF(HallOfFame!$G62="",T_NoName,HallOfFame!$G62)&amp;IF(HallOfFame!$C62=""," ("&amp;T_retired&amp;")"," ("&amp;HallOfFame!$C62&amp;")")</f>
        <v>Nameless (retired)</v>
      </c>
      <c r="H462" s="230">
        <f>HallOfFame!$H62</f>
        <v>0</v>
      </c>
      <c r="I462" s="229"/>
      <c r="J462" s="229">
        <v>59</v>
      </c>
      <c r="K462" s="230">
        <f>HallOfFame!$E62</f>
        <v>0</v>
      </c>
      <c r="L462" s="230">
        <f>HallOfFame!P62+((1000-ROW())/777777777)</f>
        <v>6.9171428640599997E-7</v>
      </c>
      <c r="M462" s="230">
        <f>HallOfFame!$Q62+((1000-ROW())/777777777)</f>
        <v>6.9171428640599997E-7</v>
      </c>
      <c r="N462" s="230">
        <f>HallOfFame!$R62+((1000-ROW())/777777777)</f>
        <v>6.9171428640599997E-7</v>
      </c>
      <c r="O462" s="312">
        <f>HallOfFame!$S62+((1000-ROW())/777777777)</f>
        <v>6.9171428640599997E-7</v>
      </c>
      <c r="P462" s="230">
        <f>HallOfFame!$T62+((1000-ROW())/777777777)</f>
        <v>6.9171428640599997E-7</v>
      </c>
      <c r="Q462" s="230">
        <f>HallOfFame!$U62+((1000-ROW())/777777777)</f>
        <v>6.9171428640599997E-7</v>
      </c>
      <c r="R462" s="230"/>
      <c r="S462" s="230"/>
      <c r="T462" s="230"/>
      <c r="U462" s="230"/>
      <c r="V462" s="230"/>
      <c r="W462" s="230"/>
      <c r="X462" s="229"/>
      <c r="Y462" s="229"/>
      <c r="Z462" s="229"/>
      <c r="AA462" s="230"/>
      <c r="AB462" s="230"/>
      <c r="AC462" s="230"/>
      <c r="AD462" s="229"/>
      <c r="AE462" s="230"/>
    </row>
    <row r="463" spans="1:31" ht="12.75" customHeight="1">
      <c r="A463" s="229" t="str">
        <f t="shared" si="79"/>
        <v/>
      </c>
      <c r="B463" s="229" t="str">
        <f t="shared" si="80"/>
        <v/>
      </c>
      <c r="C463" s="229" t="str">
        <f t="shared" si="81"/>
        <v/>
      </c>
      <c r="D463" s="229" t="str">
        <f t="shared" si="82"/>
        <v/>
      </c>
      <c r="E463" s="229" t="str">
        <f t="shared" si="83"/>
        <v/>
      </c>
      <c r="F463" s="229" t="str">
        <f t="shared" si="84"/>
        <v/>
      </c>
      <c r="G463" s="230" t="str">
        <f>IF(HallOfFame!$G63="",T_NoName,HallOfFame!$G63)&amp;IF(HallOfFame!$C63=""," ("&amp;T_retired&amp;")"," ("&amp;HallOfFame!$C63&amp;")")</f>
        <v>Nameless (retired)</v>
      </c>
      <c r="H463" s="230">
        <f>HallOfFame!$H63</f>
        <v>0</v>
      </c>
      <c r="I463" s="229"/>
      <c r="J463" s="229">
        <v>60</v>
      </c>
      <c r="K463" s="230">
        <f>HallOfFame!$E63</f>
        <v>0</v>
      </c>
      <c r="L463" s="230">
        <f>HallOfFame!P63+((1000-ROW())/777777777)</f>
        <v>6.9042857211899995E-7</v>
      </c>
      <c r="M463" s="230">
        <f>HallOfFame!$Q63+((1000-ROW())/777777777)</f>
        <v>6.9042857211899995E-7</v>
      </c>
      <c r="N463" s="230">
        <f>HallOfFame!$R63+((1000-ROW())/777777777)</f>
        <v>6.9042857211899995E-7</v>
      </c>
      <c r="O463" s="312">
        <f>HallOfFame!$S63+((1000-ROW())/777777777)</f>
        <v>6.9042857211899995E-7</v>
      </c>
      <c r="P463" s="230">
        <f>HallOfFame!$T63+((1000-ROW())/777777777)</f>
        <v>6.9042857211899995E-7</v>
      </c>
      <c r="Q463" s="230">
        <f>HallOfFame!$U63+((1000-ROW())/777777777)</f>
        <v>6.9042857211899995E-7</v>
      </c>
      <c r="R463" s="230"/>
      <c r="S463" s="230"/>
      <c r="T463" s="230"/>
      <c r="U463" s="230"/>
      <c r="V463" s="230"/>
      <c r="W463" s="230"/>
      <c r="X463" s="229"/>
      <c r="Y463" s="229"/>
      <c r="Z463" s="229"/>
      <c r="AA463" s="230"/>
      <c r="AB463" s="230"/>
      <c r="AC463" s="230"/>
      <c r="AD463" s="229"/>
      <c r="AE463" s="230"/>
    </row>
    <row r="464" spans="1:31" ht="12.75" customHeight="1">
      <c r="A464" s="229" t="str">
        <f t="shared" si="79"/>
        <v/>
      </c>
      <c r="B464" s="229" t="str">
        <f t="shared" si="80"/>
        <v/>
      </c>
      <c r="C464" s="229" t="str">
        <f t="shared" si="81"/>
        <v/>
      </c>
      <c r="D464" s="229" t="str">
        <f t="shared" si="82"/>
        <v/>
      </c>
      <c r="E464" s="229" t="str">
        <f t="shared" si="83"/>
        <v/>
      </c>
      <c r="F464" s="229" t="str">
        <f t="shared" si="84"/>
        <v/>
      </c>
      <c r="G464" s="230" t="str">
        <f>IF(HallOfFame!$G64="",T_NoName,HallOfFame!$G64)&amp;IF(HallOfFame!$C64=""," ("&amp;T_retired&amp;")"," ("&amp;HallOfFame!$C64&amp;")")</f>
        <v>Nameless (retired)</v>
      </c>
      <c r="H464" s="230">
        <f>HallOfFame!$H64</f>
        <v>0</v>
      </c>
      <c r="I464" s="229"/>
      <c r="J464" s="229">
        <v>61</v>
      </c>
      <c r="K464" s="230">
        <f>HallOfFame!$E64</f>
        <v>0</v>
      </c>
      <c r="L464" s="230">
        <f>HallOfFame!P64+((1000-ROW())/777777777)</f>
        <v>6.8914285783200005E-7</v>
      </c>
      <c r="M464" s="230">
        <f>HallOfFame!$Q64+((1000-ROW())/777777777)</f>
        <v>6.8914285783200005E-7</v>
      </c>
      <c r="N464" s="230">
        <f>HallOfFame!$R64+((1000-ROW())/777777777)</f>
        <v>6.8914285783200005E-7</v>
      </c>
      <c r="O464" s="312">
        <f>HallOfFame!$S64+((1000-ROW())/777777777)</f>
        <v>6.8914285783200005E-7</v>
      </c>
      <c r="P464" s="230">
        <f>HallOfFame!$T64+((1000-ROW())/777777777)</f>
        <v>6.8914285783200005E-7</v>
      </c>
      <c r="Q464" s="230">
        <f>HallOfFame!$U64+((1000-ROW())/777777777)</f>
        <v>6.8914285783200005E-7</v>
      </c>
      <c r="R464" s="230"/>
      <c r="S464" s="230"/>
      <c r="T464" s="230"/>
      <c r="U464" s="230"/>
      <c r="V464" s="230"/>
      <c r="W464" s="230"/>
      <c r="X464" s="229"/>
      <c r="Y464" s="229"/>
      <c r="Z464" s="229"/>
      <c r="AA464" s="230"/>
      <c r="AB464" s="230"/>
      <c r="AC464" s="230"/>
      <c r="AD464" s="229"/>
      <c r="AE464" s="230"/>
    </row>
    <row r="465" spans="1:31" ht="12.75" customHeight="1">
      <c r="A465" s="229" t="str">
        <f t="shared" si="79"/>
        <v/>
      </c>
      <c r="B465" s="229" t="str">
        <f t="shared" si="80"/>
        <v/>
      </c>
      <c r="C465" s="229" t="str">
        <f t="shared" si="81"/>
        <v/>
      </c>
      <c r="D465" s="229" t="str">
        <f t="shared" si="82"/>
        <v/>
      </c>
      <c r="E465" s="229" t="str">
        <f t="shared" si="83"/>
        <v/>
      </c>
      <c r="F465" s="229" t="str">
        <f t="shared" si="84"/>
        <v/>
      </c>
      <c r="G465" s="230" t="str">
        <f>IF(HallOfFame!$G65="",T_NoName,HallOfFame!$G65)&amp;IF(HallOfFame!$C65=""," ("&amp;T_retired&amp;")"," ("&amp;HallOfFame!$C65&amp;")")</f>
        <v>Nameless (retired)</v>
      </c>
      <c r="H465" s="230">
        <f>HallOfFame!$H65</f>
        <v>0</v>
      </c>
      <c r="I465" s="229"/>
      <c r="J465" s="229">
        <v>62</v>
      </c>
      <c r="K465" s="230">
        <f>HallOfFame!$E65</f>
        <v>0</v>
      </c>
      <c r="L465" s="230">
        <f>HallOfFame!P65+((1000-ROW())/777777777)</f>
        <v>6.8785714354500004E-7</v>
      </c>
      <c r="M465" s="230">
        <f>HallOfFame!$Q65+((1000-ROW())/777777777)</f>
        <v>6.8785714354500004E-7</v>
      </c>
      <c r="N465" s="230">
        <f>HallOfFame!$R65+((1000-ROW())/777777777)</f>
        <v>6.8785714354500004E-7</v>
      </c>
      <c r="O465" s="312">
        <f>HallOfFame!$S65+((1000-ROW())/777777777)</f>
        <v>6.8785714354500004E-7</v>
      </c>
      <c r="P465" s="230">
        <f>HallOfFame!$T65+((1000-ROW())/777777777)</f>
        <v>6.8785714354500004E-7</v>
      </c>
      <c r="Q465" s="230">
        <f>HallOfFame!$U65+((1000-ROW())/777777777)</f>
        <v>6.8785714354500004E-7</v>
      </c>
      <c r="R465" s="230"/>
      <c r="S465" s="230"/>
      <c r="T465" s="230"/>
      <c r="U465" s="230"/>
      <c r="V465" s="230"/>
      <c r="W465" s="230"/>
      <c r="X465" s="229"/>
      <c r="Y465" s="229"/>
      <c r="Z465" s="229"/>
      <c r="AA465" s="230"/>
      <c r="AB465" s="230"/>
      <c r="AC465" s="230"/>
      <c r="AD465" s="229"/>
      <c r="AE465" s="230"/>
    </row>
    <row r="466" spans="1:31" ht="12.75" customHeight="1">
      <c r="A466" s="229" t="str">
        <f t="shared" si="79"/>
        <v/>
      </c>
      <c r="B466" s="229" t="str">
        <f t="shared" si="80"/>
        <v/>
      </c>
      <c r="C466" s="229" t="str">
        <f t="shared" si="81"/>
        <v/>
      </c>
      <c r="D466" s="229" t="str">
        <f t="shared" si="82"/>
        <v/>
      </c>
      <c r="E466" s="229" t="str">
        <f t="shared" si="83"/>
        <v/>
      </c>
      <c r="F466" s="229" t="str">
        <f t="shared" si="84"/>
        <v/>
      </c>
      <c r="G466" s="230" t="str">
        <f>IF(HallOfFame!$G66="",T_NoName,HallOfFame!$G66)&amp;IF(HallOfFame!$C66=""," ("&amp;T_retired&amp;")"," ("&amp;HallOfFame!$C66&amp;")")</f>
        <v>Nameless (retired)</v>
      </c>
      <c r="H466" s="230">
        <f>HallOfFame!$H66</f>
        <v>0</v>
      </c>
      <c r="I466" s="229"/>
      <c r="J466" s="229">
        <v>63</v>
      </c>
      <c r="K466" s="230">
        <f>HallOfFame!$E66</f>
        <v>0</v>
      </c>
      <c r="L466" s="230">
        <f>HallOfFame!P66+((1000-ROW())/777777777)</f>
        <v>6.8657142925800002E-7</v>
      </c>
      <c r="M466" s="230">
        <f>HallOfFame!$Q66+((1000-ROW())/777777777)</f>
        <v>6.8657142925800002E-7</v>
      </c>
      <c r="N466" s="230">
        <f>HallOfFame!$R66+((1000-ROW())/777777777)</f>
        <v>6.8657142925800002E-7</v>
      </c>
      <c r="O466" s="312">
        <f>HallOfFame!$S66+((1000-ROW())/777777777)</f>
        <v>6.8657142925800002E-7</v>
      </c>
      <c r="P466" s="230">
        <f>HallOfFame!$T66+((1000-ROW())/777777777)</f>
        <v>6.8657142925800002E-7</v>
      </c>
      <c r="Q466" s="230">
        <f>HallOfFame!$U66+((1000-ROW())/777777777)</f>
        <v>6.8657142925800002E-7</v>
      </c>
      <c r="R466" s="230"/>
      <c r="S466" s="230"/>
      <c r="T466" s="230"/>
      <c r="U466" s="230"/>
      <c r="V466" s="230"/>
      <c r="W466" s="230"/>
      <c r="X466" s="229"/>
      <c r="Y466" s="229"/>
      <c r="Z466" s="229"/>
      <c r="AA466" s="230"/>
      <c r="AB466" s="230"/>
      <c r="AC466" s="230"/>
      <c r="AD466" s="229"/>
      <c r="AE466" s="230"/>
    </row>
    <row r="467" spans="1:31" ht="12.75" customHeight="1">
      <c r="A467" s="229" t="str">
        <f t="shared" si="79"/>
        <v/>
      </c>
      <c r="B467" s="229" t="str">
        <f t="shared" si="80"/>
        <v/>
      </c>
      <c r="C467" s="229" t="str">
        <f t="shared" si="81"/>
        <v/>
      </c>
      <c r="D467" s="229" t="str">
        <f t="shared" si="82"/>
        <v/>
      </c>
      <c r="E467" s="229" t="str">
        <f t="shared" si="83"/>
        <v/>
      </c>
      <c r="F467" s="229" t="str">
        <f t="shared" si="84"/>
        <v/>
      </c>
      <c r="G467" s="230" t="str">
        <f>IF(HallOfFame!$G67="",T_NoName,HallOfFame!$G67)&amp;IF(HallOfFame!$C67=""," ("&amp;T_retired&amp;")"," ("&amp;HallOfFame!$C67&amp;")")</f>
        <v>Nameless (retired)</v>
      </c>
      <c r="H467" s="230">
        <f>HallOfFame!$H67</f>
        <v>0</v>
      </c>
      <c r="I467" s="229"/>
      <c r="J467" s="229">
        <v>64</v>
      </c>
      <c r="K467" s="230">
        <f>HallOfFame!$E67</f>
        <v>0</v>
      </c>
      <c r="L467" s="230">
        <f>HallOfFame!P67+((1000-ROW())/777777777)</f>
        <v>6.8528571497100001E-7</v>
      </c>
      <c r="M467" s="230">
        <f>HallOfFame!$Q67+((1000-ROW())/777777777)</f>
        <v>6.8528571497100001E-7</v>
      </c>
      <c r="N467" s="230">
        <f>HallOfFame!$R67+((1000-ROW())/777777777)</f>
        <v>6.8528571497100001E-7</v>
      </c>
      <c r="O467" s="312">
        <f>HallOfFame!$S67+((1000-ROW())/777777777)</f>
        <v>6.8528571497100001E-7</v>
      </c>
      <c r="P467" s="230">
        <f>HallOfFame!$T67+((1000-ROW())/777777777)</f>
        <v>6.8528571497100001E-7</v>
      </c>
      <c r="Q467" s="230">
        <f>HallOfFame!$U67+((1000-ROW())/777777777)</f>
        <v>6.8528571497100001E-7</v>
      </c>
      <c r="R467" s="230"/>
      <c r="S467" s="230"/>
      <c r="T467" s="230"/>
      <c r="U467" s="230"/>
      <c r="V467" s="230"/>
      <c r="W467" s="230"/>
      <c r="X467" s="229"/>
      <c r="Y467" s="229"/>
      <c r="Z467" s="229"/>
      <c r="AA467" s="230"/>
      <c r="AB467" s="230"/>
      <c r="AC467" s="230"/>
      <c r="AD467" s="229"/>
      <c r="AE467" s="230"/>
    </row>
    <row r="468" spans="1:31" ht="12.75" customHeight="1">
      <c r="A468" s="229" t="str">
        <f t="shared" ref="A468:A503" si="85">IF(L468&lt;1,"",RANK(L468,PSTAT_CP))</f>
        <v/>
      </c>
      <c r="B468" s="229" t="str">
        <f t="shared" ref="B468:B503" si="86">IF(M468&lt;1,"",RANK(M468,PSTAT_TD))</f>
        <v/>
      </c>
      <c r="C468" s="229" t="str">
        <f t="shared" ref="C468:C503" si="87">IF(N468&lt;1,"",RANK(N468,PSTAT_IN))</f>
        <v/>
      </c>
      <c r="D468" s="229" t="str">
        <f t="shared" ref="D468:D503" si="88">IF(O468&lt;1,"",RANK(O468,PSTAT_CS))</f>
        <v/>
      </c>
      <c r="E468" s="229" t="str">
        <f t="shared" ref="E468:E503" si="89">IF(P468&lt;1,"",RANK(P468,PSTAT_VP))</f>
        <v/>
      </c>
      <c r="F468" s="229" t="str">
        <f t="shared" ref="F468:F503" si="90">IF(Q468&lt;1,"",RANK(Q468,PSTAT_SP))</f>
        <v/>
      </c>
      <c r="G468" s="230" t="str">
        <f>IF(HallOfFame!$G68="",T_NoName,HallOfFame!$G68)&amp;IF(HallOfFame!$C68=""," ("&amp;T_retired&amp;")"," ("&amp;HallOfFame!$C68&amp;")")</f>
        <v>Nameless (retired)</v>
      </c>
      <c r="H468" s="230">
        <f>HallOfFame!$H68</f>
        <v>0</v>
      </c>
      <c r="I468" s="229"/>
      <c r="J468" s="229">
        <v>65</v>
      </c>
      <c r="K468" s="230">
        <f>HallOfFame!$E68</f>
        <v>0</v>
      </c>
      <c r="L468" s="230">
        <f>HallOfFame!P68+((1000-ROW())/777777777)</f>
        <v>6.84000000684E-7</v>
      </c>
      <c r="M468" s="230">
        <f>HallOfFame!$Q68+((1000-ROW())/777777777)</f>
        <v>6.84000000684E-7</v>
      </c>
      <c r="N468" s="230">
        <f>HallOfFame!$R68+((1000-ROW())/777777777)</f>
        <v>6.84000000684E-7</v>
      </c>
      <c r="O468" s="312">
        <f>HallOfFame!$S68+((1000-ROW())/777777777)</f>
        <v>6.84000000684E-7</v>
      </c>
      <c r="P468" s="230">
        <f>HallOfFame!$T68+((1000-ROW())/777777777)</f>
        <v>6.84000000684E-7</v>
      </c>
      <c r="Q468" s="230">
        <f>HallOfFame!$U68+((1000-ROW())/777777777)</f>
        <v>6.84000000684E-7</v>
      </c>
      <c r="R468" s="230"/>
      <c r="S468" s="230"/>
      <c r="T468" s="230"/>
      <c r="U468" s="230"/>
      <c r="V468" s="230"/>
      <c r="W468" s="230"/>
      <c r="X468" s="229"/>
      <c r="Y468" s="229"/>
      <c r="Z468" s="229"/>
      <c r="AA468" s="230"/>
      <c r="AB468" s="230"/>
      <c r="AC468" s="230"/>
      <c r="AD468" s="229"/>
      <c r="AE468" s="230"/>
    </row>
    <row r="469" spans="1:31" ht="12.75" customHeight="1">
      <c r="A469" s="229" t="str">
        <f t="shared" si="85"/>
        <v/>
      </c>
      <c r="B469" s="229" t="str">
        <f t="shared" si="86"/>
        <v/>
      </c>
      <c r="C469" s="229" t="str">
        <f t="shared" si="87"/>
        <v/>
      </c>
      <c r="D469" s="229" t="str">
        <f t="shared" si="88"/>
        <v/>
      </c>
      <c r="E469" s="229" t="str">
        <f t="shared" si="89"/>
        <v/>
      </c>
      <c r="F469" s="229" t="str">
        <f t="shared" si="90"/>
        <v/>
      </c>
      <c r="G469" s="230" t="str">
        <f>IF(HallOfFame!$G69="",T_NoName,HallOfFame!$G69)&amp;IF(HallOfFame!$C69=""," ("&amp;T_retired&amp;")"," ("&amp;HallOfFame!$C69&amp;")")</f>
        <v>Nameless (retired)</v>
      </c>
      <c r="H469" s="230">
        <f>HallOfFame!$H69</f>
        <v>0</v>
      </c>
      <c r="I469" s="229"/>
      <c r="J469" s="229">
        <v>66</v>
      </c>
      <c r="K469" s="230">
        <f>HallOfFame!$E69</f>
        <v>0</v>
      </c>
      <c r="L469" s="230">
        <f>HallOfFame!P69+((1000-ROW())/777777777)</f>
        <v>6.8271428639699999E-7</v>
      </c>
      <c r="M469" s="230">
        <f>HallOfFame!$Q69+((1000-ROW())/777777777)</f>
        <v>6.8271428639699999E-7</v>
      </c>
      <c r="N469" s="230">
        <f>HallOfFame!$R69+((1000-ROW())/777777777)</f>
        <v>6.8271428639699999E-7</v>
      </c>
      <c r="O469" s="312">
        <f>HallOfFame!$S69+((1000-ROW())/777777777)</f>
        <v>6.8271428639699999E-7</v>
      </c>
      <c r="P469" s="230">
        <f>HallOfFame!$T69+((1000-ROW())/777777777)</f>
        <v>6.8271428639699999E-7</v>
      </c>
      <c r="Q469" s="230">
        <f>HallOfFame!$U69+((1000-ROW())/777777777)</f>
        <v>6.8271428639699999E-7</v>
      </c>
      <c r="R469" s="230"/>
      <c r="S469" s="230"/>
      <c r="T469" s="230"/>
      <c r="U469" s="230"/>
      <c r="V469" s="230"/>
      <c r="W469" s="230"/>
      <c r="X469" s="229"/>
      <c r="Y469" s="229"/>
      <c r="Z469" s="229"/>
      <c r="AA469" s="230"/>
      <c r="AB469" s="230"/>
      <c r="AC469" s="230"/>
      <c r="AD469" s="229"/>
      <c r="AE469" s="230"/>
    </row>
    <row r="470" spans="1:31" ht="12.75" customHeight="1">
      <c r="A470" s="229" t="str">
        <f t="shared" si="85"/>
        <v/>
      </c>
      <c r="B470" s="229" t="str">
        <f t="shared" si="86"/>
        <v/>
      </c>
      <c r="C470" s="229" t="str">
        <f t="shared" si="87"/>
        <v/>
      </c>
      <c r="D470" s="229" t="str">
        <f t="shared" si="88"/>
        <v/>
      </c>
      <c r="E470" s="229" t="str">
        <f t="shared" si="89"/>
        <v/>
      </c>
      <c r="F470" s="229" t="str">
        <f t="shared" si="90"/>
        <v/>
      </c>
      <c r="G470" s="230" t="str">
        <f>IF(HallOfFame!$G70="",T_NoName,HallOfFame!$G70)&amp;IF(HallOfFame!$C70=""," ("&amp;T_retired&amp;")"," ("&amp;HallOfFame!$C70&amp;")")</f>
        <v>Nameless (retired)</v>
      </c>
      <c r="H470" s="230">
        <f>HallOfFame!$H70</f>
        <v>0</v>
      </c>
      <c r="I470" s="229"/>
      <c r="J470" s="229">
        <v>67</v>
      </c>
      <c r="K470" s="230">
        <f>HallOfFame!$E70</f>
        <v>0</v>
      </c>
      <c r="L470" s="230">
        <f>HallOfFame!P70+((1000-ROW())/777777777)</f>
        <v>6.8142857210999998E-7</v>
      </c>
      <c r="M470" s="230">
        <f>HallOfFame!$Q70+((1000-ROW())/777777777)</f>
        <v>6.8142857210999998E-7</v>
      </c>
      <c r="N470" s="230">
        <f>HallOfFame!$R70+((1000-ROW())/777777777)</f>
        <v>6.8142857210999998E-7</v>
      </c>
      <c r="O470" s="312">
        <f>HallOfFame!$S70+((1000-ROW())/777777777)</f>
        <v>6.8142857210999998E-7</v>
      </c>
      <c r="P470" s="230">
        <f>HallOfFame!$T70+((1000-ROW())/777777777)</f>
        <v>6.8142857210999998E-7</v>
      </c>
      <c r="Q470" s="230">
        <f>HallOfFame!$U70+((1000-ROW())/777777777)</f>
        <v>6.8142857210999998E-7</v>
      </c>
      <c r="R470" s="230"/>
      <c r="S470" s="230"/>
      <c r="T470" s="230"/>
      <c r="U470" s="230"/>
      <c r="V470" s="230"/>
      <c r="W470" s="230"/>
      <c r="X470" s="229"/>
      <c r="Y470" s="229"/>
      <c r="Z470" s="229"/>
      <c r="AA470" s="230"/>
      <c r="AB470" s="230"/>
      <c r="AC470" s="230"/>
      <c r="AD470" s="229"/>
      <c r="AE470" s="230"/>
    </row>
    <row r="471" spans="1:31" ht="12.75" customHeight="1">
      <c r="A471" s="229" t="str">
        <f t="shared" si="85"/>
        <v/>
      </c>
      <c r="B471" s="229" t="str">
        <f t="shared" si="86"/>
        <v/>
      </c>
      <c r="C471" s="229" t="str">
        <f t="shared" si="87"/>
        <v/>
      </c>
      <c r="D471" s="229" t="str">
        <f t="shared" si="88"/>
        <v/>
      </c>
      <c r="E471" s="229" t="str">
        <f t="shared" si="89"/>
        <v/>
      </c>
      <c r="F471" s="229" t="str">
        <f t="shared" si="90"/>
        <v/>
      </c>
      <c r="G471" s="230" t="str">
        <f>IF(HallOfFame!$G71="",T_NoName,HallOfFame!$G71)&amp;IF(HallOfFame!$C71=""," ("&amp;T_retired&amp;")"," ("&amp;HallOfFame!$C71&amp;")")</f>
        <v>Nameless (retired)</v>
      </c>
      <c r="H471" s="230">
        <f>HallOfFame!$H71</f>
        <v>0</v>
      </c>
      <c r="I471" s="229"/>
      <c r="J471" s="229">
        <v>68</v>
      </c>
      <c r="K471" s="230">
        <f>HallOfFame!$E71</f>
        <v>0</v>
      </c>
      <c r="L471" s="230">
        <f>HallOfFame!P71+((1000-ROW())/777777777)</f>
        <v>6.8014285782299996E-7</v>
      </c>
      <c r="M471" s="230">
        <f>HallOfFame!$Q71+((1000-ROW())/777777777)</f>
        <v>6.8014285782299996E-7</v>
      </c>
      <c r="N471" s="230">
        <f>HallOfFame!$R71+((1000-ROW())/777777777)</f>
        <v>6.8014285782299996E-7</v>
      </c>
      <c r="O471" s="312">
        <f>HallOfFame!$S71+((1000-ROW())/777777777)</f>
        <v>6.8014285782299996E-7</v>
      </c>
      <c r="P471" s="230">
        <f>HallOfFame!$T71+((1000-ROW())/777777777)</f>
        <v>6.8014285782299996E-7</v>
      </c>
      <c r="Q471" s="230">
        <f>HallOfFame!$U71+((1000-ROW())/777777777)</f>
        <v>6.8014285782299996E-7</v>
      </c>
      <c r="R471" s="230"/>
      <c r="S471" s="230"/>
      <c r="T471" s="230"/>
      <c r="U471" s="230"/>
      <c r="V471" s="230"/>
      <c r="W471" s="230"/>
      <c r="X471" s="229"/>
      <c r="Y471" s="229"/>
      <c r="Z471" s="229"/>
      <c r="AA471" s="230"/>
      <c r="AB471" s="230"/>
      <c r="AC471" s="230"/>
      <c r="AD471" s="229"/>
      <c r="AE471" s="230"/>
    </row>
    <row r="472" spans="1:31" ht="12.75" customHeight="1">
      <c r="A472" s="229" t="str">
        <f t="shared" si="85"/>
        <v/>
      </c>
      <c r="B472" s="229" t="str">
        <f t="shared" si="86"/>
        <v/>
      </c>
      <c r="C472" s="229" t="str">
        <f t="shared" si="87"/>
        <v/>
      </c>
      <c r="D472" s="229" t="str">
        <f t="shared" si="88"/>
        <v/>
      </c>
      <c r="E472" s="229" t="str">
        <f t="shared" si="89"/>
        <v/>
      </c>
      <c r="F472" s="229" t="str">
        <f t="shared" si="90"/>
        <v/>
      </c>
      <c r="G472" s="230" t="str">
        <f>IF(HallOfFame!$G72="",T_NoName,HallOfFame!$G72)&amp;IF(HallOfFame!$C72=""," ("&amp;T_retired&amp;")"," ("&amp;HallOfFame!$C72&amp;")")</f>
        <v>Nameless (retired)</v>
      </c>
      <c r="H472" s="230">
        <f>HallOfFame!$H72</f>
        <v>0</v>
      </c>
      <c r="I472" s="229"/>
      <c r="J472" s="229">
        <v>69</v>
      </c>
      <c r="K472" s="230">
        <f>HallOfFame!$E72</f>
        <v>0</v>
      </c>
      <c r="L472" s="230">
        <f>HallOfFame!P72+((1000-ROW())/777777777)</f>
        <v>6.7885714353599995E-7</v>
      </c>
      <c r="M472" s="230">
        <f>HallOfFame!$Q72+((1000-ROW())/777777777)</f>
        <v>6.7885714353599995E-7</v>
      </c>
      <c r="N472" s="230">
        <f>HallOfFame!$R72+((1000-ROW())/777777777)</f>
        <v>6.7885714353599995E-7</v>
      </c>
      <c r="O472" s="312">
        <f>HallOfFame!$S72+((1000-ROW())/777777777)</f>
        <v>6.7885714353599995E-7</v>
      </c>
      <c r="P472" s="230">
        <f>HallOfFame!$T72+((1000-ROW())/777777777)</f>
        <v>6.7885714353599995E-7</v>
      </c>
      <c r="Q472" s="230">
        <f>HallOfFame!$U72+((1000-ROW())/777777777)</f>
        <v>6.7885714353599995E-7</v>
      </c>
      <c r="R472" s="230"/>
      <c r="S472" s="230"/>
      <c r="T472" s="230"/>
      <c r="U472" s="230"/>
      <c r="V472" s="230"/>
      <c r="W472" s="230"/>
      <c r="X472" s="229"/>
      <c r="Y472" s="229"/>
      <c r="Z472" s="229"/>
      <c r="AA472" s="230"/>
      <c r="AB472" s="230"/>
      <c r="AC472" s="230"/>
      <c r="AD472" s="229"/>
      <c r="AE472" s="230"/>
    </row>
    <row r="473" spans="1:31" ht="12.75" customHeight="1">
      <c r="A473" s="229" t="str">
        <f t="shared" si="85"/>
        <v/>
      </c>
      <c r="B473" s="229" t="str">
        <f t="shared" si="86"/>
        <v/>
      </c>
      <c r="C473" s="229" t="str">
        <f t="shared" si="87"/>
        <v/>
      </c>
      <c r="D473" s="229" t="str">
        <f t="shared" si="88"/>
        <v/>
      </c>
      <c r="E473" s="229" t="str">
        <f t="shared" si="89"/>
        <v/>
      </c>
      <c r="F473" s="229" t="str">
        <f t="shared" si="90"/>
        <v/>
      </c>
      <c r="G473" s="230" t="str">
        <f>IF(HallOfFame!$G73="",T_NoName,HallOfFame!$G73)&amp;IF(HallOfFame!$C73=""," ("&amp;T_retired&amp;")"," ("&amp;HallOfFame!$C73&amp;")")</f>
        <v>Nameless (retired)</v>
      </c>
      <c r="H473" s="230">
        <f>HallOfFame!$H73</f>
        <v>0</v>
      </c>
      <c r="I473" s="229"/>
      <c r="J473" s="229">
        <v>70</v>
      </c>
      <c r="K473" s="230">
        <f>HallOfFame!$E73</f>
        <v>0</v>
      </c>
      <c r="L473" s="230">
        <f>HallOfFame!P73+((1000-ROW())/777777777)</f>
        <v>6.7757142924900005E-7</v>
      </c>
      <c r="M473" s="230">
        <f>HallOfFame!$Q73+((1000-ROW())/777777777)</f>
        <v>6.7757142924900005E-7</v>
      </c>
      <c r="N473" s="230">
        <f>HallOfFame!$R73+((1000-ROW())/777777777)</f>
        <v>6.7757142924900005E-7</v>
      </c>
      <c r="O473" s="312">
        <f>HallOfFame!$S73+((1000-ROW())/777777777)</f>
        <v>6.7757142924900005E-7</v>
      </c>
      <c r="P473" s="230">
        <f>HallOfFame!$T73+((1000-ROW())/777777777)</f>
        <v>6.7757142924900005E-7</v>
      </c>
      <c r="Q473" s="230">
        <f>HallOfFame!$U73+((1000-ROW())/777777777)</f>
        <v>6.7757142924900005E-7</v>
      </c>
      <c r="R473" s="230"/>
      <c r="S473" s="230"/>
      <c r="T473" s="230"/>
      <c r="U473" s="230"/>
      <c r="V473" s="230"/>
      <c r="W473" s="230"/>
      <c r="X473" s="229"/>
      <c r="Y473" s="229"/>
      <c r="Z473" s="229"/>
      <c r="AA473" s="230"/>
      <c r="AB473" s="230"/>
      <c r="AC473" s="230"/>
      <c r="AD473" s="229"/>
      <c r="AE473" s="230"/>
    </row>
    <row r="474" spans="1:31" ht="12.75" customHeight="1">
      <c r="A474" s="229" t="str">
        <f t="shared" si="85"/>
        <v/>
      </c>
      <c r="B474" s="229" t="str">
        <f t="shared" si="86"/>
        <v/>
      </c>
      <c r="C474" s="229" t="str">
        <f t="shared" si="87"/>
        <v/>
      </c>
      <c r="D474" s="229" t="str">
        <f t="shared" si="88"/>
        <v/>
      </c>
      <c r="E474" s="229" t="str">
        <f t="shared" si="89"/>
        <v/>
      </c>
      <c r="F474" s="229" t="str">
        <f t="shared" si="90"/>
        <v/>
      </c>
      <c r="G474" s="230" t="str">
        <f>IF(HallOfFame!$G74="",T_NoName,HallOfFame!$G74)&amp;IF(HallOfFame!$C74=""," ("&amp;T_retired&amp;")"," ("&amp;HallOfFame!$C74&amp;")")</f>
        <v>Nameless (retired)</v>
      </c>
      <c r="H474" s="230">
        <f>HallOfFame!$H74</f>
        <v>0</v>
      </c>
      <c r="I474" s="229"/>
      <c r="J474" s="229">
        <v>71</v>
      </c>
      <c r="K474" s="230">
        <f>HallOfFame!$E74</f>
        <v>0</v>
      </c>
      <c r="L474" s="230">
        <f>HallOfFame!P74+((1000-ROW())/777777777)</f>
        <v>6.7628571496200003E-7</v>
      </c>
      <c r="M474" s="230">
        <f>HallOfFame!$Q74+((1000-ROW())/777777777)</f>
        <v>6.7628571496200003E-7</v>
      </c>
      <c r="N474" s="230">
        <f>HallOfFame!$R74+((1000-ROW())/777777777)</f>
        <v>6.7628571496200003E-7</v>
      </c>
      <c r="O474" s="312">
        <f>HallOfFame!$S74+((1000-ROW())/777777777)</f>
        <v>6.7628571496200003E-7</v>
      </c>
      <c r="P474" s="230">
        <f>HallOfFame!$T74+((1000-ROW())/777777777)</f>
        <v>6.7628571496200003E-7</v>
      </c>
      <c r="Q474" s="230">
        <f>HallOfFame!$U74+((1000-ROW())/777777777)</f>
        <v>6.7628571496200003E-7</v>
      </c>
      <c r="R474" s="230"/>
      <c r="S474" s="230"/>
      <c r="T474" s="230"/>
      <c r="U474" s="230"/>
      <c r="V474" s="230"/>
      <c r="W474" s="230"/>
      <c r="X474" s="229"/>
      <c r="Y474" s="229"/>
      <c r="Z474" s="229"/>
      <c r="AA474" s="230"/>
      <c r="AB474" s="230"/>
      <c r="AC474" s="230"/>
      <c r="AD474" s="229"/>
      <c r="AE474" s="230"/>
    </row>
    <row r="475" spans="1:31" ht="12.75" customHeight="1">
      <c r="A475" s="229" t="str">
        <f t="shared" si="85"/>
        <v/>
      </c>
      <c r="B475" s="229" t="str">
        <f t="shared" si="86"/>
        <v/>
      </c>
      <c r="C475" s="229" t="str">
        <f t="shared" si="87"/>
        <v/>
      </c>
      <c r="D475" s="229" t="str">
        <f t="shared" si="88"/>
        <v/>
      </c>
      <c r="E475" s="229" t="str">
        <f t="shared" si="89"/>
        <v/>
      </c>
      <c r="F475" s="229" t="str">
        <f t="shared" si="90"/>
        <v/>
      </c>
      <c r="G475" s="230" t="str">
        <f>IF(HallOfFame!$G75="",T_NoName,HallOfFame!$G75)&amp;IF(HallOfFame!$C75=""," ("&amp;T_retired&amp;")"," ("&amp;HallOfFame!$C75&amp;")")</f>
        <v>Nameless (retired)</v>
      </c>
      <c r="H475" s="230">
        <f>HallOfFame!$H75</f>
        <v>0</v>
      </c>
      <c r="I475" s="229"/>
      <c r="J475" s="229">
        <v>72</v>
      </c>
      <c r="K475" s="230">
        <f>HallOfFame!$E75</f>
        <v>0</v>
      </c>
      <c r="L475" s="230">
        <f>HallOfFame!P75+((1000-ROW())/777777777)</f>
        <v>6.7500000067500002E-7</v>
      </c>
      <c r="M475" s="230">
        <f>HallOfFame!$Q75+((1000-ROW())/777777777)</f>
        <v>6.7500000067500002E-7</v>
      </c>
      <c r="N475" s="230">
        <f>HallOfFame!$R75+((1000-ROW())/777777777)</f>
        <v>6.7500000067500002E-7</v>
      </c>
      <c r="O475" s="312">
        <f>HallOfFame!$S75+((1000-ROW())/777777777)</f>
        <v>6.7500000067500002E-7</v>
      </c>
      <c r="P475" s="230">
        <f>HallOfFame!$T75+((1000-ROW())/777777777)</f>
        <v>6.7500000067500002E-7</v>
      </c>
      <c r="Q475" s="230">
        <f>HallOfFame!$U75+((1000-ROW())/777777777)</f>
        <v>6.7500000067500002E-7</v>
      </c>
      <c r="R475" s="230"/>
      <c r="S475" s="230"/>
      <c r="T475" s="230"/>
      <c r="U475" s="230"/>
      <c r="V475" s="230"/>
      <c r="W475" s="230"/>
      <c r="X475" s="229"/>
      <c r="Y475" s="229"/>
      <c r="Z475" s="229"/>
      <c r="AA475" s="230"/>
      <c r="AB475" s="230"/>
      <c r="AC475" s="230"/>
      <c r="AD475" s="229"/>
      <c r="AE475" s="230"/>
    </row>
    <row r="476" spans="1:31" ht="12.75" customHeight="1">
      <c r="A476" s="229" t="str">
        <f t="shared" si="85"/>
        <v/>
      </c>
      <c r="B476" s="229" t="str">
        <f t="shared" si="86"/>
        <v/>
      </c>
      <c r="C476" s="229" t="str">
        <f t="shared" si="87"/>
        <v/>
      </c>
      <c r="D476" s="229" t="str">
        <f t="shared" si="88"/>
        <v/>
      </c>
      <c r="E476" s="229" t="str">
        <f t="shared" si="89"/>
        <v/>
      </c>
      <c r="F476" s="229" t="str">
        <f t="shared" si="90"/>
        <v/>
      </c>
      <c r="G476" s="230" t="str">
        <f>IF(HallOfFame!$G76="",T_NoName,HallOfFame!$G76)&amp;IF(HallOfFame!$C76=""," ("&amp;T_retired&amp;")"," ("&amp;HallOfFame!$C76&amp;")")</f>
        <v>Nameless (retired)</v>
      </c>
      <c r="H476" s="230">
        <f>HallOfFame!$H76</f>
        <v>0</v>
      </c>
      <c r="I476" s="229"/>
      <c r="J476" s="229">
        <v>73</v>
      </c>
      <c r="K476" s="230">
        <f>HallOfFame!$E76</f>
        <v>0</v>
      </c>
      <c r="L476" s="230">
        <f>HallOfFame!P76+((1000-ROW())/777777777)</f>
        <v>6.7371428638800001E-7</v>
      </c>
      <c r="M476" s="230">
        <f>HallOfFame!$Q76+((1000-ROW())/777777777)</f>
        <v>6.7371428638800001E-7</v>
      </c>
      <c r="N476" s="230">
        <f>HallOfFame!$R76+((1000-ROW())/777777777)</f>
        <v>6.7371428638800001E-7</v>
      </c>
      <c r="O476" s="312">
        <f>HallOfFame!$S76+((1000-ROW())/777777777)</f>
        <v>6.7371428638800001E-7</v>
      </c>
      <c r="P476" s="230">
        <f>HallOfFame!$T76+((1000-ROW())/777777777)</f>
        <v>6.7371428638800001E-7</v>
      </c>
      <c r="Q476" s="230">
        <f>HallOfFame!$U76+((1000-ROW())/777777777)</f>
        <v>6.7371428638800001E-7</v>
      </c>
      <c r="R476" s="230"/>
      <c r="S476" s="230"/>
      <c r="T476" s="230"/>
      <c r="U476" s="230"/>
      <c r="V476" s="230"/>
      <c r="W476" s="230"/>
      <c r="X476" s="229"/>
      <c r="Y476" s="229"/>
      <c r="Z476" s="229"/>
      <c r="AA476" s="230"/>
      <c r="AB476" s="230"/>
      <c r="AC476" s="230"/>
      <c r="AD476" s="229"/>
      <c r="AE476" s="230"/>
    </row>
    <row r="477" spans="1:31" ht="12.75" customHeight="1">
      <c r="A477" s="229" t="str">
        <f t="shared" si="85"/>
        <v/>
      </c>
      <c r="B477" s="229" t="str">
        <f t="shared" si="86"/>
        <v/>
      </c>
      <c r="C477" s="229" t="str">
        <f t="shared" si="87"/>
        <v/>
      </c>
      <c r="D477" s="229" t="str">
        <f t="shared" si="88"/>
        <v/>
      </c>
      <c r="E477" s="229" t="str">
        <f t="shared" si="89"/>
        <v/>
      </c>
      <c r="F477" s="229" t="str">
        <f t="shared" si="90"/>
        <v/>
      </c>
      <c r="G477" s="230" t="str">
        <f>IF(HallOfFame!$G77="",T_NoName,HallOfFame!$G77)&amp;IF(HallOfFame!$C77=""," ("&amp;T_retired&amp;")"," ("&amp;HallOfFame!$C77&amp;")")</f>
        <v>Nameless (retired)</v>
      </c>
      <c r="H477" s="230">
        <f>HallOfFame!$H77</f>
        <v>0</v>
      </c>
      <c r="I477" s="229"/>
      <c r="J477" s="229">
        <v>74</v>
      </c>
      <c r="K477" s="230">
        <f>HallOfFame!$E77</f>
        <v>0</v>
      </c>
      <c r="L477" s="230">
        <f>HallOfFame!P77+((1000-ROW())/777777777)</f>
        <v>6.72428572101E-7</v>
      </c>
      <c r="M477" s="230">
        <f>HallOfFame!$Q77+((1000-ROW())/777777777)</f>
        <v>6.72428572101E-7</v>
      </c>
      <c r="N477" s="230">
        <f>HallOfFame!$R77+((1000-ROW())/777777777)</f>
        <v>6.72428572101E-7</v>
      </c>
      <c r="O477" s="312">
        <f>HallOfFame!$S77+((1000-ROW())/777777777)</f>
        <v>6.72428572101E-7</v>
      </c>
      <c r="P477" s="230">
        <f>HallOfFame!$T77+((1000-ROW())/777777777)</f>
        <v>6.72428572101E-7</v>
      </c>
      <c r="Q477" s="230">
        <f>HallOfFame!$U77+((1000-ROW())/777777777)</f>
        <v>6.72428572101E-7</v>
      </c>
      <c r="R477" s="230"/>
      <c r="S477" s="230"/>
      <c r="T477" s="230"/>
      <c r="U477" s="230"/>
      <c r="V477" s="230"/>
      <c r="W477" s="230"/>
      <c r="X477" s="229"/>
      <c r="Y477" s="229"/>
      <c r="Z477" s="229"/>
      <c r="AA477" s="230"/>
      <c r="AB477" s="230"/>
      <c r="AC477" s="230"/>
      <c r="AD477" s="229"/>
      <c r="AE477" s="230"/>
    </row>
    <row r="478" spans="1:31" ht="12.75" customHeight="1">
      <c r="A478" s="229" t="str">
        <f t="shared" si="85"/>
        <v/>
      </c>
      <c r="B478" s="229" t="str">
        <f t="shared" si="86"/>
        <v/>
      </c>
      <c r="C478" s="229" t="str">
        <f t="shared" si="87"/>
        <v/>
      </c>
      <c r="D478" s="229" t="str">
        <f t="shared" si="88"/>
        <v/>
      </c>
      <c r="E478" s="229" t="str">
        <f t="shared" si="89"/>
        <v/>
      </c>
      <c r="F478" s="229" t="str">
        <f t="shared" si="90"/>
        <v/>
      </c>
      <c r="G478" s="230" t="str">
        <f>IF(HallOfFame!$G78="",T_NoName,HallOfFame!$G78)&amp;IF(HallOfFame!$C78=""," ("&amp;T_retired&amp;")"," ("&amp;HallOfFame!$C78&amp;")")</f>
        <v>Nameless (retired)</v>
      </c>
      <c r="H478" s="230">
        <f>HallOfFame!$H78</f>
        <v>0</v>
      </c>
      <c r="I478" s="229"/>
      <c r="J478" s="229">
        <v>75</v>
      </c>
      <c r="K478" s="230">
        <f>HallOfFame!$E78</f>
        <v>0</v>
      </c>
      <c r="L478" s="230">
        <f>HallOfFame!P78+((1000-ROW())/777777777)</f>
        <v>6.7114285781399999E-7</v>
      </c>
      <c r="M478" s="230">
        <f>HallOfFame!$Q78+((1000-ROW())/777777777)</f>
        <v>6.7114285781399999E-7</v>
      </c>
      <c r="N478" s="230">
        <f>HallOfFame!$R78+((1000-ROW())/777777777)</f>
        <v>6.7114285781399999E-7</v>
      </c>
      <c r="O478" s="312">
        <f>HallOfFame!$S78+((1000-ROW())/777777777)</f>
        <v>6.7114285781399999E-7</v>
      </c>
      <c r="P478" s="230">
        <f>HallOfFame!$T78+((1000-ROW())/777777777)</f>
        <v>6.7114285781399999E-7</v>
      </c>
      <c r="Q478" s="230">
        <f>HallOfFame!$U78+((1000-ROW())/777777777)</f>
        <v>6.7114285781399999E-7</v>
      </c>
      <c r="R478" s="230"/>
      <c r="S478" s="230"/>
      <c r="T478" s="230"/>
      <c r="U478" s="230"/>
      <c r="V478" s="230"/>
      <c r="W478" s="230"/>
      <c r="X478" s="229"/>
      <c r="Y478" s="229"/>
      <c r="Z478" s="229"/>
      <c r="AA478" s="230"/>
      <c r="AB478" s="230"/>
      <c r="AC478" s="230"/>
      <c r="AD478" s="229"/>
      <c r="AE478" s="230"/>
    </row>
    <row r="479" spans="1:31" ht="12.75" customHeight="1">
      <c r="A479" s="229" t="str">
        <f t="shared" si="85"/>
        <v/>
      </c>
      <c r="B479" s="229" t="str">
        <f t="shared" si="86"/>
        <v/>
      </c>
      <c r="C479" s="229" t="str">
        <f t="shared" si="87"/>
        <v/>
      </c>
      <c r="D479" s="229" t="str">
        <f t="shared" si="88"/>
        <v/>
      </c>
      <c r="E479" s="229" t="str">
        <f t="shared" si="89"/>
        <v/>
      </c>
      <c r="F479" s="229" t="str">
        <f t="shared" si="90"/>
        <v/>
      </c>
      <c r="G479" s="230" t="str">
        <f>IF(HallOfFame!$G79="",T_NoName,HallOfFame!$G79)&amp;IF(HallOfFame!$C79=""," ("&amp;T_retired&amp;")"," ("&amp;HallOfFame!$C79&amp;")")</f>
        <v>Nameless (retired)</v>
      </c>
      <c r="H479" s="230">
        <f>HallOfFame!$H79</f>
        <v>0</v>
      </c>
      <c r="I479" s="229"/>
      <c r="J479" s="229">
        <v>76</v>
      </c>
      <c r="K479" s="230">
        <f>HallOfFame!$E79</f>
        <v>0</v>
      </c>
      <c r="L479" s="230">
        <f>HallOfFame!P79+((1000-ROW())/777777777)</f>
        <v>6.6985714352699997E-7</v>
      </c>
      <c r="M479" s="230">
        <f>HallOfFame!$Q79+((1000-ROW())/777777777)</f>
        <v>6.6985714352699997E-7</v>
      </c>
      <c r="N479" s="230">
        <f>HallOfFame!$R79+((1000-ROW())/777777777)</f>
        <v>6.6985714352699997E-7</v>
      </c>
      <c r="O479" s="312">
        <f>HallOfFame!$S79+((1000-ROW())/777777777)</f>
        <v>6.6985714352699997E-7</v>
      </c>
      <c r="P479" s="230">
        <f>HallOfFame!$T79+((1000-ROW())/777777777)</f>
        <v>6.6985714352699997E-7</v>
      </c>
      <c r="Q479" s="230">
        <f>HallOfFame!$U79+((1000-ROW())/777777777)</f>
        <v>6.6985714352699997E-7</v>
      </c>
      <c r="R479" s="230"/>
      <c r="S479" s="230"/>
      <c r="T479" s="230"/>
      <c r="U479" s="230"/>
      <c r="V479" s="230"/>
      <c r="W479" s="230"/>
      <c r="X479" s="229"/>
      <c r="Y479" s="229"/>
      <c r="Z479" s="229"/>
      <c r="AA479" s="230"/>
      <c r="AB479" s="230"/>
      <c r="AC479" s="230"/>
      <c r="AD479" s="229"/>
      <c r="AE479" s="230"/>
    </row>
    <row r="480" spans="1:31" ht="12.75" customHeight="1">
      <c r="A480" s="229" t="str">
        <f t="shared" si="85"/>
        <v/>
      </c>
      <c r="B480" s="229" t="str">
        <f t="shared" si="86"/>
        <v/>
      </c>
      <c r="C480" s="229" t="str">
        <f t="shared" si="87"/>
        <v/>
      </c>
      <c r="D480" s="229" t="str">
        <f t="shared" si="88"/>
        <v/>
      </c>
      <c r="E480" s="229" t="str">
        <f t="shared" si="89"/>
        <v/>
      </c>
      <c r="F480" s="229" t="str">
        <f t="shared" si="90"/>
        <v/>
      </c>
      <c r="G480" s="230" t="str">
        <f>IF(HallOfFame!$G80="",T_NoName,HallOfFame!$G80)&amp;IF(HallOfFame!$C80=""," ("&amp;T_retired&amp;")"," ("&amp;HallOfFame!$C80&amp;")")</f>
        <v>Nameless (retired)</v>
      </c>
      <c r="H480" s="230">
        <f>HallOfFame!$H80</f>
        <v>0</v>
      </c>
      <c r="I480" s="229"/>
      <c r="J480" s="229">
        <v>77</v>
      </c>
      <c r="K480" s="230">
        <f>HallOfFame!$E80</f>
        <v>0</v>
      </c>
      <c r="L480" s="230">
        <f>HallOfFame!P80+((1000-ROW())/777777777)</f>
        <v>6.6857142923999996E-7</v>
      </c>
      <c r="M480" s="230">
        <f>HallOfFame!$Q80+((1000-ROW())/777777777)</f>
        <v>6.6857142923999996E-7</v>
      </c>
      <c r="N480" s="230">
        <f>HallOfFame!$R80+((1000-ROW())/777777777)</f>
        <v>6.6857142923999996E-7</v>
      </c>
      <c r="O480" s="312">
        <f>HallOfFame!$S80+((1000-ROW())/777777777)</f>
        <v>6.6857142923999996E-7</v>
      </c>
      <c r="P480" s="230">
        <f>HallOfFame!$T80+((1000-ROW())/777777777)</f>
        <v>6.6857142923999996E-7</v>
      </c>
      <c r="Q480" s="230">
        <f>HallOfFame!$U80+((1000-ROW())/777777777)</f>
        <v>6.6857142923999996E-7</v>
      </c>
      <c r="R480" s="230"/>
      <c r="S480" s="230"/>
      <c r="T480" s="230"/>
      <c r="U480" s="230"/>
      <c r="V480" s="230"/>
      <c r="W480" s="230"/>
      <c r="X480" s="229"/>
      <c r="Y480" s="229"/>
      <c r="Z480" s="229"/>
      <c r="AA480" s="230"/>
      <c r="AB480" s="230"/>
      <c r="AC480" s="230"/>
      <c r="AD480" s="229"/>
      <c r="AE480" s="230"/>
    </row>
    <row r="481" spans="1:31" ht="12.75" customHeight="1">
      <c r="A481" s="229" t="str">
        <f t="shared" si="85"/>
        <v/>
      </c>
      <c r="B481" s="229" t="str">
        <f t="shared" si="86"/>
        <v/>
      </c>
      <c r="C481" s="229" t="str">
        <f t="shared" si="87"/>
        <v/>
      </c>
      <c r="D481" s="229" t="str">
        <f t="shared" si="88"/>
        <v/>
      </c>
      <c r="E481" s="229" t="str">
        <f t="shared" si="89"/>
        <v/>
      </c>
      <c r="F481" s="229" t="str">
        <f t="shared" si="90"/>
        <v/>
      </c>
      <c r="G481" s="230" t="str">
        <f>IF(HallOfFame!$G81="",T_NoName,HallOfFame!$G81)&amp;IF(HallOfFame!$C81=""," ("&amp;T_retired&amp;")"," ("&amp;HallOfFame!$C81&amp;")")</f>
        <v>Nameless (retired)</v>
      </c>
      <c r="H481" s="230">
        <f>HallOfFame!$H81</f>
        <v>0</v>
      </c>
      <c r="I481" s="229"/>
      <c r="J481" s="229">
        <v>78</v>
      </c>
      <c r="K481" s="230">
        <f>HallOfFame!$E81</f>
        <v>0</v>
      </c>
      <c r="L481" s="230">
        <f>HallOfFame!P81+((1000-ROW())/777777777)</f>
        <v>6.6728571495299995E-7</v>
      </c>
      <c r="M481" s="230">
        <f>HallOfFame!$Q81+((1000-ROW())/777777777)</f>
        <v>6.6728571495299995E-7</v>
      </c>
      <c r="N481" s="230">
        <f>HallOfFame!$R81+((1000-ROW())/777777777)</f>
        <v>6.6728571495299995E-7</v>
      </c>
      <c r="O481" s="312">
        <f>HallOfFame!$S81+((1000-ROW())/777777777)</f>
        <v>6.6728571495299995E-7</v>
      </c>
      <c r="P481" s="230">
        <f>HallOfFame!$T81+((1000-ROW())/777777777)</f>
        <v>6.6728571495299995E-7</v>
      </c>
      <c r="Q481" s="230">
        <f>HallOfFame!$U81+((1000-ROW())/777777777)</f>
        <v>6.6728571495299995E-7</v>
      </c>
      <c r="R481" s="230"/>
      <c r="S481" s="230"/>
      <c r="T481" s="230"/>
      <c r="U481" s="230"/>
      <c r="V481" s="230"/>
      <c r="W481" s="230"/>
      <c r="X481" s="229"/>
      <c r="Y481" s="229"/>
      <c r="Z481" s="229"/>
      <c r="AA481" s="230"/>
      <c r="AB481" s="230"/>
      <c r="AC481" s="230"/>
      <c r="AD481" s="229"/>
      <c r="AE481" s="230"/>
    </row>
    <row r="482" spans="1:31" ht="12.75" customHeight="1">
      <c r="A482" s="229" t="str">
        <f t="shared" si="85"/>
        <v/>
      </c>
      <c r="B482" s="229" t="str">
        <f t="shared" si="86"/>
        <v/>
      </c>
      <c r="C482" s="229" t="str">
        <f t="shared" si="87"/>
        <v/>
      </c>
      <c r="D482" s="229" t="str">
        <f t="shared" si="88"/>
        <v/>
      </c>
      <c r="E482" s="229" t="str">
        <f t="shared" si="89"/>
        <v/>
      </c>
      <c r="F482" s="229" t="str">
        <f t="shared" si="90"/>
        <v/>
      </c>
      <c r="G482" s="230" t="str">
        <f>IF(HallOfFame!$G82="",T_NoName,HallOfFame!$G82)&amp;IF(HallOfFame!$C82=""," ("&amp;T_retired&amp;")"," ("&amp;HallOfFame!$C82&amp;")")</f>
        <v>Nameless (retired)</v>
      </c>
      <c r="H482" s="230">
        <f>HallOfFame!$H82</f>
        <v>0</v>
      </c>
      <c r="I482" s="229"/>
      <c r="J482" s="229">
        <v>79</v>
      </c>
      <c r="K482" s="230">
        <f>HallOfFame!$E82</f>
        <v>0</v>
      </c>
      <c r="L482" s="230">
        <f>HallOfFame!P82+((1000-ROW())/777777777)</f>
        <v>6.6600000066600004E-7</v>
      </c>
      <c r="M482" s="230">
        <f>HallOfFame!$Q82+((1000-ROW())/777777777)</f>
        <v>6.6600000066600004E-7</v>
      </c>
      <c r="N482" s="230">
        <f>HallOfFame!$R82+((1000-ROW())/777777777)</f>
        <v>6.6600000066600004E-7</v>
      </c>
      <c r="O482" s="312">
        <f>HallOfFame!$S82+((1000-ROW())/777777777)</f>
        <v>6.6600000066600004E-7</v>
      </c>
      <c r="P482" s="230">
        <f>HallOfFame!$T82+((1000-ROW())/777777777)</f>
        <v>6.6600000066600004E-7</v>
      </c>
      <c r="Q482" s="230">
        <f>HallOfFame!$U82+((1000-ROW())/777777777)</f>
        <v>6.6600000066600004E-7</v>
      </c>
      <c r="R482" s="230"/>
      <c r="S482" s="230"/>
      <c r="T482" s="230"/>
      <c r="U482" s="230"/>
      <c r="V482" s="230"/>
      <c r="W482" s="230"/>
      <c r="X482" s="229"/>
      <c r="Y482" s="229"/>
      <c r="Z482" s="229"/>
      <c r="AA482" s="230"/>
      <c r="AB482" s="230"/>
      <c r="AC482" s="230"/>
      <c r="AD482" s="229"/>
      <c r="AE482" s="230"/>
    </row>
    <row r="483" spans="1:31" ht="12.75" customHeight="1">
      <c r="A483" s="229" t="str">
        <f t="shared" si="85"/>
        <v/>
      </c>
      <c r="B483" s="229" t="str">
        <f t="shared" si="86"/>
        <v/>
      </c>
      <c r="C483" s="229" t="str">
        <f t="shared" si="87"/>
        <v/>
      </c>
      <c r="D483" s="229" t="str">
        <f t="shared" si="88"/>
        <v/>
      </c>
      <c r="E483" s="229" t="str">
        <f t="shared" si="89"/>
        <v/>
      </c>
      <c r="F483" s="229" t="str">
        <f t="shared" si="90"/>
        <v/>
      </c>
      <c r="G483" s="230" t="str">
        <f>IF(HallOfFame!$G83="",T_NoName,HallOfFame!$G83)&amp;IF(HallOfFame!$C83=""," ("&amp;T_retired&amp;")"," ("&amp;HallOfFame!$C83&amp;")")</f>
        <v>Nameless (retired)</v>
      </c>
      <c r="H483" s="230">
        <f>HallOfFame!$H83</f>
        <v>0</v>
      </c>
      <c r="I483" s="229"/>
      <c r="J483" s="229">
        <v>80</v>
      </c>
      <c r="K483" s="230">
        <f>HallOfFame!$E83</f>
        <v>0</v>
      </c>
      <c r="L483" s="230">
        <f>HallOfFame!P83+((1000-ROW())/777777777)</f>
        <v>6.6471428637900003E-7</v>
      </c>
      <c r="M483" s="230">
        <f>HallOfFame!$Q83+((1000-ROW())/777777777)</f>
        <v>6.6471428637900003E-7</v>
      </c>
      <c r="N483" s="230">
        <f>HallOfFame!$R83+((1000-ROW())/777777777)</f>
        <v>6.6471428637900003E-7</v>
      </c>
      <c r="O483" s="312">
        <f>HallOfFame!$S83+((1000-ROW())/777777777)</f>
        <v>6.6471428637900003E-7</v>
      </c>
      <c r="P483" s="230">
        <f>HallOfFame!$T83+((1000-ROW())/777777777)</f>
        <v>6.6471428637900003E-7</v>
      </c>
      <c r="Q483" s="230">
        <f>HallOfFame!$U83+((1000-ROW())/777777777)</f>
        <v>6.6471428637900003E-7</v>
      </c>
      <c r="R483" s="230"/>
      <c r="S483" s="230"/>
      <c r="T483" s="230"/>
      <c r="U483" s="230"/>
      <c r="V483" s="230"/>
      <c r="W483" s="230"/>
      <c r="X483" s="229"/>
      <c r="Y483" s="229"/>
      <c r="Z483" s="229"/>
      <c r="AA483" s="230"/>
      <c r="AB483" s="230"/>
      <c r="AC483" s="230"/>
      <c r="AD483" s="229"/>
      <c r="AE483" s="230"/>
    </row>
    <row r="484" spans="1:31" ht="12.75" customHeight="1">
      <c r="A484" s="229" t="str">
        <f t="shared" si="85"/>
        <v/>
      </c>
      <c r="B484" s="229" t="str">
        <f t="shared" si="86"/>
        <v/>
      </c>
      <c r="C484" s="229" t="str">
        <f t="shared" si="87"/>
        <v/>
      </c>
      <c r="D484" s="229" t="str">
        <f t="shared" si="88"/>
        <v/>
      </c>
      <c r="E484" s="229" t="str">
        <f t="shared" si="89"/>
        <v/>
      </c>
      <c r="F484" s="229" t="str">
        <f t="shared" si="90"/>
        <v/>
      </c>
      <c r="G484" s="230" t="str">
        <f>IF(HallOfFame!$G84="",T_NoName,HallOfFame!$G84)&amp;IF(HallOfFame!$C84=""," ("&amp;T_retired&amp;")"," ("&amp;HallOfFame!$C84&amp;")")</f>
        <v>Nameless (retired)</v>
      </c>
      <c r="H484" s="230">
        <f>HallOfFame!$H84</f>
        <v>0</v>
      </c>
      <c r="I484" s="229"/>
      <c r="J484" s="229">
        <v>81</v>
      </c>
      <c r="K484" s="230">
        <f>HallOfFame!$E84</f>
        <v>0</v>
      </c>
      <c r="L484" s="230">
        <f>HallOfFame!P84+((1000-ROW())/777777777)</f>
        <v>6.6342857209200002E-7</v>
      </c>
      <c r="M484" s="230">
        <f>HallOfFame!$Q84+((1000-ROW())/777777777)</f>
        <v>6.6342857209200002E-7</v>
      </c>
      <c r="N484" s="230">
        <f>HallOfFame!$R84+((1000-ROW())/777777777)</f>
        <v>6.6342857209200002E-7</v>
      </c>
      <c r="O484" s="312">
        <f>HallOfFame!$S84+((1000-ROW())/777777777)</f>
        <v>6.6342857209200002E-7</v>
      </c>
      <c r="P484" s="230">
        <f>HallOfFame!$T84+((1000-ROW())/777777777)</f>
        <v>6.6342857209200002E-7</v>
      </c>
      <c r="Q484" s="230">
        <f>HallOfFame!$U84+((1000-ROW())/777777777)</f>
        <v>6.6342857209200002E-7</v>
      </c>
      <c r="R484" s="230"/>
      <c r="S484" s="230"/>
      <c r="T484" s="230"/>
      <c r="U484" s="230"/>
      <c r="V484" s="230"/>
      <c r="W484" s="230"/>
      <c r="X484" s="229"/>
      <c r="Y484" s="229"/>
      <c r="Z484" s="229"/>
      <c r="AA484" s="230"/>
      <c r="AB484" s="230"/>
      <c r="AC484" s="230"/>
      <c r="AD484" s="229"/>
      <c r="AE484" s="230"/>
    </row>
    <row r="485" spans="1:31" ht="12.75" customHeight="1">
      <c r="A485" s="229" t="str">
        <f t="shared" si="85"/>
        <v/>
      </c>
      <c r="B485" s="229" t="str">
        <f t="shared" si="86"/>
        <v/>
      </c>
      <c r="C485" s="229" t="str">
        <f t="shared" si="87"/>
        <v/>
      </c>
      <c r="D485" s="229" t="str">
        <f t="shared" si="88"/>
        <v/>
      </c>
      <c r="E485" s="229" t="str">
        <f t="shared" si="89"/>
        <v/>
      </c>
      <c r="F485" s="229" t="str">
        <f t="shared" si="90"/>
        <v/>
      </c>
      <c r="G485" s="230" t="str">
        <f>IF(HallOfFame!$G85="",T_NoName,HallOfFame!$G85)&amp;IF(HallOfFame!$C85=""," ("&amp;T_retired&amp;")"," ("&amp;HallOfFame!$C85&amp;")")</f>
        <v>Nameless (retired)</v>
      </c>
      <c r="H485" s="230">
        <f>HallOfFame!$H85</f>
        <v>0</v>
      </c>
      <c r="I485" s="229"/>
      <c r="J485" s="229">
        <v>82</v>
      </c>
      <c r="K485" s="230">
        <f>HallOfFame!$E85</f>
        <v>0</v>
      </c>
      <c r="L485" s="230">
        <f>HallOfFame!P85+((1000-ROW())/777777777)</f>
        <v>6.6214285780500001E-7</v>
      </c>
      <c r="M485" s="230">
        <f>HallOfFame!$Q85+((1000-ROW())/777777777)</f>
        <v>6.6214285780500001E-7</v>
      </c>
      <c r="N485" s="230">
        <f>HallOfFame!$R85+((1000-ROW())/777777777)</f>
        <v>6.6214285780500001E-7</v>
      </c>
      <c r="O485" s="312">
        <f>HallOfFame!$S85+((1000-ROW())/777777777)</f>
        <v>6.6214285780500001E-7</v>
      </c>
      <c r="P485" s="230">
        <f>HallOfFame!$T85+((1000-ROW())/777777777)</f>
        <v>6.6214285780500001E-7</v>
      </c>
      <c r="Q485" s="230">
        <f>HallOfFame!$U85+((1000-ROW())/777777777)</f>
        <v>6.6214285780500001E-7</v>
      </c>
      <c r="R485" s="230"/>
      <c r="S485" s="230"/>
      <c r="T485" s="230"/>
      <c r="U485" s="230"/>
      <c r="V485" s="230"/>
      <c r="W485" s="230"/>
      <c r="X485" s="229"/>
      <c r="Y485" s="229"/>
      <c r="Z485" s="229"/>
      <c r="AA485" s="230"/>
      <c r="AB485" s="230"/>
      <c r="AC485" s="230"/>
      <c r="AD485" s="229"/>
      <c r="AE485" s="230"/>
    </row>
    <row r="486" spans="1:31" ht="12.75" customHeight="1">
      <c r="A486" s="229" t="str">
        <f t="shared" si="85"/>
        <v/>
      </c>
      <c r="B486" s="229" t="str">
        <f t="shared" si="86"/>
        <v/>
      </c>
      <c r="C486" s="229" t="str">
        <f t="shared" si="87"/>
        <v/>
      </c>
      <c r="D486" s="229" t="str">
        <f t="shared" si="88"/>
        <v/>
      </c>
      <c r="E486" s="229" t="str">
        <f t="shared" si="89"/>
        <v/>
      </c>
      <c r="F486" s="229" t="str">
        <f t="shared" si="90"/>
        <v/>
      </c>
      <c r="G486" s="230" t="str">
        <f>IF(HallOfFame!$G86="",T_NoName,HallOfFame!$G86)&amp;IF(HallOfFame!$C86=""," ("&amp;T_retired&amp;")"," ("&amp;HallOfFame!$C86&amp;")")</f>
        <v>Nameless (retired)</v>
      </c>
      <c r="H486" s="230">
        <f>HallOfFame!$H86</f>
        <v>0</v>
      </c>
      <c r="I486" s="229"/>
      <c r="J486" s="229">
        <v>83</v>
      </c>
      <c r="K486" s="230">
        <f>HallOfFame!$E86</f>
        <v>0</v>
      </c>
      <c r="L486" s="230">
        <f>HallOfFame!P86+((1000-ROW())/777777777)</f>
        <v>6.60857143518E-7</v>
      </c>
      <c r="M486" s="230">
        <f>HallOfFame!$Q86+((1000-ROW())/777777777)</f>
        <v>6.60857143518E-7</v>
      </c>
      <c r="N486" s="230">
        <f>HallOfFame!$R86+((1000-ROW())/777777777)</f>
        <v>6.60857143518E-7</v>
      </c>
      <c r="O486" s="312">
        <f>HallOfFame!$S86+((1000-ROW())/777777777)</f>
        <v>6.60857143518E-7</v>
      </c>
      <c r="P486" s="230">
        <f>HallOfFame!$T86+((1000-ROW())/777777777)</f>
        <v>6.60857143518E-7</v>
      </c>
      <c r="Q486" s="230">
        <f>HallOfFame!$U86+((1000-ROW())/777777777)</f>
        <v>6.60857143518E-7</v>
      </c>
      <c r="R486" s="230"/>
      <c r="S486" s="230"/>
      <c r="T486" s="230"/>
      <c r="U486" s="230"/>
      <c r="V486" s="230"/>
      <c r="W486" s="230"/>
      <c r="X486" s="229"/>
      <c r="Y486" s="229"/>
      <c r="Z486" s="229"/>
      <c r="AA486" s="230"/>
      <c r="AB486" s="230"/>
      <c r="AC486" s="230"/>
      <c r="AD486" s="229"/>
      <c r="AE486" s="230"/>
    </row>
    <row r="487" spans="1:31" ht="12.75" customHeight="1">
      <c r="A487" s="229" t="str">
        <f t="shared" si="85"/>
        <v/>
      </c>
      <c r="B487" s="229" t="str">
        <f t="shared" si="86"/>
        <v/>
      </c>
      <c r="C487" s="229" t="str">
        <f t="shared" si="87"/>
        <v/>
      </c>
      <c r="D487" s="229" t="str">
        <f t="shared" si="88"/>
        <v/>
      </c>
      <c r="E487" s="229" t="str">
        <f t="shared" si="89"/>
        <v/>
      </c>
      <c r="F487" s="229" t="str">
        <f t="shared" si="90"/>
        <v/>
      </c>
      <c r="G487" s="230" t="str">
        <f>IF(HallOfFame!$G87="",T_NoName,HallOfFame!$G87)&amp;IF(HallOfFame!$C87=""," ("&amp;T_retired&amp;")"," ("&amp;HallOfFame!$C87&amp;")")</f>
        <v>Nameless (retired)</v>
      </c>
      <c r="H487" s="230">
        <f>HallOfFame!$H87</f>
        <v>0</v>
      </c>
      <c r="I487" s="229"/>
      <c r="J487" s="229">
        <v>84</v>
      </c>
      <c r="K487" s="230">
        <f>HallOfFame!$E87</f>
        <v>0</v>
      </c>
      <c r="L487" s="230">
        <f>HallOfFame!P87+((1000-ROW())/777777777)</f>
        <v>6.5957142923099998E-7</v>
      </c>
      <c r="M487" s="230">
        <f>HallOfFame!$Q87+((1000-ROW())/777777777)</f>
        <v>6.5957142923099998E-7</v>
      </c>
      <c r="N487" s="230">
        <f>HallOfFame!$R87+((1000-ROW())/777777777)</f>
        <v>6.5957142923099998E-7</v>
      </c>
      <c r="O487" s="312">
        <f>HallOfFame!$S87+((1000-ROW())/777777777)</f>
        <v>6.5957142923099998E-7</v>
      </c>
      <c r="P487" s="230">
        <f>HallOfFame!$T87+((1000-ROW())/777777777)</f>
        <v>6.5957142923099998E-7</v>
      </c>
      <c r="Q487" s="230">
        <f>HallOfFame!$U87+((1000-ROW())/777777777)</f>
        <v>6.5957142923099998E-7</v>
      </c>
      <c r="R487" s="230"/>
      <c r="S487" s="230"/>
      <c r="T487" s="230"/>
      <c r="U487" s="230"/>
      <c r="V487" s="230"/>
      <c r="W487" s="230"/>
      <c r="X487" s="229"/>
      <c r="Y487" s="229"/>
      <c r="Z487" s="229"/>
      <c r="AA487" s="230"/>
      <c r="AB487" s="230"/>
      <c r="AC487" s="230"/>
      <c r="AD487" s="229"/>
      <c r="AE487" s="230"/>
    </row>
    <row r="488" spans="1:31" ht="12.75" customHeight="1">
      <c r="A488" s="229" t="str">
        <f t="shared" si="85"/>
        <v/>
      </c>
      <c r="B488" s="229" t="str">
        <f t="shared" si="86"/>
        <v/>
      </c>
      <c r="C488" s="229" t="str">
        <f t="shared" si="87"/>
        <v/>
      </c>
      <c r="D488" s="229" t="str">
        <f t="shared" si="88"/>
        <v/>
      </c>
      <c r="E488" s="229" t="str">
        <f t="shared" si="89"/>
        <v/>
      </c>
      <c r="F488" s="229" t="str">
        <f t="shared" si="90"/>
        <v/>
      </c>
      <c r="G488" s="230" t="str">
        <f>IF(HallOfFame!$G88="",T_NoName,HallOfFame!$G88)&amp;IF(HallOfFame!$C88=""," ("&amp;T_retired&amp;")"," ("&amp;HallOfFame!$C88&amp;")")</f>
        <v>Nameless (retired)</v>
      </c>
      <c r="H488" s="230">
        <f>HallOfFame!$H88</f>
        <v>0</v>
      </c>
      <c r="I488" s="229"/>
      <c r="J488" s="229">
        <v>85</v>
      </c>
      <c r="K488" s="230">
        <f>HallOfFame!$E88</f>
        <v>0</v>
      </c>
      <c r="L488" s="230">
        <f>HallOfFame!P88+((1000-ROW())/777777777)</f>
        <v>6.5828571494399997E-7</v>
      </c>
      <c r="M488" s="230">
        <f>HallOfFame!$Q88+((1000-ROW())/777777777)</f>
        <v>6.5828571494399997E-7</v>
      </c>
      <c r="N488" s="230">
        <f>HallOfFame!$R88+((1000-ROW())/777777777)</f>
        <v>6.5828571494399997E-7</v>
      </c>
      <c r="O488" s="312">
        <f>HallOfFame!$S88+((1000-ROW())/777777777)</f>
        <v>6.5828571494399997E-7</v>
      </c>
      <c r="P488" s="230">
        <f>HallOfFame!$T88+((1000-ROW())/777777777)</f>
        <v>6.5828571494399997E-7</v>
      </c>
      <c r="Q488" s="230">
        <f>HallOfFame!$U88+((1000-ROW())/777777777)</f>
        <v>6.5828571494399997E-7</v>
      </c>
      <c r="R488" s="230"/>
      <c r="S488" s="230"/>
      <c r="T488" s="230"/>
      <c r="U488" s="230"/>
      <c r="V488" s="230"/>
      <c r="W488" s="230"/>
      <c r="X488" s="229"/>
      <c r="Y488" s="229"/>
      <c r="Z488" s="229"/>
      <c r="AA488" s="230"/>
      <c r="AB488" s="230"/>
      <c r="AC488" s="230"/>
      <c r="AD488" s="229"/>
      <c r="AE488" s="230"/>
    </row>
    <row r="489" spans="1:31" ht="12.75" customHeight="1">
      <c r="A489" s="229" t="str">
        <f t="shared" si="85"/>
        <v/>
      </c>
      <c r="B489" s="229" t="str">
        <f t="shared" si="86"/>
        <v/>
      </c>
      <c r="C489" s="229" t="str">
        <f t="shared" si="87"/>
        <v/>
      </c>
      <c r="D489" s="229" t="str">
        <f t="shared" si="88"/>
        <v/>
      </c>
      <c r="E489" s="229" t="str">
        <f t="shared" si="89"/>
        <v/>
      </c>
      <c r="F489" s="229" t="str">
        <f t="shared" si="90"/>
        <v/>
      </c>
      <c r="G489" s="230" t="str">
        <f>IF(HallOfFame!$G89="",T_NoName,HallOfFame!$G89)&amp;IF(HallOfFame!$C89=""," ("&amp;T_retired&amp;")"," ("&amp;HallOfFame!$C89&amp;")")</f>
        <v>Nameless (retired)</v>
      </c>
      <c r="H489" s="230">
        <f>HallOfFame!$H89</f>
        <v>0</v>
      </c>
      <c r="I489" s="229"/>
      <c r="J489" s="229">
        <v>86</v>
      </c>
      <c r="K489" s="230">
        <f>HallOfFame!$E89</f>
        <v>0</v>
      </c>
      <c r="L489" s="230">
        <f>HallOfFame!P89+((1000-ROW())/777777777)</f>
        <v>6.5700000065699996E-7</v>
      </c>
      <c r="M489" s="230">
        <f>HallOfFame!$Q89+((1000-ROW())/777777777)</f>
        <v>6.5700000065699996E-7</v>
      </c>
      <c r="N489" s="230">
        <f>HallOfFame!$R89+((1000-ROW())/777777777)</f>
        <v>6.5700000065699996E-7</v>
      </c>
      <c r="O489" s="312">
        <f>HallOfFame!$S89+((1000-ROW())/777777777)</f>
        <v>6.5700000065699996E-7</v>
      </c>
      <c r="P489" s="230">
        <f>HallOfFame!$T89+((1000-ROW())/777777777)</f>
        <v>6.5700000065699996E-7</v>
      </c>
      <c r="Q489" s="230">
        <f>HallOfFame!$U89+((1000-ROW())/777777777)</f>
        <v>6.5700000065699996E-7</v>
      </c>
      <c r="R489" s="230"/>
      <c r="S489" s="230"/>
      <c r="T489" s="230"/>
      <c r="U489" s="230"/>
      <c r="V489" s="230"/>
      <c r="W489" s="230"/>
      <c r="X489" s="229"/>
      <c r="Y489" s="229"/>
      <c r="Z489" s="229"/>
      <c r="AA489" s="230"/>
      <c r="AB489" s="230"/>
      <c r="AC489" s="230"/>
      <c r="AD489" s="229"/>
      <c r="AE489" s="230"/>
    </row>
    <row r="490" spans="1:31" ht="12.75" customHeight="1">
      <c r="A490" s="229" t="str">
        <f t="shared" si="85"/>
        <v/>
      </c>
      <c r="B490" s="229" t="str">
        <f t="shared" si="86"/>
        <v/>
      </c>
      <c r="C490" s="229" t="str">
        <f t="shared" si="87"/>
        <v/>
      </c>
      <c r="D490" s="229" t="str">
        <f t="shared" si="88"/>
        <v/>
      </c>
      <c r="E490" s="229" t="str">
        <f t="shared" si="89"/>
        <v/>
      </c>
      <c r="F490" s="229" t="str">
        <f t="shared" si="90"/>
        <v/>
      </c>
      <c r="G490" s="230" t="str">
        <f>IF(HallOfFame!$G90="",T_NoName,HallOfFame!$G90)&amp;IF(HallOfFame!$C90=""," ("&amp;T_retired&amp;")"," ("&amp;HallOfFame!$C90&amp;")")</f>
        <v>Nameless (retired)</v>
      </c>
      <c r="H490" s="230">
        <f>HallOfFame!$H90</f>
        <v>0</v>
      </c>
      <c r="I490" s="229"/>
      <c r="J490" s="229">
        <v>87</v>
      </c>
      <c r="K490" s="230">
        <f>HallOfFame!$E90</f>
        <v>0</v>
      </c>
      <c r="L490" s="230">
        <f>HallOfFame!P90+((1000-ROW())/777777777)</f>
        <v>6.5571428636999995E-7</v>
      </c>
      <c r="M490" s="230">
        <f>HallOfFame!$Q90+((1000-ROW())/777777777)</f>
        <v>6.5571428636999995E-7</v>
      </c>
      <c r="N490" s="230">
        <f>HallOfFame!$R90+((1000-ROW())/777777777)</f>
        <v>6.5571428636999995E-7</v>
      </c>
      <c r="O490" s="312">
        <f>HallOfFame!$S90+((1000-ROW())/777777777)</f>
        <v>6.5571428636999995E-7</v>
      </c>
      <c r="P490" s="230">
        <f>HallOfFame!$T90+((1000-ROW())/777777777)</f>
        <v>6.5571428636999995E-7</v>
      </c>
      <c r="Q490" s="230">
        <f>HallOfFame!$U90+((1000-ROW())/777777777)</f>
        <v>6.5571428636999995E-7</v>
      </c>
      <c r="R490" s="230"/>
      <c r="S490" s="230"/>
      <c r="T490" s="230"/>
      <c r="U490" s="230"/>
      <c r="V490" s="230"/>
      <c r="W490" s="230"/>
      <c r="X490" s="229"/>
      <c r="Y490" s="229"/>
      <c r="Z490" s="229"/>
      <c r="AA490" s="230"/>
      <c r="AB490" s="230"/>
      <c r="AC490" s="230"/>
      <c r="AD490" s="229"/>
      <c r="AE490" s="230"/>
    </row>
    <row r="491" spans="1:31" ht="12.75" customHeight="1">
      <c r="A491" s="229" t="str">
        <f t="shared" si="85"/>
        <v/>
      </c>
      <c r="B491" s="229" t="str">
        <f t="shared" si="86"/>
        <v/>
      </c>
      <c r="C491" s="229" t="str">
        <f t="shared" si="87"/>
        <v/>
      </c>
      <c r="D491" s="229" t="str">
        <f t="shared" si="88"/>
        <v/>
      </c>
      <c r="E491" s="229" t="str">
        <f t="shared" si="89"/>
        <v/>
      </c>
      <c r="F491" s="229" t="str">
        <f t="shared" si="90"/>
        <v/>
      </c>
      <c r="G491" s="230" t="str">
        <f>IF(HallOfFame!$G91="",T_NoName,HallOfFame!$G91)&amp;IF(HallOfFame!$C91=""," ("&amp;T_retired&amp;")"," ("&amp;HallOfFame!$C91&amp;")")</f>
        <v>Nameless (retired)</v>
      </c>
      <c r="H491" s="230">
        <f>HallOfFame!$H91</f>
        <v>0</v>
      </c>
      <c r="I491" s="229"/>
      <c r="J491" s="229">
        <v>88</v>
      </c>
      <c r="K491" s="230">
        <f>HallOfFame!$E91</f>
        <v>0</v>
      </c>
      <c r="L491" s="230">
        <f>HallOfFame!P91+((1000-ROW())/777777777)</f>
        <v>6.5442857208300004E-7</v>
      </c>
      <c r="M491" s="230">
        <f>HallOfFame!$Q91+((1000-ROW())/777777777)</f>
        <v>6.5442857208300004E-7</v>
      </c>
      <c r="N491" s="230">
        <f>HallOfFame!$R91+((1000-ROW())/777777777)</f>
        <v>6.5442857208300004E-7</v>
      </c>
      <c r="O491" s="312">
        <f>HallOfFame!$S91+((1000-ROW())/777777777)</f>
        <v>6.5442857208300004E-7</v>
      </c>
      <c r="P491" s="230">
        <f>HallOfFame!$T91+((1000-ROW())/777777777)</f>
        <v>6.5442857208300004E-7</v>
      </c>
      <c r="Q491" s="230">
        <f>HallOfFame!$U91+((1000-ROW())/777777777)</f>
        <v>6.5442857208300004E-7</v>
      </c>
      <c r="R491" s="230"/>
      <c r="S491" s="230"/>
      <c r="T491" s="230"/>
      <c r="U491" s="230"/>
      <c r="V491" s="230"/>
      <c r="W491" s="230"/>
      <c r="X491" s="229"/>
      <c r="Y491" s="229"/>
      <c r="Z491" s="229"/>
      <c r="AA491" s="230"/>
      <c r="AB491" s="230"/>
      <c r="AC491" s="230"/>
      <c r="AD491" s="229"/>
      <c r="AE491" s="230"/>
    </row>
    <row r="492" spans="1:31" ht="12.75" customHeight="1">
      <c r="A492" s="229" t="str">
        <f t="shared" si="85"/>
        <v/>
      </c>
      <c r="B492" s="229" t="str">
        <f t="shared" si="86"/>
        <v/>
      </c>
      <c r="C492" s="229" t="str">
        <f t="shared" si="87"/>
        <v/>
      </c>
      <c r="D492" s="229" t="str">
        <f t="shared" si="88"/>
        <v/>
      </c>
      <c r="E492" s="229" t="str">
        <f t="shared" si="89"/>
        <v/>
      </c>
      <c r="F492" s="229" t="str">
        <f t="shared" si="90"/>
        <v/>
      </c>
      <c r="G492" s="230" t="str">
        <f>IF(HallOfFame!$G92="",T_NoName,HallOfFame!$G92)&amp;IF(HallOfFame!$C92=""," ("&amp;T_retired&amp;")"," ("&amp;HallOfFame!$C92&amp;")")</f>
        <v>Nameless (retired)</v>
      </c>
      <c r="H492" s="230">
        <f>HallOfFame!$H92</f>
        <v>0</v>
      </c>
      <c r="I492" s="229"/>
      <c r="J492" s="229">
        <v>89</v>
      </c>
      <c r="K492" s="230">
        <f>HallOfFame!$E92</f>
        <v>0</v>
      </c>
      <c r="L492" s="230">
        <f>HallOfFame!P92+((1000-ROW())/777777777)</f>
        <v>6.5314285779600003E-7</v>
      </c>
      <c r="M492" s="230">
        <f>HallOfFame!$Q92+((1000-ROW())/777777777)</f>
        <v>6.5314285779600003E-7</v>
      </c>
      <c r="N492" s="230">
        <f>HallOfFame!$R92+((1000-ROW())/777777777)</f>
        <v>6.5314285779600003E-7</v>
      </c>
      <c r="O492" s="312">
        <f>HallOfFame!$S92+((1000-ROW())/777777777)</f>
        <v>6.5314285779600003E-7</v>
      </c>
      <c r="P492" s="230">
        <f>HallOfFame!$T92+((1000-ROW())/777777777)</f>
        <v>6.5314285779600003E-7</v>
      </c>
      <c r="Q492" s="230">
        <f>HallOfFame!$U92+((1000-ROW())/777777777)</f>
        <v>6.5314285779600003E-7</v>
      </c>
      <c r="R492" s="230"/>
      <c r="S492" s="230"/>
      <c r="T492" s="230"/>
      <c r="U492" s="230"/>
      <c r="V492" s="230"/>
      <c r="W492" s="230"/>
      <c r="X492" s="229"/>
      <c r="Y492" s="229"/>
      <c r="Z492" s="229"/>
      <c r="AA492" s="230"/>
      <c r="AB492" s="230"/>
      <c r="AC492" s="230"/>
      <c r="AD492" s="229"/>
      <c r="AE492" s="230"/>
    </row>
    <row r="493" spans="1:31" ht="12.75" customHeight="1">
      <c r="A493" s="229" t="str">
        <f t="shared" si="85"/>
        <v/>
      </c>
      <c r="B493" s="229" t="str">
        <f t="shared" si="86"/>
        <v/>
      </c>
      <c r="C493" s="229" t="str">
        <f t="shared" si="87"/>
        <v/>
      </c>
      <c r="D493" s="229" t="str">
        <f t="shared" si="88"/>
        <v/>
      </c>
      <c r="E493" s="229" t="str">
        <f t="shared" si="89"/>
        <v/>
      </c>
      <c r="F493" s="229" t="str">
        <f t="shared" si="90"/>
        <v/>
      </c>
      <c r="G493" s="230" t="str">
        <f>IF(HallOfFame!$G93="",T_NoName,HallOfFame!$G93)&amp;IF(HallOfFame!$C93=""," ("&amp;T_retired&amp;")"," ("&amp;HallOfFame!$C93&amp;")")</f>
        <v>Nameless (retired)</v>
      </c>
      <c r="H493" s="230">
        <f>HallOfFame!$H93</f>
        <v>0</v>
      </c>
      <c r="I493" s="229"/>
      <c r="J493" s="229">
        <v>90</v>
      </c>
      <c r="K493" s="230">
        <f>HallOfFame!$E93</f>
        <v>0</v>
      </c>
      <c r="L493" s="230">
        <f>HallOfFame!P93+((1000-ROW())/777777777)</f>
        <v>6.5185714350900002E-7</v>
      </c>
      <c r="M493" s="230">
        <f>HallOfFame!$Q93+((1000-ROW())/777777777)</f>
        <v>6.5185714350900002E-7</v>
      </c>
      <c r="N493" s="230">
        <f>HallOfFame!$R93+((1000-ROW())/777777777)</f>
        <v>6.5185714350900002E-7</v>
      </c>
      <c r="O493" s="312">
        <f>HallOfFame!$S93+((1000-ROW())/777777777)</f>
        <v>6.5185714350900002E-7</v>
      </c>
      <c r="P493" s="230">
        <f>HallOfFame!$T93+((1000-ROW())/777777777)</f>
        <v>6.5185714350900002E-7</v>
      </c>
      <c r="Q493" s="230">
        <f>HallOfFame!$U93+((1000-ROW())/777777777)</f>
        <v>6.5185714350900002E-7</v>
      </c>
      <c r="R493" s="230"/>
      <c r="S493" s="230"/>
      <c r="T493" s="230"/>
      <c r="U493" s="230"/>
      <c r="V493" s="230"/>
      <c r="W493" s="230"/>
      <c r="X493" s="229"/>
      <c r="Y493" s="229"/>
      <c r="Z493" s="229"/>
      <c r="AA493" s="230"/>
      <c r="AB493" s="230"/>
      <c r="AC493" s="230"/>
      <c r="AD493" s="229"/>
      <c r="AE493" s="230"/>
    </row>
    <row r="494" spans="1:31" ht="12.75" customHeight="1">
      <c r="A494" s="229" t="str">
        <f t="shared" si="85"/>
        <v/>
      </c>
      <c r="B494" s="229" t="str">
        <f t="shared" si="86"/>
        <v/>
      </c>
      <c r="C494" s="229" t="str">
        <f t="shared" si="87"/>
        <v/>
      </c>
      <c r="D494" s="229" t="str">
        <f t="shared" si="88"/>
        <v/>
      </c>
      <c r="E494" s="229" t="str">
        <f t="shared" si="89"/>
        <v/>
      </c>
      <c r="F494" s="229" t="str">
        <f t="shared" si="90"/>
        <v/>
      </c>
      <c r="G494" s="230" t="str">
        <f>IF(HallOfFame!$G94="",T_NoName,HallOfFame!$G94)&amp;IF(HallOfFame!$C94=""," ("&amp;T_retired&amp;")"," ("&amp;HallOfFame!$C94&amp;")")</f>
        <v>Nameless (retired)</v>
      </c>
      <c r="H494" s="230">
        <f>HallOfFame!$H94</f>
        <v>0</v>
      </c>
      <c r="I494" s="229"/>
      <c r="J494" s="229">
        <v>91</v>
      </c>
      <c r="K494" s="230">
        <f>HallOfFame!$E94</f>
        <v>0</v>
      </c>
      <c r="L494" s="230">
        <f>HallOfFame!P94+((1000-ROW())/777777777)</f>
        <v>6.5057142922200001E-7</v>
      </c>
      <c r="M494" s="230">
        <f>HallOfFame!$Q94+((1000-ROW())/777777777)</f>
        <v>6.5057142922200001E-7</v>
      </c>
      <c r="N494" s="230">
        <f>HallOfFame!$R94+((1000-ROW())/777777777)</f>
        <v>6.5057142922200001E-7</v>
      </c>
      <c r="O494" s="312">
        <f>HallOfFame!$S94+((1000-ROW())/777777777)</f>
        <v>6.5057142922200001E-7</v>
      </c>
      <c r="P494" s="230">
        <f>HallOfFame!$T94+((1000-ROW())/777777777)</f>
        <v>6.5057142922200001E-7</v>
      </c>
      <c r="Q494" s="230">
        <f>HallOfFame!$U94+((1000-ROW())/777777777)</f>
        <v>6.5057142922200001E-7</v>
      </c>
      <c r="R494" s="230"/>
      <c r="S494" s="230"/>
      <c r="T494" s="230"/>
      <c r="U494" s="230"/>
      <c r="V494" s="230"/>
      <c r="W494" s="230"/>
      <c r="X494" s="229"/>
      <c r="Y494" s="229"/>
      <c r="Z494" s="229"/>
      <c r="AA494" s="230"/>
      <c r="AB494" s="230"/>
      <c r="AC494" s="230"/>
      <c r="AD494" s="229"/>
      <c r="AE494" s="230"/>
    </row>
    <row r="495" spans="1:31" ht="12.75" customHeight="1">
      <c r="A495" s="229" t="str">
        <f t="shared" si="85"/>
        <v/>
      </c>
      <c r="B495" s="229" t="str">
        <f t="shared" si="86"/>
        <v/>
      </c>
      <c r="C495" s="229" t="str">
        <f t="shared" si="87"/>
        <v/>
      </c>
      <c r="D495" s="229" t="str">
        <f t="shared" si="88"/>
        <v/>
      </c>
      <c r="E495" s="229" t="str">
        <f t="shared" si="89"/>
        <v/>
      </c>
      <c r="F495" s="229" t="str">
        <f t="shared" si="90"/>
        <v/>
      </c>
      <c r="G495" s="230" t="str">
        <f>IF(HallOfFame!$G95="",T_NoName,HallOfFame!$G95)&amp;IF(HallOfFame!$C95=""," ("&amp;T_retired&amp;")"," ("&amp;HallOfFame!$C95&amp;")")</f>
        <v>Nameless (retired)</v>
      </c>
      <c r="H495" s="230">
        <f>HallOfFame!$H95</f>
        <v>0</v>
      </c>
      <c r="I495" s="229"/>
      <c r="J495" s="229">
        <v>92</v>
      </c>
      <c r="K495" s="230">
        <f>HallOfFame!$E95</f>
        <v>0</v>
      </c>
      <c r="L495" s="230">
        <f>HallOfFame!P95+((1000-ROW())/777777777)</f>
        <v>6.49285714935E-7</v>
      </c>
      <c r="M495" s="230">
        <f>HallOfFame!$Q95+((1000-ROW())/777777777)</f>
        <v>6.49285714935E-7</v>
      </c>
      <c r="N495" s="230">
        <f>HallOfFame!$R95+((1000-ROW())/777777777)</f>
        <v>6.49285714935E-7</v>
      </c>
      <c r="O495" s="312">
        <f>HallOfFame!$S95+((1000-ROW())/777777777)</f>
        <v>6.49285714935E-7</v>
      </c>
      <c r="P495" s="230">
        <f>HallOfFame!$T95+((1000-ROW())/777777777)</f>
        <v>6.49285714935E-7</v>
      </c>
      <c r="Q495" s="230">
        <f>HallOfFame!$U95+((1000-ROW())/777777777)</f>
        <v>6.49285714935E-7</v>
      </c>
      <c r="R495" s="230"/>
      <c r="S495" s="230"/>
      <c r="T495" s="230"/>
      <c r="U495" s="230"/>
      <c r="V495" s="230"/>
      <c r="W495" s="230"/>
      <c r="X495" s="229"/>
      <c r="Y495" s="229"/>
      <c r="Z495" s="229"/>
      <c r="AA495" s="230"/>
      <c r="AB495" s="230"/>
      <c r="AC495" s="230"/>
      <c r="AD495" s="229"/>
      <c r="AE495" s="230"/>
    </row>
    <row r="496" spans="1:31" ht="12.75" customHeight="1">
      <c r="A496" s="229" t="str">
        <f t="shared" si="85"/>
        <v/>
      </c>
      <c r="B496" s="229" t="str">
        <f t="shared" si="86"/>
        <v/>
      </c>
      <c r="C496" s="229" t="str">
        <f t="shared" si="87"/>
        <v/>
      </c>
      <c r="D496" s="229" t="str">
        <f t="shared" si="88"/>
        <v/>
      </c>
      <c r="E496" s="229" t="str">
        <f t="shared" si="89"/>
        <v/>
      </c>
      <c r="F496" s="229" t="str">
        <f t="shared" si="90"/>
        <v/>
      </c>
      <c r="G496" s="230" t="str">
        <f>IF(HallOfFame!$G96="",T_NoName,HallOfFame!$G96)&amp;IF(HallOfFame!$C96=""," ("&amp;T_retired&amp;")"," ("&amp;HallOfFame!$C96&amp;")")</f>
        <v>Nameless (retired)</v>
      </c>
      <c r="H496" s="230">
        <f>HallOfFame!$H96</f>
        <v>0</v>
      </c>
      <c r="I496" s="229"/>
      <c r="J496" s="229">
        <v>93</v>
      </c>
      <c r="K496" s="230">
        <f>HallOfFame!$E96</f>
        <v>0</v>
      </c>
      <c r="L496" s="230">
        <f>HallOfFame!P96+((1000-ROW())/777777777)</f>
        <v>6.4800000064799998E-7</v>
      </c>
      <c r="M496" s="230">
        <f>HallOfFame!$Q96+((1000-ROW())/777777777)</f>
        <v>6.4800000064799998E-7</v>
      </c>
      <c r="N496" s="230">
        <f>HallOfFame!$R96+((1000-ROW())/777777777)</f>
        <v>6.4800000064799998E-7</v>
      </c>
      <c r="O496" s="312">
        <f>HallOfFame!$S96+((1000-ROW())/777777777)</f>
        <v>6.4800000064799998E-7</v>
      </c>
      <c r="P496" s="230">
        <f>HallOfFame!$T96+((1000-ROW())/777777777)</f>
        <v>6.4800000064799998E-7</v>
      </c>
      <c r="Q496" s="230">
        <f>HallOfFame!$U96+((1000-ROW())/777777777)</f>
        <v>6.4800000064799998E-7</v>
      </c>
      <c r="R496" s="230"/>
      <c r="S496" s="230"/>
      <c r="T496" s="230"/>
      <c r="U496" s="230"/>
      <c r="V496" s="230"/>
      <c r="W496" s="230"/>
      <c r="X496" s="229"/>
      <c r="Y496" s="229"/>
      <c r="Z496" s="229"/>
      <c r="AA496" s="230"/>
      <c r="AB496" s="230"/>
      <c r="AC496" s="230"/>
      <c r="AD496" s="229"/>
      <c r="AE496" s="230"/>
    </row>
    <row r="497" spans="1:31" ht="12.75" customHeight="1">
      <c r="A497" s="229" t="str">
        <f t="shared" si="85"/>
        <v/>
      </c>
      <c r="B497" s="229" t="str">
        <f t="shared" si="86"/>
        <v/>
      </c>
      <c r="C497" s="229" t="str">
        <f t="shared" si="87"/>
        <v/>
      </c>
      <c r="D497" s="229" t="str">
        <f t="shared" si="88"/>
        <v/>
      </c>
      <c r="E497" s="229" t="str">
        <f t="shared" si="89"/>
        <v/>
      </c>
      <c r="F497" s="229" t="str">
        <f t="shared" si="90"/>
        <v/>
      </c>
      <c r="G497" s="230" t="str">
        <f>IF(HallOfFame!$G97="",T_NoName,HallOfFame!$G97)&amp;IF(HallOfFame!$C97=""," ("&amp;T_retired&amp;")"," ("&amp;HallOfFame!$C97&amp;")")</f>
        <v>Nameless (retired)</v>
      </c>
      <c r="H497" s="230">
        <f>HallOfFame!$H97</f>
        <v>0</v>
      </c>
      <c r="I497" s="229"/>
      <c r="J497" s="229">
        <v>94</v>
      </c>
      <c r="K497" s="230">
        <f>HallOfFame!$E97</f>
        <v>0</v>
      </c>
      <c r="L497" s="230">
        <f>HallOfFame!P97+((1000-ROW())/777777777)</f>
        <v>6.4671428636099997E-7</v>
      </c>
      <c r="M497" s="230">
        <f>HallOfFame!$Q97+((1000-ROW())/777777777)</f>
        <v>6.4671428636099997E-7</v>
      </c>
      <c r="N497" s="230">
        <f>HallOfFame!$R97+((1000-ROW())/777777777)</f>
        <v>6.4671428636099997E-7</v>
      </c>
      <c r="O497" s="312">
        <f>HallOfFame!$S97+((1000-ROW())/777777777)</f>
        <v>6.4671428636099997E-7</v>
      </c>
      <c r="P497" s="230">
        <f>HallOfFame!$T97+((1000-ROW())/777777777)</f>
        <v>6.4671428636099997E-7</v>
      </c>
      <c r="Q497" s="230">
        <f>HallOfFame!$U97+((1000-ROW())/777777777)</f>
        <v>6.4671428636099997E-7</v>
      </c>
      <c r="R497" s="230"/>
      <c r="S497" s="230"/>
      <c r="T497" s="230"/>
      <c r="U497" s="230"/>
      <c r="V497" s="230"/>
      <c r="W497" s="230"/>
      <c r="X497" s="229"/>
      <c r="Y497" s="229"/>
      <c r="Z497" s="229"/>
      <c r="AA497" s="230"/>
      <c r="AB497" s="230"/>
      <c r="AC497" s="230"/>
      <c r="AD497" s="229"/>
      <c r="AE497" s="230"/>
    </row>
    <row r="498" spans="1:31" ht="12.75" customHeight="1">
      <c r="A498" s="229" t="str">
        <f t="shared" si="85"/>
        <v/>
      </c>
      <c r="B498" s="229" t="str">
        <f t="shared" si="86"/>
        <v/>
      </c>
      <c r="C498" s="229" t="str">
        <f t="shared" si="87"/>
        <v/>
      </c>
      <c r="D498" s="229" t="str">
        <f t="shared" si="88"/>
        <v/>
      </c>
      <c r="E498" s="229" t="str">
        <f t="shared" si="89"/>
        <v/>
      </c>
      <c r="F498" s="229" t="str">
        <f t="shared" si="90"/>
        <v/>
      </c>
      <c r="G498" s="230" t="str">
        <f>IF(HallOfFame!$G98="",T_NoName,HallOfFame!$G98)&amp;IF(HallOfFame!$C98=""," ("&amp;T_retired&amp;")"," ("&amp;HallOfFame!$C98&amp;")")</f>
        <v>Nameless (retired)</v>
      </c>
      <c r="H498" s="230">
        <f>HallOfFame!$H98</f>
        <v>0</v>
      </c>
      <c r="I498" s="229"/>
      <c r="J498" s="229">
        <v>95</v>
      </c>
      <c r="K498" s="230">
        <f>HallOfFame!$E98</f>
        <v>0</v>
      </c>
      <c r="L498" s="230">
        <f>HallOfFame!P98+((1000-ROW())/777777777)</f>
        <v>6.4542857207399996E-7</v>
      </c>
      <c r="M498" s="230">
        <f>HallOfFame!$Q98+((1000-ROW())/777777777)</f>
        <v>6.4542857207399996E-7</v>
      </c>
      <c r="N498" s="230">
        <f>HallOfFame!$R98+((1000-ROW())/777777777)</f>
        <v>6.4542857207399996E-7</v>
      </c>
      <c r="O498" s="312">
        <f>HallOfFame!$S98+((1000-ROW())/777777777)</f>
        <v>6.4542857207399996E-7</v>
      </c>
      <c r="P498" s="230">
        <f>HallOfFame!$T98+((1000-ROW())/777777777)</f>
        <v>6.4542857207399996E-7</v>
      </c>
      <c r="Q498" s="230">
        <f>HallOfFame!$U98+((1000-ROW())/777777777)</f>
        <v>6.4542857207399996E-7</v>
      </c>
      <c r="R498" s="230"/>
      <c r="S498" s="230"/>
      <c r="T498" s="230"/>
      <c r="U498" s="230"/>
      <c r="V498" s="230"/>
      <c r="W498" s="230"/>
      <c r="X498" s="229"/>
      <c r="Y498" s="229"/>
      <c r="Z498" s="229"/>
      <c r="AA498" s="230"/>
      <c r="AB498" s="230"/>
      <c r="AC498" s="230"/>
      <c r="AD498" s="229"/>
      <c r="AE498" s="230"/>
    </row>
    <row r="499" spans="1:31" ht="12.75" customHeight="1">
      <c r="A499" s="229" t="str">
        <f t="shared" si="85"/>
        <v/>
      </c>
      <c r="B499" s="229" t="str">
        <f t="shared" si="86"/>
        <v/>
      </c>
      <c r="C499" s="229" t="str">
        <f t="shared" si="87"/>
        <v/>
      </c>
      <c r="D499" s="229" t="str">
        <f t="shared" si="88"/>
        <v/>
      </c>
      <c r="E499" s="229" t="str">
        <f t="shared" si="89"/>
        <v/>
      </c>
      <c r="F499" s="229" t="str">
        <f t="shared" si="90"/>
        <v/>
      </c>
      <c r="G499" s="230" t="str">
        <f>IF(HallOfFame!$G99="",T_NoName,HallOfFame!$G99)&amp;IF(HallOfFame!$C99=""," ("&amp;T_retired&amp;")"," ("&amp;HallOfFame!$C99&amp;")")</f>
        <v>Nameless (retired)</v>
      </c>
      <c r="H499" s="230">
        <f>HallOfFame!$H99</f>
        <v>0</v>
      </c>
      <c r="I499" s="229"/>
      <c r="J499" s="229">
        <v>96</v>
      </c>
      <c r="K499" s="230">
        <f>HallOfFame!$E99</f>
        <v>0</v>
      </c>
      <c r="L499" s="230">
        <f>HallOfFame!P99+((1000-ROW())/777777777)</f>
        <v>6.4414285778700005E-7</v>
      </c>
      <c r="M499" s="230">
        <f>HallOfFame!$Q99+((1000-ROW())/777777777)</f>
        <v>6.4414285778700005E-7</v>
      </c>
      <c r="N499" s="230">
        <f>HallOfFame!$R99+((1000-ROW())/777777777)</f>
        <v>6.4414285778700005E-7</v>
      </c>
      <c r="O499" s="312">
        <f>HallOfFame!$S99+((1000-ROW())/777777777)</f>
        <v>6.4414285778700005E-7</v>
      </c>
      <c r="P499" s="230">
        <f>HallOfFame!$T99+((1000-ROW())/777777777)</f>
        <v>6.4414285778700005E-7</v>
      </c>
      <c r="Q499" s="230">
        <f>HallOfFame!$U99+((1000-ROW())/777777777)</f>
        <v>6.4414285778700005E-7</v>
      </c>
      <c r="R499" s="230"/>
      <c r="S499" s="230"/>
      <c r="T499" s="230"/>
      <c r="U499" s="230"/>
      <c r="V499" s="230"/>
      <c r="W499" s="230"/>
      <c r="X499" s="229"/>
      <c r="Y499" s="229"/>
      <c r="Z499" s="229"/>
      <c r="AA499" s="230"/>
      <c r="AB499" s="230"/>
      <c r="AC499" s="230"/>
      <c r="AD499" s="229"/>
      <c r="AE499" s="230"/>
    </row>
    <row r="500" spans="1:31" ht="12.75" customHeight="1">
      <c r="A500" s="229" t="str">
        <f t="shared" si="85"/>
        <v/>
      </c>
      <c r="B500" s="229" t="str">
        <f t="shared" si="86"/>
        <v/>
      </c>
      <c r="C500" s="229" t="str">
        <f t="shared" si="87"/>
        <v/>
      </c>
      <c r="D500" s="229" t="str">
        <f t="shared" si="88"/>
        <v/>
      </c>
      <c r="E500" s="229" t="str">
        <f t="shared" si="89"/>
        <v/>
      </c>
      <c r="F500" s="229" t="str">
        <f t="shared" si="90"/>
        <v/>
      </c>
      <c r="G500" s="230" t="str">
        <f>IF(HallOfFame!$G100="",T_NoName,HallOfFame!$G100)&amp;IF(HallOfFame!$C100=""," ("&amp;T_retired&amp;")"," ("&amp;HallOfFame!$C100&amp;")")</f>
        <v>Nameless (retired)</v>
      </c>
      <c r="H500" s="230">
        <f>HallOfFame!$H100</f>
        <v>0</v>
      </c>
      <c r="I500" s="229"/>
      <c r="J500" s="229">
        <v>97</v>
      </c>
      <c r="K500" s="230">
        <f>HallOfFame!$E100</f>
        <v>0</v>
      </c>
      <c r="L500" s="230">
        <f>HallOfFame!P100+((1000-ROW())/777777777)</f>
        <v>6.4285714350000004E-7</v>
      </c>
      <c r="M500" s="230">
        <f>HallOfFame!$Q100+((1000-ROW())/777777777)</f>
        <v>6.4285714350000004E-7</v>
      </c>
      <c r="N500" s="230">
        <f>HallOfFame!$R100+((1000-ROW())/777777777)</f>
        <v>6.4285714350000004E-7</v>
      </c>
      <c r="O500" s="312">
        <f>HallOfFame!$S100+((1000-ROW())/777777777)</f>
        <v>6.4285714350000004E-7</v>
      </c>
      <c r="P500" s="230">
        <f>HallOfFame!$T100+((1000-ROW())/777777777)</f>
        <v>6.4285714350000004E-7</v>
      </c>
      <c r="Q500" s="230">
        <f>HallOfFame!$U100+((1000-ROW())/777777777)</f>
        <v>6.4285714350000004E-7</v>
      </c>
      <c r="R500" s="230"/>
      <c r="S500" s="230"/>
      <c r="T500" s="230"/>
      <c r="U500" s="230"/>
      <c r="V500" s="230"/>
      <c r="W500" s="230"/>
      <c r="X500" s="229"/>
      <c r="Y500" s="229"/>
      <c r="Z500" s="229"/>
      <c r="AA500" s="230"/>
      <c r="AB500" s="230"/>
      <c r="AC500" s="230"/>
      <c r="AD500" s="229"/>
      <c r="AE500" s="230"/>
    </row>
    <row r="501" spans="1:31" ht="12.75" customHeight="1">
      <c r="A501" s="229" t="str">
        <f t="shared" si="85"/>
        <v/>
      </c>
      <c r="B501" s="229" t="str">
        <f t="shared" si="86"/>
        <v/>
      </c>
      <c r="C501" s="229" t="str">
        <f t="shared" si="87"/>
        <v/>
      </c>
      <c r="D501" s="229" t="str">
        <f t="shared" si="88"/>
        <v/>
      </c>
      <c r="E501" s="229" t="str">
        <f t="shared" si="89"/>
        <v/>
      </c>
      <c r="F501" s="229" t="str">
        <f t="shared" si="90"/>
        <v/>
      </c>
      <c r="G501" s="230" t="str">
        <f>IF(HallOfFame!$G101="",T_NoName,HallOfFame!$G101)&amp;IF(HallOfFame!$C101=""," ("&amp;T_retired&amp;")"," ("&amp;HallOfFame!$C101&amp;")")</f>
        <v>Nameless (retired)</v>
      </c>
      <c r="H501" s="230">
        <f>HallOfFame!$H101</f>
        <v>0</v>
      </c>
      <c r="I501" s="229"/>
      <c r="J501" s="229">
        <v>98</v>
      </c>
      <c r="K501" s="230">
        <f>HallOfFame!$E101</f>
        <v>0</v>
      </c>
      <c r="L501" s="230">
        <f>HallOfFame!P101+((1000-ROW())/777777777)</f>
        <v>6.4157142921300003E-7</v>
      </c>
      <c r="M501" s="230">
        <f>HallOfFame!$Q101+((1000-ROW())/777777777)</f>
        <v>6.4157142921300003E-7</v>
      </c>
      <c r="N501" s="230">
        <f>HallOfFame!$R101+((1000-ROW())/777777777)</f>
        <v>6.4157142921300003E-7</v>
      </c>
      <c r="O501" s="312">
        <f>HallOfFame!$S101+((1000-ROW())/777777777)</f>
        <v>6.4157142921300003E-7</v>
      </c>
      <c r="P501" s="230">
        <f>HallOfFame!$T101+((1000-ROW())/777777777)</f>
        <v>6.4157142921300003E-7</v>
      </c>
      <c r="Q501" s="230">
        <f>HallOfFame!$U101+((1000-ROW())/777777777)</f>
        <v>6.4157142921300003E-7</v>
      </c>
      <c r="R501" s="230"/>
      <c r="S501" s="230"/>
      <c r="T501" s="230"/>
      <c r="U501" s="230"/>
      <c r="V501" s="230"/>
      <c r="W501" s="230"/>
      <c r="X501" s="229"/>
      <c r="Y501" s="229"/>
      <c r="Z501" s="229"/>
      <c r="AA501" s="230"/>
      <c r="AB501" s="230"/>
      <c r="AC501" s="230"/>
      <c r="AD501" s="229"/>
      <c r="AE501" s="230"/>
    </row>
    <row r="502" spans="1:31" ht="12.75" customHeight="1">
      <c r="A502" s="229" t="str">
        <f t="shared" si="85"/>
        <v/>
      </c>
      <c r="B502" s="229" t="str">
        <f t="shared" si="86"/>
        <v/>
      </c>
      <c r="C502" s="229" t="str">
        <f t="shared" si="87"/>
        <v/>
      </c>
      <c r="D502" s="229" t="str">
        <f t="shared" si="88"/>
        <v/>
      </c>
      <c r="E502" s="229" t="str">
        <f t="shared" si="89"/>
        <v/>
      </c>
      <c r="F502" s="229" t="str">
        <f t="shared" si="90"/>
        <v/>
      </c>
      <c r="G502" s="230" t="str">
        <f>IF(HallOfFame!$G102="",T_NoName,HallOfFame!$G102)&amp;IF(HallOfFame!$C102=""," ("&amp;T_retired&amp;")"," ("&amp;HallOfFame!$C102&amp;")")</f>
        <v>Nameless (retired)</v>
      </c>
      <c r="H502" s="230">
        <f>HallOfFame!$H102</f>
        <v>0</v>
      </c>
      <c r="I502" s="229"/>
      <c r="J502" s="229">
        <v>99</v>
      </c>
      <c r="K502" s="230">
        <f>HallOfFame!$E102</f>
        <v>0</v>
      </c>
      <c r="L502" s="230">
        <f>HallOfFame!P102+((1000-ROW())/777777777)</f>
        <v>6.4028571492600002E-7</v>
      </c>
      <c r="M502" s="230">
        <f>HallOfFame!$Q102+((1000-ROW())/777777777)</f>
        <v>6.4028571492600002E-7</v>
      </c>
      <c r="N502" s="230">
        <f>HallOfFame!$R102+((1000-ROW())/777777777)</f>
        <v>6.4028571492600002E-7</v>
      </c>
      <c r="O502" s="312">
        <f>HallOfFame!$S102+((1000-ROW())/777777777)</f>
        <v>6.4028571492600002E-7</v>
      </c>
      <c r="P502" s="230">
        <f>HallOfFame!$T102+((1000-ROW())/777777777)</f>
        <v>6.4028571492600002E-7</v>
      </c>
      <c r="Q502" s="230">
        <f>HallOfFame!$U102+((1000-ROW())/777777777)</f>
        <v>6.4028571492600002E-7</v>
      </c>
      <c r="R502" s="230"/>
      <c r="S502" s="230"/>
      <c r="T502" s="230"/>
      <c r="U502" s="230"/>
      <c r="V502" s="230"/>
      <c r="W502" s="230"/>
      <c r="X502" s="229"/>
      <c r="Y502" s="229"/>
      <c r="Z502" s="229"/>
      <c r="AA502" s="230"/>
      <c r="AB502" s="230"/>
      <c r="AC502" s="230"/>
      <c r="AD502" s="229"/>
      <c r="AE502" s="230"/>
    </row>
    <row r="503" spans="1:31" ht="12.75" customHeight="1">
      <c r="A503" s="229" t="str">
        <f t="shared" si="85"/>
        <v/>
      </c>
      <c r="B503" s="229" t="str">
        <f t="shared" si="86"/>
        <v/>
      </c>
      <c r="C503" s="229" t="str">
        <f t="shared" si="87"/>
        <v/>
      </c>
      <c r="D503" s="229" t="str">
        <f t="shared" si="88"/>
        <v/>
      </c>
      <c r="E503" s="229" t="str">
        <f t="shared" si="89"/>
        <v/>
      </c>
      <c r="F503" s="229" t="str">
        <f t="shared" si="90"/>
        <v/>
      </c>
      <c r="G503" s="230" t="str">
        <f>IF(HallOfFame!$G103="",T_NoName,HallOfFame!$G103)&amp;IF(HallOfFame!$C103=""," ("&amp;T_retired&amp;")"," ("&amp;HallOfFame!$C103&amp;")")</f>
        <v>Nameless (retired)</v>
      </c>
      <c r="H503" s="230">
        <f>HallOfFame!$H103</f>
        <v>0</v>
      </c>
      <c r="I503" s="229"/>
      <c r="J503" s="229">
        <v>100</v>
      </c>
      <c r="K503" s="230">
        <f>HallOfFame!$E103</f>
        <v>0</v>
      </c>
      <c r="L503" s="230">
        <f>HallOfFame!P103+((1000-ROW())/777777777)</f>
        <v>6.3900000063900001E-7</v>
      </c>
      <c r="M503" s="230">
        <f>HallOfFame!$Q103+((1000-ROW())/777777777)</f>
        <v>6.3900000063900001E-7</v>
      </c>
      <c r="N503" s="230">
        <f>HallOfFame!$R103+((1000-ROW())/777777777)</f>
        <v>6.3900000063900001E-7</v>
      </c>
      <c r="O503" s="312">
        <f>HallOfFame!$S103+((1000-ROW())/777777777)</f>
        <v>6.3900000063900001E-7</v>
      </c>
      <c r="P503" s="230">
        <f>HallOfFame!$T103+((1000-ROW())/777777777)</f>
        <v>6.3900000063900001E-7</v>
      </c>
      <c r="Q503" s="230">
        <f>HallOfFame!$U103+((1000-ROW())/777777777)</f>
        <v>6.3900000063900001E-7</v>
      </c>
      <c r="R503" s="230"/>
      <c r="S503" s="230"/>
      <c r="T503" s="230"/>
      <c r="U503" s="230"/>
      <c r="V503" s="230"/>
      <c r="W503" s="230"/>
      <c r="X503" s="229"/>
      <c r="Y503" s="229"/>
      <c r="Z503" s="229"/>
      <c r="AA503" s="230"/>
      <c r="AB503" s="230"/>
      <c r="AC503" s="230"/>
      <c r="AD503" s="229"/>
      <c r="AE503" s="230"/>
    </row>
    <row r="504" spans="1:31" ht="12.75" customHeight="1">
      <c r="A504" s="229">
        <f t="shared" ref="A504:F504" ca="1" si="91">MAX(A3:A503)</f>
        <v>22</v>
      </c>
      <c r="B504" s="229">
        <f t="shared" ca="1" si="91"/>
        <v>22</v>
      </c>
      <c r="C504" s="229">
        <f t="shared" ca="1" si="91"/>
        <v>1</v>
      </c>
      <c r="D504" s="229">
        <f t="shared" ca="1" si="91"/>
        <v>38</v>
      </c>
      <c r="E504" s="229">
        <f t="shared" ca="1" si="91"/>
        <v>32</v>
      </c>
      <c r="F504" s="229">
        <f t="shared" ca="1" si="91"/>
        <v>62</v>
      </c>
      <c r="G504" s="229" t="s">
        <v>937</v>
      </c>
      <c r="H504" s="230"/>
      <c r="I504" s="230"/>
      <c r="J504" s="229"/>
      <c r="K504" s="230"/>
      <c r="L504" s="230"/>
      <c r="M504" s="230"/>
      <c r="N504" s="230"/>
      <c r="O504" s="230"/>
      <c r="P504" s="230"/>
      <c r="Q504" s="230"/>
      <c r="R504" s="230"/>
      <c r="S504" s="230"/>
      <c r="T504" s="230"/>
      <c r="U504" s="230"/>
      <c r="V504" s="230"/>
      <c r="W504" s="230"/>
      <c r="X504" s="229"/>
      <c r="Y504" s="229"/>
      <c r="Z504" s="229"/>
      <c r="AA504" s="230"/>
      <c r="AB504" s="230"/>
      <c r="AC504" s="230"/>
      <c r="AD504" s="229"/>
      <c r="AE504" s="230"/>
    </row>
  </sheetData>
  <mergeCells count="10">
    <mergeCell ref="A1:F1"/>
    <mergeCell ref="G1:K1"/>
    <mergeCell ref="AA30:AD30"/>
    <mergeCell ref="U58:X58"/>
    <mergeCell ref="AA58:AD58"/>
    <mergeCell ref="L1:Q1"/>
    <mergeCell ref="T1:AD1"/>
    <mergeCell ref="U2:X2"/>
    <mergeCell ref="AA2:AD2"/>
    <mergeCell ref="U30:X3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70"/>
  <sheetViews>
    <sheetView tabSelected="1" workbookViewId="0"/>
  </sheetViews>
  <sheetFormatPr defaultColWidth="14.42578125" defaultRowHeight="15" customHeight="1"/>
  <cols>
    <col min="1" max="1" width="0.7109375" customWidth="1"/>
    <col min="2" max="2" width="0.5703125" customWidth="1"/>
    <col min="3" max="3" width="3.7109375" customWidth="1"/>
    <col min="4" max="4" width="15.7109375" customWidth="1"/>
    <col min="5" max="5" width="12.140625" customWidth="1"/>
    <col min="6" max="6" width="5.85546875" customWidth="1"/>
    <col min="7" max="7" width="3.140625" customWidth="1"/>
    <col min="8" max="10" width="3.42578125" customWidth="1"/>
    <col min="11" max="11" width="55.42578125" customWidth="1"/>
    <col min="12" max="12" width="5.85546875" customWidth="1"/>
    <col min="13" max="18" width="3.42578125" customWidth="1"/>
    <col min="19" max="19" width="8" customWidth="1"/>
    <col min="20" max="20" width="0.5703125" customWidth="1"/>
    <col min="21" max="22" width="7.140625" customWidth="1"/>
    <col min="23" max="23" width="7.42578125" customWidth="1"/>
    <col min="24" max="24" width="0.5703125" customWidth="1"/>
    <col min="25" max="30" width="12.42578125" customWidth="1"/>
    <col min="31" max="31" width="13.28515625" customWidth="1"/>
    <col min="32" max="32" width="17.42578125" customWidth="1"/>
    <col min="33" max="33" width="6.42578125" customWidth="1"/>
    <col min="34" max="34" width="24.140625" customWidth="1"/>
    <col min="35" max="35" width="10.140625" customWidth="1"/>
    <col min="36" max="43" width="11.42578125" customWidth="1"/>
    <col min="44" max="47" width="3.5703125" customWidth="1"/>
    <col min="48" max="51" width="11.42578125" customWidth="1"/>
  </cols>
  <sheetData>
    <row r="1" spans="1:51" ht="3.75" customHeight="1">
      <c r="A1" s="102"/>
      <c r="B1" s="102"/>
      <c r="C1" s="103"/>
      <c r="D1" s="102"/>
      <c r="E1" s="102"/>
      <c r="F1" s="104"/>
      <c r="G1" s="105"/>
      <c r="H1" s="105"/>
      <c r="I1" s="105"/>
      <c r="J1" s="105"/>
      <c r="K1" s="102"/>
      <c r="L1" s="102"/>
      <c r="M1" s="102"/>
      <c r="N1" s="102"/>
      <c r="O1" s="102"/>
      <c r="P1" s="102"/>
      <c r="Q1" s="102"/>
      <c r="R1" s="102"/>
      <c r="S1" s="105"/>
      <c r="T1" s="102"/>
      <c r="U1" s="102"/>
      <c r="V1" s="106"/>
      <c r="W1" s="102"/>
      <c r="X1" s="102"/>
      <c r="Y1" s="102"/>
      <c r="Z1" s="102"/>
      <c r="AA1" s="102"/>
      <c r="AB1" s="102"/>
      <c r="AC1" s="102"/>
      <c r="AD1" s="102"/>
      <c r="AE1" s="102"/>
      <c r="AF1" s="102"/>
      <c r="AG1" s="102"/>
      <c r="AH1" s="102"/>
      <c r="AI1" s="102"/>
      <c r="AJ1" s="102"/>
      <c r="AK1" s="102"/>
      <c r="AL1" s="102"/>
      <c r="AM1" s="102"/>
      <c r="AN1" s="102"/>
      <c r="AO1" s="102"/>
      <c r="AP1" s="102"/>
      <c r="AQ1" s="102"/>
      <c r="AR1" s="105"/>
      <c r="AS1" s="105"/>
      <c r="AT1" s="105"/>
      <c r="AU1" s="105"/>
      <c r="AV1" s="102"/>
      <c r="AW1" s="102"/>
      <c r="AX1" s="102"/>
      <c r="AY1" s="102"/>
    </row>
    <row r="2" spans="1:51" ht="3" customHeight="1">
      <c r="A2" s="102"/>
      <c r="B2" s="107"/>
      <c r="C2" s="108"/>
      <c r="D2" s="109"/>
      <c r="E2" s="109"/>
      <c r="F2" s="110"/>
      <c r="G2" s="108"/>
      <c r="H2" s="108"/>
      <c r="I2" s="108"/>
      <c r="J2" s="108"/>
      <c r="K2" s="109"/>
      <c r="L2" s="109"/>
      <c r="M2" s="109"/>
      <c r="N2" s="109"/>
      <c r="O2" s="109"/>
      <c r="P2" s="109"/>
      <c r="Q2" s="109"/>
      <c r="R2" s="109"/>
      <c r="S2" s="109"/>
      <c r="T2" s="111"/>
      <c r="U2" s="102"/>
      <c r="V2" s="112"/>
      <c r="W2" s="113"/>
      <c r="X2" s="113"/>
      <c r="Y2" s="102"/>
      <c r="Z2" s="102"/>
      <c r="AA2" s="102"/>
      <c r="AB2" s="102"/>
      <c r="AC2" s="102"/>
      <c r="AD2" s="102"/>
      <c r="AE2" s="102"/>
      <c r="AF2" s="102"/>
      <c r="AG2" s="102"/>
      <c r="AH2" s="102"/>
      <c r="AI2" s="102"/>
      <c r="AJ2" s="102"/>
      <c r="AK2" s="102"/>
      <c r="AL2" s="102"/>
      <c r="AM2" s="102"/>
      <c r="AN2" s="102"/>
      <c r="AO2" s="102"/>
      <c r="AP2" s="102"/>
      <c r="AQ2" s="102"/>
      <c r="AR2" s="105"/>
      <c r="AS2" s="105"/>
      <c r="AT2" s="105"/>
      <c r="AU2" s="105"/>
      <c r="AV2" s="102"/>
      <c r="AW2" s="102"/>
      <c r="AX2" s="102"/>
      <c r="AY2" s="102"/>
    </row>
    <row r="3" spans="1:51" ht="18" customHeight="1">
      <c r="A3" s="102"/>
      <c r="B3" s="114"/>
      <c r="C3" s="115"/>
      <c r="D3" s="116" t="s">
        <v>131</v>
      </c>
      <c r="E3" s="339" t="s">
        <v>132</v>
      </c>
      <c r="F3" s="340"/>
      <c r="G3" s="342" t="s">
        <v>133</v>
      </c>
      <c r="H3" s="316"/>
      <c r="I3" s="316"/>
      <c r="J3" s="339" t="s">
        <v>33</v>
      </c>
      <c r="K3" s="340"/>
      <c r="L3" s="342" t="s">
        <v>134</v>
      </c>
      <c r="M3" s="316"/>
      <c r="N3" s="339" t="s">
        <v>135</v>
      </c>
      <c r="O3" s="340"/>
      <c r="P3" s="340"/>
      <c r="Q3" s="340"/>
      <c r="R3" s="340"/>
      <c r="S3" s="340"/>
      <c r="T3" s="117"/>
      <c r="U3" s="338" t="s">
        <v>136</v>
      </c>
      <c r="V3" s="316"/>
      <c r="W3" s="316"/>
      <c r="X3" s="118"/>
      <c r="Y3" s="119" t="s">
        <v>137</v>
      </c>
      <c r="Z3" s="102"/>
      <c r="AA3" s="102"/>
      <c r="AB3" s="102"/>
      <c r="AC3" s="102"/>
      <c r="AD3" s="102"/>
      <c r="AE3" s="102"/>
      <c r="AF3" s="336" t="s">
        <v>138</v>
      </c>
      <c r="AG3" s="337"/>
      <c r="AH3" s="120"/>
      <c r="AI3" s="102"/>
      <c r="AJ3" s="102"/>
      <c r="AK3" s="102"/>
      <c r="AL3" s="102"/>
      <c r="AM3" s="102"/>
      <c r="AN3" s="102"/>
      <c r="AO3" s="102"/>
      <c r="AP3" s="102"/>
      <c r="AQ3" s="102"/>
      <c r="AR3" s="335" t="s">
        <v>139</v>
      </c>
      <c r="AS3" s="316"/>
      <c r="AT3" s="316"/>
      <c r="AU3" s="316"/>
      <c r="AV3" s="102"/>
      <c r="AW3" s="102"/>
      <c r="AX3" s="102"/>
      <c r="AY3" s="102"/>
    </row>
    <row r="4" spans="1:51" ht="3" customHeight="1">
      <c r="A4" s="102"/>
      <c r="B4" s="107"/>
      <c r="C4" s="108"/>
      <c r="D4" s="109"/>
      <c r="E4" s="109"/>
      <c r="F4" s="110"/>
      <c r="G4" s="108"/>
      <c r="H4" s="108"/>
      <c r="I4" s="108"/>
      <c r="J4" s="108"/>
      <c r="K4" s="109"/>
      <c r="L4" s="109"/>
      <c r="M4" s="109"/>
      <c r="N4" s="109"/>
      <c r="O4" s="109"/>
      <c r="P4" s="109"/>
      <c r="Q4" s="109"/>
      <c r="R4" s="109"/>
      <c r="S4" s="108"/>
      <c r="T4" s="111"/>
      <c r="U4" s="121"/>
      <c r="V4" s="122"/>
      <c r="W4" s="121"/>
      <c r="X4" s="121"/>
      <c r="Y4" s="121"/>
      <c r="Z4" s="121"/>
      <c r="AA4" s="121"/>
      <c r="AB4" s="121"/>
      <c r="AC4" s="121"/>
      <c r="AD4" s="121"/>
      <c r="AE4" s="121"/>
      <c r="AF4" s="121"/>
      <c r="AG4" s="121"/>
      <c r="AH4" s="120"/>
      <c r="AI4" s="102"/>
      <c r="AJ4" s="102"/>
      <c r="AK4" s="102"/>
      <c r="AL4" s="102"/>
      <c r="AM4" s="102"/>
      <c r="AN4" s="102"/>
      <c r="AO4" s="102"/>
      <c r="AP4" s="102"/>
      <c r="AQ4" s="102"/>
      <c r="AR4" s="105"/>
      <c r="AS4" s="105"/>
      <c r="AT4" s="105"/>
      <c r="AU4" s="105"/>
      <c r="AV4" s="102"/>
      <c r="AW4" s="102"/>
      <c r="AX4" s="102"/>
      <c r="AY4" s="102"/>
    </row>
    <row r="5" spans="1:51" ht="13.5" customHeight="1">
      <c r="A5" s="123"/>
      <c r="B5" s="124"/>
      <c r="C5" s="125" t="s">
        <v>140</v>
      </c>
      <c r="D5" s="126" t="s">
        <v>141</v>
      </c>
      <c r="E5" s="126" t="s">
        <v>126</v>
      </c>
      <c r="F5" s="127" t="s">
        <v>142</v>
      </c>
      <c r="G5" s="127" t="str">
        <f>T_MA</f>
        <v>MA</v>
      </c>
      <c r="H5" s="127" t="str">
        <f>T_ST</f>
        <v>ST</v>
      </c>
      <c r="I5" s="127" t="str">
        <f>T_AG</f>
        <v>AG</v>
      </c>
      <c r="J5" s="127" t="str">
        <f>T_AV</f>
        <v>AV</v>
      </c>
      <c r="K5" s="128" t="s">
        <v>143</v>
      </c>
      <c r="L5" s="125" t="s">
        <v>144</v>
      </c>
      <c r="M5" s="129" t="s">
        <v>120</v>
      </c>
      <c r="N5" s="130" t="s">
        <v>20</v>
      </c>
      <c r="O5" s="130" t="s">
        <v>121</v>
      </c>
      <c r="P5" s="130" t="s">
        <v>122</v>
      </c>
      <c r="Q5" s="130" t="s">
        <v>123</v>
      </c>
      <c r="R5" s="131" t="s">
        <v>124</v>
      </c>
      <c r="S5" s="132" t="s">
        <v>145</v>
      </c>
      <c r="T5" s="117"/>
      <c r="U5" s="133" t="s">
        <v>146</v>
      </c>
      <c r="V5" s="133" t="s">
        <v>147</v>
      </c>
      <c r="W5" s="134" t="s">
        <v>148</v>
      </c>
      <c r="X5" s="135"/>
      <c r="Y5" s="136" t="s">
        <v>149</v>
      </c>
      <c r="Z5" s="136" t="s">
        <v>150</v>
      </c>
      <c r="AA5" s="136" t="s">
        <v>151</v>
      </c>
      <c r="AB5" s="136" t="s">
        <v>152</v>
      </c>
      <c r="AC5" s="136" t="s">
        <v>153</v>
      </c>
      <c r="AD5" s="137" t="s">
        <v>154</v>
      </c>
      <c r="AE5" s="138" t="s">
        <v>155</v>
      </c>
      <c r="AF5" s="139" t="s">
        <v>156</v>
      </c>
      <c r="AG5" s="140" t="s">
        <v>157</v>
      </c>
      <c r="AH5" s="120"/>
      <c r="AI5" s="123"/>
      <c r="AJ5" s="141" t="s">
        <v>158</v>
      </c>
      <c r="AK5" s="141" t="s">
        <v>159</v>
      </c>
      <c r="AL5" s="123"/>
      <c r="AM5" s="123"/>
      <c r="AN5" s="123"/>
      <c r="AO5" s="123"/>
      <c r="AP5" s="123"/>
      <c r="AQ5" s="141" t="s">
        <v>160</v>
      </c>
      <c r="AR5" s="104" t="str">
        <f>T_MA</f>
        <v>MA</v>
      </c>
      <c r="AS5" s="104" t="str">
        <f>T_ST</f>
        <v>ST</v>
      </c>
      <c r="AT5" s="104" t="str">
        <f>T_AG</f>
        <v>AG</v>
      </c>
      <c r="AU5" s="104" t="str">
        <f>T_AV</f>
        <v>AV</v>
      </c>
      <c r="AV5" s="123"/>
      <c r="AW5" s="102"/>
      <c r="AX5" s="102"/>
      <c r="AY5" s="102"/>
    </row>
    <row r="6" spans="1:51" ht="13.5" customHeight="1">
      <c r="A6" s="102"/>
      <c r="B6" s="114"/>
      <c r="C6" s="142">
        <v>1</v>
      </c>
      <c r="D6" s="143" t="s">
        <v>161</v>
      </c>
      <c r="E6" s="143" t="s">
        <v>132</v>
      </c>
      <c r="F6" s="144" t="str">
        <f>IF($E6&lt;&gt;"",IF($AJ6&lt;&gt;"",IF(AND($L6=T_Journey,VLOOKUP($AJ6,DBPlayers,2,0)&lt;12),T_Error&amp;"7",IF("Journeymen not available"=0,T_Error&amp;"8",IF(COUNTIF($E$6:$E6,$E6)-$AQ6&gt;VLOOKUP($AJ6,DBPlayers,2,0),T_Error&amp;"2",IF(L6=T_MNG,0,COUNTIF($E$6:$E6,$E6)-$AQ6)&amp;"/"&amp;(VLOOKUP($AJ6,DBPlayers,2,0))))),T_Error&amp;"1"),"")</f>
        <v>1/6</v>
      </c>
      <c r="G6" s="145">
        <f t="shared" ref="G6:G21" si="0">IF(OR($E6="",LEFT($F6,LEN(T_Error))=T_Error),"",MAX(1,VLOOKUP($AJ6,DBPlayers,4,0)+COUNTIF($Y6:$AD6,T_MA&amp;"+")-IF(ISERROR(FIND(T_MA&amp;"-",$AE6)),0,IF(ISERROR(FIND(T_MA&amp;"-",$AE6,FIND(T_MA&amp;"-",$AE6)+LEN(T_MA)+1)),1,2))))</f>
        <v>6</v>
      </c>
      <c r="H6" s="145">
        <f t="shared" ref="H6:H21" si="1">IF(OR(($E6=""),(LEFT($F6,LEN(T_Error))=T_Error)),"",MAX(1,VLOOKUP($AJ6,DBPlayers,5,0)+COUNTIF($Y6:$AD6,T_ST&amp;"+")-IF(ISERROR(FIND(T_ST&amp;"-",$AE6)),0,IF(ISERROR(FIND(T_ST&amp;"-",$AE6,FIND(T_ST&amp;"-",$AE6)+LEN(T_ST)+1)),1,2))))</f>
        <v>5</v>
      </c>
      <c r="I6" s="145">
        <f t="shared" ref="I6:I21" si="2">IF(OR(($E6=""),(LEFT($F6,LEN(T_Error))=T_Error)),"",MAX(1,VLOOKUP($AJ6,DBPlayers,6,0)+COUNTIF($Y6:$AD6,T_AG&amp;"+")-IF(ISERROR(FIND(T_AG&amp;"-",$AE6)),0,IF(ISERROR(FIND(T_AG&amp;"-",$AE6,FIND(T_AG&amp;"-",$AE6)+LEN(T_AG)+1)),1,2))))</f>
        <v>4</v>
      </c>
      <c r="J6" s="145">
        <f t="shared" ref="J6:J21" si="3">IF(OR(($E6=""),(LEFT($F6,LEN(T_Error))=T_Error)),"",MAX(1,VLOOKUP($AJ6,DBPlayers,7,0)+COUNTIF($Y6:$AD6,T_AV&amp;"+")-IF(ISERROR(FIND(T_AV&amp;"-",$AE6)),0,IF(ISERROR(FIND(T_AV&amp;"-",$AE6,FIND(T_AV&amp;"-",$AE6)+LEN(T_AV)+1)),1,2))))</f>
        <v>8</v>
      </c>
      <c r="K6" s="146" t="str">
        <f t="shared" ref="K6:K21" ca="1" si="4">IF($E6="","",IF(LEFT($F6,LEN(T_Error))=T_Error,INDIRECT("T_Error"&amp;RIGHT($F6,1)),IF(VLOOKUP($AJ6,DBPlayers,8,0)&lt;&gt;0,IF($L6=T_Journey,T_Loner&amp;", ","")&amp;VLOOKUP($AJ6,DBPlayers,8,0)&amp;IF($W6&gt;0,", ",""),IF($L6=T_Journey,T_Loner,""))&amp;IF($W6&gt;0,IF(Y6&lt;&gt;"",Y6,T_MS),"")&amp;IF($W6&gt;1,", "&amp;IF(Z6&lt;&gt;"",Z6,T_MS),"")&amp;IF($W6&gt;2,", "&amp;IF(AA6&lt;&gt;"",AA6,T_MS),"")&amp;IF($W6&gt;3,", "&amp;IF(AB6&lt;&gt;"",AB6,T_MS),"")&amp;IF($W6&gt;4,", "&amp;IF(AC6&lt;&gt;"",AC6,T_MS),"")&amp;IF($W6&gt;5,", "&amp;IF(AD6&lt;&gt;"",AD6,T_MS),"")&amp;IF(AF6&lt;&gt;"",IF(OR($W6&gt;0,VLOOKUP($AJ6,DBPlayers,8,0)&lt;&gt;0),", ","")&amp;AF6,"")&amp;IF(AE6&lt;&gt;"",IF(OR($W6&gt;0,AF6&lt;&gt;"",VLOOKUP($AJ6,DBPlayers,8,0)&lt;&gt;0),", ","")&amp;AE6,"")))</f>
        <v>Blood Blust, Hypnotic Gaze, Regeneration, Block, ST+</v>
      </c>
      <c r="L6" s="147"/>
      <c r="M6" s="148">
        <v>3</v>
      </c>
      <c r="N6" s="149">
        <v>3</v>
      </c>
      <c r="O6" s="149"/>
      <c r="P6" s="149">
        <v>1</v>
      </c>
      <c r="Q6" s="149">
        <v>2</v>
      </c>
      <c r="R6" s="150">
        <f t="shared" ref="R6:R21" si="5">IF(OR(($E6=""),(LEFT($F6,LEN(T_Error))=T_Error)),"",M6*SPP_CP+N6*SPP_TD+O6*SPP_IN+P6*SPP_CS+Q6*SPP_VP)</f>
        <v>24</v>
      </c>
      <c r="S6" s="151">
        <f>IF(OR($E6="",LEFT($F6,LEN(T_Error))=T_Error),"",IF($L6=T_MNG,0,VLOOKUP($AJ6,DBPlayers,11,0)+SUM($AK6:$AP6)+AG6))</f>
        <v>180000</v>
      </c>
      <c r="T6" s="117"/>
      <c r="U6" s="152" t="str">
        <f t="shared" ref="U6:U21" si="6">IF(OR(($E6=""),(LEFT($F6,LEN(T_Error))=T_Error)),"",VLOOKUP($AJ6,DBPlayers,9,0))</f>
        <v>G A S</v>
      </c>
      <c r="V6" s="152" t="str">
        <f t="shared" ref="V6:V21" si="7">IF(OR(($E6=""),(LEFT($F6,LEN(T_Error))=T_Error)),"",VLOOKUP($AJ6,DBPlayers,10,0))</f>
        <v>P</v>
      </c>
      <c r="W6" s="153">
        <f t="shared" ref="W6:W21" si="8">IF(R6="","",IF($R6&gt;=SPP_6,6,IF($R6&gt;=SPP_5,5,IF($R6&gt;=SPP_4,4,IF($R6&gt;=SPP_3,3,IF($R6&gt;=SPP_2,2,IF($R6&gt;=SPP_1,1,0)))))))</f>
        <v>2</v>
      </c>
      <c r="X6" s="121"/>
      <c r="Y6" s="154" t="s">
        <v>162</v>
      </c>
      <c r="Z6" s="154" t="s">
        <v>163</v>
      </c>
      <c r="AA6" s="154"/>
      <c r="AB6" s="154"/>
      <c r="AC6" s="154"/>
      <c r="AD6" s="155"/>
      <c r="AE6" s="156"/>
      <c r="AF6" s="157"/>
      <c r="AG6" s="158"/>
      <c r="AH6" s="120"/>
      <c r="AI6" s="123">
        <v>1</v>
      </c>
      <c r="AJ6" s="159" t="str">
        <f t="shared" ref="AJ6:AJ21" si="9">IF(OR(E6="",ISERROR(VLOOKUP(E6,$AJ$58:$AL$67,3,0))),"",VLOOKUP(E6,$AJ$58:$AL$67,3,0))</f>
        <v>Vampire2</v>
      </c>
      <c r="AK6" s="159">
        <f>IF(Y6="",0,IF(ISERROR(FIND(VLOOKUP(Y6,DBSkills,2,0),$U6)),0,IMP_REGULAR)+IF(ISERROR(FIND(VLOOKUP(Y6,DBSkills,2,0),$V6)),0,IMP_DOUBLE)+IF(Y6=T_ST&amp;"+",IMP_ST,0)+IF(Y6=T_AG&amp;"+",IMP_AG,0)+IF(Y6=T_MA&amp;"+",IMP_MA,0)+IF(Y6=T_AV&amp;"+",IMP_MA,0))</f>
        <v>20000</v>
      </c>
      <c r="AL6" s="159">
        <f t="shared" ref="AL6:AL21" si="10">IF(Z6="",0,IF(Z6=T_ST&amp;"+",50000,IF(Z6=T_AG&amp;"+",40000,IF(OR(Z6=T_MA&amp;"+",Z6=T_AV&amp;"+"),30000,IF(ISERROR(FIND(VLOOKUP(Z6,DBSkills,2,0),$V6)),20000,30000)))))</f>
        <v>50000</v>
      </c>
      <c r="AM6" s="159">
        <f t="shared" ref="AM6:AM21" si="11">IF(AA6="",0,IF(AA6=T_ST&amp;"+",50000,IF(AA6=T_AG&amp;"+",40000,IF(OR(AA6=T_MA&amp;"+",AA6=T_AV&amp;"+"),30000,IF(ISERROR(FIND(VLOOKUP(AA6,DBSkills,2,0),$V6)),20000,30000)))))</f>
        <v>0</v>
      </c>
      <c r="AN6" s="159">
        <f t="shared" ref="AN6:AN21" si="12">IF(AB6="",0,IF(AB6=T_ST&amp;"+",50000,IF(AB6=T_AG&amp;"+",40000,IF(OR(AB6=T_MA&amp;"+",AB6=T_AV&amp;"+"),30000,IF(ISERROR(FIND(VLOOKUP(AB6,DBSkills,2,0),$V6)),20000,30000)))))</f>
        <v>0</v>
      </c>
      <c r="AO6" s="159">
        <f t="shared" ref="AO6:AO21" si="13">IF(AC6="",0,IF(AC6=T_ST&amp;"+",50000,IF(AC6=T_AG&amp;"+",40000,IF(OR(AC6=T_MA&amp;"+",AC6=T_AV&amp;"+"),30000,IF(ISERROR(FIND(VLOOKUP(AC6,DBSkills,2,0),$V6)),20000,30000)))))</f>
        <v>0</v>
      </c>
      <c r="AP6" s="159">
        <f t="shared" ref="AP6:AP21" si="14">IF(AD6="",0,IF(AD6=T_ST&amp;"+",50000,IF(AD6=T_AG&amp;"+",40000,IF(OR(AD6=T_MA&amp;"+",AD6=T_AV&amp;"+"),30000,IF(ISERROR(FIND(VLOOKUP(AD6,DBSkills,2,0),$V6)),20000,30000)))))</f>
        <v>0</v>
      </c>
      <c r="AQ6" s="159">
        <f t="array" ref="AQ6">IF(ISERROR($AJ6),0,IF($AJ6="","",SUM(IF($AJ6=$AJ$6:$AJ6,IF($L$6:$L6=T_MNG,1,0),0))))</f>
        <v>0</v>
      </c>
      <c r="AR6" s="160">
        <f t="shared" ref="AR6:AR21" si="15">IF(OR($E6="",LEFT($F6,LEN(T_Error))=T_Error),"",MAX(1,VLOOKUP($AJ6,DBPlayers,4,0)))</f>
        <v>6</v>
      </c>
      <c r="AS6" s="160">
        <f t="shared" ref="AS6:AS21" si="16">IF(OR(($E6=""),(LEFT($F6,LEN(T_Error))=T_Error)),"",MAX(1,VLOOKUP($AJ6,DBPlayers,5,0)))</f>
        <v>4</v>
      </c>
      <c r="AT6" s="160">
        <f t="shared" ref="AT6:AT21" si="17">IF(OR(($E6=""),(LEFT($F6,LEN(T_Error))=T_Error)),"",MAX(1,VLOOKUP($AJ6,DBPlayers,6,0)))</f>
        <v>4</v>
      </c>
      <c r="AU6" s="160">
        <f t="shared" ref="AU6:AU21" si="18">IF(OR(($E6=""),(LEFT($F6,LEN(T_Error))=T_Error)),"",MAX(1,VLOOKUP($AJ6,DBPlayers,7,0)))</f>
        <v>8</v>
      </c>
      <c r="AV6" s="102"/>
      <c r="AW6" s="102"/>
      <c r="AX6" s="102"/>
      <c r="AY6" s="102"/>
    </row>
    <row r="7" spans="1:51" ht="13.5" customHeight="1">
      <c r="A7" s="102"/>
      <c r="B7" s="114"/>
      <c r="C7" s="161">
        <v>2</v>
      </c>
      <c r="D7" s="162" t="s">
        <v>164</v>
      </c>
      <c r="E7" s="162" t="s">
        <v>132</v>
      </c>
      <c r="F7" s="163" t="str">
        <f>IF($E7&lt;&gt;"",IF($AJ7&lt;&gt;"",IF(AND($L7=T_Journey,VLOOKUP($AJ7,DBPlayers,2,0)&lt;12),T_Error&amp;"7",IF("Journeymen not available"=0,T_Error&amp;"8",IF(COUNTIF($E$6:$E7,$E7)-$AQ7&gt;VLOOKUP($AJ7,DBPlayers,2,0),T_Error&amp;"2",IF(L7=T_MNG,0,COUNTIF($E$6:$E7,$E7)-$AQ7)&amp;"/"&amp;(VLOOKUP($AJ7,DBPlayers,2,0))))),T_Error&amp;"1"),"")</f>
        <v>2/6</v>
      </c>
      <c r="G7" s="164">
        <f t="shared" si="0"/>
        <v>6</v>
      </c>
      <c r="H7" s="164">
        <f t="shared" si="1"/>
        <v>4</v>
      </c>
      <c r="I7" s="164">
        <f t="shared" si="2"/>
        <v>4</v>
      </c>
      <c r="J7" s="164">
        <f t="shared" si="3"/>
        <v>8</v>
      </c>
      <c r="K7" s="167" t="str">
        <f t="shared" ca="1" si="4"/>
        <v>Blood Blust, Hypnotic Gaze, Regeneration, Dodge, Block</v>
      </c>
      <c r="L7" s="168"/>
      <c r="M7" s="169">
        <v>1</v>
      </c>
      <c r="N7" s="170">
        <v>1</v>
      </c>
      <c r="O7" s="170"/>
      <c r="P7" s="170">
        <v>3</v>
      </c>
      <c r="Q7" s="170">
        <v>2</v>
      </c>
      <c r="R7" s="171">
        <f t="shared" si="5"/>
        <v>20</v>
      </c>
      <c r="S7" s="172">
        <f t="shared" ref="S7:S21" si="19">IF(OR($E7="",LEFT($F7,LEN(T_Error))=T_Error),"",IF($L7=T_MNG,0,VLOOKUP($AJ7,DBPlayers,11,0)+SUM($AK7:$AP7)))</f>
        <v>150000</v>
      </c>
      <c r="T7" s="117"/>
      <c r="U7" s="152" t="str">
        <f t="shared" si="6"/>
        <v>G A S</v>
      </c>
      <c r="V7" s="152" t="str">
        <f t="shared" si="7"/>
        <v>P</v>
      </c>
      <c r="W7" s="153">
        <f t="shared" si="8"/>
        <v>2</v>
      </c>
      <c r="X7" s="121"/>
      <c r="Y7" s="154" t="s">
        <v>165</v>
      </c>
      <c r="Z7" s="154" t="s">
        <v>162</v>
      </c>
      <c r="AA7" s="154"/>
      <c r="AB7" s="154"/>
      <c r="AC7" s="154"/>
      <c r="AD7" s="155"/>
      <c r="AE7" s="156"/>
      <c r="AF7" s="173"/>
      <c r="AG7" s="174"/>
      <c r="AH7" s="120"/>
      <c r="AI7" s="123">
        <v>2</v>
      </c>
      <c r="AJ7" s="159" t="str">
        <f t="shared" si="9"/>
        <v>Vampire2</v>
      </c>
      <c r="AK7" s="159">
        <f t="shared" ref="AK7:AK21" si="20">IF(Y7="",0,IF(Y7=T_ST&amp;"+",50000,IF(Y7=T_AG&amp;"+",40000,IF(OR(Y7=T_MA&amp;"+",Y7=T_AV&amp;"+"),30000,IF(ISERROR(FIND(VLOOKUP(Y7,DBSkills,2,0),$V7)),20000,30000)))))</f>
        <v>20000</v>
      </c>
      <c r="AL7" s="159">
        <f t="shared" si="10"/>
        <v>20000</v>
      </c>
      <c r="AM7" s="159">
        <f t="shared" si="11"/>
        <v>0</v>
      </c>
      <c r="AN7" s="159">
        <f t="shared" si="12"/>
        <v>0</v>
      </c>
      <c r="AO7" s="159">
        <f t="shared" si="13"/>
        <v>0</v>
      </c>
      <c r="AP7" s="159">
        <f t="shared" si="14"/>
        <v>0</v>
      </c>
      <c r="AQ7" s="159">
        <f t="array" ref="AQ7">IF(ISERROR($AJ7),0,IF($AJ7="","",SUM(IF($AJ7=$AJ$6:$AJ7,IF($L$6:$L7=T_MNG,1,0),0))))</f>
        <v>0</v>
      </c>
      <c r="AR7" s="160">
        <f t="shared" si="15"/>
        <v>6</v>
      </c>
      <c r="AS7" s="160">
        <f t="shared" si="16"/>
        <v>4</v>
      </c>
      <c r="AT7" s="160">
        <f t="shared" si="17"/>
        <v>4</v>
      </c>
      <c r="AU7" s="160">
        <f t="shared" si="18"/>
        <v>8</v>
      </c>
      <c r="AV7" s="102"/>
      <c r="AW7" s="123"/>
      <c r="AX7" s="123"/>
      <c r="AY7" s="123"/>
    </row>
    <row r="8" spans="1:51" ht="13.5" customHeight="1">
      <c r="A8" s="102"/>
      <c r="B8" s="114"/>
      <c r="C8" s="161">
        <v>3</v>
      </c>
      <c r="D8" s="162" t="s">
        <v>166</v>
      </c>
      <c r="E8" s="162" t="s">
        <v>132</v>
      </c>
      <c r="F8" s="163" t="str">
        <f>IF($E8&lt;&gt;"",IF($AJ8&lt;&gt;"",IF(AND($L8=T_Journey,VLOOKUP($AJ8,DBPlayers,2,0)&lt;12),T_Error&amp;"7",IF("Journeymen not available"=0,T_Error&amp;"8",IF(COUNTIF($E$6:$E8,$E8)-$AQ8&gt;VLOOKUP($AJ8,DBPlayers,2,0),T_Error&amp;"2",IF(L8=T_MNG,0,COUNTIF($E$6:$E8,$E8)-$AQ8)&amp;"/"&amp;(VLOOKUP($AJ8,DBPlayers,2,0))))),T_Error&amp;"1"),"")</f>
        <v>3/6</v>
      </c>
      <c r="G8" s="164">
        <f t="shared" si="0"/>
        <v>6</v>
      </c>
      <c r="H8" s="164">
        <f t="shared" si="1"/>
        <v>4</v>
      </c>
      <c r="I8" s="164">
        <f t="shared" si="2"/>
        <v>4</v>
      </c>
      <c r="J8" s="164">
        <f t="shared" si="3"/>
        <v>8</v>
      </c>
      <c r="K8" s="167" t="str">
        <f t="shared" ca="1" si="4"/>
        <v>Blood Blust, Hypnotic Gaze, Regeneration, Dodge, Block</v>
      </c>
      <c r="L8" s="168"/>
      <c r="M8" s="169">
        <v>2</v>
      </c>
      <c r="N8" s="170">
        <v>2</v>
      </c>
      <c r="O8" s="170"/>
      <c r="P8" s="170">
        <v>2</v>
      </c>
      <c r="Q8" s="170">
        <v>1</v>
      </c>
      <c r="R8" s="171">
        <f t="shared" si="5"/>
        <v>17</v>
      </c>
      <c r="S8" s="172">
        <f t="shared" si="19"/>
        <v>150000</v>
      </c>
      <c r="T8" s="117"/>
      <c r="U8" s="152" t="str">
        <f t="shared" si="6"/>
        <v>G A S</v>
      </c>
      <c r="V8" s="152" t="str">
        <f t="shared" si="7"/>
        <v>P</v>
      </c>
      <c r="W8" s="153">
        <f t="shared" si="8"/>
        <v>2</v>
      </c>
      <c r="X8" s="121"/>
      <c r="Y8" s="154" t="s">
        <v>165</v>
      </c>
      <c r="Z8" s="154" t="s">
        <v>162</v>
      </c>
      <c r="AA8" s="154"/>
      <c r="AB8" s="154"/>
      <c r="AC8" s="154"/>
      <c r="AD8" s="155"/>
      <c r="AE8" s="156"/>
      <c r="AF8" s="154"/>
      <c r="AG8" s="155"/>
      <c r="AH8" s="120"/>
      <c r="AI8" s="123">
        <v>3</v>
      </c>
      <c r="AJ8" s="159" t="str">
        <f t="shared" si="9"/>
        <v>Vampire2</v>
      </c>
      <c r="AK8" s="159">
        <f t="shared" si="20"/>
        <v>20000</v>
      </c>
      <c r="AL8" s="159">
        <f t="shared" si="10"/>
        <v>20000</v>
      </c>
      <c r="AM8" s="159">
        <f t="shared" si="11"/>
        <v>0</v>
      </c>
      <c r="AN8" s="159">
        <f t="shared" si="12"/>
        <v>0</v>
      </c>
      <c r="AO8" s="159">
        <f t="shared" si="13"/>
        <v>0</v>
      </c>
      <c r="AP8" s="159">
        <f t="shared" si="14"/>
        <v>0</v>
      </c>
      <c r="AQ8" s="159">
        <f t="array" ref="AQ8">IF(ISERROR($AJ8),0,IF($AJ8="","",SUM(IF($AJ8=$AJ$6:$AJ8,IF($L$6:$L8=T_MNG,1,0),0))))</f>
        <v>0</v>
      </c>
      <c r="AR8" s="160">
        <f t="shared" si="15"/>
        <v>6</v>
      </c>
      <c r="AS8" s="160">
        <f t="shared" si="16"/>
        <v>4</v>
      </c>
      <c r="AT8" s="160">
        <f t="shared" si="17"/>
        <v>4</v>
      </c>
      <c r="AU8" s="160">
        <f t="shared" si="18"/>
        <v>8</v>
      </c>
      <c r="AV8" s="102"/>
      <c r="AW8" s="102"/>
      <c r="AX8" s="102"/>
      <c r="AY8" s="102"/>
    </row>
    <row r="9" spans="1:51" ht="13.5" customHeight="1">
      <c r="A9" s="102"/>
      <c r="B9" s="114"/>
      <c r="C9" s="161">
        <v>4</v>
      </c>
      <c r="D9" s="162" t="s">
        <v>169</v>
      </c>
      <c r="E9" s="162" t="s">
        <v>132</v>
      </c>
      <c r="F9" s="163" t="str">
        <f>IF($E9&lt;&gt;"",IF($AJ9&lt;&gt;"",IF(AND($L9=T_Journey,VLOOKUP($AJ9,DBPlayers,2,0)&lt;12),T_Error&amp;"7",IF("Journeymen not available"=0,T_Error&amp;"8",IF(COUNTIF($E$6:$E9,$E9)-$AQ9&gt;VLOOKUP($AJ9,DBPlayers,2,0),T_Error&amp;"2",IF(L9=T_MNG,0,COUNTIF($E$6:$E9,$E9)-$AQ9)&amp;"/"&amp;(VLOOKUP($AJ9,DBPlayers,2,0))))),T_Error&amp;"1"),"")</f>
        <v>4/6</v>
      </c>
      <c r="G9" s="164">
        <f t="shared" si="0"/>
        <v>6</v>
      </c>
      <c r="H9" s="164">
        <f t="shared" si="1"/>
        <v>4</v>
      </c>
      <c r="I9" s="164">
        <f t="shared" si="2"/>
        <v>4</v>
      </c>
      <c r="J9" s="164">
        <f t="shared" si="3"/>
        <v>8</v>
      </c>
      <c r="K9" s="167" t="str">
        <f t="shared" ca="1" si="4"/>
        <v>Blood Blust, Hypnotic Gaze, Regeneration</v>
      </c>
      <c r="L9" s="168"/>
      <c r="M9" s="169"/>
      <c r="N9" s="170"/>
      <c r="O9" s="170"/>
      <c r="P9" s="170"/>
      <c r="Q9" s="170"/>
      <c r="R9" s="171">
        <f t="shared" si="5"/>
        <v>0</v>
      </c>
      <c r="S9" s="172">
        <f t="shared" si="19"/>
        <v>110000</v>
      </c>
      <c r="T9" s="117"/>
      <c r="U9" s="152" t="str">
        <f t="shared" si="6"/>
        <v>G A S</v>
      </c>
      <c r="V9" s="152" t="str">
        <f t="shared" si="7"/>
        <v>P</v>
      </c>
      <c r="W9" s="153">
        <f t="shared" si="8"/>
        <v>0</v>
      </c>
      <c r="X9" s="121"/>
      <c r="Y9" s="154"/>
      <c r="Z9" s="154"/>
      <c r="AA9" s="154"/>
      <c r="AB9" s="154"/>
      <c r="AC9" s="154"/>
      <c r="AD9" s="155"/>
      <c r="AE9" s="156"/>
      <c r="AF9" s="154"/>
      <c r="AG9" s="155"/>
      <c r="AH9" s="120"/>
      <c r="AI9" s="123">
        <v>4</v>
      </c>
      <c r="AJ9" s="159" t="str">
        <f t="shared" si="9"/>
        <v>Vampire2</v>
      </c>
      <c r="AK9" s="159">
        <f t="shared" si="20"/>
        <v>0</v>
      </c>
      <c r="AL9" s="159">
        <f t="shared" si="10"/>
        <v>0</v>
      </c>
      <c r="AM9" s="159">
        <f t="shared" si="11"/>
        <v>0</v>
      </c>
      <c r="AN9" s="159">
        <f t="shared" si="12"/>
        <v>0</v>
      </c>
      <c r="AO9" s="159">
        <f t="shared" si="13"/>
        <v>0</v>
      </c>
      <c r="AP9" s="159">
        <f t="shared" si="14"/>
        <v>0</v>
      </c>
      <c r="AQ9" s="159">
        <f t="array" ref="AQ9">IF(ISERROR($AJ9),0,IF($AJ9="","",SUM(IF($AJ9=$AJ$6:$AJ9,IF($L$6:$L9=T_MNG,1,0),0))))</f>
        <v>0</v>
      </c>
      <c r="AR9" s="160">
        <f t="shared" si="15"/>
        <v>6</v>
      </c>
      <c r="AS9" s="160">
        <f t="shared" si="16"/>
        <v>4</v>
      </c>
      <c r="AT9" s="160">
        <f t="shared" si="17"/>
        <v>4</v>
      </c>
      <c r="AU9" s="160">
        <f t="shared" si="18"/>
        <v>8</v>
      </c>
      <c r="AV9" s="102"/>
      <c r="AW9" s="102"/>
      <c r="AX9" s="102"/>
      <c r="AY9" s="102"/>
    </row>
    <row r="10" spans="1:51" ht="13.5" customHeight="1">
      <c r="A10" s="102"/>
      <c r="B10" s="114"/>
      <c r="C10" s="161">
        <v>5</v>
      </c>
      <c r="D10" s="162"/>
      <c r="E10" s="162"/>
      <c r="F10" s="163" t="str">
        <f>IF($E10&lt;&gt;"",IF($AJ10&lt;&gt;"",IF(AND($L10=T_Journey,VLOOKUP($AJ10,DBPlayers,2,0)&lt;12),T_Error&amp;"7",IF("Journeymen not available"=0,T_Error&amp;"8",IF(COUNTIF($E$6:$E10,$E10)-$AQ10&gt;VLOOKUP($AJ10,DBPlayers,2,0),T_Error&amp;"2",IF(L10=T_MNG,0,COUNTIF($E$6:$E10,$E10)-$AQ10)&amp;"/"&amp;(VLOOKUP($AJ10,DBPlayers,2,0))))),T_Error&amp;"1"),"")</f>
        <v/>
      </c>
      <c r="G10" s="164" t="str">
        <f t="shared" si="0"/>
        <v/>
      </c>
      <c r="H10" s="164" t="str">
        <f t="shared" si="1"/>
        <v/>
      </c>
      <c r="I10" s="164" t="str">
        <f t="shared" si="2"/>
        <v/>
      </c>
      <c r="J10" s="164" t="str">
        <f t="shared" si="3"/>
        <v/>
      </c>
      <c r="K10" s="167" t="str">
        <f t="shared" ca="1" si="4"/>
        <v/>
      </c>
      <c r="L10" s="168"/>
      <c r="M10" s="169"/>
      <c r="N10" s="170"/>
      <c r="O10" s="170"/>
      <c r="P10" s="170"/>
      <c r="Q10" s="170"/>
      <c r="R10" s="171" t="str">
        <f t="shared" si="5"/>
        <v/>
      </c>
      <c r="S10" s="172" t="str">
        <f t="shared" si="19"/>
        <v/>
      </c>
      <c r="T10" s="117"/>
      <c r="U10" s="152" t="str">
        <f t="shared" si="6"/>
        <v/>
      </c>
      <c r="V10" s="152" t="str">
        <f t="shared" si="7"/>
        <v/>
      </c>
      <c r="W10" s="153" t="str">
        <f t="shared" si="8"/>
        <v/>
      </c>
      <c r="X10" s="121"/>
      <c r="Y10" s="154"/>
      <c r="Z10" s="154"/>
      <c r="AA10" s="154"/>
      <c r="AB10" s="154"/>
      <c r="AC10" s="154"/>
      <c r="AD10" s="155"/>
      <c r="AE10" s="156"/>
      <c r="AF10" s="154"/>
      <c r="AG10" s="155"/>
      <c r="AH10" s="120"/>
      <c r="AI10" s="123">
        <v>5</v>
      </c>
      <c r="AJ10" s="159" t="str">
        <f t="shared" si="9"/>
        <v/>
      </c>
      <c r="AK10" s="159">
        <f t="shared" si="20"/>
        <v>0</v>
      </c>
      <c r="AL10" s="159">
        <f t="shared" si="10"/>
        <v>0</v>
      </c>
      <c r="AM10" s="159">
        <f t="shared" si="11"/>
        <v>0</v>
      </c>
      <c r="AN10" s="159">
        <f t="shared" si="12"/>
        <v>0</v>
      </c>
      <c r="AO10" s="159">
        <f t="shared" si="13"/>
        <v>0</v>
      </c>
      <c r="AP10" s="159">
        <f t="shared" si="14"/>
        <v>0</v>
      </c>
      <c r="AQ10" s="159" t="str">
        <f t="array" ref="AQ10">IF(ISERROR($AJ10),0,IF($AJ10="","",SUM(IF($AJ10=$AJ$6:$AJ10,IF($L$6:$L10=T_MNG,1,0),0))))</f>
        <v/>
      </c>
      <c r="AR10" s="160" t="str">
        <f t="shared" si="15"/>
        <v/>
      </c>
      <c r="AS10" s="160" t="str">
        <f t="shared" si="16"/>
        <v/>
      </c>
      <c r="AT10" s="160" t="str">
        <f t="shared" si="17"/>
        <v/>
      </c>
      <c r="AU10" s="160" t="str">
        <f t="shared" si="18"/>
        <v/>
      </c>
      <c r="AV10" s="102"/>
      <c r="AW10" s="102"/>
      <c r="AX10" s="102"/>
      <c r="AY10" s="102"/>
    </row>
    <row r="11" spans="1:51" ht="13.5" customHeight="1">
      <c r="A11" s="102"/>
      <c r="B11" s="114"/>
      <c r="C11" s="161">
        <v>6</v>
      </c>
      <c r="D11" s="162"/>
      <c r="E11" s="162"/>
      <c r="F11" s="163" t="str">
        <f>IF($E11&lt;&gt;"",IF($AJ11&lt;&gt;"",IF(AND($L11=T_Journey,VLOOKUP($AJ11,DBPlayers,2,0)&lt;12),T_Error&amp;"7",IF("Journeymen not available"=0,T_Error&amp;"8",IF(COUNTIF($E$6:$E11,$E11)-$AQ11&gt;VLOOKUP($AJ11,DBPlayers,2,0),T_Error&amp;"2",IF(L11=T_MNG,0,COUNTIF($E$6:$E11,$E11)-$AQ11)&amp;"/"&amp;(VLOOKUP($AJ11,DBPlayers,2,0))))),T_Error&amp;"1"),"")</f>
        <v/>
      </c>
      <c r="G11" s="164" t="str">
        <f t="shared" si="0"/>
        <v/>
      </c>
      <c r="H11" s="164" t="str">
        <f t="shared" si="1"/>
        <v/>
      </c>
      <c r="I11" s="164" t="str">
        <f t="shared" si="2"/>
        <v/>
      </c>
      <c r="J11" s="164" t="str">
        <f t="shared" si="3"/>
        <v/>
      </c>
      <c r="K11" s="167" t="str">
        <f t="shared" ca="1" si="4"/>
        <v/>
      </c>
      <c r="L11" s="168"/>
      <c r="M11" s="169"/>
      <c r="N11" s="170"/>
      <c r="O11" s="170"/>
      <c r="P11" s="170"/>
      <c r="Q11" s="170"/>
      <c r="R11" s="171" t="str">
        <f t="shared" si="5"/>
        <v/>
      </c>
      <c r="S11" s="172" t="str">
        <f t="shared" si="19"/>
        <v/>
      </c>
      <c r="T11" s="117"/>
      <c r="U11" s="152" t="str">
        <f t="shared" si="6"/>
        <v/>
      </c>
      <c r="V11" s="152" t="str">
        <f t="shared" si="7"/>
        <v/>
      </c>
      <c r="W11" s="153" t="str">
        <f t="shared" si="8"/>
        <v/>
      </c>
      <c r="X11" s="121"/>
      <c r="Y11" s="154"/>
      <c r="Z11" s="154"/>
      <c r="AA11" s="154"/>
      <c r="AB11" s="154"/>
      <c r="AC11" s="154"/>
      <c r="AD11" s="155"/>
      <c r="AE11" s="156"/>
      <c r="AF11" s="154"/>
      <c r="AG11" s="155"/>
      <c r="AH11" s="120"/>
      <c r="AI11" s="123">
        <v>6</v>
      </c>
      <c r="AJ11" s="159" t="str">
        <f t="shared" si="9"/>
        <v/>
      </c>
      <c r="AK11" s="159">
        <f t="shared" si="20"/>
        <v>0</v>
      </c>
      <c r="AL11" s="159">
        <f t="shared" si="10"/>
        <v>0</v>
      </c>
      <c r="AM11" s="159">
        <f t="shared" si="11"/>
        <v>0</v>
      </c>
      <c r="AN11" s="159">
        <f t="shared" si="12"/>
        <v>0</v>
      </c>
      <c r="AO11" s="159">
        <f t="shared" si="13"/>
        <v>0</v>
      </c>
      <c r="AP11" s="159">
        <f t="shared" si="14"/>
        <v>0</v>
      </c>
      <c r="AQ11" s="159" t="str">
        <f t="array" ref="AQ11">IF(ISERROR($AJ11),0,IF($AJ11="","",SUM(IF($AJ11=$AJ$6:$AJ11,IF($L$6:$L11=T_MNG,1,0),0))))</f>
        <v/>
      </c>
      <c r="AR11" s="160" t="str">
        <f t="shared" si="15"/>
        <v/>
      </c>
      <c r="AS11" s="160" t="str">
        <f t="shared" si="16"/>
        <v/>
      </c>
      <c r="AT11" s="160" t="str">
        <f t="shared" si="17"/>
        <v/>
      </c>
      <c r="AU11" s="160" t="str">
        <f t="shared" si="18"/>
        <v/>
      </c>
      <c r="AV11" s="102"/>
      <c r="AW11" s="102"/>
      <c r="AX11" s="102"/>
      <c r="AY11" s="102"/>
    </row>
    <row r="12" spans="1:51" ht="13.5" customHeight="1">
      <c r="A12" s="102"/>
      <c r="B12" s="114"/>
      <c r="C12" s="161">
        <v>7</v>
      </c>
      <c r="D12" s="162" t="s">
        <v>170</v>
      </c>
      <c r="E12" s="162" t="s">
        <v>171</v>
      </c>
      <c r="F12" s="163" t="str">
        <f>IF($E12&lt;&gt;"",IF($AJ12&lt;&gt;"",IF(AND($L12=T_Journey,VLOOKUP($AJ12,DBPlayers,2,0)&lt;12),T_Error&amp;"7",IF("Journeymen not available"=0,T_Error&amp;"8",IF(COUNTIF($E$6:$E12,$E12)-$AQ12&gt;VLOOKUP($AJ12,DBPlayers,2,0),T_Error&amp;"2",IF(L12=T_MNG,0,COUNTIF($E$6:$E12,$E12)-$AQ12)&amp;"/"&amp;(VLOOKUP($AJ12,DBPlayers,2,0))))),T_Error&amp;"1"),"")</f>
        <v>1/16</v>
      </c>
      <c r="G12" s="164">
        <f t="shared" si="0"/>
        <v>6</v>
      </c>
      <c r="H12" s="164">
        <f t="shared" si="1"/>
        <v>3</v>
      </c>
      <c r="I12" s="164">
        <f t="shared" si="2"/>
        <v>3</v>
      </c>
      <c r="J12" s="164">
        <f t="shared" si="3"/>
        <v>7</v>
      </c>
      <c r="K12" s="167" t="str">
        <f t="shared" ca="1" si="4"/>
        <v>Wrestle</v>
      </c>
      <c r="L12" s="168"/>
      <c r="M12" s="169">
        <v>1</v>
      </c>
      <c r="N12" s="170">
        <v>1</v>
      </c>
      <c r="O12" s="170"/>
      <c r="P12" s="170"/>
      <c r="Q12" s="170">
        <v>1</v>
      </c>
      <c r="R12" s="171">
        <f t="shared" si="5"/>
        <v>9</v>
      </c>
      <c r="S12" s="172">
        <f t="shared" si="19"/>
        <v>60000</v>
      </c>
      <c r="T12" s="117"/>
      <c r="U12" s="152" t="str">
        <f t="shared" si="6"/>
        <v>G</v>
      </c>
      <c r="V12" s="152" t="str">
        <f t="shared" si="7"/>
        <v>A S P</v>
      </c>
      <c r="W12" s="153">
        <f t="shared" si="8"/>
        <v>1</v>
      </c>
      <c r="X12" s="121"/>
      <c r="Y12" s="154" t="s">
        <v>172</v>
      </c>
      <c r="Z12" s="154"/>
      <c r="AA12" s="154"/>
      <c r="AB12" s="154"/>
      <c r="AC12" s="154"/>
      <c r="AD12" s="155"/>
      <c r="AE12" s="156"/>
      <c r="AF12" s="154"/>
      <c r="AG12" s="155"/>
      <c r="AH12" s="120"/>
      <c r="AI12" s="123">
        <v>7</v>
      </c>
      <c r="AJ12" s="159" t="str">
        <f t="shared" si="9"/>
        <v>Vampire1</v>
      </c>
      <c r="AK12" s="159">
        <f t="shared" si="20"/>
        <v>20000</v>
      </c>
      <c r="AL12" s="159">
        <f t="shared" si="10"/>
        <v>0</v>
      </c>
      <c r="AM12" s="159">
        <f t="shared" si="11"/>
        <v>0</v>
      </c>
      <c r="AN12" s="159">
        <f t="shared" si="12"/>
        <v>0</v>
      </c>
      <c r="AO12" s="159">
        <f t="shared" si="13"/>
        <v>0</v>
      </c>
      <c r="AP12" s="159">
        <f t="shared" si="14"/>
        <v>0</v>
      </c>
      <c r="AQ12" s="159">
        <f t="array" ref="AQ12">IF(ISERROR($AJ12),0,IF($AJ12="","",SUM(IF($AJ12=$AJ$6:$AJ12,IF($L$6:$L12=T_MNG,1,0),0))))</f>
        <v>0</v>
      </c>
      <c r="AR12" s="160">
        <f t="shared" si="15"/>
        <v>6</v>
      </c>
      <c r="AS12" s="160">
        <f t="shared" si="16"/>
        <v>3</v>
      </c>
      <c r="AT12" s="160">
        <f t="shared" si="17"/>
        <v>3</v>
      </c>
      <c r="AU12" s="160">
        <f t="shared" si="18"/>
        <v>7</v>
      </c>
      <c r="AV12" s="102"/>
      <c r="AW12" s="102"/>
      <c r="AX12" s="102"/>
      <c r="AY12" s="102"/>
    </row>
    <row r="13" spans="1:51" ht="13.5" customHeight="1">
      <c r="A13" s="102"/>
      <c r="B13" s="114"/>
      <c r="C13" s="161">
        <v>8</v>
      </c>
      <c r="D13" s="162" t="s">
        <v>173</v>
      </c>
      <c r="E13" s="162" t="s">
        <v>171</v>
      </c>
      <c r="F13" s="163" t="str">
        <f>IF($E13&lt;&gt;"",IF($AJ13&lt;&gt;"",IF(AND($L13=T_Journey,VLOOKUP($AJ13,DBPlayers,2,0)&lt;12),T_Error&amp;"7",IF("Journeymen not available"=0,T_Error&amp;"8",IF(COUNTIF($E$6:$E13,$E13)-$AQ13&gt;VLOOKUP($AJ13,DBPlayers,2,0),T_Error&amp;"2",IF(L13=T_MNG,0,COUNTIF($E$6:$E13,$E13)-$AQ13)&amp;"/"&amp;(VLOOKUP($AJ13,DBPlayers,2,0))))),T_Error&amp;"1"),"")</f>
        <v>2/16</v>
      </c>
      <c r="G13" s="164">
        <f t="shared" si="0"/>
        <v>6</v>
      </c>
      <c r="H13" s="164">
        <f t="shared" si="1"/>
        <v>3</v>
      </c>
      <c r="I13" s="164">
        <f t="shared" si="2"/>
        <v>3</v>
      </c>
      <c r="J13" s="164">
        <f t="shared" si="3"/>
        <v>7</v>
      </c>
      <c r="K13" s="167" t="str">
        <f t="shared" ca="1" si="4"/>
        <v/>
      </c>
      <c r="L13" s="168"/>
      <c r="M13" s="169"/>
      <c r="N13" s="170"/>
      <c r="O13" s="170"/>
      <c r="P13" s="170"/>
      <c r="Q13" s="170"/>
      <c r="R13" s="171">
        <f t="shared" si="5"/>
        <v>0</v>
      </c>
      <c r="S13" s="172">
        <f t="shared" si="19"/>
        <v>40000</v>
      </c>
      <c r="T13" s="117"/>
      <c r="U13" s="152" t="str">
        <f t="shared" si="6"/>
        <v>G</v>
      </c>
      <c r="V13" s="152" t="str">
        <f t="shared" si="7"/>
        <v>A S P</v>
      </c>
      <c r="W13" s="153">
        <f t="shared" si="8"/>
        <v>0</v>
      </c>
      <c r="X13" s="121"/>
      <c r="Y13" s="154"/>
      <c r="Z13" s="154"/>
      <c r="AA13" s="154"/>
      <c r="AB13" s="154"/>
      <c r="AC13" s="154"/>
      <c r="AD13" s="155"/>
      <c r="AE13" s="156"/>
      <c r="AF13" s="154"/>
      <c r="AG13" s="155"/>
      <c r="AH13" s="120"/>
      <c r="AI13" s="123">
        <v>8</v>
      </c>
      <c r="AJ13" s="159" t="str">
        <f t="shared" si="9"/>
        <v>Vampire1</v>
      </c>
      <c r="AK13" s="159">
        <f t="shared" si="20"/>
        <v>0</v>
      </c>
      <c r="AL13" s="159">
        <f t="shared" si="10"/>
        <v>0</v>
      </c>
      <c r="AM13" s="159">
        <f t="shared" si="11"/>
        <v>0</v>
      </c>
      <c r="AN13" s="159">
        <f t="shared" si="12"/>
        <v>0</v>
      </c>
      <c r="AO13" s="159">
        <f t="shared" si="13"/>
        <v>0</v>
      </c>
      <c r="AP13" s="159">
        <f t="shared" si="14"/>
        <v>0</v>
      </c>
      <c r="AQ13" s="159">
        <f t="array" ref="AQ13">IF(ISERROR($AJ13),0,IF($AJ13="","",SUM(IF($AJ13=$AJ$6:$AJ13,IF($L$6:$L13=T_MNG,1,0),0))))</f>
        <v>0</v>
      </c>
      <c r="AR13" s="160">
        <f t="shared" si="15"/>
        <v>6</v>
      </c>
      <c r="AS13" s="160">
        <f t="shared" si="16"/>
        <v>3</v>
      </c>
      <c r="AT13" s="160">
        <f t="shared" si="17"/>
        <v>3</v>
      </c>
      <c r="AU13" s="160">
        <f t="shared" si="18"/>
        <v>7</v>
      </c>
      <c r="AV13" s="102"/>
      <c r="AW13" s="102"/>
      <c r="AX13" s="102"/>
      <c r="AY13" s="102"/>
    </row>
    <row r="14" spans="1:51" ht="13.5" customHeight="1">
      <c r="A14" s="102"/>
      <c r="B14" s="114"/>
      <c r="C14" s="161">
        <v>9</v>
      </c>
      <c r="D14" s="162" t="s">
        <v>174</v>
      </c>
      <c r="E14" s="162" t="s">
        <v>171</v>
      </c>
      <c r="F14" s="163" t="str">
        <f>IF($E14&lt;&gt;"",IF($AJ14&lt;&gt;"",IF(AND($L14=T_Journey,VLOOKUP($AJ14,DBPlayers,2,0)&lt;12),T_Error&amp;"7",IF("Journeymen not available"=0,T_Error&amp;"8",IF(COUNTIF($E$6:$E14,$E14)-$AQ14&gt;VLOOKUP($AJ14,DBPlayers,2,0),T_Error&amp;"2",IF(L14=T_MNG,0,COUNTIF($E$6:$E14,$E14)-$AQ14)&amp;"/"&amp;(VLOOKUP($AJ14,DBPlayers,2,0))))),T_Error&amp;"1"),"")</f>
        <v>3/16</v>
      </c>
      <c r="G14" s="164">
        <f t="shared" si="0"/>
        <v>6</v>
      </c>
      <c r="H14" s="164">
        <f t="shared" si="1"/>
        <v>3</v>
      </c>
      <c r="I14" s="164">
        <f t="shared" si="2"/>
        <v>3</v>
      </c>
      <c r="J14" s="164">
        <f t="shared" si="3"/>
        <v>7</v>
      </c>
      <c r="K14" s="167" t="str">
        <f t="shared" ca="1" si="4"/>
        <v/>
      </c>
      <c r="L14" s="168"/>
      <c r="M14" s="169">
        <v>1</v>
      </c>
      <c r="N14" s="170"/>
      <c r="O14" s="170"/>
      <c r="P14" s="170">
        <v>1</v>
      </c>
      <c r="Q14" s="170"/>
      <c r="R14" s="171">
        <f t="shared" si="5"/>
        <v>3</v>
      </c>
      <c r="S14" s="172">
        <f t="shared" si="19"/>
        <v>40000</v>
      </c>
      <c r="T14" s="117"/>
      <c r="U14" s="152" t="str">
        <f t="shared" si="6"/>
        <v>G</v>
      </c>
      <c r="V14" s="152" t="str">
        <f t="shared" si="7"/>
        <v>A S P</v>
      </c>
      <c r="W14" s="153">
        <f t="shared" si="8"/>
        <v>0</v>
      </c>
      <c r="X14" s="121"/>
      <c r="Y14" s="154"/>
      <c r="Z14" s="154"/>
      <c r="AA14" s="154"/>
      <c r="AB14" s="154"/>
      <c r="AC14" s="154"/>
      <c r="AD14" s="155"/>
      <c r="AE14" s="156"/>
      <c r="AF14" s="154"/>
      <c r="AG14" s="155"/>
      <c r="AH14" s="120"/>
      <c r="AI14" s="123">
        <v>9</v>
      </c>
      <c r="AJ14" s="159" t="str">
        <f t="shared" si="9"/>
        <v>Vampire1</v>
      </c>
      <c r="AK14" s="159">
        <f t="shared" si="20"/>
        <v>0</v>
      </c>
      <c r="AL14" s="159">
        <f t="shared" si="10"/>
        <v>0</v>
      </c>
      <c r="AM14" s="159">
        <f t="shared" si="11"/>
        <v>0</v>
      </c>
      <c r="AN14" s="159">
        <f t="shared" si="12"/>
        <v>0</v>
      </c>
      <c r="AO14" s="159">
        <f t="shared" si="13"/>
        <v>0</v>
      </c>
      <c r="AP14" s="159">
        <f t="shared" si="14"/>
        <v>0</v>
      </c>
      <c r="AQ14" s="159">
        <f t="array" ref="AQ14">IF(ISERROR($AJ14),0,IF($AJ14="","",SUM(IF($AJ14=$AJ$6:$AJ14,IF($L$6:$L14=T_MNG,1,0),0))))</f>
        <v>0</v>
      </c>
      <c r="AR14" s="160">
        <f t="shared" si="15"/>
        <v>6</v>
      </c>
      <c r="AS14" s="160">
        <f t="shared" si="16"/>
        <v>3</v>
      </c>
      <c r="AT14" s="160">
        <f t="shared" si="17"/>
        <v>3</v>
      </c>
      <c r="AU14" s="160">
        <f t="shared" si="18"/>
        <v>7</v>
      </c>
      <c r="AV14" s="102"/>
      <c r="AW14" s="102"/>
      <c r="AX14" s="102"/>
      <c r="AY14" s="102"/>
    </row>
    <row r="15" spans="1:51" ht="13.5" customHeight="1">
      <c r="A15" s="102"/>
      <c r="B15" s="114"/>
      <c r="C15" s="161">
        <v>10</v>
      </c>
      <c r="D15" s="162" t="s">
        <v>175</v>
      </c>
      <c r="E15" s="162" t="s">
        <v>171</v>
      </c>
      <c r="F15" s="163" t="str">
        <f>IF($E15&lt;&gt;"",IF($AJ15&lt;&gt;"",IF(AND($L15=T_Journey,VLOOKUP($AJ15,DBPlayers,2,0)&lt;12),T_Error&amp;"7",IF("Journeymen not available"=0,T_Error&amp;"8",IF(COUNTIF($E$6:$E15,$E15)-$AQ15&gt;VLOOKUP($AJ15,DBPlayers,2,0),T_Error&amp;"2",IF(L15=T_MNG,0,COUNTIF($E$6:$E15,$E15)-$AQ15)&amp;"/"&amp;(VLOOKUP($AJ15,DBPlayers,2,0))))),T_Error&amp;"1"),"")</f>
        <v>0/16</v>
      </c>
      <c r="G15" s="164">
        <f t="shared" si="0"/>
        <v>6</v>
      </c>
      <c r="H15" s="164">
        <f t="shared" si="1"/>
        <v>3</v>
      </c>
      <c r="I15" s="164">
        <f t="shared" si="2"/>
        <v>3</v>
      </c>
      <c r="J15" s="164">
        <f t="shared" si="3"/>
        <v>6</v>
      </c>
      <c r="K15" s="167" t="str">
        <f t="shared" ca="1" si="4"/>
        <v>AV-</v>
      </c>
      <c r="L15" s="168" t="s">
        <v>176</v>
      </c>
      <c r="M15" s="169"/>
      <c r="N15" s="170"/>
      <c r="O15" s="170"/>
      <c r="P15" s="170"/>
      <c r="Q15" s="170"/>
      <c r="R15" s="171">
        <f t="shared" si="5"/>
        <v>0</v>
      </c>
      <c r="S15" s="172">
        <f t="shared" si="19"/>
        <v>0</v>
      </c>
      <c r="T15" s="117"/>
      <c r="U15" s="152" t="str">
        <f t="shared" si="6"/>
        <v>G</v>
      </c>
      <c r="V15" s="152" t="str">
        <f t="shared" si="7"/>
        <v>A S P</v>
      </c>
      <c r="W15" s="153">
        <f t="shared" si="8"/>
        <v>0</v>
      </c>
      <c r="X15" s="121"/>
      <c r="Y15" s="154"/>
      <c r="Z15" s="154"/>
      <c r="AA15" s="154"/>
      <c r="AB15" s="154"/>
      <c r="AC15" s="154"/>
      <c r="AD15" s="155"/>
      <c r="AE15" s="156" t="s">
        <v>177</v>
      </c>
      <c r="AF15" s="154"/>
      <c r="AG15" s="155"/>
      <c r="AH15" s="120"/>
      <c r="AI15" s="123">
        <v>10</v>
      </c>
      <c r="AJ15" s="159" t="str">
        <f t="shared" si="9"/>
        <v>Vampire1</v>
      </c>
      <c r="AK15" s="159">
        <f t="shared" si="20"/>
        <v>0</v>
      </c>
      <c r="AL15" s="159">
        <f t="shared" si="10"/>
        <v>0</v>
      </c>
      <c r="AM15" s="159">
        <f t="shared" si="11"/>
        <v>0</v>
      </c>
      <c r="AN15" s="159">
        <f t="shared" si="12"/>
        <v>0</v>
      </c>
      <c r="AO15" s="159">
        <f t="shared" si="13"/>
        <v>0</v>
      </c>
      <c r="AP15" s="159">
        <f t="shared" si="14"/>
        <v>0</v>
      </c>
      <c r="AQ15" s="159">
        <f t="array" ref="AQ15">IF(ISERROR($AJ15),0,IF($AJ15="","",SUM(IF($AJ15=$AJ$6:$AJ15,IF($L$6:$L15=T_MNG,1,0),0))))</f>
        <v>1</v>
      </c>
      <c r="AR15" s="160">
        <f t="shared" si="15"/>
        <v>6</v>
      </c>
      <c r="AS15" s="160">
        <f t="shared" si="16"/>
        <v>3</v>
      </c>
      <c r="AT15" s="160">
        <f t="shared" si="17"/>
        <v>3</v>
      </c>
      <c r="AU15" s="160">
        <f t="shared" si="18"/>
        <v>7</v>
      </c>
      <c r="AV15" s="102"/>
      <c r="AW15" s="102"/>
      <c r="AX15" s="102"/>
      <c r="AY15" s="102"/>
    </row>
    <row r="16" spans="1:51" ht="13.5" customHeight="1">
      <c r="A16" s="102"/>
      <c r="B16" s="114"/>
      <c r="C16" s="161">
        <v>11</v>
      </c>
      <c r="D16" s="162" t="s">
        <v>178</v>
      </c>
      <c r="E16" s="162" t="s">
        <v>171</v>
      </c>
      <c r="F16" s="163" t="str">
        <f>IF($E16&lt;&gt;"",IF($AJ16&lt;&gt;"",IF(AND($L16=T_Journey,VLOOKUP($AJ16,DBPlayers,2,0)&lt;12),T_Error&amp;"7",IF("Journeymen not available"=0,T_Error&amp;"8",IF(COUNTIF($E$6:$E16,$E16)-$AQ16&gt;VLOOKUP($AJ16,DBPlayers,2,0),T_Error&amp;"2",IF(L16=T_MNG,0,COUNTIF($E$6:$E16,$E16)-$AQ16)&amp;"/"&amp;(VLOOKUP($AJ16,DBPlayers,2,0))))),T_Error&amp;"1"),"")</f>
        <v>4/16</v>
      </c>
      <c r="G16" s="164">
        <f t="shared" si="0"/>
        <v>6</v>
      </c>
      <c r="H16" s="164">
        <f t="shared" si="1"/>
        <v>3</v>
      </c>
      <c r="I16" s="164">
        <f t="shared" si="2"/>
        <v>3</v>
      </c>
      <c r="J16" s="164">
        <f t="shared" si="3"/>
        <v>7</v>
      </c>
      <c r="K16" s="167" t="str">
        <f t="shared" ca="1" si="4"/>
        <v/>
      </c>
      <c r="L16" s="168"/>
      <c r="M16" s="169"/>
      <c r="N16" s="170"/>
      <c r="O16" s="170"/>
      <c r="P16" s="170"/>
      <c r="Q16" s="170"/>
      <c r="R16" s="171">
        <f t="shared" si="5"/>
        <v>0</v>
      </c>
      <c r="S16" s="172">
        <f t="shared" si="19"/>
        <v>40000</v>
      </c>
      <c r="T16" s="117"/>
      <c r="U16" s="152" t="str">
        <f t="shared" si="6"/>
        <v>G</v>
      </c>
      <c r="V16" s="152" t="str">
        <f t="shared" si="7"/>
        <v>A S P</v>
      </c>
      <c r="W16" s="153">
        <f t="shared" si="8"/>
        <v>0</v>
      </c>
      <c r="X16" s="121"/>
      <c r="Y16" s="154"/>
      <c r="Z16" s="154"/>
      <c r="AA16" s="154"/>
      <c r="AB16" s="154"/>
      <c r="AC16" s="154"/>
      <c r="AD16" s="155"/>
      <c r="AE16" s="156"/>
      <c r="AF16" s="154"/>
      <c r="AG16" s="155"/>
      <c r="AH16" s="120"/>
      <c r="AI16" s="123">
        <v>11</v>
      </c>
      <c r="AJ16" s="159" t="str">
        <f t="shared" si="9"/>
        <v>Vampire1</v>
      </c>
      <c r="AK16" s="159">
        <f t="shared" si="20"/>
        <v>0</v>
      </c>
      <c r="AL16" s="159">
        <f t="shared" si="10"/>
        <v>0</v>
      </c>
      <c r="AM16" s="159">
        <f t="shared" si="11"/>
        <v>0</v>
      </c>
      <c r="AN16" s="159">
        <f t="shared" si="12"/>
        <v>0</v>
      </c>
      <c r="AO16" s="159">
        <f t="shared" si="13"/>
        <v>0</v>
      </c>
      <c r="AP16" s="159">
        <f t="shared" si="14"/>
        <v>0</v>
      </c>
      <c r="AQ16" s="159">
        <f t="array" ref="AQ16">IF(ISERROR($AJ16),0,IF($AJ16="","",SUM(IF($AJ16=$AJ$6:$AJ16,IF($L$6:$L16=T_MNG,1,0),0))))</f>
        <v>1</v>
      </c>
      <c r="AR16" s="160">
        <f t="shared" si="15"/>
        <v>6</v>
      </c>
      <c r="AS16" s="160">
        <f t="shared" si="16"/>
        <v>3</v>
      </c>
      <c r="AT16" s="160">
        <f t="shared" si="17"/>
        <v>3</v>
      </c>
      <c r="AU16" s="160">
        <f t="shared" si="18"/>
        <v>7</v>
      </c>
      <c r="AV16" s="102"/>
      <c r="AW16" s="102"/>
      <c r="AX16" s="102"/>
      <c r="AY16" s="102"/>
    </row>
    <row r="17" spans="1:51" ht="13.5" customHeight="1">
      <c r="A17" s="102"/>
      <c r="B17" s="114"/>
      <c r="C17" s="161">
        <v>12</v>
      </c>
      <c r="D17" s="162" t="s">
        <v>179</v>
      </c>
      <c r="E17" s="162" t="s">
        <v>171</v>
      </c>
      <c r="F17" s="163" t="str">
        <f>IF($E17&lt;&gt;"",IF($AJ17&lt;&gt;"",IF(AND($L17=T_Journey,VLOOKUP($AJ17,DBPlayers,2,0)&lt;12),T_Error&amp;"7",IF("Journeymen not available"=0,T_Error&amp;"8",IF(COUNTIF($E$6:$E17,$E17)-$AQ17&gt;VLOOKUP($AJ17,DBPlayers,2,0),T_Error&amp;"2",IF(L17=T_MNG,0,COUNTIF($E$6:$E17,$E17)-$AQ17)&amp;"/"&amp;(VLOOKUP($AJ17,DBPlayers,2,0))))),T_Error&amp;"1"),"")</f>
        <v>5/16</v>
      </c>
      <c r="G17" s="164">
        <f t="shared" si="0"/>
        <v>6</v>
      </c>
      <c r="H17" s="164">
        <f t="shared" si="1"/>
        <v>3</v>
      </c>
      <c r="I17" s="164">
        <f t="shared" si="2"/>
        <v>3</v>
      </c>
      <c r="J17" s="164">
        <f t="shared" si="3"/>
        <v>7</v>
      </c>
      <c r="K17" s="167" t="str">
        <f t="shared" ca="1" si="4"/>
        <v/>
      </c>
      <c r="L17" s="168"/>
      <c r="M17" s="169"/>
      <c r="N17" s="170"/>
      <c r="O17" s="170"/>
      <c r="P17" s="170">
        <v>1</v>
      </c>
      <c r="Q17" s="170"/>
      <c r="R17" s="171">
        <f t="shared" si="5"/>
        <v>2</v>
      </c>
      <c r="S17" s="172">
        <f t="shared" si="19"/>
        <v>40000</v>
      </c>
      <c r="T17" s="117"/>
      <c r="U17" s="152" t="str">
        <f t="shared" si="6"/>
        <v>G</v>
      </c>
      <c r="V17" s="152" t="str">
        <f t="shared" si="7"/>
        <v>A S P</v>
      </c>
      <c r="W17" s="153">
        <f t="shared" si="8"/>
        <v>0</v>
      </c>
      <c r="X17" s="121"/>
      <c r="Y17" s="154"/>
      <c r="Z17" s="154"/>
      <c r="AA17" s="154"/>
      <c r="AB17" s="154"/>
      <c r="AC17" s="154"/>
      <c r="AD17" s="155"/>
      <c r="AE17" s="156"/>
      <c r="AF17" s="154"/>
      <c r="AG17" s="155"/>
      <c r="AH17" s="120"/>
      <c r="AI17" s="123">
        <v>12</v>
      </c>
      <c r="AJ17" s="159" t="str">
        <f t="shared" si="9"/>
        <v>Vampire1</v>
      </c>
      <c r="AK17" s="159">
        <f t="shared" si="20"/>
        <v>0</v>
      </c>
      <c r="AL17" s="159">
        <f t="shared" si="10"/>
        <v>0</v>
      </c>
      <c r="AM17" s="159">
        <f t="shared" si="11"/>
        <v>0</v>
      </c>
      <c r="AN17" s="159">
        <f t="shared" si="12"/>
        <v>0</v>
      </c>
      <c r="AO17" s="159">
        <f t="shared" si="13"/>
        <v>0</v>
      </c>
      <c r="AP17" s="159">
        <f t="shared" si="14"/>
        <v>0</v>
      </c>
      <c r="AQ17" s="159">
        <f t="array" ref="AQ17">IF(ISERROR($AJ17),0,IF($AJ17="","",SUM(IF($AJ17=$AJ$6:$AJ17,IF($L$6:$L17=T_MNG,1,0),0))))</f>
        <v>1</v>
      </c>
      <c r="AR17" s="160">
        <f t="shared" si="15"/>
        <v>6</v>
      </c>
      <c r="AS17" s="160">
        <f t="shared" si="16"/>
        <v>3</v>
      </c>
      <c r="AT17" s="160">
        <f t="shared" si="17"/>
        <v>3</v>
      </c>
      <c r="AU17" s="160">
        <f t="shared" si="18"/>
        <v>7</v>
      </c>
      <c r="AV17" s="102"/>
      <c r="AW17" s="102"/>
      <c r="AX17" s="102"/>
      <c r="AY17" s="102"/>
    </row>
    <row r="18" spans="1:51" ht="13.5" customHeight="1">
      <c r="A18" s="102"/>
      <c r="B18" s="114"/>
      <c r="C18" s="161">
        <v>13</v>
      </c>
      <c r="D18" s="162" t="s">
        <v>180</v>
      </c>
      <c r="E18" s="162" t="s">
        <v>171</v>
      </c>
      <c r="F18" s="163" t="str">
        <f>IF($E18&lt;&gt;"",IF($AJ18&lt;&gt;"",IF(AND($L18=T_Journey,VLOOKUP($AJ18,DBPlayers,2,0)&lt;12),T_Error&amp;"7",IF("Journeymen not available"=0,T_Error&amp;"8",IF(COUNTIF($E$6:$E18,$E18)-$AQ18&gt;VLOOKUP($AJ18,DBPlayers,2,0),T_Error&amp;"2",IF(L18=T_MNG,0,COUNTIF($E$6:$E18,$E18)-$AQ18)&amp;"/"&amp;(VLOOKUP($AJ18,DBPlayers,2,0))))),T_Error&amp;"1"),"")</f>
        <v>6/16</v>
      </c>
      <c r="G18" s="164">
        <f t="shared" si="0"/>
        <v>6</v>
      </c>
      <c r="H18" s="164">
        <f t="shared" si="1"/>
        <v>3</v>
      </c>
      <c r="I18" s="164">
        <f t="shared" si="2"/>
        <v>3</v>
      </c>
      <c r="J18" s="164">
        <f t="shared" si="3"/>
        <v>7</v>
      </c>
      <c r="K18" s="167" t="str">
        <f t="shared" ca="1" si="4"/>
        <v/>
      </c>
      <c r="L18" s="168"/>
      <c r="M18" s="169"/>
      <c r="N18" s="170"/>
      <c r="O18" s="170"/>
      <c r="P18" s="170"/>
      <c r="Q18" s="170"/>
      <c r="R18" s="171">
        <f t="shared" si="5"/>
        <v>0</v>
      </c>
      <c r="S18" s="172">
        <f t="shared" si="19"/>
        <v>40000</v>
      </c>
      <c r="T18" s="117"/>
      <c r="U18" s="152" t="str">
        <f t="shared" si="6"/>
        <v>G</v>
      </c>
      <c r="V18" s="152" t="str">
        <f t="shared" si="7"/>
        <v>A S P</v>
      </c>
      <c r="W18" s="153">
        <f t="shared" si="8"/>
        <v>0</v>
      </c>
      <c r="X18" s="121"/>
      <c r="Y18" s="154"/>
      <c r="Z18" s="154"/>
      <c r="AA18" s="154"/>
      <c r="AB18" s="154"/>
      <c r="AC18" s="154"/>
      <c r="AD18" s="155"/>
      <c r="AE18" s="156"/>
      <c r="AF18" s="154"/>
      <c r="AG18" s="155"/>
      <c r="AH18" s="120"/>
      <c r="AI18" s="123">
        <v>13</v>
      </c>
      <c r="AJ18" s="159" t="str">
        <f t="shared" si="9"/>
        <v>Vampire1</v>
      </c>
      <c r="AK18" s="159">
        <f t="shared" si="20"/>
        <v>0</v>
      </c>
      <c r="AL18" s="159">
        <f t="shared" si="10"/>
        <v>0</v>
      </c>
      <c r="AM18" s="159">
        <f t="shared" si="11"/>
        <v>0</v>
      </c>
      <c r="AN18" s="159">
        <f t="shared" si="12"/>
        <v>0</v>
      </c>
      <c r="AO18" s="159">
        <f t="shared" si="13"/>
        <v>0</v>
      </c>
      <c r="AP18" s="159">
        <f t="shared" si="14"/>
        <v>0</v>
      </c>
      <c r="AQ18" s="159">
        <f t="array" ref="AQ18">IF(ISERROR($AJ18),0,IF($AJ18="","",SUM(IF($AJ18=$AJ$6:$AJ18,IF($L$6:$L18=T_MNG,1,0),0))))</f>
        <v>1</v>
      </c>
      <c r="AR18" s="160">
        <f t="shared" si="15"/>
        <v>6</v>
      </c>
      <c r="AS18" s="160">
        <f t="shared" si="16"/>
        <v>3</v>
      </c>
      <c r="AT18" s="160">
        <f t="shared" si="17"/>
        <v>3</v>
      </c>
      <c r="AU18" s="160">
        <f t="shared" si="18"/>
        <v>7</v>
      </c>
      <c r="AV18" s="102"/>
      <c r="AW18" s="102"/>
      <c r="AX18" s="102"/>
      <c r="AY18" s="102"/>
    </row>
    <row r="19" spans="1:51" ht="13.5" customHeight="1">
      <c r="A19" s="102"/>
      <c r="B19" s="114"/>
      <c r="C19" s="161">
        <v>14</v>
      </c>
      <c r="D19" s="162" t="s">
        <v>181</v>
      </c>
      <c r="E19" s="162" t="s">
        <v>171</v>
      </c>
      <c r="F19" s="163" t="str">
        <f>IF($E19&lt;&gt;"",IF($AJ19&lt;&gt;"",IF(AND($L19=T_Journey,VLOOKUP($AJ19,DBPlayers,2,0)&lt;12),T_Error&amp;"7",IF("Journeymen not available"=0,T_Error&amp;"8",IF(COUNTIF($E$6:$E19,$E19)-$AQ19&gt;VLOOKUP($AJ19,DBPlayers,2,0),T_Error&amp;"2",IF(L19=T_MNG,0,COUNTIF($E$6:$E19,$E19)-$AQ19)&amp;"/"&amp;(VLOOKUP($AJ19,DBPlayers,2,0))))),T_Error&amp;"1"),"")</f>
        <v>7/16</v>
      </c>
      <c r="G19" s="164">
        <f t="shared" si="0"/>
        <v>6</v>
      </c>
      <c r="H19" s="164">
        <f t="shared" si="1"/>
        <v>3</v>
      </c>
      <c r="I19" s="164">
        <f t="shared" si="2"/>
        <v>3</v>
      </c>
      <c r="J19" s="164">
        <f t="shared" si="3"/>
        <v>7</v>
      </c>
      <c r="K19" s="167" t="str">
        <f t="shared" ca="1" si="4"/>
        <v/>
      </c>
      <c r="L19" s="168"/>
      <c r="M19" s="169"/>
      <c r="N19" s="170"/>
      <c r="O19" s="170"/>
      <c r="P19" s="170"/>
      <c r="Q19" s="170"/>
      <c r="R19" s="171">
        <f t="shared" si="5"/>
        <v>0</v>
      </c>
      <c r="S19" s="172">
        <f t="shared" si="19"/>
        <v>40000</v>
      </c>
      <c r="T19" s="117"/>
      <c r="U19" s="152" t="str">
        <f t="shared" si="6"/>
        <v>G</v>
      </c>
      <c r="V19" s="152" t="str">
        <f t="shared" si="7"/>
        <v>A S P</v>
      </c>
      <c r="W19" s="153">
        <f t="shared" si="8"/>
        <v>0</v>
      </c>
      <c r="X19" s="121"/>
      <c r="Y19" s="154"/>
      <c r="Z19" s="154"/>
      <c r="AA19" s="154"/>
      <c r="AB19" s="154"/>
      <c r="AC19" s="154"/>
      <c r="AD19" s="155"/>
      <c r="AE19" s="156"/>
      <c r="AF19" s="154"/>
      <c r="AG19" s="155"/>
      <c r="AH19" s="120"/>
      <c r="AI19" s="123">
        <v>14</v>
      </c>
      <c r="AJ19" s="159" t="str">
        <f t="shared" si="9"/>
        <v>Vampire1</v>
      </c>
      <c r="AK19" s="159">
        <f t="shared" si="20"/>
        <v>0</v>
      </c>
      <c r="AL19" s="159">
        <f t="shared" si="10"/>
        <v>0</v>
      </c>
      <c r="AM19" s="159">
        <f t="shared" si="11"/>
        <v>0</v>
      </c>
      <c r="AN19" s="159">
        <f t="shared" si="12"/>
        <v>0</v>
      </c>
      <c r="AO19" s="159">
        <f t="shared" si="13"/>
        <v>0</v>
      </c>
      <c r="AP19" s="159">
        <f t="shared" si="14"/>
        <v>0</v>
      </c>
      <c r="AQ19" s="159">
        <f t="array" ref="AQ19">IF(ISERROR($AJ19),0,IF($AJ19="","",SUM(IF($AJ19=$AJ$6:$AJ19,IF($L$6:$L19=T_MNG,1,0),0))))</f>
        <v>1</v>
      </c>
      <c r="AR19" s="160">
        <f t="shared" si="15"/>
        <v>6</v>
      </c>
      <c r="AS19" s="160">
        <f t="shared" si="16"/>
        <v>3</v>
      </c>
      <c r="AT19" s="160">
        <f t="shared" si="17"/>
        <v>3</v>
      </c>
      <c r="AU19" s="160">
        <f t="shared" si="18"/>
        <v>7</v>
      </c>
      <c r="AV19" s="102"/>
      <c r="AW19" s="102"/>
      <c r="AX19" s="102"/>
      <c r="AY19" s="102"/>
    </row>
    <row r="20" spans="1:51" ht="13.5" customHeight="1">
      <c r="A20" s="102"/>
      <c r="B20" s="114"/>
      <c r="C20" s="161">
        <v>15</v>
      </c>
      <c r="D20" s="175" t="s">
        <v>182</v>
      </c>
      <c r="E20" s="162" t="s">
        <v>171</v>
      </c>
      <c r="F20" s="163" t="str">
        <f>IF($E20&lt;&gt;"",IF($AJ20&lt;&gt;"",IF(AND($L20=T_Journey,VLOOKUP($AJ20,DBPlayers,2,0)&lt;12),T_Error&amp;"7",IF("Journeymen not available"=0,T_Error&amp;"8",IF(COUNTIF($E$6:$E20,$E20)-$AQ20&gt;VLOOKUP($AJ20,DBPlayers,2,0),T_Error&amp;"2",IF(L20=T_MNG,0,COUNTIF($E$6:$E20,$E20)-$AQ20)&amp;"/"&amp;(VLOOKUP($AJ20,DBPlayers,2,0))))),T_Error&amp;"1"),"")</f>
        <v>0/16</v>
      </c>
      <c r="G20" s="164">
        <f t="shared" si="0"/>
        <v>6</v>
      </c>
      <c r="H20" s="164">
        <f t="shared" si="1"/>
        <v>3</v>
      </c>
      <c r="I20" s="164">
        <f t="shared" si="2"/>
        <v>3</v>
      </c>
      <c r="J20" s="164">
        <f t="shared" si="3"/>
        <v>6</v>
      </c>
      <c r="K20" s="167" t="str">
        <f t="shared" ca="1" si="4"/>
        <v>AV-</v>
      </c>
      <c r="L20" s="168" t="s">
        <v>176</v>
      </c>
      <c r="M20" s="169"/>
      <c r="N20" s="170"/>
      <c r="O20" s="170"/>
      <c r="P20" s="170"/>
      <c r="Q20" s="170"/>
      <c r="R20" s="171">
        <f t="shared" si="5"/>
        <v>0</v>
      </c>
      <c r="S20" s="172">
        <f t="shared" si="19"/>
        <v>0</v>
      </c>
      <c r="T20" s="117"/>
      <c r="U20" s="152" t="str">
        <f t="shared" si="6"/>
        <v>G</v>
      </c>
      <c r="V20" s="152" t="str">
        <f t="shared" si="7"/>
        <v>A S P</v>
      </c>
      <c r="W20" s="153">
        <f t="shared" si="8"/>
        <v>0</v>
      </c>
      <c r="X20" s="121"/>
      <c r="Y20" s="154"/>
      <c r="Z20" s="154"/>
      <c r="AA20" s="154"/>
      <c r="AB20" s="154"/>
      <c r="AC20" s="154"/>
      <c r="AD20" s="155"/>
      <c r="AE20" s="156" t="s">
        <v>177</v>
      </c>
      <c r="AF20" s="154"/>
      <c r="AG20" s="155"/>
      <c r="AH20" s="120"/>
      <c r="AI20" s="123">
        <v>15</v>
      </c>
      <c r="AJ20" s="159" t="str">
        <f t="shared" si="9"/>
        <v>Vampire1</v>
      </c>
      <c r="AK20" s="159">
        <f t="shared" si="20"/>
        <v>0</v>
      </c>
      <c r="AL20" s="159">
        <f t="shared" si="10"/>
        <v>0</v>
      </c>
      <c r="AM20" s="159">
        <f t="shared" si="11"/>
        <v>0</v>
      </c>
      <c r="AN20" s="159">
        <f t="shared" si="12"/>
        <v>0</v>
      </c>
      <c r="AO20" s="159">
        <f t="shared" si="13"/>
        <v>0</v>
      </c>
      <c r="AP20" s="159">
        <f t="shared" si="14"/>
        <v>0</v>
      </c>
      <c r="AQ20" s="159">
        <f t="array" ref="AQ20">IF(ISERROR($AJ20),0,IF($AJ20="","",SUM(IF($AJ20=$AJ$6:$AJ20,IF($L$6:$L20=T_MNG,1,0),0))))</f>
        <v>2</v>
      </c>
      <c r="AR20" s="160">
        <f t="shared" si="15"/>
        <v>6</v>
      </c>
      <c r="AS20" s="160">
        <f t="shared" si="16"/>
        <v>3</v>
      </c>
      <c r="AT20" s="160">
        <f t="shared" si="17"/>
        <v>3</v>
      </c>
      <c r="AU20" s="160">
        <f t="shared" si="18"/>
        <v>7</v>
      </c>
      <c r="AV20" s="102"/>
      <c r="AW20" s="102"/>
      <c r="AX20" s="102"/>
      <c r="AY20" s="102"/>
    </row>
    <row r="21" spans="1:51" ht="13.5" customHeight="1">
      <c r="A21" s="102"/>
      <c r="B21" s="114"/>
      <c r="C21" s="176">
        <v>16</v>
      </c>
      <c r="D21" s="175" t="s">
        <v>185</v>
      </c>
      <c r="E21" s="175" t="s">
        <v>171</v>
      </c>
      <c r="F21" s="177" t="str">
        <f>IF($E21&lt;&gt;"",IF($AJ21&lt;&gt;"",IF(AND($L21=T_Journey,VLOOKUP($AJ21,DBPlayers,2,0)&lt;12),T_Error&amp;"7",IF("Journeymen not available"=0,T_Error&amp;"8",IF(COUNTIF($E$6:$E21,$E21)-$AQ21&gt;VLOOKUP($AJ21,DBPlayers,2,0),T_Error&amp;"2",IF(L21=T_MNG,0,COUNTIF($E$6:$E21,$E21)-$AQ21)&amp;"/"&amp;(VLOOKUP($AJ21,DBPlayers,2,0))))),T_Error&amp;"1"),"")</f>
        <v>8/16</v>
      </c>
      <c r="G21" s="178">
        <f t="shared" si="0"/>
        <v>6</v>
      </c>
      <c r="H21" s="178">
        <f t="shared" si="1"/>
        <v>3</v>
      </c>
      <c r="I21" s="178">
        <f t="shared" si="2"/>
        <v>3</v>
      </c>
      <c r="J21" s="178">
        <f t="shared" si="3"/>
        <v>7</v>
      </c>
      <c r="K21" s="179" t="str">
        <f t="shared" ca="1" si="4"/>
        <v/>
      </c>
      <c r="L21" s="180"/>
      <c r="M21" s="181"/>
      <c r="N21" s="182"/>
      <c r="O21" s="182"/>
      <c r="P21" s="182"/>
      <c r="Q21" s="182"/>
      <c r="R21" s="183">
        <f t="shared" si="5"/>
        <v>0</v>
      </c>
      <c r="S21" s="184">
        <f t="shared" si="19"/>
        <v>40000</v>
      </c>
      <c r="T21" s="117"/>
      <c r="U21" s="152" t="str">
        <f t="shared" si="6"/>
        <v>G</v>
      </c>
      <c r="V21" s="152" t="str">
        <f t="shared" si="7"/>
        <v>A S P</v>
      </c>
      <c r="W21" s="153">
        <f t="shared" si="8"/>
        <v>0</v>
      </c>
      <c r="X21" s="121"/>
      <c r="Y21" s="154"/>
      <c r="Z21" s="154"/>
      <c r="AA21" s="154"/>
      <c r="AB21" s="154"/>
      <c r="AC21" s="154"/>
      <c r="AD21" s="185"/>
      <c r="AE21" s="186"/>
      <c r="AF21" s="154"/>
      <c r="AG21" s="185"/>
      <c r="AH21" s="120"/>
      <c r="AI21" s="123">
        <v>16</v>
      </c>
      <c r="AJ21" s="159" t="str">
        <f t="shared" si="9"/>
        <v>Vampire1</v>
      </c>
      <c r="AK21" s="159">
        <f t="shared" si="20"/>
        <v>0</v>
      </c>
      <c r="AL21" s="159">
        <f t="shared" si="10"/>
        <v>0</v>
      </c>
      <c r="AM21" s="159">
        <f t="shared" si="11"/>
        <v>0</v>
      </c>
      <c r="AN21" s="159">
        <f t="shared" si="12"/>
        <v>0</v>
      </c>
      <c r="AO21" s="159">
        <f t="shared" si="13"/>
        <v>0</v>
      </c>
      <c r="AP21" s="159">
        <f t="shared" si="14"/>
        <v>0</v>
      </c>
      <c r="AQ21" s="159">
        <f t="array" ref="AQ21">IF(ISERROR($AJ21),0,IF($AJ21="","",SUM(IF($AJ21=$AJ$6:$AJ21,IF($L$6:$L21=T_MNG,1,0),0))))</f>
        <v>2</v>
      </c>
      <c r="AR21" s="160">
        <f t="shared" si="15"/>
        <v>6</v>
      </c>
      <c r="AS21" s="160">
        <f t="shared" si="16"/>
        <v>3</v>
      </c>
      <c r="AT21" s="160">
        <f t="shared" si="17"/>
        <v>3</v>
      </c>
      <c r="AU21" s="160">
        <f t="shared" si="18"/>
        <v>7</v>
      </c>
      <c r="AV21" s="102"/>
      <c r="AW21" s="102"/>
      <c r="AX21" s="102"/>
      <c r="AY21" s="102"/>
    </row>
    <row r="22" spans="1:51" ht="18" customHeight="1">
      <c r="A22" s="102"/>
      <c r="B22" s="114"/>
      <c r="C22" s="187"/>
      <c r="D22" s="188"/>
      <c r="E22" s="189" t="s">
        <v>186</v>
      </c>
      <c r="F22" s="190" t="str">
        <f>COUNTIF(S6:S21,"&gt;0")&amp;"/16"</f>
        <v>12/16</v>
      </c>
      <c r="G22" s="191"/>
      <c r="H22" s="192" t="str">
        <f>IF(AND(AQ22&gt;0,AQ22+AM22&gt;11),T_Error8,IF(AM22&lt;11,AQ22&amp;" / "&amp;11-AM22&amp;" "&amp;T_AllowedJourney,""))</f>
        <v/>
      </c>
      <c r="I22" s="190"/>
      <c r="J22" s="190"/>
      <c r="K22" s="193"/>
      <c r="L22" s="189" t="s">
        <v>187</v>
      </c>
      <c r="M22" s="190">
        <f t="shared" ref="M22:Q22" si="21">SUMIF($R$6:$R$21,"&gt;=0",M$6:M$21)</f>
        <v>8</v>
      </c>
      <c r="N22" s="190">
        <f t="shared" si="21"/>
        <v>7</v>
      </c>
      <c r="O22" s="190">
        <f t="shared" si="21"/>
        <v>0</v>
      </c>
      <c r="P22" s="190">
        <f t="shared" si="21"/>
        <v>8</v>
      </c>
      <c r="Q22" s="190">
        <f t="shared" si="21"/>
        <v>6</v>
      </c>
      <c r="R22" s="190">
        <f t="shared" ref="R22:S22" si="22">SUM(R6:R21)</f>
        <v>75</v>
      </c>
      <c r="S22" s="194">
        <f t="shared" si="22"/>
        <v>930000</v>
      </c>
      <c r="T22" s="117"/>
      <c r="U22" s="195"/>
      <c r="V22" s="196"/>
      <c r="W22" s="197"/>
      <c r="X22" s="198"/>
      <c r="Y22" s="198"/>
      <c r="Z22" s="198"/>
      <c r="AA22" s="198"/>
      <c r="AB22" s="198"/>
      <c r="AC22" s="198"/>
      <c r="AD22" s="198"/>
      <c r="AE22" s="198"/>
      <c r="AF22" s="198"/>
      <c r="AG22" s="198"/>
      <c r="AH22" s="102"/>
      <c r="AI22" s="123"/>
      <c r="AJ22" s="102"/>
      <c r="AK22" s="102"/>
      <c r="AL22" s="199" t="s">
        <v>188</v>
      </c>
      <c r="AM22" s="200">
        <f>COUNTIF($S$6:$S$21,"&gt;0")-$AQ$22</f>
        <v>12</v>
      </c>
      <c r="AN22" s="123"/>
      <c r="AO22" s="123"/>
      <c r="AP22" s="199" t="s">
        <v>189</v>
      </c>
      <c r="AQ22" s="159">
        <f t="array" ref="AQ22">SUM(IF(L6:L21=T_Journey,IF(S6:S21&lt;&gt;"",1,0),0))</f>
        <v>0</v>
      </c>
      <c r="AR22" s="105"/>
      <c r="AS22" s="105"/>
      <c r="AT22" s="105"/>
      <c r="AU22" s="105"/>
      <c r="AV22" s="102"/>
      <c r="AW22" s="102"/>
      <c r="AX22" s="102"/>
      <c r="AY22" s="102"/>
    </row>
    <row r="23" spans="1:51" ht="3" customHeight="1">
      <c r="A23" s="102"/>
      <c r="B23" s="107"/>
      <c r="C23" s="108"/>
      <c r="D23" s="109"/>
      <c r="E23" s="109"/>
      <c r="F23" s="110"/>
      <c r="G23" s="108"/>
      <c r="H23" s="108"/>
      <c r="I23" s="108"/>
      <c r="J23" s="108"/>
      <c r="K23" s="109"/>
      <c r="L23" s="109"/>
      <c r="M23" s="109"/>
      <c r="N23" s="109"/>
      <c r="O23" s="109"/>
      <c r="P23" s="109"/>
      <c r="Q23" s="109"/>
      <c r="R23" s="109"/>
      <c r="S23" s="201"/>
      <c r="T23" s="111"/>
      <c r="U23" s="121"/>
      <c r="V23" s="202"/>
      <c r="W23" s="121"/>
      <c r="X23" s="121"/>
      <c r="Y23" s="102"/>
      <c r="Z23" s="113"/>
      <c r="AA23" s="113"/>
      <c r="AB23" s="102"/>
      <c r="AC23" s="102"/>
      <c r="AD23" s="102"/>
      <c r="AE23" s="102"/>
      <c r="AF23" s="102"/>
      <c r="AG23" s="102"/>
      <c r="AH23" s="102"/>
      <c r="AI23" s="123"/>
      <c r="AJ23" s="123"/>
      <c r="AK23" s="123"/>
      <c r="AL23" s="123"/>
      <c r="AM23" s="123"/>
      <c r="AN23" s="123"/>
      <c r="AO23" s="123"/>
      <c r="AP23" s="123"/>
      <c r="AQ23" s="123"/>
      <c r="AR23" s="105"/>
      <c r="AS23" s="105"/>
      <c r="AT23" s="105"/>
      <c r="AU23" s="105"/>
      <c r="AV23" s="102"/>
      <c r="AW23" s="102"/>
      <c r="AX23" s="102"/>
      <c r="AY23" s="102"/>
    </row>
    <row r="24" spans="1:51" ht="13.5" customHeight="1">
      <c r="A24" s="102"/>
      <c r="B24" s="114"/>
      <c r="C24" s="203"/>
      <c r="D24" s="351" t="s">
        <v>190</v>
      </c>
      <c r="E24" s="316"/>
      <c r="F24" s="127" t="s">
        <v>142</v>
      </c>
      <c r="G24" s="127" t="str">
        <f>T_MA</f>
        <v>MA</v>
      </c>
      <c r="H24" s="127" t="str">
        <f>T_ST</f>
        <v>ST</v>
      </c>
      <c r="I24" s="127" t="str">
        <f>T_AG</f>
        <v>AG</v>
      </c>
      <c r="J24" s="127" t="str">
        <f>T_AV</f>
        <v>AV</v>
      </c>
      <c r="K24" s="348" t="s">
        <v>191</v>
      </c>
      <c r="L24" s="316"/>
      <c r="M24" s="316"/>
      <c r="N24" s="316"/>
      <c r="O24" s="316"/>
      <c r="P24" s="316"/>
      <c r="Q24" s="316"/>
      <c r="R24" s="316"/>
      <c r="S24" s="204"/>
      <c r="T24" s="117"/>
      <c r="U24" s="133" t="s">
        <v>146</v>
      </c>
      <c r="V24" s="341" t="s">
        <v>192</v>
      </c>
      <c r="W24" s="316"/>
      <c r="X24" s="121"/>
      <c r="Y24" s="113"/>
      <c r="Z24" s="102"/>
      <c r="AA24" s="102"/>
      <c r="AB24" s="102"/>
      <c r="AC24" s="102"/>
      <c r="AD24" s="102"/>
      <c r="AE24" s="102"/>
      <c r="AF24" s="102"/>
      <c r="AG24" s="102"/>
      <c r="AH24" s="102"/>
      <c r="AI24" s="123"/>
      <c r="AJ24" s="123"/>
      <c r="AK24" s="123"/>
      <c r="AL24" s="123"/>
      <c r="AM24" s="123"/>
      <c r="AN24" s="123"/>
      <c r="AO24" s="123"/>
      <c r="AP24" s="141"/>
      <c r="AQ24" s="141" t="s">
        <v>160</v>
      </c>
      <c r="AR24" s="105"/>
      <c r="AS24" s="105"/>
      <c r="AT24" s="105"/>
      <c r="AU24" s="105"/>
      <c r="AV24" s="102"/>
      <c r="AW24" s="102"/>
      <c r="AX24" s="102"/>
      <c r="AY24" s="102"/>
    </row>
    <row r="25" spans="1:51" ht="13.5" customHeight="1">
      <c r="A25" s="102"/>
      <c r="B25" s="114"/>
      <c r="C25" s="115"/>
      <c r="D25" s="346"/>
      <c r="E25" s="316"/>
      <c r="F25" s="205" t="str">
        <f>IF($D25="","",IF($AJ25="",T_Error&amp;"1",IF(COUNTIF($D$25:$D25,"&lt;&gt;")&gt;$R$31,T_Error&amp;"3",IF(ISERROR(FIND(T_Merc,$D25)),IF(COUNTIF($D$25:$D25,D25)&gt;1,T_Error&amp;"4",IF(COUNTIF($AJ$25:$AJ25,"=Star")&gt;2,T_Error&amp;"5",IF(AND($D25=Brick,$F$31&lt;&gt;"1/1"),T_Error&amp;"6","1/1"))),IF(COUNTIF($AJ$6:$AJ25,$AJ25)-$AQ25&gt;VLOOKUP($AJ25,DBPlayers,2,0)+VLOOKUP($AJ25,$AL$58:$AM$67,2,0),T_Error&amp;"2",COUNTIF($AJ$6:$AJ25,$AJ25)-$AQ25&amp;"/"&amp;(VLOOKUP($AJ25,DBPlayers,2,0)))))))</f>
        <v/>
      </c>
      <c r="G25" s="205" t="str">
        <f t="shared" ref="G25:G30" si="23">IF(OR(LEFT($F25,LEN(T_Error))=T_Error,$D25=""),"",IF(ISERROR(FIND(T_Merc,$D25)),VLOOKUP($D25,DBStars,2,0),VLOOKUP($AJ25,DBPlayers,4,0)))</f>
        <v/>
      </c>
      <c r="H25" s="205" t="str">
        <f t="shared" ref="H25:H30" si="24">IF(OR(LEFT($F25,LEN(T_Error))=T_Error,$D25=""),"",IF(ISERROR(FIND(T_Merc,$D25)),VLOOKUP($D25,DBStars,3,0),VLOOKUP($AJ25,DBPlayers,5,0)))</f>
        <v/>
      </c>
      <c r="I25" s="205" t="str">
        <f t="shared" ref="I25:I30" si="25">IF(OR(LEFT($F25,LEN(T_Error))=T_Error,$D25=""),"",IF(ISERROR(FIND(T_Merc,$D25)),VLOOKUP($D25,DBStars,4,0),VLOOKUP($AJ25,DBPlayers,6,0)))</f>
        <v/>
      </c>
      <c r="J25" s="205" t="str">
        <f t="shared" ref="J25:J30" si="26">IF(OR(LEFT($F25,LEN(T_Error))=T_Error,$D25=""),"",IF(ISERROR(FIND(T_Merc,$D25)),VLOOKUP($D25,DBStars,5,0),VLOOKUP($AJ25,DBPlayers,7,0)))</f>
        <v/>
      </c>
      <c r="K25" s="347" t="str">
        <f t="shared" ref="K25:K30" ca="1" si="27">IF($D25="","",IF(LEFT($F25,LEN(T_Error))=T_Error,INDIRECT("T_Error"&amp;RIGHT($F25,1)),IF(ISERROR(FIND(T_Merc,$D25)),VLOOKUP($D25,DBStars,6,0),T_Loner&amp;", "&amp;VLOOKUP($AJ25,DBPlayers,8,0)&amp;IF($V25="","",", "&amp;$V25))))</f>
        <v/>
      </c>
      <c r="L25" s="316"/>
      <c r="M25" s="316"/>
      <c r="N25" s="316"/>
      <c r="O25" s="316"/>
      <c r="P25" s="316"/>
      <c r="Q25" s="316"/>
      <c r="R25" s="316"/>
      <c r="S25" s="206" t="str">
        <f t="shared" ref="S25:S30" si="28">IF(OR(LEFT($F25,LEN(T_Error))=T_Error,$D25=""),"",IF(ISERROR(FIND(T_Merc,$D25)),VLOOKUP($D25,DBStars,7,0),VLOOKUP($AJ25,DBPlayers,11,0)+30000+IF(V25&lt;&gt;"",50000,0)))</f>
        <v/>
      </c>
      <c r="T25" s="117"/>
      <c r="U25" s="207" t="str">
        <f t="shared" ref="U25:U30" si="29">IF(OR(LEFT($F25,LEN(T_Error))=T_Error,$D25=""),"",IF(ISERROR(FIND("Mercenary",$D25)),"none",VLOOKUP($AJ25,DBPlayers,9,0)))</f>
        <v/>
      </c>
      <c r="V25" s="334"/>
      <c r="W25" s="316"/>
      <c r="X25" s="121"/>
      <c r="Y25" s="102"/>
      <c r="Z25" s="102"/>
      <c r="AA25" s="102"/>
      <c r="AB25" s="102"/>
      <c r="AC25" s="102"/>
      <c r="AD25" s="102"/>
      <c r="AE25" s="102"/>
      <c r="AF25" s="102"/>
      <c r="AG25" s="102"/>
      <c r="AH25" s="102"/>
      <c r="AI25" s="199" t="s">
        <v>193</v>
      </c>
      <c r="AJ25" s="159" t="str">
        <f t="shared" ref="AJ25:AJ30" si="30">IF(ISERROR(VLOOKUP(MID($D25,1,LEN($D25)-LEN(" Mercenary")),$AJ$58:$AL$67,3,0)),IF(ISERROR(VLOOKUP(D25,AK48:AK57,1,0)),"","Star"),VLOOKUP(MID($D25,1,LEN($D25)-LEN(" Mercenary")),$AJ$58:$AL$67,3,0))</f>
        <v/>
      </c>
      <c r="AK25" s="123"/>
      <c r="AL25" s="123"/>
      <c r="AM25" s="123"/>
      <c r="AN25" s="123"/>
      <c r="AO25" s="123"/>
      <c r="AP25" s="123"/>
      <c r="AQ25" s="159" t="str">
        <f t="array" ref="AQ25">IF($AJ25&lt;&gt;"",SUM(IF($AJ25=$AJ$6:$AJ25,IF($L$6:$L25=T_MNG,1,0),0)),"")</f>
        <v/>
      </c>
      <c r="AR25" s="105"/>
      <c r="AS25" s="105"/>
      <c r="AT25" s="105"/>
      <c r="AU25" s="105"/>
      <c r="AV25" s="102"/>
      <c r="AW25" s="102"/>
      <c r="AX25" s="102"/>
      <c r="AY25" s="102"/>
    </row>
    <row r="26" spans="1:51" ht="13.5" customHeight="1">
      <c r="A26" s="102"/>
      <c r="B26" s="114"/>
      <c r="C26" s="208"/>
      <c r="D26" s="346"/>
      <c r="E26" s="316"/>
      <c r="F26" s="205" t="str">
        <f>IF($D26="","",IF($AJ26="",T_Error&amp;"1",IF(COUNTIF($D$25:$D26,"&lt;&gt;")&gt;$R$31,T_Error&amp;"3",IF(ISERROR(FIND(T_Merc,$D26)),IF(COUNTIF($D$25:$D26,D26)&gt;1,T_Error&amp;"4",IF(COUNTIF($AJ$25:$AJ26,"=Star")&gt;2,T_Error&amp;"5",IF(AND($D26=Brick,$F$31&lt;&gt;"1/1"),T_Error&amp;"6","1/1"))),IF(COUNTIF($AJ$6:$AJ26,$AJ26)-$AQ26&gt;VLOOKUP($AJ26,DBPlayers,2,0)+VLOOKUP($AJ26,$AL$58:$AM$67,2,0),T_Error&amp;"2",COUNTIF($AJ$6:$AJ26,$AJ26)-$AQ26&amp;"/"&amp;(VLOOKUP($AJ26,DBPlayers,2,0)))))))</f>
        <v/>
      </c>
      <c r="G26" s="205" t="str">
        <f t="shared" si="23"/>
        <v/>
      </c>
      <c r="H26" s="205" t="str">
        <f t="shared" si="24"/>
        <v/>
      </c>
      <c r="I26" s="205" t="str">
        <f t="shared" si="25"/>
        <v/>
      </c>
      <c r="J26" s="205" t="str">
        <f t="shared" si="26"/>
        <v/>
      </c>
      <c r="K26" s="347" t="str">
        <f t="shared" ca="1" si="27"/>
        <v/>
      </c>
      <c r="L26" s="316"/>
      <c r="M26" s="316"/>
      <c r="N26" s="316"/>
      <c r="O26" s="316"/>
      <c r="P26" s="316"/>
      <c r="Q26" s="316"/>
      <c r="R26" s="316"/>
      <c r="S26" s="206" t="str">
        <f t="shared" si="28"/>
        <v/>
      </c>
      <c r="T26" s="117"/>
      <c r="U26" s="207" t="str">
        <f t="shared" si="29"/>
        <v/>
      </c>
      <c r="V26" s="334"/>
      <c r="W26" s="316"/>
      <c r="X26" s="121"/>
      <c r="Y26" s="102"/>
      <c r="Z26" s="102"/>
      <c r="AA26" s="102"/>
      <c r="AB26" s="102"/>
      <c r="AC26" s="102"/>
      <c r="AD26" s="102"/>
      <c r="AE26" s="102"/>
      <c r="AF26" s="102"/>
      <c r="AG26" s="102"/>
      <c r="AH26" s="102"/>
      <c r="AI26" s="199" t="s">
        <v>194</v>
      </c>
      <c r="AJ26" s="159" t="str">
        <f t="shared" si="30"/>
        <v/>
      </c>
      <c r="AK26" s="123"/>
      <c r="AL26" s="123"/>
      <c r="AM26" s="123"/>
      <c r="AN26" s="123"/>
      <c r="AO26" s="123"/>
      <c r="AP26" s="123"/>
      <c r="AQ26" s="159" t="str">
        <f t="array" ref="AQ26">IF($AJ26&lt;&gt;"",SUM(IF($AJ26=$AJ$6:$AJ26,IF($L$6:$L26=T_MNG,1,0),0)),"")</f>
        <v/>
      </c>
      <c r="AR26" s="105"/>
      <c r="AS26" s="105"/>
      <c r="AT26" s="105"/>
      <c r="AU26" s="105"/>
      <c r="AV26" s="102"/>
      <c r="AW26" s="102"/>
      <c r="AX26" s="102"/>
      <c r="AY26" s="102"/>
    </row>
    <row r="27" spans="1:51" ht="13.5" customHeight="1">
      <c r="A27" s="102"/>
      <c r="B27" s="114"/>
      <c r="C27" s="208"/>
      <c r="D27" s="346"/>
      <c r="E27" s="316"/>
      <c r="F27" s="205" t="str">
        <f>IF($D27="","",IF($AJ27="",T_Error&amp;"1",IF(COUNTIF($D$25:$D27,"&lt;&gt;")&gt;$R$31,T_Error&amp;"3",IF(ISERROR(FIND(T_Merc,$D27)),IF(COUNTIF($D$25:$D27,D27)&gt;1,T_Error&amp;"4",IF(COUNTIF($AJ$25:$AJ27,"=Star")&gt;2,T_Error&amp;"5",IF(AND($D27=Brick,$F$31&lt;&gt;"1/1"),T_Error&amp;"6","1/1"))),IF(COUNTIF($AJ$6:$AJ27,$AJ27)-$AQ27&gt;VLOOKUP($AJ27,DBPlayers,2,0)+VLOOKUP($AJ27,$AL$58:$AM$67,2,0),T_Error&amp;"2",COUNTIF($AJ$6:$AJ27,$AJ27)-$AQ27&amp;"/"&amp;(VLOOKUP($AJ27,DBPlayers,2,0)))))))</f>
        <v/>
      </c>
      <c r="G27" s="205" t="str">
        <f t="shared" si="23"/>
        <v/>
      </c>
      <c r="H27" s="205" t="str">
        <f t="shared" si="24"/>
        <v/>
      </c>
      <c r="I27" s="205" t="str">
        <f t="shared" si="25"/>
        <v/>
      </c>
      <c r="J27" s="205" t="str">
        <f t="shared" si="26"/>
        <v/>
      </c>
      <c r="K27" s="347" t="str">
        <f t="shared" ca="1" si="27"/>
        <v/>
      </c>
      <c r="L27" s="316"/>
      <c r="M27" s="316"/>
      <c r="N27" s="316"/>
      <c r="O27" s="316"/>
      <c r="P27" s="316"/>
      <c r="Q27" s="316"/>
      <c r="R27" s="316"/>
      <c r="S27" s="206" t="str">
        <f t="shared" si="28"/>
        <v/>
      </c>
      <c r="T27" s="117"/>
      <c r="U27" s="207" t="str">
        <f t="shared" si="29"/>
        <v/>
      </c>
      <c r="V27" s="334"/>
      <c r="W27" s="316"/>
      <c r="X27" s="121"/>
      <c r="Y27" s="102"/>
      <c r="Z27" s="102"/>
      <c r="AA27" s="102"/>
      <c r="AB27" s="102"/>
      <c r="AC27" s="102"/>
      <c r="AD27" s="102"/>
      <c r="AE27" s="102"/>
      <c r="AF27" s="102"/>
      <c r="AG27" s="102"/>
      <c r="AH27" s="102"/>
      <c r="AI27" s="199" t="s">
        <v>195</v>
      </c>
      <c r="AJ27" s="159" t="str">
        <f t="shared" si="30"/>
        <v/>
      </c>
      <c r="AK27" s="123"/>
      <c r="AL27" s="123"/>
      <c r="AM27" s="123"/>
      <c r="AN27" s="123"/>
      <c r="AO27" s="123"/>
      <c r="AP27" s="123"/>
      <c r="AQ27" s="159" t="str">
        <f t="array" ref="AQ27">IF($AJ27&lt;&gt;"",SUM(IF($AJ27=$AJ$6:$AJ27,IF($L$6:$L27=T_MNG,1,0),0)),"")</f>
        <v/>
      </c>
      <c r="AR27" s="105"/>
      <c r="AS27" s="105"/>
      <c r="AT27" s="105"/>
      <c r="AU27" s="105"/>
      <c r="AV27" s="102"/>
      <c r="AW27" s="102"/>
      <c r="AX27" s="102"/>
      <c r="AY27" s="102"/>
    </row>
    <row r="28" spans="1:51" ht="13.5" customHeight="1">
      <c r="A28" s="102"/>
      <c r="B28" s="114"/>
      <c r="C28" s="187"/>
      <c r="D28" s="346"/>
      <c r="E28" s="316"/>
      <c r="F28" s="205" t="str">
        <f>IF($D28="","",IF($AJ28="",T_Error&amp;"1",IF(COUNTIF($D$25:$D28,"&lt;&gt;")&gt;$R$31,T_Error&amp;"3",IF(ISERROR(FIND(T_Merc,$D28)),IF(COUNTIF($D$25:$D28,D28)&gt;1,T_Error&amp;"4",IF(COUNTIF($AJ$25:$AJ28,"=Star")&gt;2,T_Error&amp;"5",IF(AND($D28=Brick,$F$31&lt;&gt;"1/1"),T_Error&amp;"6","1/1"))),IF(COUNTIF($AJ$6:$AJ28,$AJ28)-$AQ28&gt;VLOOKUP($AJ28,DBPlayers,2,0)+VLOOKUP($AJ28,$AL$58:$AM$67,2,0),T_Error&amp;"2",COUNTIF($AJ$6:$AJ28,$AJ28)-$AQ28&amp;"/"&amp;(VLOOKUP($AJ28,DBPlayers,2,0)))))))</f>
        <v/>
      </c>
      <c r="G28" s="205" t="str">
        <f t="shared" si="23"/>
        <v/>
      </c>
      <c r="H28" s="205" t="str">
        <f t="shared" si="24"/>
        <v/>
      </c>
      <c r="I28" s="205" t="str">
        <f t="shared" si="25"/>
        <v/>
      </c>
      <c r="J28" s="205" t="str">
        <f t="shared" si="26"/>
        <v/>
      </c>
      <c r="K28" s="347" t="str">
        <f t="shared" ca="1" si="27"/>
        <v/>
      </c>
      <c r="L28" s="316"/>
      <c r="M28" s="316"/>
      <c r="N28" s="316"/>
      <c r="O28" s="316"/>
      <c r="P28" s="316"/>
      <c r="Q28" s="316"/>
      <c r="R28" s="316"/>
      <c r="S28" s="206" t="str">
        <f t="shared" si="28"/>
        <v/>
      </c>
      <c r="T28" s="117"/>
      <c r="U28" s="207" t="str">
        <f t="shared" si="29"/>
        <v/>
      </c>
      <c r="V28" s="334"/>
      <c r="W28" s="316"/>
      <c r="X28" s="121"/>
      <c r="Y28" s="102"/>
      <c r="Z28" s="102"/>
      <c r="AA28" s="102"/>
      <c r="AB28" s="102"/>
      <c r="AC28" s="102"/>
      <c r="AD28" s="102"/>
      <c r="AE28" s="102"/>
      <c r="AF28" s="102"/>
      <c r="AG28" s="102"/>
      <c r="AH28" s="102"/>
      <c r="AI28" s="199" t="s">
        <v>196</v>
      </c>
      <c r="AJ28" s="159" t="str">
        <f t="shared" si="30"/>
        <v/>
      </c>
      <c r="AK28" s="123"/>
      <c r="AL28" s="123"/>
      <c r="AM28" s="123"/>
      <c r="AN28" s="123"/>
      <c r="AO28" s="123"/>
      <c r="AP28" s="123"/>
      <c r="AQ28" s="159" t="str">
        <f t="array" ref="AQ28">IF($AJ28&lt;&gt;"",SUM(IF($AJ28=$AJ$6:$AJ28,IF($L$6:$L28=T_MNG,1,0),0)),"")</f>
        <v/>
      </c>
      <c r="AR28" s="105"/>
      <c r="AS28" s="105"/>
      <c r="AT28" s="105"/>
      <c r="AU28" s="105"/>
      <c r="AV28" s="102"/>
      <c r="AW28" s="102"/>
      <c r="AX28" s="102"/>
      <c r="AY28" s="102"/>
    </row>
    <row r="29" spans="1:51" ht="13.5" customHeight="1">
      <c r="A29" s="102"/>
      <c r="B29" s="114"/>
      <c r="C29" s="190"/>
      <c r="D29" s="346"/>
      <c r="E29" s="316"/>
      <c r="F29" s="205" t="str">
        <f>IF($D29="","",IF($AJ29="",T_Error&amp;"1",IF(COUNTIF($D$25:$D29,"&lt;&gt;")&gt;$R$31,T_Error&amp;"3",IF(ISERROR(FIND(T_Merc,$D29)),IF(COUNTIF($D$25:$D29,D29)&gt;1,T_Error&amp;"4",IF(COUNTIF($AJ$25:$AJ29,"=Star")&gt;2,T_Error&amp;"5",IF(AND($D29=Brick,$F$31&lt;&gt;"1/1"),T_Error&amp;"6","1/1"))),IF(COUNTIF($AJ$6:$AJ29,$AJ29)-$AQ29&gt;VLOOKUP($AJ29,DBPlayers,2,0)+VLOOKUP($AJ29,$AL$58:$AM$67,2,0),T_Error&amp;"2",COUNTIF($AJ$6:$AJ29,$AJ29)-$AQ29&amp;"/"&amp;(VLOOKUP($AJ29,DBPlayers,2,0)))))))</f>
        <v/>
      </c>
      <c r="G29" s="205" t="str">
        <f t="shared" si="23"/>
        <v/>
      </c>
      <c r="H29" s="205" t="str">
        <f t="shared" si="24"/>
        <v/>
      </c>
      <c r="I29" s="205" t="str">
        <f t="shared" si="25"/>
        <v/>
      </c>
      <c r="J29" s="205" t="str">
        <f t="shared" si="26"/>
        <v/>
      </c>
      <c r="K29" s="347" t="str">
        <f t="shared" ca="1" si="27"/>
        <v/>
      </c>
      <c r="L29" s="316"/>
      <c r="M29" s="316"/>
      <c r="N29" s="316"/>
      <c r="O29" s="316"/>
      <c r="P29" s="316"/>
      <c r="Q29" s="316"/>
      <c r="R29" s="316"/>
      <c r="S29" s="206" t="str">
        <f t="shared" si="28"/>
        <v/>
      </c>
      <c r="T29" s="117"/>
      <c r="U29" s="207" t="str">
        <f t="shared" si="29"/>
        <v/>
      </c>
      <c r="V29" s="334"/>
      <c r="W29" s="316"/>
      <c r="X29" s="121"/>
      <c r="Y29" s="102"/>
      <c r="Z29" s="102"/>
      <c r="AA29" s="102"/>
      <c r="AB29" s="102"/>
      <c r="AC29" s="102"/>
      <c r="AD29" s="102"/>
      <c r="AE29" s="102"/>
      <c r="AF29" s="102"/>
      <c r="AG29" s="102"/>
      <c r="AH29" s="102"/>
      <c r="AI29" s="199" t="s">
        <v>197</v>
      </c>
      <c r="AJ29" s="159" t="str">
        <f t="shared" si="30"/>
        <v/>
      </c>
      <c r="AK29" s="123"/>
      <c r="AL29" s="123"/>
      <c r="AM29" s="123"/>
      <c r="AN29" s="123"/>
      <c r="AO29" s="123"/>
      <c r="AP29" s="123"/>
      <c r="AQ29" s="159" t="str">
        <f t="array" ref="AQ29">IF($AJ29&lt;&gt;"",SUM(IF($AJ29=$AJ$6:$AJ29,IF($L$6:$L29=T_MNG,1,0),0)),"")</f>
        <v/>
      </c>
      <c r="AR29" s="105"/>
      <c r="AS29" s="105"/>
      <c r="AT29" s="105"/>
      <c r="AU29" s="105"/>
      <c r="AV29" s="102"/>
      <c r="AW29" s="102"/>
      <c r="AX29" s="102"/>
      <c r="AY29" s="102"/>
    </row>
    <row r="30" spans="1:51" ht="13.5" customHeight="1">
      <c r="A30" s="102"/>
      <c r="B30" s="114"/>
      <c r="C30" s="190"/>
      <c r="D30" s="346"/>
      <c r="E30" s="316"/>
      <c r="F30" s="205" t="str">
        <f>IF($D30="","",IF($AJ30="",T_Error&amp;"1",IF(COUNTIF($D$25:$D30,"&lt;&gt;")&gt;$R$31,T_Error&amp;"3",IF(ISERROR(FIND(T_Merc,$D30)),IF(COUNTIF($D$25:$D30,D30)&gt;1,T_Error&amp;"4",IF(COUNTIF($AJ$25:$AJ30,"=Star")&gt;2,T_Error&amp;"5",IF(AND($D30=Brick,$F$31&lt;&gt;"1/1"),T_Error&amp;"6","1/1"))),IF(COUNTIF($AJ$6:$AJ30,$AJ30)-$AQ30&gt;VLOOKUP($AJ30,DBPlayers,2,0)+VLOOKUP($AJ30,$AL$58:$AM$67,2,0),T_Error&amp;"2",COUNTIF($AJ$6:$AJ30,$AJ30)-$AQ30&amp;"/"&amp;(VLOOKUP($AJ30,DBPlayers,2,0)))))))</f>
        <v/>
      </c>
      <c r="G30" s="205" t="str">
        <f t="shared" si="23"/>
        <v/>
      </c>
      <c r="H30" s="205" t="str">
        <f t="shared" si="24"/>
        <v/>
      </c>
      <c r="I30" s="205" t="str">
        <f t="shared" si="25"/>
        <v/>
      </c>
      <c r="J30" s="205" t="str">
        <f t="shared" si="26"/>
        <v/>
      </c>
      <c r="K30" s="347" t="str">
        <f t="shared" ca="1" si="27"/>
        <v/>
      </c>
      <c r="L30" s="316"/>
      <c r="M30" s="316"/>
      <c r="N30" s="316"/>
      <c r="O30" s="316"/>
      <c r="P30" s="316"/>
      <c r="Q30" s="316"/>
      <c r="R30" s="316"/>
      <c r="S30" s="206" t="str">
        <f t="shared" si="28"/>
        <v/>
      </c>
      <c r="T30" s="117"/>
      <c r="U30" s="207" t="str">
        <f t="shared" si="29"/>
        <v/>
      </c>
      <c r="V30" s="334"/>
      <c r="W30" s="316"/>
      <c r="X30" s="121"/>
      <c r="Y30" s="209"/>
      <c r="Z30" s="102"/>
      <c r="AA30" s="102"/>
      <c r="AB30" s="102"/>
      <c r="AC30" s="102"/>
      <c r="AD30" s="102"/>
      <c r="AE30" s="102"/>
      <c r="AF30" s="102"/>
      <c r="AG30" s="102"/>
      <c r="AH30" s="102"/>
      <c r="AI30" s="199" t="s">
        <v>198</v>
      </c>
      <c r="AJ30" s="159" t="str">
        <f t="shared" si="30"/>
        <v/>
      </c>
      <c r="AK30" s="123"/>
      <c r="AL30" s="123"/>
      <c r="AM30" s="123"/>
      <c r="AN30" s="123"/>
      <c r="AO30" s="123"/>
      <c r="AP30" s="123"/>
      <c r="AQ30" s="159" t="str">
        <f t="array" ref="AQ30">IF($AJ30&lt;&gt;"",SUM(IF($AJ30=$AJ$6:$AJ30,IF($L$6:$L30=T_MNG,1,0),0)),"")</f>
        <v/>
      </c>
      <c r="AR30" s="105"/>
      <c r="AS30" s="105"/>
      <c r="AT30" s="105"/>
      <c r="AU30" s="105"/>
      <c r="AV30" s="102"/>
      <c r="AW30" s="102"/>
      <c r="AX30" s="102"/>
      <c r="AY30" s="102"/>
    </row>
    <row r="31" spans="1:51" ht="13.5" customHeight="1">
      <c r="A31" s="102"/>
      <c r="B31" s="114"/>
      <c r="C31" s="190"/>
      <c r="D31" s="210"/>
      <c r="E31" s="210"/>
      <c r="F31" s="205" t="str">
        <f>IF($D31="","",IF(COUNTIF($D$25:$D31,"&lt;&gt;")&gt;$R$31,T_Error&amp;"3",IF(COUNTIF($AJ$25:$AJ30,"=Star")&gt;2,T_Error&amp;"5","1/1")))</f>
        <v/>
      </c>
      <c r="G31" s="205" t="str">
        <f>IF(OR(LEFT($F31,LEN(T_Error))=T_Error,$D31=""),"",VLOOKUP($D31,DBStars,2,0))</f>
        <v/>
      </c>
      <c r="H31" s="205" t="str">
        <f>IF(OR(LEFT($F31,LEN(T_Error))=T_Error,$D31=""),"",VLOOKUP($D31,DBStars,3,0))</f>
        <v/>
      </c>
      <c r="I31" s="205" t="str">
        <f>IF(OR(LEFT($F31,LEN(T_Error))=T_Error,$D31=""),"",VLOOKUP($D31,DBStars,4,0))</f>
        <v/>
      </c>
      <c r="J31" s="205" t="str">
        <f>IF(OR(LEFT($F31,LEN(T_Error))=T_Error,$D31=""),"",VLOOKUP($D31,DBStars,5,0))</f>
        <v/>
      </c>
      <c r="K31" s="193" t="str">
        <f ca="1">IF($D31="","",IF(LEFT($F31,LEN(T_Error))=T_Error,INDIRECT("T_"&amp;$F31),VLOOKUP($D31,DBStars,6,0)))</f>
        <v/>
      </c>
      <c r="L31" s="343" t="s">
        <v>199</v>
      </c>
      <c r="M31" s="316"/>
      <c r="N31" s="316"/>
      <c r="O31" s="316"/>
      <c r="P31" s="316"/>
      <c r="Q31" s="189" t="str">
        <f>COUNTIF(J25:J31,"&gt;0")&amp;" /"</f>
        <v>0 /</v>
      </c>
      <c r="R31" s="211">
        <f>16-COUNTIF(S6:S21,"&gt;0")</f>
        <v>4</v>
      </c>
      <c r="S31" s="206"/>
      <c r="T31" s="117"/>
      <c r="U31" s="207" t="str">
        <f>IF($D31="","",IF(ISERROR(FIND("Mercenary",$D31)),"",VLOOKUP($AJ31,DBPlayers,9,0)))</f>
        <v/>
      </c>
      <c r="V31" s="154"/>
      <c r="W31" s="154"/>
      <c r="X31" s="121"/>
      <c r="Y31" s="102"/>
      <c r="Z31" s="102"/>
      <c r="AA31" s="102"/>
      <c r="AB31" s="102"/>
      <c r="AC31" s="102"/>
      <c r="AD31" s="102"/>
      <c r="AE31" s="102"/>
      <c r="AF31" s="102"/>
      <c r="AG31" s="102"/>
      <c r="AH31" s="102"/>
      <c r="AI31" s="102"/>
      <c r="AJ31" s="102"/>
      <c r="AK31" s="102"/>
      <c r="AL31" s="102"/>
      <c r="AM31" s="102"/>
      <c r="AN31" s="102"/>
      <c r="AO31" s="102"/>
      <c r="AP31" s="102"/>
      <c r="AQ31" s="102"/>
      <c r="AR31" s="105"/>
      <c r="AS31" s="105"/>
      <c r="AT31" s="105"/>
      <c r="AU31" s="105"/>
      <c r="AV31" s="102"/>
      <c r="AW31" s="102"/>
      <c r="AX31" s="102"/>
      <c r="AY31" s="102"/>
    </row>
    <row r="32" spans="1:51" ht="3" customHeight="1">
      <c r="A32" s="102"/>
      <c r="B32" s="107"/>
      <c r="C32" s="108"/>
      <c r="D32" s="109"/>
      <c r="E32" s="109"/>
      <c r="F32" s="110"/>
      <c r="G32" s="108"/>
      <c r="H32" s="108"/>
      <c r="I32" s="108"/>
      <c r="J32" s="108"/>
      <c r="K32" s="109"/>
      <c r="L32" s="109"/>
      <c r="M32" s="109"/>
      <c r="N32" s="109"/>
      <c r="O32" s="109"/>
      <c r="P32" s="109"/>
      <c r="Q32" s="109"/>
      <c r="R32" s="109"/>
      <c r="S32" s="201"/>
      <c r="T32" s="111"/>
      <c r="U32" s="121"/>
      <c r="V32" s="121"/>
      <c r="W32" s="121"/>
      <c r="X32" s="121"/>
      <c r="Y32" s="102"/>
      <c r="Z32" s="102"/>
      <c r="AA32" s="102"/>
      <c r="AB32" s="102"/>
      <c r="AC32" s="102"/>
      <c r="AD32" s="102"/>
      <c r="AE32" s="102"/>
      <c r="AF32" s="102"/>
      <c r="AG32" s="102"/>
      <c r="AH32" s="102"/>
      <c r="AI32" s="102"/>
      <c r="AJ32" s="102"/>
      <c r="AK32" s="102"/>
      <c r="AL32" s="102"/>
      <c r="AM32" s="102"/>
      <c r="AN32" s="102"/>
      <c r="AO32" s="102"/>
      <c r="AP32" s="102"/>
      <c r="AQ32" s="102"/>
      <c r="AR32" s="105"/>
      <c r="AS32" s="105"/>
      <c r="AT32" s="105"/>
      <c r="AU32" s="105"/>
      <c r="AV32" s="102"/>
      <c r="AW32" s="102"/>
      <c r="AX32" s="102"/>
      <c r="AY32" s="102"/>
    </row>
    <row r="33" spans="1:51" ht="13.5" customHeight="1">
      <c r="A33" s="102"/>
      <c r="B33" s="114"/>
      <c r="C33" s="115"/>
      <c r="D33" s="345" t="s">
        <v>200</v>
      </c>
      <c r="E33" s="316"/>
      <c r="F33" s="316"/>
      <c r="G33" s="316"/>
      <c r="H33" s="316"/>
      <c r="I33" s="316"/>
      <c r="J33" s="115"/>
      <c r="K33" s="212"/>
      <c r="L33" s="345" t="s">
        <v>201</v>
      </c>
      <c r="M33" s="316"/>
      <c r="N33" s="316"/>
      <c r="O33" s="316"/>
      <c r="P33" s="316"/>
      <c r="Q33" s="316"/>
      <c r="R33" s="316"/>
      <c r="S33" s="213"/>
      <c r="T33" s="117"/>
      <c r="U33" s="102"/>
      <c r="V33" s="106"/>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5"/>
      <c r="AS33" s="105"/>
      <c r="AT33" s="105"/>
      <c r="AU33" s="105"/>
      <c r="AV33" s="102"/>
      <c r="AW33" s="102"/>
      <c r="AX33" s="102"/>
      <c r="AY33" s="102"/>
    </row>
    <row r="34" spans="1:51" ht="13.5" customHeight="1">
      <c r="A34" s="102"/>
      <c r="B34" s="114"/>
      <c r="C34" s="191"/>
      <c r="D34" s="343" t="s">
        <v>202</v>
      </c>
      <c r="E34" s="316"/>
      <c r="F34" s="116">
        <v>0</v>
      </c>
      <c r="G34" s="189" t="s">
        <v>203</v>
      </c>
      <c r="H34" s="344">
        <v>50000</v>
      </c>
      <c r="I34" s="316"/>
      <c r="J34" s="190"/>
      <c r="K34" s="191"/>
      <c r="L34" s="189" t="s">
        <v>204</v>
      </c>
      <c r="M34" s="187">
        <v>4</v>
      </c>
      <c r="N34" s="189" t="s">
        <v>203</v>
      </c>
      <c r="O34" s="352">
        <f>IF(ISERROR(VLOOKUP($E$3,Database!$B$6:$C$30,2,0)),0,VLOOKUP($E$3,Database!$B$6:$C$30,2,0))</f>
        <v>70000</v>
      </c>
      <c r="P34" s="316"/>
      <c r="Q34" s="316"/>
      <c r="R34" s="191" t="s">
        <v>205</v>
      </c>
      <c r="S34" s="194">
        <f>M34*O34</f>
        <v>280000</v>
      </c>
      <c r="T34" s="117"/>
      <c r="U34" s="214"/>
      <c r="V34" s="106"/>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5"/>
      <c r="AS34" s="105"/>
      <c r="AT34" s="105"/>
      <c r="AU34" s="105"/>
      <c r="AV34" s="102"/>
      <c r="AW34" s="102"/>
      <c r="AX34" s="102"/>
      <c r="AY34" s="102"/>
    </row>
    <row r="35" spans="1:51" ht="13.5" customHeight="1">
      <c r="A35" s="102"/>
      <c r="B35" s="114"/>
      <c r="C35" s="191"/>
      <c r="D35" s="343" t="s">
        <v>206</v>
      </c>
      <c r="E35" s="316"/>
      <c r="F35" s="116">
        <v>0</v>
      </c>
      <c r="G35" s="189" t="s">
        <v>203</v>
      </c>
      <c r="H35" s="344">
        <f>IF($E$3=Goblin,50000,100000)</f>
        <v>100000</v>
      </c>
      <c r="I35" s="316"/>
      <c r="J35" s="190"/>
      <c r="K35" s="191"/>
      <c r="L35" s="189" t="s">
        <v>207</v>
      </c>
      <c r="M35" s="187">
        <v>5</v>
      </c>
      <c r="N35" s="189" t="s">
        <v>203</v>
      </c>
      <c r="O35" s="352">
        <v>10000</v>
      </c>
      <c r="P35" s="316"/>
      <c r="Q35" s="316"/>
      <c r="R35" s="191" t="s">
        <v>205</v>
      </c>
      <c r="S35" s="194">
        <f t="shared" ref="S35:S38" si="31">O35*M35</f>
        <v>50000</v>
      </c>
      <c r="T35" s="117"/>
      <c r="U35" s="11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5"/>
      <c r="AS35" s="105"/>
      <c r="AT35" s="105"/>
      <c r="AU35" s="105"/>
      <c r="AV35" s="102"/>
      <c r="AW35" s="102"/>
      <c r="AX35" s="102"/>
      <c r="AY35" s="102"/>
    </row>
    <row r="36" spans="1:51" ht="13.5" customHeight="1">
      <c r="A36" s="102"/>
      <c r="B36" s="114"/>
      <c r="C36" s="191"/>
      <c r="D36" s="343" t="s">
        <v>208</v>
      </c>
      <c r="E36" s="316"/>
      <c r="F36" s="116">
        <v>0</v>
      </c>
      <c r="G36" s="189" t="s">
        <v>203</v>
      </c>
      <c r="H36" s="344">
        <v>100000</v>
      </c>
      <c r="I36" s="316"/>
      <c r="J36" s="190"/>
      <c r="K36" s="191"/>
      <c r="L36" s="189" t="s">
        <v>209</v>
      </c>
      <c r="M36" s="187">
        <v>1</v>
      </c>
      <c r="N36" s="189" t="s">
        <v>203</v>
      </c>
      <c r="O36" s="352">
        <v>10000</v>
      </c>
      <c r="P36" s="316"/>
      <c r="Q36" s="316"/>
      <c r="R36" s="191" t="s">
        <v>205</v>
      </c>
      <c r="S36" s="194">
        <f t="shared" si="31"/>
        <v>10000</v>
      </c>
      <c r="T36" s="117"/>
      <c r="U36" s="214"/>
      <c r="V36" s="106"/>
      <c r="W36" s="102"/>
      <c r="X36" s="102"/>
      <c r="Y36" s="113"/>
      <c r="Z36" s="113"/>
      <c r="AA36" s="113"/>
      <c r="AB36" s="102"/>
      <c r="AC36" s="102"/>
      <c r="AD36" s="102"/>
      <c r="AE36" s="102"/>
      <c r="AF36" s="102"/>
      <c r="AG36" s="102"/>
      <c r="AH36" s="102"/>
      <c r="AI36" s="102"/>
      <c r="AJ36" s="102"/>
      <c r="AK36" s="102"/>
      <c r="AL36" s="102"/>
      <c r="AM36" s="102"/>
      <c r="AN36" s="102"/>
      <c r="AO36" s="102"/>
      <c r="AP36" s="102"/>
      <c r="AQ36" s="102"/>
      <c r="AR36" s="105"/>
      <c r="AS36" s="105"/>
      <c r="AT36" s="105"/>
      <c r="AU36" s="105"/>
      <c r="AV36" s="102"/>
      <c r="AW36" s="102"/>
      <c r="AX36" s="102"/>
      <c r="AY36" s="102"/>
    </row>
    <row r="37" spans="1:51" ht="13.5" customHeight="1">
      <c r="A37" s="102"/>
      <c r="B37" s="114"/>
      <c r="C37" s="191"/>
      <c r="D37" s="343" t="s">
        <v>210</v>
      </c>
      <c r="E37" s="316"/>
      <c r="F37" s="116">
        <v>0</v>
      </c>
      <c r="G37" s="189" t="s">
        <v>203</v>
      </c>
      <c r="H37" s="344">
        <f>IF($E$3=Halfling,100000,300000)</f>
        <v>300000</v>
      </c>
      <c r="I37" s="316"/>
      <c r="J37" s="190"/>
      <c r="K37" s="191"/>
      <c r="L37" s="189" t="s">
        <v>211</v>
      </c>
      <c r="M37" s="187">
        <v>1</v>
      </c>
      <c r="N37" s="189" t="s">
        <v>203</v>
      </c>
      <c r="O37" s="352">
        <v>10000</v>
      </c>
      <c r="P37" s="316"/>
      <c r="Q37" s="316"/>
      <c r="R37" s="191" t="s">
        <v>205</v>
      </c>
      <c r="S37" s="194">
        <f t="shared" si="31"/>
        <v>10000</v>
      </c>
      <c r="T37" s="117"/>
      <c r="U37" s="214"/>
      <c r="V37" s="215"/>
      <c r="W37" s="113"/>
      <c r="X37" s="113"/>
      <c r="Y37" s="216"/>
      <c r="Z37" s="113"/>
      <c r="AA37" s="217"/>
      <c r="AB37" s="102"/>
      <c r="AC37" s="102"/>
      <c r="AD37" s="102"/>
      <c r="AE37" s="102"/>
      <c r="AF37" s="102"/>
      <c r="AG37" s="102"/>
      <c r="AH37" s="102"/>
      <c r="AI37" s="102"/>
      <c r="AJ37" s="102"/>
      <c r="AK37" s="102"/>
      <c r="AL37" s="102"/>
      <c r="AM37" s="102"/>
      <c r="AN37" s="102"/>
      <c r="AO37" s="102"/>
      <c r="AP37" s="102"/>
      <c r="AQ37" s="102"/>
      <c r="AR37" s="105"/>
      <c r="AS37" s="105"/>
      <c r="AT37" s="105"/>
      <c r="AU37" s="105"/>
      <c r="AV37" s="102"/>
      <c r="AW37" s="102"/>
      <c r="AX37" s="102"/>
      <c r="AY37" s="102"/>
    </row>
    <row r="38" spans="1:51" ht="13.5" customHeight="1">
      <c r="A38" s="102"/>
      <c r="B38" s="114"/>
      <c r="C38" s="191"/>
      <c r="D38" s="343" t="s">
        <v>212</v>
      </c>
      <c r="E38" s="316"/>
      <c r="F38" s="116">
        <v>0</v>
      </c>
      <c r="G38" s="189" t="s">
        <v>203</v>
      </c>
      <c r="H38" s="344">
        <v>100000</v>
      </c>
      <c r="I38" s="316"/>
      <c r="J38" s="190"/>
      <c r="K38" s="191"/>
      <c r="L38" s="189" t="s">
        <v>213</v>
      </c>
      <c r="M38" s="187">
        <v>1</v>
      </c>
      <c r="N38" s="189" t="s">
        <v>203</v>
      </c>
      <c r="O38" s="352">
        <v>50000</v>
      </c>
      <c r="P38" s="316"/>
      <c r="Q38" s="316"/>
      <c r="R38" s="191" t="s">
        <v>205</v>
      </c>
      <c r="S38" s="194">
        <f t="shared" si="31"/>
        <v>50000</v>
      </c>
      <c r="T38" s="117"/>
      <c r="U38" s="214"/>
      <c r="V38" s="112"/>
      <c r="W38" s="113"/>
      <c r="X38" s="113"/>
      <c r="Y38" s="113"/>
      <c r="Z38" s="113"/>
      <c r="AA38" s="113"/>
      <c r="AB38" s="102"/>
      <c r="AC38" s="102"/>
      <c r="AD38" s="102"/>
      <c r="AE38" s="102"/>
      <c r="AF38" s="102"/>
      <c r="AG38" s="102"/>
      <c r="AH38" s="102"/>
      <c r="AI38" s="102"/>
      <c r="AJ38" s="102"/>
      <c r="AK38" s="102"/>
      <c r="AL38" s="102"/>
      <c r="AM38" s="102"/>
      <c r="AN38" s="102"/>
      <c r="AO38" s="102"/>
      <c r="AP38" s="102"/>
      <c r="AQ38" s="102"/>
      <c r="AR38" s="105"/>
      <c r="AS38" s="105"/>
      <c r="AT38" s="105"/>
      <c r="AU38" s="105"/>
      <c r="AV38" s="102"/>
      <c r="AW38" s="102"/>
      <c r="AX38" s="102"/>
      <c r="AY38" s="102"/>
    </row>
    <row r="39" spans="1:51" ht="13.5" customHeight="1">
      <c r="A39" s="102"/>
      <c r="B39" s="114"/>
      <c r="C39" s="191"/>
      <c r="D39" s="343" t="s">
        <v>214</v>
      </c>
      <c r="E39" s="316"/>
      <c r="F39" s="116">
        <v>0</v>
      </c>
      <c r="G39" s="189" t="s">
        <v>203</v>
      </c>
      <c r="H39" s="344">
        <v>150000</v>
      </c>
      <c r="I39" s="316"/>
      <c r="J39" s="190"/>
      <c r="K39" s="212"/>
      <c r="L39" s="189" t="s">
        <v>215</v>
      </c>
      <c r="M39" s="353">
        <v>10000</v>
      </c>
      <c r="N39" s="316"/>
      <c r="O39" s="316"/>
      <c r="P39" s="316"/>
      <c r="Q39" s="212"/>
      <c r="R39" s="212"/>
      <c r="S39" s="115"/>
      <c r="T39" s="117"/>
      <c r="U39" s="214"/>
      <c r="V39" s="215"/>
      <c r="W39" s="113"/>
      <c r="X39" s="113"/>
      <c r="Y39" s="113"/>
      <c r="Z39" s="113"/>
      <c r="AA39" s="113"/>
      <c r="AB39" s="102"/>
      <c r="AC39" s="102"/>
      <c r="AD39" s="102"/>
      <c r="AE39" s="102"/>
      <c r="AF39" s="102"/>
      <c r="AG39" s="102"/>
      <c r="AH39" s="102"/>
      <c r="AI39" s="102"/>
      <c r="AJ39" s="102"/>
      <c r="AK39" s="102"/>
      <c r="AL39" s="102"/>
      <c r="AM39" s="102"/>
      <c r="AN39" s="102"/>
      <c r="AO39" s="102"/>
      <c r="AP39" s="102"/>
      <c r="AQ39" s="102"/>
      <c r="AR39" s="105"/>
      <c r="AS39" s="105"/>
      <c r="AT39" s="105"/>
      <c r="AU39" s="105"/>
      <c r="AV39" s="102"/>
      <c r="AW39" s="102"/>
      <c r="AX39" s="102"/>
      <c r="AY39" s="102"/>
    </row>
    <row r="40" spans="1:51" ht="13.5" customHeight="1">
      <c r="A40" s="102"/>
      <c r="B40" s="114"/>
      <c r="C40" s="191"/>
      <c r="D40" s="343" t="s">
        <v>216</v>
      </c>
      <c r="E40" s="316"/>
      <c r="F40" s="116">
        <v>0</v>
      </c>
      <c r="G40" s="189" t="s">
        <v>203</v>
      </c>
      <c r="H40" s="344">
        <v>100000</v>
      </c>
      <c r="I40" s="316"/>
      <c r="J40" s="190"/>
      <c r="K40" s="212"/>
      <c r="L40" s="189"/>
      <c r="M40" s="115"/>
      <c r="N40" s="218"/>
      <c r="O40" s="218"/>
      <c r="P40" s="218"/>
      <c r="Q40" s="132" t="s">
        <v>217</v>
      </c>
      <c r="R40" s="350">
        <f>SUM(S6:S21,S34:S38)</f>
        <v>1330000</v>
      </c>
      <c r="S40" s="316"/>
      <c r="T40" s="117"/>
      <c r="U40" s="214"/>
      <c r="V40" s="215"/>
      <c r="W40" s="113"/>
      <c r="X40" s="113"/>
      <c r="Y40" s="113"/>
      <c r="Z40" s="113"/>
      <c r="AA40" s="113"/>
      <c r="AB40" s="102"/>
      <c r="AC40" s="102"/>
      <c r="AD40" s="102"/>
      <c r="AE40" s="102"/>
      <c r="AF40" s="102"/>
      <c r="AG40" s="102"/>
      <c r="AH40" s="102"/>
      <c r="AI40" s="102"/>
      <c r="AJ40" s="102"/>
      <c r="AK40" s="102"/>
      <c r="AL40" s="102"/>
      <c r="AM40" s="102"/>
      <c r="AN40" s="102"/>
      <c r="AO40" s="102"/>
      <c r="AP40" s="102"/>
      <c r="AQ40" s="102"/>
      <c r="AR40" s="105"/>
      <c r="AS40" s="105"/>
      <c r="AT40" s="105"/>
      <c r="AU40" s="105"/>
      <c r="AV40" s="102"/>
      <c r="AW40" s="102"/>
      <c r="AX40" s="102"/>
      <c r="AY40" s="102"/>
    </row>
    <row r="41" spans="1:51" ht="13.5" customHeight="1">
      <c r="A41" s="102"/>
      <c r="B41" s="114"/>
      <c r="C41" s="212"/>
      <c r="D41" s="343" t="s">
        <v>218</v>
      </c>
      <c r="E41" s="316"/>
      <c r="F41" s="349">
        <v>0</v>
      </c>
      <c r="G41" s="316"/>
      <c r="H41" s="316"/>
      <c r="I41" s="316"/>
      <c r="J41" s="212"/>
      <c r="K41" s="212"/>
      <c r="L41" s="212"/>
      <c r="M41" s="212"/>
      <c r="N41" s="191"/>
      <c r="O41" s="191"/>
      <c r="P41" s="191"/>
      <c r="Q41" s="132" t="s">
        <v>219</v>
      </c>
      <c r="R41" s="350">
        <f>SUMPRODUCT(F34:F40,H34:H40)+F41+F42</f>
        <v>0</v>
      </c>
      <c r="S41" s="316"/>
      <c r="T41" s="117"/>
      <c r="U41" s="214"/>
      <c r="V41" s="215"/>
      <c r="W41" s="113"/>
      <c r="X41" s="113"/>
      <c r="Y41" s="113"/>
      <c r="Z41" s="113"/>
      <c r="AA41" s="113"/>
      <c r="AB41" s="102"/>
      <c r="AC41" s="102"/>
      <c r="AD41" s="102"/>
      <c r="AE41" s="102"/>
      <c r="AF41" s="102"/>
      <c r="AG41" s="102"/>
      <c r="AH41" s="102"/>
      <c r="AI41" s="102"/>
      <c r="AJ41" s="102"/>
      <c r="AK41" s="102"/>
      <c r="AL41" s="102"/>
      <c r="AM41" s="102"/>
      <c r="AN41" s="102"/>
      <c r="AO41" s="102"/>
      <c r="AP41" s="102"/>
      <c r="AQ41" s="102"/>
      <c r="AR41" s="105"/>
      <c r="AS41" s="105"/>
      <c r="AT41" s="105"/>
      <c r="AU41" s="105"/>
      <c r="AV41" s="102"/>
      <c r="AW41" s="102"/>
      <c r="AX41" s="102"/>
      <c r="AY41" s="102"/>
    </row>
    <row r="42" spans="1:51" ht="13.5" customHeight="1">
      <c r="A42" s="102"/>
      <c r="B42" s="114"/>
      <c r="C42" s="191"/>
      <c r="D42" s="189"/>
      <c r="E42" s="189" t="s">
        <v>220</v>
      </c>
      <c r="F42" s="344">
        <f>SUM(S25:S30)</f>
        <v>0</v>
      </c>
      <c r="G42" s="316"/>
      <c r="H42" s="316"/>
      <c r="I42" s="316"/>
      <c r="J42" s="191"/>
      <c r="K42" s="191"/>
      <c r="L42" s="212"/>
      <c r="M42" s="212"/>
      <c r="N42" s="191"/>
      <c r="O42" s="191"/>
      <c r="P42" s="191"/>
      <c r="Q42" s="132" t="s">
        <v>221</v>
      </c>
      <c r="R42" s="350">
        <f>R40+R41</f>
        <v>1330000</v>
      </c>
      <c r="S42" s="316"/>
      <c r="T42" s="117"/>
      <c r="U42" s="214"/>
      <c r="V42" s="215"/>
      <c r="W42" s="113"/>
      <c r="X42" s="113"/>
      <c r="Y42" s="113"/>
      <c r="Z42" s="113"/>
      <c r="AA42" s="113"/>
      <c r="AB42" s="102"/>
      <c r="AC42" s="102"/>
      <c r="AD42" s="102"/>
      <c r="AE42" s="102"/>
      <c r="AF42" s="102"/>
      <c r="AG42" s="102"/>
      <c r="AH42" s="102"/>
      <c r="AI42" s="102"/>
      <c r="AJ42" s="102"/>
      <c r="AK42" s="102"/>
      <c r="AL42" s="102"/>
      <c r="AM42" s="102"/>
      <c r="AN42" s="102"/>
      <c r="AO42" s="102"/>
      <c r="AP42" s="102"/>
      <c r="AQ42" s="102"/>
      <c r="AR42" s="105"/>
      <c r="AS42" s="105"/>
      <c r="AT42" s="105"/>
      <c r="AU42" s="105"/>
      <c r="AV42" s="102"/>
      <c r="AW42" s="102"/>
      <c r="AX42" s="102"/>
      <c r="AY42" s="102"/>
    </row>
    <row r="43" spans="1:51" ht="3" customHeight="1">
      <c r="A43" s="102"/>
      <c r="B43" s="219"/>
      <c r="C43" s="220"/>
      <c r="D43" s="221"/>
      <c r="E43" s="221"/>
      <c r="F43" s="222"/>
      <c r="G43" s="220"/>
      <c r="H43" s="220"/>
      <c r="I43" s="220"/>
      <c r="J43" s="220"/>
      <c r="K43" s="221"/>
      <c r="L43" s="221"/>
      <c r="M43" s="221"/>
      <c r="N43" s="221"/>
      <c r="O43" s="221"/>
      <c r="P43" s="221"/>
      <c r="Q43" s="221"/>
      <c r="R43" s="221"/>
      <c r="S43" s="220"/>
      <c r="T43" s="223"/>
      <c r="U43" s="214"/>
      <c r="V43" s="215"/>
      <c r="W43" s="113"/>
      <c r="X43" s="113"/>
      <c r="Y43" s="113"/>
      <c r="Z43" s="113"/>
      <c r="AA43" s="113"/>
      <c r="AB43" s="102"/>
      <c r="AC43" s="102"/>
      <c r="AD43" s="102"/>
      <c r="AE43" s="102"/>
      <c r="AF43" s="102"/>
      <c r="AG43" s="102"/>
      <c r="AH43" s="102"/>
      <c r="AI43" s="102"/>
      <c r="AJ43" s="102"/>
      <c r="AK43" s="102"/>
      <c r="AL43" s="102"/>
      <c r="AM43" s="102"/>
      <c r="AN43" s="102"/>
      <c r="AO43" s="102"/>
      <c r="AP43" s="102"/>
      <c r="AQ43" s="102"/>
      <c r="AR43" s="105"/>
      <c r="AS43" s="105"/>
      <c r="AT43" s="105"/>
      <c r="AU43" s="105"/>
      <c r="AV43" s="102"/>
      <c r="AW43" s="102"/>
      <c r="AX43" s="102"/>
      <c r="AY43" s="102"/>
    </row>
    <row r="44" spans="1:51" ht="13.5" customHeight="1">
      <c r="A44" s="102"/>
      <c r="B44" s="102"/>
      <c r="C44" s="102"/>
      <c r="D44" s="102"/>
      <c r="E44" s="102"/>
      <c r="F44" s="102"/>
      <c r="G44" s="102"/>
      <c r="H44" s="102"/>
      <c r="I44" s="102"/>
      <c r="J44" s="102"/>
      <c r="K44" s="102"/>
      <c r="L44" s="102"/>
      <c r="M44" s="102"/>
      <c r="N44" s="102"/>
      <c r="O44" s="102"/>
      <c r="P44" s="102"/>
      <c r="Q44" s="102"/>
      <c r="R44" s="102"/>
      <c r="S44" s="105"/>
      <c r="T44" s="102"/>
      <c r="U44" s="102"/>
      <c r="V44" s="215"/>
      <c r="W44" s="113"/>
      <c r="X44" s="113"/>
      <c r="Y44" s="113"/>
      <c r="Z44" s="113"/>
      <c r="AA44" s="113"/>
      <c r="AB44" s="102"/>
      <c r="AC44" s="102"/>
      <c r="AD44" s="102"/>
      <c r="AE44" s="102"/>
      <c r="AF44" s="102"/>
      <c r="AG44" s="102"/>
      <c r="AH44" s="102"/>
      <c r="AI44" s="102"/>
      <c r="AJ44" s="102"/>
      <c r="AK44" s="102"/>
      <c r="AL44" s="102"/>
      <c r="AM44" s="102"/>
      <c r="AN44" s="102"/>
      <c r="AO44" s="102"/>
      <c r="AP44" s="102"/>
      <c r="AQ44" s="102"/>
      <c r="AR44" s="105"/>
      <c r="AS44" s="105"/>
      <c r="AT44" s="105"/>
      <c r="AU44" s="105"/>
      <c r="AV44" s="102"/>
      <c r="AW44" s="102"/>
      <c r="AX44" s="102"/>
      <c r="AY44" s="102"/>
    </row>
    <row r="45" spans="1:51" ht="13.5" customHeight="1">
      <c r="A45" s="102"/>
      <c r="B45" s="102"/>
      <c r="C45" s="105"/>
      <c r="D45" s="102"/>
      <c r="E45" s="102"/>
      <c r="F45" s="104"/>
      <c r="G45" s="105"/>
      <c r="H45" s="105"/>
      <c r="I45" s="105"/>
      <c r="J45" s="105"/>
      <c r="K45" s="102"/>
      <c r="L45" s="102"/>
      <c r="M45" s="102"/>
      <c r="N45" s="102"/>
      <c r="O45" s="102"/>
      <c r="P45" s="102"/>
      <c r="Q45" s="102"/>
      <c r="R45" s="102"/>
      <c r="S45" s="105"/>
      <c r="T45" s="102"/>
      <c r="U45" s="102"/>
      <c r="V45" s="106"/>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5"/>
      <c r="AS45" s="105"/>
      <c r="AT45" s="105"/>
      <c r="AU45" s="105"/>
      <c r="AV45" s="102"/>
      <c r="AW45" s="102"/>
      <c r="AX45" s="102"/>
      <c r="AY45" s="102"/>
    </row>
    <row r="46" spans="1:51" ht="13.5" customHeight="1">
      <c r="A46" s="224"/>
      <c r="B46" s="224"/>
      <c r="C46" s="225"/>
      <c r="D46" s="224"/>
      <c r="E46" s="224"/>
      <c r="F46" s="226"/>
      <c r="G46" s="225"/>
      <c r="H46" s="225"/>
      <c r="I46" s="225"/>
      <c r="J46" s="225"/>
      <c r="K46" s="224"/>
      <c r="L46" s="224"/>
      <c r="M46" s="224"/>
      <c r="N46" s="224"/>
      <c r="O46" s="224"/>
      <c r="P46" s="224"/>
      <c r="Q46" s="224"/>
      <c r="R46" s="224"/>
      <c r="S46" s="225"/>
      <c r="T46" s="224"/>
      <c r="U46" s="224"/>
      <c r="V46" s="227"/>
      <c r="W46" s="224"/>
      <c r="X46" s="224"/>
      <c r="Y46" s="224"/>
      <c r="Z46" s="224"/>
      <c r="AA46" s="224"/>
      <c r="AB46" s="224"/>
      <c r="AC46" s="224"/>
      <c r="AD46" s="224"/>
      <c r="AE46" s="224"/>
      <c r="AF46" s="224"/>
      <c r="AG46" s="224"/>
      <c r="AH46" s="224"/>
      <c r="AI46" s="224"/>
      <c r="AJ46" s="224"/>
      <c r="AK46" s="227"/>
      <c r="AL46" s="224"/>
      <c r="AM46" s="224"/>
      <c r="AN46" s="224"/>
      <c r="AO46" s="224"/>
      <c r="AP46" s="224"/>
      <c r="AQ46" s="224"/>
      <c r="AR46" s="225"/>
      <c r="AS46" s="225"/>
      <c r="AT46" s="225"/>
      <c r="AU46" s="225"/>
      <c r="AV46" s="224"/>
      <c r="AW46" s="224"/>
      <c r="AX46" s="224"/>
      <c r="AY46" s="224"/>
    </row>
    <row r="47" spans="1:51" ht="13.5" customHeight="1">
      <c r="A47" s="224"/>
      <c r="B47" s="224"/>
      <c r="C47" s="225"/>
      <c r="D47" s="224"/>
      <c r="E47" s="224"/>
      <c r="F47" s="226"/>
      <c r="G47" s="225"/>
      <c r="H47" s="225"/>
      <c r="I47" s="225"/>
      <c r="J47" s="225"/>
      <c r="K47" s="224"/>
      <c r="L47" s="224"/>
      <c r="M47" s="224"/>
      <c r="N47" s="224"/>
      <c r="O47" s="224"/>
      <c r="P47" s="224"/>
      <c r="Q47" s="224"/>
      <c r="R47" s="224"/>
      <c r="S47" s="225"/>
      <c r="T47" s="224"/>
      <c r="U47" s="224"/>
      <c r="V47" s="227"/>
      <c r="W47" s="224"/>
      <c r="X47" s="224"/>
      <c r="Y47" s="224"/>
      <c r="Z47" s="224"/>
      <c r="AA47" s="224"/>
      <c r="AB47" s="224"/>
      <c r="AC47" s="224"/>
      <c r="AD47" s="224"/>
      <c r="AE47" s="224"/>
      <c r="AF47" s="224"/>
      <c r="AG47" s="224"/>
      <c r="AH47" s="224"/>
      <c r="AI47" s="224"/>
      <c r="AJ47" s="224"/>
      <c r="AK47" s="227" t="s">
        <v>222</v>
      </c>
      <c r="AL47" s="224" t="s">
        <v>223</v>
      </c>
      <c r="AM47" s="224"/>
      <c r="AN47" s="224"/>
      <c r="AO47" s="224"/>
      <c r="AP47" s="224"/>
      <c r="AQ47" s="224"/>
      <c r="AR47" s="225"/>
      <c r="AS47" s="225"/>
      <c r="AT47" s="225"/>
      <c r="AU47" s="225"/>
      <c r="AV47" s="224"/>
      <c r="AW47" s="224"/>
      <c r="AX47" s="224"/>
      <c r="AY47" s="224"/>
    </row>
    <row r="48" spans="1:51" ht="13.5" customHeight="1">
      <c r="A48" s="224"/>
      <c r="B48" s="224"/>
      <c r="C48" s="225"/>
      <c r="D48" s="224"/>
      <c r="E48" s="224"/>
      <c r="F48" s="226"/>
      <c r="G48" s="225"/>
      <c r="H48" s="225"/>
      <c r="I48" s="225"/>
      <c r="J48" s="225"/>
      <c r="K48" s="224"/>
      <c r="L48" s="224"/>
      <c r="M48" s="224"/>
      <c r="N48" s="224"/>
      <c r="O48" s="224"/>
      <c r="P48" s="224"/>
      <c r="Q48" s="224"/>
      <c r="R48" s="224"/>
      <c r="S48" s="225"/>
      <c r="T48" s="224"/>
      <c r="U48" s="224"/>
      <c r="V48" s="227"/>
      <c r="W48" s="224"/>
      <c r="X48" s="224"/>
      <c r="Y48" s="224"/>
      <c r="Z48" s="224"/>
      <c r="AA48" s="224"/>
      <c r="AB48" s="224"/>
      <c r="AC48" s="224"/>
      <c r="AD48" s="224"/>
      <c r="AE48" s="224"/>
      <c r="AF48" s="224"/>
      <c r="AG48" s="224"/>
      <c r="AH48" s="224"/>
      <c r="AI48" s="224"/>
      <c r="AJ48" s="224"/>
      <c r="AK48" s="224" t="e">
        <f t="shared" ref="AK48:AK57" si="32">VLOOKUP(AL48,DBTeamStars,2,0)</f>
        <v>#N/A</v>
      </c>
      <c r="AL48" s="224" t="str">
        <f>$E$3&amp;"10"</f>
        <v>Vampire10</v>
      </c>
      <c r="AM48" s="224"/>
      <c r="AN48" s="224"/>
      <c r="AO48" s="224"/>
      <c r="AP48" s="224"/>
      <c r="AQ48" s="224"/>
      <c r="AR48" s="225"/>
      <c r="AS48" s="225"/>
      <c r="AT48" s="225"/>
      <c r="AU48" s="225"/>
      <c r="AV48" s="224"/>
      <c r="AW48" s="224"/>
      <c r="AX48" s="224"/>
      <c r="AY48" s="224"/>
    </row>
    <row r="49" spans="1:51" ht="13.5" customHeight="1">
      <c r="A49" s="224"/>
      <c r="B49" s="224"/>
      <c r="C49" s="225"/>
      <c r="D49" s="224"/>
      <c r="E49" s="224"/>
      <c r="F49" s="226"/>
      <c r="G49" s="225"/>
      <c r="H49" s="225"/>
      <c r="I49" s="225"/>
      <c r="J49" s="225"/>
      <c r="K49" s="224"/>
      <c r="L49" s="224"/>
      <c r="M49" s="224"/>
      <c r="N49" s="224"/>
      <c r="O49" s="224"/>
      <c r="P49" s="224"/>
      <c r="Q49" s="224"/>
      <c r="R49" s="224"/>
      <c r="S49" s="225"/>
      <c r="T49" s="224"/>
      <c r="U49" s="224"/>
      <c r="V49" s="227"/>
      <c r="W49" s="224"/>
      <c r="X49" s="224"/>
      <c r="Y49" s="224"/>
      <c r="Z49" s="224"/>
      <c r="AA49" s="224"/>
      <c r="AB49" s="224"/>
      <c r="AC49" s="224"/>
      <c r="AD49" s="224"/>
      <c r="AE49" s="224"/>
      <c r="AF49" s="224"/>
      <c r="AG49" s="224"/>
      <c r="AH49" s="224"/>
      <c r="AI49" s="224"/>
      <c r="AJ49" s="224"/>
      <c r="AK49" s="224" t="e">
        <f t="shared" si="32"/>
        <v>#N/A</v>
      </c>
      <c r="AL49" s="224" t="str">
        <f>$E$3&amp;"9"</f>
        <v>Vampire9</v>
      </c>
      <c r="AM49" s="224"/>
      <c r="AN49" s="224"/>
      <c r="AO49" s="224"/>
      <c r="AP49" s="224"/>
      <c r="AQ49" s="224"/>
      <c r="AR49" s="225"/>
      <c r="AS49" s="225"/>
      <c r="AT49" s="225"/>
      <c r="AU49" s="225"/>
      <c r="AV49" s="224"/>
      <c r="AW49" s="224"/>
      <c r="AX49" s="224"/>
      <c r="AY49" s="224"/>
    </row>
    <row r="50" spans="1:51" ht="13.5" customHeight="1">
      <c r="A50" s="224"/>
      <c r="B50" s="224"/>
      <c r="C50" s="225"/>
      <c r="D50" s="224"/>
      <c r="E50" s="224"/>
      <c r="F50" s="226"/>
      <c r="G50" s="225"/>
      <c r="H50" s="225"/>
      <c r="I50" s="225"/>
      <c r="J50" s="225"/>
      <c r="K50" s="224"/>
      <c r="L50" s="224"/>
      <c r="M50" s="224"/>
      <c r="N50" s="224"/>
      <c r="O50" s="224"/>
      <c r="P50" s="224"/>
      <c r="Q50" s="224"/>
      <c r="R50" s="224"/>
      <c r="S50" s="225"/>
      <c r="T50" s="224"/>
      <c r="U50" s="224"/>
      <c r="V50" s="227"/>
      <c r="W50" s="224"/>
      <c r="X50" s="224"/>
      <c r="Y50" s="224"/>
      <c r="Z50" s="224"/>
      <c r="AA50" s="224"/>
      <c r="AB50" s="224"/>
      <c r="AC50" s="224"/>
      <c r="AD50" s="224"/>
      <c r="AE50" s="224"/>
      <c r="AF50" s="224"/>
      <c r="AG50" s="224"/>
      <c r="AH50" s="224"/>
      <c r="AI50" s="224"/>
      <c r="AJ50" s="224"/>
      <c r="AK50" s="224" t="e">
        <f t="shared" si="32"/>
        <v>#N/A</v>
      </c>
      <c r="AL50" s="224" t="str">
        <f>$E$3&amp;"8"</f>
        <v>Vampire8</v>
      </c>
      <c r="AM50" s="224"/>
      <c r="AN50" s="224"/>
      <c r="AO50" s="224"/>
      <c r="AP50" s="224"/>
      <c r="AQ50" s="224"/>
      <c r="AR50" s="225"/>
      <c r="AS50" s="225"/>
      <c r="AT50" s="225"/>
      <c r="AU50" s="225"/>
      <c r="AV50" s="224"/>
      <c r="AW50" s="224"/>
      <c r="AX50" s="224"/>
      <c r="AY50" s="224"/>
    </row>
    <row r="51" spans="1:51" ht="13.5" customHeight="1">
      <c r="A51" s="224"/>
      <c r="B51" s="224"/>
      <c r="C51" s="225"/>
      <c r="D51" s="224"/>
      <c r="E51" s="224"/>
      <c r="F51" s="226"/>
      <c r="G51" s="225"/>
      <c r="H51" s="225"/>
      <c r="I51" s="225"/>
      <c r="J51" s="225"/>
      <c r="K51" s="224"/>
      <c r="L51" s="224"/>
      <c r="M51" s="224"/>
      <c r="N51" s="224"/>
      <c r="O51" s="224"/>
      <c r="P51" s="224"/>
      <c r="Q51" s="224"/>
      <c r="R51" s="224"/>
      <c r="S51" s="225"/>
      <c r="T51" s="224"/>
      <c r="U51" s="224"/>
      <c r="V51" s="227"/>
      <c r="W51" s="224"/>
      <c r="X51" s="224"/>
      <c r="Y51" s="224"/>
      <c r="Z51" s="224"/>
      <c r="AA51" s="224"/>
      <c r="AB51" s="224"/>
      <c r="AC51" s="224"/>
      <c r="AD51" s="224"/>
      <c r="AE51" s="224"/>
      <c r="AF51" s="224"/>
      <c r="AG51" s="224"/>
      <c r="AH51" s="224"/>
      <c r="AI51" s="224"/>
      <c r="AJ51" s="224"/>
      <c r="AK51" s="224" t="e">
        <f t="shared" si="32"/>
        <v>#N/A</v>
      </c>
      <c r="AL51" s="224" t="str">
        <f>$E$3&amp;"7"</f>
        <v>Vampire7</v>
      </c>
      <c r="AM51" s="224"/>
      <c r="AN51" s="224"/>
      <c r="AO51" s="224"/>
      <c r="AP51" s="224"/>
      <c r="AQ51" s="224"/>
      <c r="AR51" s="225"/>
      <c r="AS51" s="225"/>
      <c r="AT51" s="225"/>
      <c r="AU51" s="225"/>
      <c r="AV51" s="224"/>
      <c r="AW51" s="224"/>
      <c r="AX51" s="224"/>
      <c r="AY51" s="224"/>
    </row>
    <row r="52" spans="1:51" ht="13.5" customHeight="1">
      <c r="A52" s="224"/>
      <c r="B52" s="224"/>
      <c r="C52" s="225"/>
      <c r="D52" s="224"/>
      <c r="E52" s="224"/>
      <c r="F52" s="226"/>
      <c r="G52" s="225"/>
      <c r="H52" s="225"/>
      <c r="I52" s="225"/>
      <c r="J52" s="225"/>
      <c r="K52" s="224"/>
      <c r="L52" s="224"/>
      <c r="M52" s="224"/>
      <c r="N52" s="224"/>
      <c r="O52" s="224"/>
      <c r="P52" s="224"/>
      <c r="Q52" s="224"/>
      <c r="R52" s="224"/>
      <c r="S52" s="225"/>
      <c r="T52" s="224"/>
      <c r="U52" s="224"/>
      <c r="V52" s="227"/>
      <c r="W52" s="224"/>
      <c r="X52" s="224"/>
      <c r="Y52" s="224"/>
      <c r="Z52" s="224"/>
      <c r="AA52" s="224"/>
      <c r="AB52" s="224"/>
      <c r="AC52" s="224"/>
      <c r="AD52" s="224"/>
      <c r="AE52" s="224"/>
      <c r="AF52" s="224"/>
      <c r="AG52" s="224"/>
      <c r="AH52" s="224"/>
      <c r="AI52" s="224"/>
      <c r="AJ52" s="224"/>
      <c r="AK52" s="224" t="str">
        <f t="shared" si="32"/>
        <v>Crazy Igor</v>
      </c>
      <c r="AL52" s="224" t="str">
        <f>$E$3&amp;"6"</f>
        <v>Vampire6</v>
      </c>
      <c r="AM52" s="224"/>
      <c r="AN52" s="224"/>
      <c r="AO52" s="224"/>
      <c r="AP52" s="224"/>
      <c r="AQ52" s="224"/>
      <c r="AR52" s="225"/>
      <c r="AS52" s="225"/>
      <c r="AT52" s="225"/>
      <c r="AU52" s="225"/>
      <c r="AV52" s="224"/>
      <c r="AW52" s="224"/>
      <c r="AX52" s="224"/>
      <c r="AY52" s="224"/>
    </row>
    <row r="53" spans="1:51" ht="13.5" customHeight="1">
      <c r="A53" s="224"/>
      <c r="B53" s="224"/>
      <c r="C53" s="225"/>
      <c r="D53" s="224"/>
      <c r="E53" s="224"/>
      <c r="F53" s="226"/>
      <c r="G53" s="225"/>
      <c r="H53" s="225"/>
      <c r="I53" s="225"/>
      <c r="J53" s="225"/>
      <c r="K53" s="224"/>
      <c r="L53" s="224"/>
      <c r="M53" s="224"/>
      <c r="N53" s="224"/>
      <c r="O53" s="224"/>
      <c r="P53" s="224"/>
      <c r="Q53" s="224"/>
      <c r="R53" s="224"/>
      <c r="S53" s="225"/>
      <c r="T53" s="224"/>
      <c r="U53" s="224"/>
      <c r="V53" s="227"/>
      <c r="W53" s="224"/>
      <c r="X53" s="224"/>
      <c r="Y53" s="224"/>
      <c r="Z53" s="224"/>
      <c r="AA53" s="224"/>
      <c r="AB53" s="224"/>
      <c r="AC53" s="224"/>
      <c r="AD53" s="224"/>
      <c r="AE53" s="224"/>
      <c r="AF53" s="224"/>
      <c r="AG53" s="224"/>
      <c r="AH53" s="224"/>
      <c r="AI53" s="224"/>
      <c r="AJ53" s="224"/>
      <c r="AK53" s="224" t="str">
        <f t="shared" si="32"/>
        <v>J Earlice</v>
      </c>
      <c r="AL53" s="224" t="str">
        <f>$E$3&amp;"5"</f>
        <v>Vampire5</v>
      </c>
      <c r="AM53" s="224"/>
      <c r="AN53" s="224"/>
      <c r="AO53" s="224"/>
      <c r="AP53" s="224"/>
      <c r="AQ53" s="224"/>
      <c r="AR53" s="225"/>
      <c r="AS53" s="225"/>
      <c r="AT53" s="225"/>
      <c r="AU53" s="225"/>
      <c r="AV53" s="224"/>
      <c r="AW53" s="224"/>
      <c r="AX53" s="224"/>
      <c r="AY53" s="224"/>
    </row>
    <row r="54" spans="1:51" ht="13.5" customHeight="1">
      <c r="A54" s="224"/>
      <c r="B54" s="224"/>
      <c r="C54" s="225"/>
      <c r="D54" s="224"/>
      <c r="E54" s="224"/>
      <c r="F54" s="226"/>
      <c r="G54" s="225"/>
      <c r="H54" s="225"/>
      <c r="I54" s="225"/>
      <c r="J54" s="225"/>
      <c r="K54" s="224"/>
      <c r="L54" s="224"/>
      <c r="M54" s="224"/>
      <c r="N54" s="224"/>
      <c r="O54" s="224"/>
      <c r="P54" s="224"/>
      <c r="Q54" s="224"/>
      <c r="R54" s="224"/>
      <c r="S54" s="225"/>
      <c r="T54" s="224"/>
      <c r="U54" s="224"/>
      <c r="V54" s="227"/>
      <c r="W54" s="224"/>
      <c r="X54" s="224"/>
      <c r="Y54" s="224"/>
      <c r="Z54" s="224"/>
      <c r="AA54" s="224"/>
      <c r="AB54" s="224"/>
      <c r="AC54" s="224"/>
      <c r="AD54" s="224"/>
      <c r="AE54" s="224"/>
      <c r="AF54" s="224"/>
      <c r="AG54" s="224"/>
      <c r="AH54" s="224"/>
      <c r="AI54" s="224"/>
      <c r="AJ54" s="224"/>
      <c r="AK54" s="224" t="str">
        <f t="shared" si="32"/>
        <v>Count Luthor von Drakenborg</v>
      </c>
      <c r="AL54" s="224" t="str">
        <f>$E$3&amp;"4"</f>
        <v>Vampire4</v>
      </c>
      <c r="AM54" s="224"/>
      <c r="AN54" s="224"/>
      <c r="AO54" s="224"/>
      <c r="AP54" s="224"/>
      <c r="AQ54" s="224"/>
      <c r="AR54" s="225"/>
      <c r="AS54" s="225"/>
      <c r="AT54" s="225"/>
      <c r="AU54" s="225"/>
      <c r="AV54" s="224"/>
      <c r="AW54" s="224"/>
      <c r="AX54" s="224"/>
      <c r="AY54" s="224"/>
    </row>
    <row r="55" spans="1:51" ht="13.5" customHeight="1">
      <c r="A55" s="224"/>
      <c r="B55" s="224"/>
      <c r="C55" s="225"/>
      <c r="D55" s="224"/>
      <c r="E55" s="224"/>
      <c r="F55" s="226"/>
      <c r="G55" s="225"/>
      <c r="H55" s="225"/>
      <c r="I55" s="225"/>
      <c r="J55" s="225"/>
      <c r="K55" s="224"/>
      <c r="L55" s="224"/>
      <c r="M55" s="224"/>
      <c r="N55" s="224"/>
      <c r="O55" s="224"/>
      <c r="P55" s="224"/>
      <c r="Q55" s="224"/>
      <c r="R55" s="224"/>
      <c r="S55" s="225"/>
      <c r="T55" s="224"/>
      <c r="U55" s="224"/>
      <c r="V55" s="227"/>
      <c r="W55" s="224"/>
      <c r="X55" s="224"/>
      <c r="Y55" s="224"/>
      <c r="Z55" s="224"/>
      <c r="AA55" s="224"/>
      <c r="AB55" s="224"/>
      <c r="AC55" s="224"/>
      <c r="AD55" s="224"/>
      <c r="AE55" s="224"/>
      <c r="AF55" s="224"/>
      <c r="AG55" s="224"/>
      <c r="AH55" s="224"/>
      <c r="AI55" s="224"/>
      <c r="AJ55" s="224"/>
      <c r="AK55" s="224" t="str">
        <f t="shared" si="32"/>
        <v>Helmut Wulff</v>
      </c>
      <c r="AL55" s="224" t="str">
        <f>$E$3&amp;"3"</f>
        <v>Vampire3</v>
      </c>
      <c r="AM55" s="224"/>
      <c r="AN55" s="224"/>
      <c r="AO55" s="224"/>
      <c r="AP55" s="224"/>
      <c r="AQ55" s="224"/>
      <c r="AR55" s="225"/>
      <c r="AS55" s="225"/>
      <c r="AT55" s="225"/>
      <c r="AU55" s="225"/>
      <c r="AV55" s="224"/>
      <c r="AW55" s="224"/>
      <c r="AX55" s="224"/>
      <c r="AY55" s="224"/>
    </row>
    <row r="56" spans="1:51" ht="13.5" customHeight="1">
      <c r="A56" s="224"/>
      <c r="B56" s="224"/>
      <c r="C56" s="225"/>
      <c r="D56" s="224"/>
      <c r="E56" s="224"/>
      <c r="F56" s="226"/>
      <c r="G56" s="225"/>
      <c r="H56" s="225"/>
      <c r="I56" s="225"/>
      <c r="J56" s="225"/>
      <c r="K56" s="224"/>
      <c r="L56" s="224"/>
      <c r="M56" s="224"/>
      <c r="N56" s="224"/>
      <c r="O56" s="224"/>
      <c r="P56" s="224"/>
      <c r="Q56" s="224"/>
      <c r="R56" s="224"/>
      <c r="S56" s="225"/>
      <c r="T56" s="224"/>
      <c r="U56" s="224"/>
      <c r="V56" s="227"/>
      <c r="W56" s="224"/>
      <c r="X56" s="224"/>
      <c r="Y56" s="224"/>
      <c r="Z56" s="224"/>
      <c r="AA56" s="224"/>
      <c r="AB56" s="224"/>
      <c r="AC56" s="224"/>
      <c r="AD56" s="224"/>
      <c r="AE56" s="224"/>
      <c r="AF56" s="224"/>
      <c r="AG56" s="224"/>
      <c r="AH56" s="224"/>
      <c r="AI56" s="224"/>
      <c r="AJ56" s="224"/>
      <c r="AK56" s="224" t="str">
        <f t="shared" si="32"/>
        <v>Morg 'n' Thorg</v>
      </c>
      <c r="AL56" s="224" t="str">
        <f>$E$3&amp;"2"</f>
        <v>Vampire2</v>
      </c>
      <c r="AM56" s="224"/>
      <c r="AN56" s="224"/>
      <c r="AO56" s="224"/>
      <c r="AP56" s="224"/>
      <c r="AQ56" s="224"/>
      <c r="AR56" s="225"/>
      <c r="AS56" s="225"/>
      <c r="AT56" s="225"/>
      <c r="AU56" s="225"/>
      <c r="AV56" s="224"/>
      <c r="AW56" s="224"/>
      <c r="AX56" s="224"/>
      <c r="AY56" s="224"/>
    </row>
    <row r="57" spans="1:51" ht="13.5" customHeight="1">
      <c r="A57" s="224"/>
      <c r="B57" s="224"/>
      <c r="C57" s="225"/>
      <c r="D57" s="224"/>
      <c r="E57" s="224"/>
      <c r="F57" s="226"/>
      <c r="G57" s="225"/>
      <c r="H57" s="225"/>
      <c r="I57" s="225"/>
      <c r="J57" s="225"/>
      <c r="K57" s="224"/>
      <c r="L57" s="224"/>
      <c r="M57" s="224"/>
      <c r="N57" s="224"/>
      <c r="O57" s="224"/>
      <c r="P57" s="224"/>
      <c r="Q57" s="224"/>
      <c r="R57" s="224"/>
      <c r="S57" s="225"/>
      <c r="T57" s="224"/>
      <c r="U57" s="224"/>
      <c r="V57" s="227"/>
      <c r="W57" s="224"/>
      <c r="X57" s="224"/>
      <c r="Y57" s="224"/>
      <c r="Z57" s="224"/>
      <c r="AA57" s="224"/>
      <c r="AB57" s="224"/>
      <c r="AC57" s="224"/>
      <c r="AD57" s="224"/>
      <c r="AE57" s="224"/>
      <c r="AF57" s="224"/>
      <c r="AG57" s="224"/>
      <c r="AH57" s="224"/>
      <c r="AI57" s="224"/>
      <c r="AJ57" s="227" t="s">
        <v>224</v>
      </c>
      <c r="AK57" s="224" t="str">
        <f t="shared" si="32"/>
        <v>Wilhelm Chaney</v>
      </c>
      <c r="AL57" s="224" t="str">
        <f t="shared" ref="AL57:AL58" si="33">$E$3&amp;"1"</f>
        <v>Vampire1</v>
      </c>
      <c r="AM57" s="224"/>
      <c r="AN57" s="224"/>
      <c r="AO57" s="224"/>
      <c r="AP57" s="224"/>
      <c r="AQ57" s="224"/>
      <c r="AR57" s="225"/>
      <c r="AS57" s="225"/>
      <c r="AT57" s="225"/>
      <c r="AU57" s="225"/>
      <c r="AV57" s="224"/>
      <c r="AW57" s="224"/>
      <c r="AX57" s="224"/>
      <c r="AY57" s="224"/>
    </row>
    <row r="58" spans="1:51" ht="13.5" customHeight="1">
      <c r="A58" s="224"/>
      <c r="B58" s="224"/>
      <c r="C58" s="225"/>
      <c r="D58" s="224"/>
      <c r="E58" s="224"/>
      <c r="F58" s="226"/>
      <c r="G58" s="225"/>
      <c r="H58" s="225"/>
      <c r="I58" s="225"/>
      <c r="J58" s="225"/>
      <c r="K58" s="224"/>
      <c r="L58" s="224"/>
      <c r="M58" s="224"/>
      <c r="N58" s="224"/>
      <c r="O58" s="224"/>
      <c r="P58" s="224"/>
      <c r="Q58" s="224"/>
      <c r="R58" s="224"/>
      <c r="S58" s="225"/>
      <c r="T58" s="224"/>
      <c r="U58" s="224"/>
      <c r="V58" s="227"/>
      <c r="W58" s="224"/>
      <c r="X58" s="224"/>
      <c r="Y58" s="224"/>
      <c r="Z58" s="224"/>
      <c r="AA58" s="224"/>
      <c r="AB58" s="224"/>
      <c r="AC58" s="224"/>
      <c r="AD58" s="224"/>
      <c r="AE58" s="224"/>
      <c r="AF58" s="224"/>
      <c r="AG58" s="224"/>
      <c r="AH58" s="224"/>
      <c r="AI58" s="224"/>
      <c r="AJ58" s="224" t="str">
        <f t="shared" ref="AJ58:AJ67" si="34">VLOOKUP(AL58,DBPlayers,3,0)</f>
        <v>Thrall</v>
      </c>
      <c r="AK58" s="224" t="str">
        <f t="shared" ref="AK58:AK67" si="35">AJ58&amp;" "&amp;T_Merc</f>
        <v>Thrall Mercenary</v>
      </c>
      <c r="AL58" s="224" t="str">
        <f t="shared" si="33"/>
        <v>Vampire1</v>
      </c>
      <c r="AM58" s="224"/>
      <c r="AN58" s="228"/>
      <c r="AO58" s="224"/>
      <c r="AP58" s="224"/>
      <c r="AQ58" s="224"/>
      <c r="AR58" s="225"/>
      <c r="AS58" s="225"/>
      <c r="AT58" s="225"/>
      <c r="AU58" s="225"/>
      <c r="AV58" s="224"/>
      <c r="AW58" s="224"/>
      <c r="AX58" s="224"/>
      <c r="AY58" s="224"/>
    </row>
    <row r="59" spans="1:51" ht="13.5" customHeight="1">
      <c r="A59" s="224"/>
      <c r="B59" s="224"/>
      <c r="C59" s="225"/>
      <c r="D59" s="224"/>
      <c r="E59" s="224"/>
      <c r="F59" s="226"/>
      <c r="G59" s="225"/>
      <c r="H59" s="225"/>
      <c r="I59" s="225"/>
      <c r="J59" s="225"/>
      <c r="K59" s="224"/>
      <c r="L59" s="224"/>
      <c r="M59" s="224"/>
      <c r="N59" s="224"/>
      <c r="O59" s="224"/>
      <c r="P59" s="224"/>
      <c r="Q59" s="224"/>
      <c r="R59" s="224"/>
      <c r="S59" s="225"/>
      <c r="T59" s="224"/>
      <c r="U59" s="224"/>
      <c r="V59" s="227"/>
      <c r="W59" s="224"/>
      <c r="X59" s="224"/>
      <c r="Y59" s="224"/>
      <c r="Z59" s="224"/>
      <c r="AA59" s="224"/>
      <c r="AB59" s="224"/>
      <c r="AC59" s="224"/>
      <c r="AD59" s="224"/>
      <c r="AE59" s="224"/>
      <c r="AF59" s="224"/>
      <c r="AG59" s="224"/>
      <c r="AH59" s="224"/>
      <c r="AI59" s="224"/>
      <c r="AJ59" s="224" t="str">
        <f t="shared" si="34"/>
        <v>Vampire</v>
      </c>
      <c r="AK59" s="224" t="str">
        <f t="shared" si="35"/>
        <v>Vampire Mercenary</v>
      </c>
      <c r="AL59" s="224" t="str">
        <f>$E$3&amp;"2"</f>
        <v>Vampire2</v>
      </c>
      <c r="AM59" s="224"/>
      <c r="AN59" s="224"/>
      <c r="AO59" s="224"/>
      <c r="AP59" s="224"/>
      <c r="AQ59" s="224"/>
      <c r="AR59" s="225"/>
      <c r="AS59" s="225"/>
      <c r="AT59" s="225"/>
      <c r="AU59" s="225"/>
      <c r="AV59" s="224"/>
      <c r="AW59" s="224"/>
      <c r="AX59" s="224"/>
      <c r="AY59" s="224"/>
    </row>
    <row r="60" spans="1:51" ht="12.75" customHeight="1">
      <c r="A60" s="224"/>
      <c r="B60" s="224"/>
      <c r="C60" s="225"/>
      <c r="D60" s="224"/>
      <c r="E60" s="224"/>
      <c r="F60" s="226"/>
      <c r="G60" s="225"/>
      <c r="H60" s="225"/>
      <c r="I60" s="225"/>
      <c r="J60" s="225"/>
      <c r="K60" s="224"/>
      <c r="L60" s="224"/>
      <c r="M60" s="224"/>
      <c r="N60" s="224"/>
      <c r="O60" s="224"/>
      <c r="P60" s="224"/>
      <c r="Q60" s="224"/>
      <c r="R60" s="224"/>
      <c r="S60" s="225"/>
      <c r="T60" s="224"/>
      <c r="U60" s="224"/>
      <c r="V60" s="227"/>
      <c r="W60" s="224"/>
      <c r="X60" s="224"/>
      <c r="Y60" s="224"/>
      <c r="Z60" s="224"/>
      <c r="AA60" s="224"/>
      <c r="AB60" s="224"/>
      <c r="AC60" s="224"/>
      <c r="AD60" s="224"/>
      <c r="AE60" s="224"/>
      <c r="AF60" s="224"/>
      <c r="AG60" s="224"/>
      <c r="AH60" s="224"/>
      <c r="AI60" s="224"/>
      <c r="AJ60" s="224" t="e">
        <f t="shared" si="34"/>
        <v>#N/A</v>
      </c>
      <c r="AK60" s="224" t="e">
        <f t="shared" si="35"/>
        <v>#N/A</v>
      </c>
      <c r="AL60" s="224" t="str">
        <f>$E$3&amp;"3"</f>
        <v>Vampire3</v>
      </c>
      <c r="AM60" s="224"/>
      <c r="AN60" s="224"/>
      <c r="AO60" s="224"/>
      <c r="AP60" s="224"/>
      <c r="AQ60" s="224"/>
      <c r="AR60" s="225"/>
      <c r="AS60" s="225"/>
      <c r="AT60" s="225"/>
      <c r="AU60" s="225"/>
      <c r="AV60" s="224"/>
      <c r="AW60" s="224"/>
      <c r="AX60" s="224"/>
      <c r="AY60" s="224"/>
    </row>
    <row r="61" spans="1:51" ht="12.75" customHeight="1">
      <c r="A61" s="224"/>
      <c r="B61" s="224"/>
      <c r="C61" s="225"/>
      <c r="D61" s="224"/>
      <c r="E61" s="224"/>
      <c r="F61" s="226"/>
      <c r="G61" s="225"/>
      <c r="H61" s="225"/>
      <c r="I61" s="225"/>
      <c r="J61" s="225"/>
      <c r="K61" s="224"/>
      <c r="L61" s="224"/>
      <c r="M61" s="224"/>
      <c r="N61" s="224"/>
      <c r="O61" s="224"/>
      <c r="P61" s="224"/>
      <c r="Q61" s="224"/>
      <c r="R61" s="224"/>
      <c r="S61" s="225"/>
      <c r="T61" s="224"/>
      <c r="U61" s="224"/>
      <c r="V61" s="227"/>
      <c r="W61" s="224"/>
      <c r="X61" s="224"/>
      <c r="Y61" s="224"/>
      <c r="Z61" s="224"/>
      <c r="AA61" s="224"/>
      <c r="AB61" s="224"/>
      <c r="AC61" s="224"/>
      <c r="AD61" s="224"/>
      <c r="AE61" s="224"/>
      <c r="AF61" s="224"/>
      <c r="AG61" s="224"/>
      <c r="AH61" s="224"/>
      <c r="AI61" s="224"/>
      <c r="AJ61" s="224" t="e">
        <f t="shared" si="34"/>
        <v>#N/A</v>
      </c>
      <c r="AK61" s="224" t="e">
        <f t="shared" si="35"/>
        <v>#N/A</v>
      </c>
      <c r="AL61" s="224" t="str">
        <f>$E$3&amp;"4"</f>
        <v>Vampire4</v>
      </c>
      <c r="AM61" s="224"/>
      <c r="AN61" s="224"/>
      <c r="AO61" s="224"/>
      <c r="AP61" s="224"/>
      <c r="AQ61" s="224"/>
      <c r="AR61" s="225"/>
      <c r="AS61" s="225"/>
      <c r="AT61" s="225"/>
      <c r="AU61" s="225"/>
      <c r="AV61" s="224"/>
      <c r="AW61" s="224"/>
      <c r="AX61" s="224"/>
      <c r="AY61" s="224"/>
    </row>
    <row r="62" spans="1:51" ht="12.75" customHeight="1">
      <c r="A62" s="224"/>
      <c r="B62" s="224"/>
      <c r="C62" s="225"/>
      <c r="D62" s="224"/>
      <c r="E62" s="224"/>
      <c r="F62" s="226"/>
      <c r="G62" s="225"/>
      <c r="H62" s="225"/>
      <c r="I62" s="225"/>
      <c r="J62" s="225"/>
      <c r="K62" s="224"/>
      <c r="L62" s="224"/>
      <c r="M62" s="224"/>
      <c r="N62" s="224"/>
      <c r="O62" s="224"/>
      <c r="P62" s="224"/>
      <c r="Q62" s="224"/>
      <c r="R62" s="224"/>
      <c r="S62" s="225"/>
      <c r="T62" s="224"/>
      <c r="U62" s="224"/>
      <c r="V62" s="227"/>
      <c r="W62" s="224"/>
      <c r="X62" s="224"/>
      <c r="Y62" s="224"/>
      <c r="Z62" s="224"/>
      <c r="AA62" s="224"/>
      <c r="AB62" s="224"/>
      <c r="AC62" s="224"/>
      <c r="AD62" s="224"/>
      <c r="AE62" s="224"/>
      <c r="AF62" s="224"/>
      <c r="AG62" s="224"/>
      <c r="AH62" s="224"/>
      <c r="AI62" s="224"/>
      <c r="AJ62" s="224" t="e">
        <f t="shared" si="34"/>
        <v>#N/A</v>
      </c>
      <c r="AK62" s="224" t="e">
        <f t="shared" si="35"/>
        <v>#N/A</v>
      </c>
      <c r="AL62" s="224" t="str">
        <f>$E$3&amp;"5"</f>
        <v>Vampire5</v>
      </c>
      <c r="AM62" s="224"/>
      <c r="AN62" s="224"/>
      <c r="AO62" s="224"/>
      <c r="AP62" s="224"/>
      <c r="AQ62" s="224"/>
      <c r="AR62" s="225"/>
      <c r="AS62" s="225"/>
      <c r="AT62" s="225"/>
      <c r="AU62" s="225"/>
      <c r="AV62" s="224"/>
      <c r="AW62" s="224"/>
      <c r="AX62" s="224"/>
      <c r="AY62" s="224"/>
    </row>
    <row r="63" spans="1:51" ht="12.75" customHeight="1">
      <c r="A63" s="224"/>
      <c r="B63" s="224"/>
      <c r="C63" s="225"/>
      <c r="D63" s="224"/>
      <c r="E63" s="224"/>
      <c r="F63" s="226"/>
      <c r="G63" s="225"/>
      <c r="H63" s="225"/>
      <c r="I63" s="225"/>
      <c r="J63" s="225"/>
      <c r="K63" s="224"/>
      <c r="L63" s="224"/>
      <c r="M63" s="224"/>
      <c r="N63" s="224"/>
      <c r="O63" s="224"/>
      <c r="P63" s="224"/>
      <c r="Q63" s="224"/>
      <c r="R63" s="224"/>
      <c r="S63" s="225"/>
      <c r="T63" s="224"/>
      <c r="U63" s="224"/>
      <c r="V63" s="227"/>
      <c r="W63" s="224"/>
      <c r="X63" s="224"/>
      <c r="Y63" s="224"/>
      <c r="Z63" s="224"/>
      <c r="AA63" s="224"/>
      <c r="AB63" s="224"/>
      <c r="AC63" s="224"/>
      <c r="AD63" s="224"/>
      <c r="AE63" s="224"/>
      <c r="AF63" s="224"/>
      <c r="AG63" s="224"/>
      <c r="AH63" s="224"/>
      <c r="AI63" s="224"/>
      <c r="AJ63" s="224" t="e">
        <f t="shared" si="34"/>
        <v>#N/A</v>
      </c>
      <c r="AK63" s="224" t="e">
        <f t="shared" si="35"/>
        <v>#N/A</v>
      </c>
      <c r="AL63" s="224" t="str">
        <f>$E$3&amp;"6"</f>
        <v>Vampire6</v>
      </c>
      <c r="AM63" s="224"/>
      <c r="AN63" s="224"/>
      <c r="AO63" s="224"/>
      <c r="AP63" s="224"/>
      <c r="AQ63" s="224"/>
      <c r="AR63" s="225"/>
      <c r="AS63" s="225"/>
      <c r="AT63" s="225"/>
      <c r="AU63" s="225"/>
      <c r="AV63" s="224"/>
      <c r="AW63" s="224"/>
      <c r="AX63" s="224"/>
      <c r="AY63" s="224"/>
    </row>
    <row r="64" spans="1:51" ht="12.75" customHeight="1">
      <c r="A64" s="224"/>
      <c r="B64" s="224"/>
      <c r="C64" s="225"/>
      <c r="D64" s="224"/>
      <c r="E64" s="224"/>
      <c r="F64" s="226"/>
      <c r="G64" s="225"/>
      <c r="H64" s="225"/>
      <c r="I64" s="225"/>
      <c r="J64" s="225"/>
      <c r="K64" s="224"/>
      <c r="L64" s="224"/>
      <c r="M64" s="224"/>
      <c r="N64" s="224"/>
      <c r="O64" s="224"/>
      <c r="P64" s="224"/>
      <c r="Q64" s="224"/>
      <c r="R64" s="224"/>
      <c r="S64" s="225"/>
      <c r="T64" s="224"/>
      <c r="U64" s="224"/>
      <c r="V64" s="227"/>
      <c r="W64" s="224"/>
      <c r="X64" s="224"/>
      <c r="Y64" s="224"/>
      <c r="Z64" s="224"/>
      <c r="AA64" s="224"/>
      <c r="AB64" s="224"/>
      <c r="AC64" s="224"/>
      <c r="AD64" s="224"/>
      <c r="AE64" s="224"/>
      <c r="AF64" s="224"/>
      <c r="AG64" s="224"/>
      <c r="AH64" s="224"/>
      <c r="AI64" s="224"/>
      <c r="AJ64" s="224" t="e">
        <f t="shared" si="34"/>
        <v>#N/A</v>
      </c>
      <c r="AK64" s="224" t="e">
        <f t="shared" si="35"/>
        <v>#N/A</v>
      </c>
      <c r="AL64" s="224" t="str">
        <f>$E$3&amp;"7"</f>
        <v>Vampire7</v>
      </c>
      <c r="AM64" s="224"/>
      <c r="AN64" s="224"/>
      <c r="AO64" s="224"/>
      <c r="AP64" s="224"/>
      <c r="AQ64" s="224"/>
      <c r="AR64" s="225"/>
      <c r="AS64" s="225"/>
      <c r="AT64" s="225"/>
      <c r="AU64" s="225"/>
      <c r="AV64" s="224"/>
      <c r="AW64" s="224"/>
      <c r="AX64" s="224"/>
      <c r="AY64" s="224"/>
    </row>
    <row r="65" spans="1:51" ht="12.75" customHeight="1">
      <c r="A65" s="224"/>
      <c r="B65" s="224"/>
      <c r="C65" s="225"/>
      <c r="D65" s="224"/>
      <c r="E65" s="224"/>
      <c r="F65" s="226"/>
      <c r="G65" s="225"/>
      <c r="H65" s="225"/>
      <c r="I65" s="225"/>
      <c r="J65" s="225"/>
      <c r="K65" s="224"/>
      <c r="L65" s="224"/>
      <c r="M65" s="224"/>
      <c r="N65" s="224"/>
      <c r="O65" s="224"/>
      <c r="P65" s="224"/>
      <c r="Q65" s="224"/>
      <c r="R65" s="224"/>
      <c r="S65" s="225"/>
      <c r="T65" s="224"/>
      <c r="U65" s="224"/>
      <c r="V65" s="227"/>
      <c r="W65" s="224"/>
      <c r="X65" s="224"/>
      <c r="Y65" s="224"/>
      <c r="Z65" s="224"/>
      <c r="AA65" s="224"/>
      <c r="AB65" s="224"/>
      <c r="AC65" s="224"/>
      <c r="AD65" s="224"/>
      <c r="AE65" s="224"/>
      <c r="AF65" s="224"/>
      <c r="AG65" s="224"/>
      <c r="AH65" s="224"/>
      <c r="AI65" s="224"/>
      <c r="AJ65" s="224" t="e">
        <f t="shared" si="34"/>
        <v>#N/A</v>
      </c>
      <c r="AK65" s="224" t="e">
        <f t="shared" si="35"/>
        <v>#N/A</v>
      </c>
      <c r="AL65" s="224" t="str">
        <f>$E$3&amp;"8"</f>
        <v>Vampire8</v>
      </c>
      <c r="AM65" s="224"/>
      <c r="AN65" s="224"/>
      <c r="AO65" s="224"/>
      <c r="AP65" s="224"/>
      <c r="AQ65" s="224"/>
      <c r="AR65" s="225"/>
      <c r="AS65" s="225"/>
      <c r="AT65" s="225"/>
      <c r="AU65" s="225"/>
      <c r="AV65" s="224"/>
      <c r="AW65" s="224"/>
      <c r="AX65" s="224"/>
      <c r="AY65" s="224"/>
    </row>
    <row r="66" spans="1:51" ht="12.75" customHeight="1">
      <c r="A66" s="224"/>
      <c r="B66" s="224"/>
      <c r="C66" s="225"/>
      <c r="D66" s="224"/>
      <c r="E66" s="224"/>
      <c r="F66" s="226"/>
      <c r="G66" s="225"/>
      <c r="H66" s="225"/>
      <c r="I66" s="225"/>
      <c r="J66" s="225"/>
      <c r="K66" s="224"/>
      <c r="L66" s="224"/>
      <c r="M66" s="224"/>
      <c r="N66" s="224"/>
      <c r="O66" s="224"/>
      <c r="P66" s="224"/>
      <c r="Q66" s="224"/>
      <c r="R66" s="224"/>
      <c r="S66" s="225"/>
      <c r="T66" s="224"/>
      <c r="U66" s="224"/>
      <c r="V66" s="227"/>
      <c r="W66" s="224"/>
      <c r="X66" s="224"/>
      <c r="Y66" s="224"/>
      <c r="Z66" s="224"/>
      <c r="AA66" s="224"/>
      <c r="AB66" s="224"/>
      <c r="AC66" s="224"/>
      <c r="AD66" s="224"/>
      <c r="AE66" s="224"/>
      <c r="AF66" s="224"/>
      <c r="AG66" s="224"/>
      <c r="AH66" s="224"/>
      <c r="AI66" s="224"/>
      <c r="AJ66" s="224" t="e">
        <f t="shared" si="34"/>
        <v>#N/A</v>
      </c>
      <c r="AK66" s="224" t="e">
        <f t="shared" si="35"/>
        <v>#N/A</v>
      </c>
      <c r="AL66" s="224" t="str">
        <f>$E$3&amp;"9"</f>
        <v>Vampire9</v>
      </c>
      <c r="AM66" s="224"/>
      <c r="AN66" s="224"/>
      <c r="AO66" s="224"/>
      <c r="AP66" s="224"/>
      <c r="AQ66" s="224"/>
      <c r="AR66" s="225"/>
      <c r="AS66" s="225"/>
      <c r="AT66" s="225"/>
      <c r="AU66" s="225"/>
      <c r="AV66" s="224"/>
      <c r="AW66" s="224"/>
      <c r="AX66" s="224"/>
      <c r="AY66" s="224"/>
    </row>
    <row r="67" spans="1:51" ht="12.75" customHeight="1">
      <c r="A67" s="224"/>
      <c r="B67" s="224"/>
      <c r="C67" s="225"/>
      <c r="D67" s="224"/>
      <c r="E67" s="224"/>
      <c r="F67" s="226"/>
      <c r="G67" s="225"/>
      <c r="H67" s="225"/>
      <c r="I67" s="225"/>
      <c r="J67" s="225"/>
      <c r="K67" s="224"/>
      <c r="L67" s="224"/>
      <c r="M67" s="224"/>
      <c r="N67" s="224"/>
      <c r="O67" s="224"/>
      <c r="P67" s="224"/>
      <c r="Q67" s="224"/>
      <c r="R67" s="224"/>
      <c r="S67" s="225"/>
      <c r="T67" s="224"/>
      <c r="U67" s="224"/>
      <c r="V67" s="227"/>
      <c r="W67" s="224"/>
      <c r="X67" s="224"/>
      <c r="Y67" s="224"/>
      <c r="Z67" s="224"/>
      <c r="AA67" s="224"/>
      <c r="AB67" s="224"/>
      <c r="AC67" s="224"/>
      <c r="AD67" s="224"/>
      <c r="AE67" s="224"/>
      <c r="AF67" s="224"/>
      <c r="AG67" s="224"/>
      <c r="AH67" s="224"/>
      <c r="AI67" s="224"/>
      <c r="AJ67" s="224" t="e">
        <f t="shared" si="34"/>
        <v>#N/A</v>
      </c>
      <c r="AK67" s="224" t="e">
        <f t="shared" si="35"/>
        <v>#N/A</v>
      </c>
      <c r="AL67" s="224" t="str">
        <f>$E$3&amp;"10"</f>
        <v>Vampire10</v>
      </c>
      <c r="AM67" s="224"/>
      <c r="AN67" s="224"/>
      <c r="AO67" s="224"/>
      <c r="AP67" s="224"/>
      <c r="AQ67" s="224"/>
      <c r="AR67" s="225"/>
      <c r="AS67" s="225"/>
      <c r="AT67" s="225"/>
      <c r="AU67" s="225"/>
      <c r="AV67" s="224"/>
      <c r="AW67" s="224"/>
      <c r="AX67" s="224"/>
      <c r="AY67" s="224"/>
    </row>
    <row r="68" spans="1:51" ht="12.75" customHeight="1">
      <c r="A68" s="224"/>
      <c r="B68" s="224"/>
      <c r="C68" s="225"/>
      <c r="D68" s="224"/>
      <c r="E68" s="224"/>
      <c r="F68" s="226"/>
      <c r="G68" s="225"/>
      <c r="H68" s="225"/>
      <c r="I68" s="225"/>
      <c r="J68" s="225"/>
      <c r="K68" s="224"/>
      <c r="L68" s="224"/>
      <c r="M68" s="224"/>
      <c r="N68" s="224"/>
      <c r="O68" s="224"/>
      <c r="P68" s="224"/>
      <c r="Q68" s="224"/>
      <c r="R68" s="224"/>
      <c r="S68" s="225"/>
      <c r="T68" s="224"/>
      <c r="U68" s="224"/>
      <c r="V68" s="227"/>
      <c r="W68" s="224"/>
      <c r="X68" s="224"/>
      <c r="Y68" s="224"/>
      <c r="Z68" s="224"/>
      <c r="AA68" s="224"/>
      <c r="AB68" s="224"/>
      <c r="AC68" s="224"/>
      <c r="AD68" s="224"/>
      <c r="AE68" s="224"/>
      <c r="AF68" s="224"/>
      <c r="AG68" s="224"/>
      <c r="AH68" s="224"/>
      <c r="AI68" s="224"/>
      <c r="AJ68" s="224"/>
      <c r="AK68" s="224"/>
      <c r="AL68" s="224"/>
      <c r="AM68" s="224"/>
      <c r="AN68" s="224"/>
      <c r="AO68" s="224"/>
      <c r="AP68" s="224"/>
      <c r="AQ68" s="224"/>
      <c r="AR68" s="225"/>
      <c r="AS68" s="225"/>
      <c r="AT68" s="225"/>
      <c r="AU68" s="225"/>
      <c r="AV68" s="224"/>
      <c r="AW68" s="224"/>
      <c r="AX68" s="224"/>
      <c r="AY68" s="224"/>
    </row>
    <row r="69" spans="1:51" ht="12.75" customHeight="1">
      <c r="A69" s="224"/>
      <c r="B69" s="224"/>
      <c r="C69" s="225"/>
      <c r="D69" s="224"/>
      <c r="E69" s="224"/>
      <c r="F69" s="226"/>
      <c r="G69" s="225"/>
      <c r="H69" s="225"/>
      <c r="I69" s="225"/>
      <c r="J69" s="225"/>
      <c r="K69" s="224"/>
      <c r="L69" s="224"/>
      <c r="M69" s="224"/>
      <c r="N69" s="224"/>
      <c r="O69" s="224"/>
      <c r="P69" s="224"/>
      <c r="Q69" s="224"/>
      <c r="R69" s="224"/>
      <c r="S69" s="225"/>
      <c r="T69" s="224"/>
      <c r="U69" s="224"/>
      <c r="V69" s="227"/>
      <c r="W69" s="224"/>
      <c r="X69" s="224"/>
      <c r="Y69" s="224"/>
      <c r="Z69" s="224"/>
      <c r="AA69" s="224"/>
      <c r="AB69" s="224"/>
      <c r="AC69" s="224"/>
      <c r="AD69" s="224"/>
      <c r="AE69" s="224"/>
      <c r="AF69" s="224"/>
      <c r="AG69" s="224"/>
      <c r="AH69" s="224"/>
      <c r="AI69" s="224"/>
      <c r="AJ69" s="228" t="s">
        <v>225</v>
      </c>
      <c r="AK69" s="224">
        <f t="array" ref="AK69">SUM(IF(ISERROR($AK$58:$AK$67),0,1))</f>
        <v>2</v>
      </c>
      <c r="AL69" s="224"/>
      <c r="AM69" s="224"/>
      <c r="AN69" s="224"/>
      <c r="AO69" s="224"/>
      <c r="AP69" s="224"/>
      <c r="AQ69" s="224"/>
      <c r="AR69" s="225"/>
      <c r="AS69" s="225"/>
      <c r="AT69" s="225"/>
      <c r="AU69" s="225"/>
      <c r="AV69" s="224"/>
      <c r="AW69" s="224"/>
      <c r="AX69" s="224"/>
      <c r="AY69" s="224"/>
    </row>
    <row r="70" spans="1:51" ht="12.75" customHeight="1">
      <c r="A70" s="224"/>
      <c r="B70" s="224"/>
      <c r="C70" s="225"/>
      <c r="D70" s="224"/>
      <c r="E70" s="224"/>
      <c r="F70" s="226"/>
      <c r="G70" s="225"/>
      <c r="H70" s="225"/>
      <c r="I70" s="225"/>
      <c r="J70" s="225"/>
      <c r="K70" s="224"/>
      <c r="L70" s="224"/>
      <c r="M70" s="224"/>
      <c r="N70" s="224"/>
      <c r="O70" s="224"/>
      <c r="P70" s="224"/>
      <c r="Q70" s="224"/>
      <c r="R70" s="224"/>
      <c r="S70" s="225"/>
      <c r="T70" s="224"/>
      <c r="U70" s="224"/>
      <c r="V70" s="227"/>
      <c r="W70" s="224"/>
      <c r="X70" s="224"/>
      <c r="Y70" s="224"/>
      <c r="Z70" s="224"/>
      <c r="AA70" s="224"/>
      <c r="AB70" s="224"/>
      <c r="AC70" s="224"/>
      <c r="AD70" s="224"/>
      <c r="AE70" s="224"/>
      <c r="AF70" s="224"/>
      <c r="AG70" s="224"/>
      <c r="AH70" s="224"/>
      <c r="AI70" s="224"/>
      <c r="AJ70" s="228" t="s">
        <v>226</v>
      </c>
      <c r="AK70" s="224">
        <f t="array" ref="AK70">SUM(IF(ISERROR($AK$48:$AK$57),0,1))</f>
        <v>6</v>
      </c>
      <c r="AL70" s="224"/>
      <c r="AM70" s="224"/>
      <c r="AN70" s="224"/>
      <c r="AO70" s="224"/>
      <c r="AP70" s="224"/>
      <c r="AQ70" s="224"/>
      <c r="AR70" s="225"/>
      <c r="AS70" s="225"/>
      <c r="AT70" s="225"/>
      <c r="AU70" s="225"/>
      <c r="AV70" s="224"/>
      <c r="AW70" s="224"/>
      <c r="AX70" s="224"/>
      <c r="AY70" s="224"/>
    </row>
  </sheetData>
  <mergeCells count="58">
    <mergeCell ref="O37:Q37"/>
    <mergeCell ref="O35:Q35"/>
    <mergeCell ref="O36:Q36"/>
    <mergeCell ref="O38:Q38"/>
    <mergeCell ref="M39:P39"/>
    <mergeCell ref="D28:E28"/>
    <mergeCell ref="H35:I35"/>
    <mergeCell ref="D35:E35"/>
    <mergeCell ref="D39:E39"/>
    <mergeCell ref="D38:E38"/>
    <mergeCell ref="F42:I42"/>
    <mergeCell ref="H40:I40"/>
    <mergeCell ref="R41:S41"/>
    <mergeCell ref="R42:S42"/>
    <mergeCell ref="R40:S40"/>
    <mergeCell ref="D40:E40"/>
    <mergeCell ref="D41:E41"/>
    <mergeCell ref="H37:I37"/>
    <mergeCell ref="H38:I38"/>
    <mergeCell ref="J3:K3"/>
    <mergeCell ref="H39:I39"/>
    <mergeCell ref="F41:I41"/>
    <mergeCell ref="D24:E24"/>
    <mergeCell ref="K28:R28"/>
    <mergeCell ref="K29:R29"/>
    <mergeCell ref="K30:R30"/>
    <mergeCell ref="L31:P31"/>
    <mergeCell ref="K27:R27"/>
    <mergeCell ref="K26:R26"/>
    <mergeCell ref="O34:Q34"/>
    <mergeCell ref="L33:R33"/>
    <mergeCell ref="L3:M3"/>
    <mergeCell ref="G3:I3"/>
    <mergeCell ref="D37:E37"/>
    <mergeCell ref="D36:E36"/>
    <mergeCell ref="E3:F3"/>
    <mergeCell ref="H36:I36"/>
    <mergeCell ref="D34:E34"/>
    <mergeCell ref="D33:I33"/>
    <mergeCell ref="H34:I34"/>
    <mergeCell ref="D30:E30"/>
    <mergeCell ref="D29:E29"/>
    <mergeCell ref="K25:R25"/>
    <mergeCell ref="K24:R24"/>
    <mergeCell ref="D25:E25"/>
    <mergeCell ref="D26:E26"/>
    <mergeCell ref="D27:E27"/>
    <mergeCell ref="AR3:AU3"/>
    <mergeCell ref="AF3:AG3"/>
    <mergeCell ref="U3:W3"/>
    <mergeCell ref="N3:S3"/>
    <mergeCell ref="V25:W25"/>
    <mergeCell ref="V24:W24"/>
    <mergeCell ref="V27:W27"/>
    <mergeCell ref="V26:W26"/>
    <mergeCell ref="V29:W29"/>
    <mergeCell ref="V30:W30"/>
    <mergeCell ref="V28:W28"/>
  </mergeCells>
  <conditionalFormatting sqref="G6:J21">
    <cfRule type="cellIs" dxfId="22" priority="1" stopIfTrue="1" operator="greaterThan">
      <formula>AR6</formula>
    </cfRule>
  </conditionalFormatting>
  <conditionalFormatting sqref="G6:J21">
    <cfRule type="cellIs" dxfId="21" priority="2" stopIfTrue="1" operator="lessThan">
      <formula>AR6</formula>
    </cfRule>
  </conditionalFormatting>
  <dataValidations count="13">
    <dataValidation type="list" allowBlank="1" showErrorMessage="1" sqref="E3">
      <formula1>TeamList</formula1>
    </dataValidation>
    <dataValidation type="decimal" allowBlank="1" showInputMessage="1" showErrorMessage="1" prompt="Wrong Entry - Please enter only numbers between 0 and 2!" sqref="F34 F38">
      <formula1>0</formula1>
      <formula2>2</formula2>
    </dataValidation>
    <dataValidation type="list" allowBlank="1" showInputMessage="1" showErrorMessage="1" prompt="Wrong Entry - Please enter a value from the dropdown list!" sqref="E6:E21">
      <formula1>OFFSET($AJ$58:$AJ$67,0,0,$AK$69,1)</formula1>
    </dataValidation>
    <dataValidation type="list" allowBlank="1" showErrorMessage="1" sqref="D44">
      <formula1>#REF!</formula1>
    </dataValidation>
    <dataValidation type="list" allowBlank="1" showInputMessage="1" showErrorMessage="1" prompt="Wrong Entry - Please enter a value from the dropdown list!" sqref="L6:L21">
      <formula1>StatusDropdown</formula1>
    </dataValidation>
    <dataValidation type="list" allowBlank="1" showInputMessage="1" showErrorMessage="1" prompt="Wrong Entry - Please enter a value from the dropdown list!" sqref="D25:D30">
      <formula1>OFFSET($AK$48:$AK$67,(10-$AK$70),0,$AK$69+$AK$70,1)</formula1>
    </dataValidation>
    <dataValidation type="decimal" allowBlank="1" showInputMessage="1" showErrorMessage="1" prompt="Wrong Entry - Please enter only numbers between 0 and 3!" sqref="F35">
      <formula1>0</formula1>
      <formula2>3</formula2>
    </dataValidation>
    <dataValidation type="decimal" allowBlank="1" showInputMessage="1" showErrorMessage="1" prompt="Wrong Entry - Please enter only numbers!" sqref="M34:M37">
      <formula1>0</formula1>
      <formula2>99</formula2>
    </dataValidation>
    <dataValidation type="list" allowBlank="1" showErrorMessage="1" sqref="Y6:AD21 V25:V30 Y30">
      <formula1>OFFSET(DBSkills,0,0,ROWS(DBSkills),1)</formula1>
    </dataValidation>
    <dataValidation type="decimal" allowBlank="1" showInputMessage="1" showErrorMessage="1" prompt="Wrong Entry - Please enter only numbers!" sqref="M39 F41">
      <formula1>-10000000</formula1>
      <formula2>1000000</formula2>
    </dataValidation>
    <dataValidation type="decimal" allowBlank="1" showInputMessage="1" showErrorMessage="1" prompt="Wrong Entry - Please enter only numbers between 0 and 4!" sqref="F36">
      <formula1>0</formula1>
      <formula2>4</formula2>
    </dataValidation>
    <dataValidation type="decimal" allowBlank="1" showInputMessage="1" showErrorMessage="1" prompt="Wrong Entry - Please do only enter numbers!" sqref="M6:Q21">
      <formula1>0</formula1>
      <formula2>9999</formula2>
    </dataValidation>
    <dataValidation type="decimal" allowBlank="1" showInputMessage="1" showErrorMessage="1" prompt="Wrong Entry - Please enter only 0 or 1!" sqref="F37 M38 F39:F40">
      <formula1>0</formula1>
      <formula2>1</formula2>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Y70"/>
  <sheetViews>
    <sheetView workbookViewId="0"/>
  </sheetViews>
  <sheetFormatPr defaultColWidth="14.42578125" defaultRowHeight="15" customHeight="1"/>
  <cols>
    <col min="1" max="1" width="0.7109375" customWidth="1"/>
    <col min="2" max="2" width="0.5703125" customWidth="1"/>
    <col min="3" max="3" width="3.7109375" customWidth="1"/>
    <col min="4" max="4" width="15.7109375" customWidth="1"/>
    <col min="5" max="5" width="12.140625" customWidth="1"/>
    <col min="6" max="6" width="5.85546875" customWidth="1"/>
    <col min="7" max="7" width="3.140625" customWidth="1"/>
    <col min="8" max="10" width="3.42578125" customWidth="1"/>
    <col min="11" max="11" width="55.42578125" customWidth="1"/>
    <col min="12" max="12" width="5.85546875" customWidth="1"/>
    <col min="13" max="18" width="3.42578125" customWidth="1"/>
    <col min="19" max="19" width="8" customWidth="1"/>
    <col min="20" max="20" width="0.5703125" customWidth="1"/>
    <col min="21" max="22" width="7.140625" customWidth="1"/>
    <col min="23" max="23" width="7.42578125" customWidth="1"/>
    <col min="24" max="24" width="0.5703125" customWidth="1"/>
    <col min="25" max="30" width="12.42578125" customWidth="1"/>
    <col min="31" max="31" width="13.28515625" customWidth="1"/>
    <col min="32" max="32" width="17.42578125" customWidth="1"/>
    <col min="33" max="33" width="6.42578125" customWidth="1"/>
    <col min="34" max="34" width="24.140625" customWidth="1"/>
    <col min="35" max="35" width="10.140625" hidden="1" customWidth="1"/>
    <col min="36" max="43" width="11.42578125" hidden="1" customWidth="1"/>
    <col min="44" max="47" width="3.5703125" hidden="1" customWidth="1"/>
    <col min="48" max="51" width="11.42578125" hidden="1" customWidth="1"/>
  </cols>
  <sheetData>
    <row r="1" spans="1:51" ht="3.75" customHeight="1">
      <c r="A1" s="102"/>
      <c r="B1" s="102"/>
      <c r="C1" s="103"/>
      <c r="D1" s="102"/>
      <c r="E1" s="102"/>
      <c r="F1" s="104"/>
      <c r="G1" s="105"/>
      <c r="H1" s="105"/>
      <c r="I1" s="105"/>
      <c r="J1" s="105"/>
      <c r="K1" s="102"/>
      <c r="L1" s="102"/>
      <c r="M1" s="102"/>
      <c r="N1" s="102"/>
      <c r="O1" s="102"/>
      <c r="P1" s="102"/>
      <c r="Q1" s="102"/>
      <c r="R1" s="102"/>
      <c r="S1" s="105"/>
      <c r="T1" s="102"/>
      <c r="U1" s="102"/>
      <c r="V1" s="106"/>
      <c r="W1" s="102"/>
      <c r="X1" s="102"/>
      <c r="Y1" s="102"/>
      <c r="Z1" s="102"/>
      <c r="AA1" s="102"/>
      <c r="AB1" s="102"/>
      <c r="AC1" s="102"/>
      <c r="AD1" s="102"/>
      <c r="AE1" s="102"/>
      <c r="AF1" s="102"/>
      <c r="AG1" s="102"/>
      <c r="AH1" s="102"/>
      <c r="AI1" s="102"/>
      <c r="AJ1" s="102"/>
      <c r="AK1" s="102"/>
      <c r="AL1" s="102"/>
      <c r="AM1" s="102"/>
      <c r="AN1" s="102"/>
      <c r="AO1" s="102"/>
      <c r="AP1" s="102"/>
      <c r="AQ1" s="102"/>
      <c r="AR1" s="105"/>
      <c r="AS1" s="105"/>
      <c r="AT1" s="105"/>
      <c r="AU1" s="105"/>
      <c r="AV1" s="102"/>
      <c r="AW1" s="102"/>
      <c r="AX1" s="102"/>
      <c r="AY1" s="102"/>
    </row>
    <row r="2" spans="1:51" ht="3" customHeight="1">
      <c r="A2" s="102"/>
      <c r="B2" s="107"/>
      <c r="C2" s="108"/>
      <c r="D2" s="109"/>
      <c r="E2" s="109"/>
      <c r="F2" s="110"/>
      <c r="G2" s="108"/>
      <c r="H2" s="108"/>
      <c r="I2" s="108"/>
      <c r="J2" s="108"/>
      <c r="K2" s="109"/>
      <c r="L2" s="109"/>
      <c r="M2" s="109"/>
      <c r="N2" s="109"/>
      <c r="O2" s="109"/>
      <c r="P2" s="109"/>
      <c r="Q2" s="109"/>
      <c r="R2" s="109"/>
      <c r="S2" s="109"/>
      <c r="T2" s="111"/>
      <c r="U2" s="102"/>
      <c r="V2" s="112"/>
      <c r="W2" s="113"/>
      <c r="X2" s="113"/>
      <c r="Y2" s="102"/>
      <c r="Z2" s="102"/>
      <c r="AA2" s="102"/>
      <c r="AB2" s="102"/>
      <c r="AC2" s="102"/>
      <c r="AD2" s="102"/>
      <c r="AE2" s="102"/>
      <c r="AF2" s="102"/>
      <c r="AG2" s="102"/>
      <c r="AH2" s="102"/>
      <c r="AI2" s="102"/>
      <c r="AJ2" s="102"/>
      <c r="AK2" s="102"/>
      <c r="AL2" s="102"/>
      <c r="AM2" s="102"/>
      <c r="AN2" s="102"/>
      <c r="AO2" s="102"/>
      <c r="AP2" s="102"/>
      <c r="AQ2" s="102"/>
      <c r="AR2" s="105"/>
      <c r="AS2" s="105"/>
      <c r="AT2" s="105"/>
      <c r="AU2" s="105"/>
      <c r="AV2" s="102"/>
      <c r="AW2" s="102"/>
      <c r="AX2" s="102"/>
      <c r="AY2" s="102"/>
    </row>
    <row r="3" spans="1:51" ht="18" customHeight="1">
      <c r="A3" s="102"/>
      <c r="B3" s="114"/>
      <c r="C3" s="115"/>
      <c r="D3" s="116" t="s">
        <v>131</v>
      </c>
      <c r="E3" s="339" t="s">
        <v>227</v>
      </c>
      <c r="F3" s="340"/>
      <c r="G3" s="342" t="s">
        <v>133</v>
      </c>
      <c r="H3" s="316"/>
      <c r="I3" s="316"/>
      <c r="J3" s="339" t="s">
        <v>43</v>
      </c>
      <c r="K3" s="340"/>
      <c r="L3" s="342" t="s">
        <v>134</v>
      </c>
      <c r="M3" s="316"/>
      <c r="N3" s="339" t="s">
        <v>135</v>
      </c>
      <c r="O3" s="340"/>
      <c r="P3" s="340"/>
      <c r="Q3" s="340"/>
      <c r="R3" s="340"/>
      <c r="S3" s="340"/>
      <c r="T3" s="117"/>
      <c r="U3" s="338" t="s">
        <v>136</v>
      </c>
      <c r="V3" s="316"/>
      <c r="W3" s="316"/>
      <c r="X3" s="118"/>
      <c r="Y3" s="119" t="s">
        <v>137</v>
      </c>
      <c r="Z3" s="102"/>
      <c r="AA3" s="102"/>
      <c r="AB3" s="102"/>
      <c r="AC3" s="102"/>
      <c r="AD3" s="102"/>
      <c r="AE3" s="102"/>
      <c r="AF3" s="336" t="s">
        <v>138</v>
      </c>
      <c r="AG3" s="337"/>
      <c r="AH3" s="120"/>
      <c r="AI3" s="102"/>
      <c r="AJ3" s="102"/>
      <c r="AK3" s="102"/>
      <c r="AL3" s="102"/>
      <c r="AM3" s="102"/>
      <c r="AN3" s="102"/>
      <c r="AO3" s="102"/>
      <c r="AP3" s="102"/>
      <c r="AQ3" s="102"/>
      <c r="AR3" s="335" t="s">
        <v>139</v>
      </c>
      <c r="AS3" s="316"/>
      <c r="AT3" s="316"/>
      <c r="AU3" s="316"/>
      <c r="AV3" s="102"/>
      <c r="AW3" s="102"/>
      <c r="AX3" s="102"/>
      <c r="AY3" s="102"/>
    </row>
    <row r="4" spans="1:51" ht="3" customHeight="1">
      <c r="A4" s="102"/>
      <c r="B4" s="107"/>
      <c r="C4" s="108"/>
      <c r="D4" s="109"/>
      <c r="E4" s="109"/>
      <c r="F4" s="110"/>
      <c r="G4" s="108"/>
      <c r="H4" s="108"/>
      <c r="I4" s="108"/>
      <c r="J4" s="108"/>
      <c r="K4" s="109"/>
      <c r="L4" s="109"/>
      <c r="M4" s="109"/>
      <c r="N4" s="109"/>
      <c r="O4" s="109"/>
      <c r="P4" s="109"/>
      <c r="Q4" s="109"/>
      <c r="R4" s="109"/>
      <c r="S4" s="108"/>
      <c r="T4" s="111"/>
      <c r="U4" s="121"/>
      <c r="V4" s="122"/>
      <c r="W4" s="121"/>
      <c r="X4" s="121"/>
      <c r="Y4" s="121"/>
      <c r="Z4" s="121"/>
      <c r="AA4" s="121"/>
      <c r="AB4" s="121"/>
      <c r="AC4" s="121"/>
      <c r="AD4" s="121"/>
      <c r="AE4" s="121"/>
      <c r="AF4" s="121"/>
      <c r="AG4" s="121"/>
      <c r="AH4" s="120"/>
      <c r="AI4" s="102"/>
      <c r="AJ4" s="102"/>
      <c r="AK4" s="102"/>
      <c r="AL4" s="102"/>
      <c r="AM4" s="102"/>
      <c r="AN4" s="102"/>
      <c r="AO4" s="102"/>
      <c r="AP4" s="102"/>
      <c r="AQ4" s="102"/>
      <c r="AR4" s="105"/>
      <c r="AS4" s="105"/>
      <c r="AT4" s="105"/>
      <c r="AU4" s="105"/>
      <c r="AV4" s="102"/>
      <c r="AW4" s="102"/>
      <c r="AX4" s="102"/>
      <c r="AY4" s="102"/>
    </row>
    <row r="5" spans="1:51" ht="13.5" customHeight="1">
      <c r="A5" s="123"/>
      <c r="B5" s="124"/>
      <c r="C5" s="125" t="s">
        <v>140</v>
      </c>
      <c r="D5" s="126" t="s">
        <v>141</v>
      </c>
      <c r="E5" s="126" t="s">
        <v>126</v>
      </c>
      <c r="F5" s="127" t="s">
        <v>142</v>
      </c>
      <c r="G5" s="127" t="str">
        <f>T_MA</f>
        <v>MA</v>
      </c>
      <c r="H5" s="127" t="str">
        <f>T_ST</f>
        <v>ST</v>
      </c>
      <c r="I5" s="127" t="str">
        <f>T_AG</f>
        <v>AG</v>
      </c>
      <c r="J5" s="127" t="str">
        <f>T_AV</f>
        <v>AV</v>
      </c>
      <c r="K5" s="128" t="s">
        <v>143</v>
      </c>
      <c r="L5" s="125" t="s">
        <v>144</v>
      </c>
      <c r="M5" s="129" t="s">
        <v>120</v>
      </c>
      <c r="N5" s="130" t="s">
        <v>20</v>
      </c>
      <c r="O5" s="130" t="s">
        <v>121</v>
      </c>
      <c r="P5" s="130" t="s">
        <v>122</v>
      </c>
      <c r="Q5" s="130" t="s">
        <v>123</v>
      </c>
      <c r="R5" s="131" t="s">
        <v>124</v>
      </c>
      <c r="S5" s="132" t="s">
        <v>145</v>
      </c>
      <c r="T5" s="117"/>
      <c r="U5" s="133" t="s">
        <v>146</v>
      </c>
      <c r="V5" s="133" t="s">
        <v>147</v>
      </c>
      <c r="W5" s="134" t="s">
        <v>148</v>
      </c>
      <c r="X5" s="135"/>
      <c r="Y5" s="136" t="s">
        <v>149</v>
      </c>
      <c r="Z5" s="136" t="s">
        <v>150</v>
      </c>
      <c r="AA5" s="136" t="s">
        <v>151</v>
      </c>
      <c r="AB5" s="136" t="s">
        <v>152</v>
      </c>
      <c r="AC5" s="136" t="s">
        <v>153</v>
      </c>
      <c r="AD5" s="137" t="s">
        <v>154</v>
      </c>
      <c r="AE5" s="138" t="s">
        <v>155</v>
      </c>
      <c r="AF5" s="139" t="s">
        <v>156</v>
      </c>
      <c r="AG5" s="140" t="s">
        <v>157</v>
      </c>
      <c r="AH5" s="120"/>
      <c r="AI5" s="123"/>
      <c r="AJ5" s="141" t="s">
        <v>158</v>
      </c>
      <c r="AK5" s="141" t="s">
        <v>159</v>
      </c>
      <c r="AL5" s="123"/>
      <c r="AM5" s="123"/>
      <c r="AN5" s="123"/>
      <c r="AO5" s="123"/>
      <c r="AP5" s="123"/>
      <c r="AQ5" s="141" t="s">
        <v>160</v>
      </c>
      <c r="AR5" s="104" t="str">
        <f>T_MA</f>
        <v>MA</v>
      </c>
      <c r="AS5" s="104" t="str">
        <f>T_ST</f>
        <v>ST</v>
      </c>
      <c r="AT5" s="104" t="str">
        <f>T_AG</f>
        <v>AG</v>
      </c>
      <c r="AU5" s="104" t="str">
        <f>T_AV</f>
        <v>AV</v>
      </c>
      <c r="AV5" s="123"/>
      <c r="AW5" s="102"/>
      <c r="AX5" s="102"/>
      <c r="AY5" s="102"/>
    </row>
    <row r="6" spans="1:51" ht="13.5" customHeight="1">
      <c r="A6" s="102"/>
      <c r="B6" s="114"/>
      <c r="C6" s="142">
        <v>1</v>
      </c>
      <c r="D6" s="143" t="s">
        <v>228</v>
      </c>
      <c r="E6" s="143" t="s">
        <v>229</v>
      </c>
      <c r="F6" s="144" t="str">
        <f>IF($E6&lt;&gt;"",IF($AJ6&lt;&gt;"",IF(AND($L6=T_Journey,VLOOKUP($AJ6,DBPlayers,2,0)&lt;12),T_Error&amp;"7",IF("Journeymen not available"=0,T_Error&amp;"8",IF(COUNTIF($E$6:$E6,$E6)-$AQ6&gt;VLOOKUP($AJ6,DBPlayers,2,0),T_Error&amp;"2",IF(L6=T_MNG,0,COUNTIF($E$6:$E6,$E6)-$AQ6)&amp;"/"&amp;(VLOOKUP($AJ6,DBPlayers,2,0))))),T_Error&amp;"1"),"")</f>
        <v>1/2</v>
      </c>
      <c r="G6" s="145">
        <f t="shared" ref="G6:G21" si="0">IF(OR($E6="",LEFT($F6,LEN(T_Error))=T_Error),"",MAX(1,VLOOKUP($AJ6,DBPlayers,4,0)+COUNTIF($Y6:$AD6,T_MA&amp;"+")-IF(ISERROR(FIND(T_MA&amp;"-",$AE6)),0,IF(ISERROR(FIND(T_MA&amp;"-",$AE6,FIND(T_MA&amp;"-",$AE6)+LEN(T_MA)+1)),1,2))))</f>
        <v>8</v>
      </c>
      <c r="H6" s="145">
        <f t="shared" ref="H6:H21" si="1">IF(OR(($E6=""),(LEFT($F6,LEN(T_Error))=T_Error)),"",MAX(1,VLOOKUP($AJ6,DBPlayers,5,0)+COUNTIF($Y6:$AD6,T_ST&amp;"+")-IF(ISERROR(FIND(T_ST&amp;"-",$AE6)),0,IF(ISERROR(FIND(T_ST&amp;"-",$AE6,FIND(T_ST&amp;"-",$AE6)+LEN(T_ST)+1)),1,2))))</f>
        <v>3</v>
      </c>
      <c r="I6" s="145">
        <f t="shared" ref="I6:I21" si="2">IF(OR(($E6=""),(LEFT($F6,LEN(T_Error))=T_Error)),"",MAX(1,VLOOKUP($AJ6,DBPlayers,6,0)+COUNTIF($Y6:$AD6,T_AG&amp;"+")-IF(ISERROR(FIND(T_AG&amp;"-",$AE6)),0,IF(ISERROR(FIND(T_AG&amp;"-",$AE6,FIND(T_AG&amp;"-",$AE6)+LEN(T_AG)+1)),1,2))))</f>
        <v>3</v>
      </c>
      <c r="J6" s="145">
        <f t="shared" ref="J6:J21" si="3">IF(OR(($E6=""),(LEFT($F6,LEN(T_Error))=T_Error)),"",MAX(1,VLOOKUP($AJ6,DBPlayers,7,0)+COUNTIF($Y6:$AD6,T_AV&amp;"+")-IF(ISERROR(FIND(T_AV&amp;"-",$AE6)),0,IF(ISERROR(FIND(T_AV&amp;"-",$AE6,FIND(T_AV&amp;"-",$AE6)+LEN(T_AV)+1)),1,2))))</f>
        <v>8</v>
      </c>
      <c r="K6" s="146" t="str">
        <f t="shared" ref="K6:K21" ca="1" si="4">IF($E6="","",IF(LEFT($F6,LEN(T_Error))=T_Error,INDIRECT("T_Error"&amp;RIGHT($F6,1)),IF(VLOOKUP($AJ6,DBPlayers,8,0)&lt;&gt;0,IF($L6=T_Journey,T_Loner&amp;", ","")&amp;VLOOKUP($AJ6,DBPlayers,8,0)&amp;IF($W6&gt;0,", ",""),IF($L6=T_Journey,T_Loner,""))&amp;IF($W6&gt;0,IF(Y6&lt;&gt;"",Y6,T_MS),"")&amp;IF($W6&gt;1,", "&amp;IF(Z6&lt;&gt;"",Z6,T_MS),"")&amp;IF($W6&gt;2,", "&amp;IF(AA6&lt;&gt;"",AA6,T_MS),"")&amp;IF($W6&gt;3,", "&amp;IF(AB6&lt;&gt;"",AB6,T_MS),"")&amp;IF($W6&gt;4,", "&amp;IF(AC6&lt;&gt;"",AC6,T_MS),"")&amp;IF($W6&gt;5,", "&amp;IF(AD6&lt;&gt;"",AD6,T_MS),"")&amp;IF(AF6&lt;&gt;"",IF(OR($W6&gt;0,VLOOKUP($AJ6,DBPlayers,8,0)&lt;&gt;0),", ","")&amp;AF6,"")&amp;IF(AE6&lt;&gt;"",IF(OR($W6&gt;0,AF6&lt;&gt;"",VLOOKUP($AJ6,DBPlayers,8,0)&lt;&gt;0),", ","")&amp;AE6,"")))</f>
        <v>Frenzy, Claws, Regeneration, Block</v>
      </c>
      <c r="L6" s="147"/>
      <c r="M6" s="148"/>
      <c r="N6" s="149">
        <v>2</v>
      </c>
      <c r="O6" s="149"/>
      <c r="P6" s="149"/>
      <c r="Q6" s="149"/>
      <c r="R6" s="150">
        <f t="shared" ref="R6:R21" si="5">IF(OR(($E6=""),(LEFT($F6,LEN(T_Error))=T_Error)),"",M6*SPP_CP+N6*SPP_TD+O6*SPP_IN+P6*SPP_CS+Q6*SPP_VP)</f>
        <v>6</v>
      </c>
      <c r="S6" s="151">
        <f>IF(OR($E6="",LEFT($F6,LEN(T_Error))=T_Error),"",IF($L6=T_MNG,0,VLOOKUP($AJ6,DBPlayers,11,0)+SUM($AK6:$AP6)+AG6))</f>
        <v>140000</v>
      </c>
      <c r="T6" s="117"/>
      <c r="U6" s="152" t="str">
        <f t="shared" ref="U6:U21" si="6">IF(OR(($E6=""),(LEFT($F6,LEN(T_Error))=T_Error)),"",VLOOKUP($AJ6,DBPlayers,9,0))</f>
        <v>G A</v>
      </c>
      <c r="V6" s="152" t="str">
        <f t="shared" ref="V6:V21" si="7">IF(OR(($E6=""),(LEFT($F6,LEN(T_Error))=T_Error)),"",VLOOKUP($AJ6,DBPlayers,10,0))</f>
        <v>S P</v>
      </c>
      <c r="W6" s="153">
        <f t="shared" ref="W6:W21" si="8">IF(R6="","",IF($R6&gt;=SPP_6,6,IF($R6&gt;=SPP_5,5,IF($R6&gt;=SPP_4,4,IF($R6&gt;=SPP_3,3,IF($R6&gt;=SPP_2,2,IF($R6&gt;=SPP_1,1,0)))))))</f>
        <v>1</v>
      </c>
      <c r="X6" s="121"/>
      <c r="Y6" s="154" t="s">
        <v>162</v>
      </c>
      <c r="Z6" s="154"/>
      <c r="AA6" s="154"/>
      <c r="AB6" s="154"/>
      <c r="AC6" s="154"/>
      <c r="AD6" s="155"/>
      <c r="AE6" s="156"/>
      <c r="AF6" s="157"/>
      <c r="AG6" s="158"/>
      <c r="AH6" s="120"/>
      <c r="AI6" s="123">
        <v>1</v>
      </c>
      <c r="AJ6" s="159" t="str">
        <f t="shared" ref="AJ6:AJ21" si="9">IF(OR(E6="",ISERROR(VLOOKUP(E6,$AJ$58:$AL$67,3,0))),"",VLOOKUP(E6,$AJ$58:$AL$67,3,0))</f>
        <v>Necromantic5</v>
      </c>
      <c r="AK6" s="159">
        <f>IF(Y6="",0,IF(ISERROR(FIND(VLOOKUP(Y6,DBSkills,2,0),$U6)),0,IMP_REGULAR)+IF(ISERROR(FIND(VLOOKUP(Y6,DBSkills,2,0),$V6)),0,IMP_DOUBLE)+IF(Y6=T_ST&amp;"+",IMP_ST,0)+IF(Y6=T_AG&amp;"+",IMP_AG,0)+IF(Y6=T_MA&amp;"+",IMP_MA,0)+IF(Y6=T_AV&amp;"+",IMP_MA,0))</f>
        <v>20000</v>
      </c>
      <c r="AL6" s="159">
        <f t="shared" ref="AL6:AL21" si="10">IF(Z6="",0,IF(Z6=T_ST&amp;"+",50000,IF(Z6=T_AG&amp;"+",40000,IF(OR(Z6=T_MA&amp;"+",Z6=T_AV&amp;"+"),30000,IF(ISERROR(FIND(VLOOKUP(Z6,DBSkills,2,0),$V6)),20000,30000)))))</f>
        <v>0</v>
      </c>
      <c r="AM6" s="159">
        <f t="shared" ref="AM6:AM21" si="11">IF(AA6="",0,IF(AA6=T_ST&amp;"+",50000,IF(AA6=T_AG&amp;"+",40000,IF(OR(AA6=T_MA&amp;"+",AA6=T_AV&amp;"+"),30000,IF(ISERROR(FIND(VLOOKUP(AA6,DBSkills,2,0),$V6)),20000,30000)))))</f>
        <v>0</v>
      </c>
      <c r="AN6" s="159">
        <f t="shared" ref="AN6:AN21" si="12">IF(AB6="",0,IF(AB6=T_ST&amp;"+",50000,IF(AB6=T_AG&amp;"+",40000,IF(OR(AB6=T_MA&amp;"+",AB6=T_AV&amp;"+"),30000,IF(ISERROR(FIND(VLOOKUP(AB6,DBSkills,2,0),$V6)),20000,30000)))))</f>
        <v>0</v>
      </c>
      <c r="AO6" s="159">
        <f t="shared" ref="AO6:AO21" si="13">IF(AC6="",0,IF(AC6=T_ST&amp;"+",50000,IF(AC6=T_AG&amp;"+",40000,IF(OR(AC6=T_MA&amp;"+",AC6=T_AV&amp;"+"),30000,IF(ISERROR(FIND(VLOOKUP(AC6,DBSkills,2,0),$V6)),20000,30000)))))</f>
        <v>0</v>
      </c>
      <c r="AP6" s="159">
        <f t="shared" ref="AP6:AP21" si="14">IF(AD6="",0,IF(AD6=T_ST&amp;"+",50000,IF(AD6=T_AG&amp;"+",40000,IF(OR(AD6=T_MA&amp;"+",AD6=T_AV&amp;"+"),30000,IF(ISERROR(FIND(VLOOKUP(AD6,DBSkills,2,0),$V6)),20000,30000)))))</f>
        <v>0</v>
      </c>
      <c r="AQ6" s="159">
        <f t="array" ref="AQ6">IF(ISERROR($AJ6),0,IF($AJ6="","",SUM(IF($AJ6=$AJ$6:$AJ6,IF($L$6:$L6=T_MNG,1,0),0))))</f>
        <v>0</v>
      </c>
      <c r="AR6" s="160">
        <f t="shared" ref="AR6:AR21" si="15">IF(OR($E6="",LEFT($F6,LEN(T_Error))=T_Error),"",MAX(1,VLOOKUP($AJ6,DBPlayers,4,0)))</f>
        <v>8</v>
      </c>
      <c r="AS6" s="160">
        <f t="shared" ref="AS6:AS21" si="16">IF(OR(($E6=""),(LEFT($F6,LEN(T_Error))=T_Error)),"",MAX(1,VLOOKUP($AJ6,DBPlayers,5,0)))</f>
        <v>3</v>
      </c>
      <c r="AT6" s="160">
        <f t="shared" ref="AT6:AT21" si="17">IF(OR(($E6=""),(LEFT($F6,LEN(T_Error))=T_Error)),"",MAX(1,VLOOKUP($AJ6,DBPlayers,6,0)))</f>
        <v>3</v>
      </c>
      <c r="AU6" s="160">
        <f t="shared" ref="AU6:AU21" si="18">IF(OR(($E6=""),(LEFT($F6,LEN(T_Error))=T_Error)),"",MAX(1,VLOOKUP($AJ6,DBPlayers,7,0)))</f>
        <v>8</v>
      </c>
      <c r="AV6" s="102"/>
      <c r="AW6" s="102"/>
      <c r="AX6" s="102"/>
      <c r="AY6" s="102"/>
    </row>
    <row r="7" spans="1:51" ht="13.5" customHeight="1">
      <c r="A7" s="102"/>
      <c r="B7" s="114"/>
      <c r="C7" s="161">
        <v>2</v>
      </c>
      <c r="D7" s="162" t="s">
        <v>230</v>
      </c>
      <c r="E7" s="162" t="s">
        <v>229</v>
      </c>
      <c r="F7" s="163" t="str">
        <f>IF($E7&lt;&gt;"",IF($AJ7&lt;&gt;"",IF(AND($L7=T_Journey,VLOOKUP($AJ7,DBPlayers,2,0)&lt;12),T_Error&amp;"7",IF("Journeymen not available"=0,T_Error&amp;"8",IF(COUNTIF($E$6:$E7,$E7)-$AQ7&gt;VLOOKUP($AJ7,DBPlayers,2,0),T_Error&amp;"2",IF(L7=T_MNG,0,COUNTIF($E$6:$E7,$E7)-$AQ7)&amp;"/"&amp;(VLOOKUP($AJ7,DBPlayers,2,0))))),T_Error&amp;"1"),"")</f>
        <v>2/2</v>
      </c>
      <c r="G7" s="164">
        <f t="shared" si="0"/>
        <v>8</v>
      </c>
      <c r="H7" s="164">
        <f t="shared" si="1"/>
        <v>3</v>
      </c>
      <c r="I7" s="164">
        <f t="shared" si="2"/>
        <v>3</v>
      </c>
      <c r="J7" s="164">
        <f t="shared" si="3"/>
        <v>8</v>
      </c>
      <c r="K7" s="167" t="str">
        <f t="shared" ca="1" si="4"/>
        <v>Frenzy, Claws, Regeneration</v>
      </c>
      <c r="L7" s="168"/>
      <c r="M7" s="169"/>
      <c r="N7" s="170">
        <v>1</v>
      </c>
      <c r="O7" s="170"/>
      <c r="P7" s="170"/>
      <c r="Q7" s="170"/>
      <c r="R7" s="171">
        <f t="shared" si="5"/>
        <v>3</v>
      </c>
      <c r="S7" s="172">
        <f t="shared" ref="S7:S21" si="19">IF(OR($E7="",LEFT($F7,LEN(T_Error))=T_Error),"",IF($L7=T_MNG,0,VLOOKUP($AJ7,DBPlayers,11,0)+SUM($AK7:$AP7)))</f>
        <v>120000</v>
      </c>
      <c r="T7" s="117"/>
      <c r="U7" s="152" t="str">
        <f t="shared" si="6"/>
        <v>G A</v>
      </c>
      <c r="V7" s="152" t="str">
        <f t="shared" si="7"/>
        <v>S P</v>
      </c>
      <c r="W7" s="153">
        <f t="shared" si="8"/>
        <v>0</v>
      </c>
      <c r="X7" s="121"/>
      <c r="Y7" s="154"/>
      <c r="Z7" s="154"/>
      <c r="AA7" s="154"/>
      <c r="AB7" s="154"/>
      <c r="AC7" s="154"/>
      <c r="AD7" s="155"/>
      <c r="AE7" s="156"/>
      <c r="AF7" s="173"/>
      <c r="AG7" s="174"/>
      <c r="AH7" s="120"/>
      <c r="AI7" s="123">
        <v>2</v>
      </c>
      <c r="AJ7" s="159" t="str">
        <f t="shared" si="9"/>
        <v>Necromantic5</v>
      </c>
      <c r="AK7" s="159">
        <f t="shared" ref="AK7:AK21" si="20">IF(Y7="",0,IF(Y7=T_ST&amp;"+",50000,IF(Y7=T_AG&amp;"+",40000,IF(OR(Y7=T_MA&amp;"+",Y7=T_AV&amp;"+"),30000,IF(ISERROR(FIND(VLOOKUP(Y7,DBSkills,2,0),$V7)),20000,30000)))))</f>
        <v>0</v>
      </c>
      <c r="AL7" s="159">
        <f t="shared" si="10"/>
        <v>0</v>
      </c>
      <c r="AM7" s="159">
        <f t="shared" si="11"/>
        <v>0</v>
      </c>
      <c r="AN7" s="159">
        <f t="shared" si="12"/>
        <v>0</v>
      </c>
      <c r="AO7" s="159">
        <f t="shared" si="13"/>
        <v>0</v>
      </c>
      <c r="AP7" s="159">
        <f t="shared" si="14"/>
        <v>0</v>
      </c>
      <c r="AQ7" s="159">
        <f t="array" ref="AQ7">IF(ISERROR($AJ7),0,IF($AJ7="","",SUM(IF($AJ7=$AJ$6:$AJ7,IF($L$6:$L7=T_MNG,1,0),0))))</f>
        <v>0</v>
      </c>
      <c r="AR7" s="160">
        <f t="shared" si="15"/>
        <v>8</v>
      </c>
      <c r="AS7" s="160">
        <f t="shared" si="16"/>
        <v>3</v>
      </c>
      <c r="AT7" s="160">
        <f t="shared" si="17"/>
        <v>3</v>
      </c>
      <c r="AU7" s="160">
        <f t="shared" si="18"/>
        <v>8</v>
      </c>
      <c r="AV7" s="102"/>
      <c r="AW7" s="123"/>
      <c r="AX7" s="123"/>
      <c r="AY7" s="123"/>
    </row>
    <row r="8" spans="1:51" ht="13.5" customHeight="1">
      <c r="A8" s="102"/>
      <c r="B8" s="114"/>
      <c r="C8" s="161">
        <v>3</v>
      </c>
      <c r="D8" s="162"/>
      <c r="E8" s="162"/>
      <c r="F8" s="163" t="str">
        <f>IF($E8&lt;&gt;"",IF($AJ8&lt;&gt;"",IF(AND($L8=T_Journey,VLOOKUP($AJ8,DBPlayers,2,0)&lt;12),T_Error&amp;"7",IF("Journeymen not available"=0,T_Error&amp;"8",IF(COUNTIF($E$6:$E8,$E8)-$AQ8&gt;VLOOKUP($AJ8,DBPlayers,2,0),T_Error&amp;"2",IF(L8=T_MNG,0,COUNTIF($E$6:$E8,$E8)-$AQ8)&amp;"/"&amp;(VLOOKUP($AJ8,DBPlayers,2,0))))),T_Error&amp;"1"),"")</f>
        <v/>
      </c>
      <c r="G8" s="164" t="str">
        <f t="shared" si="0"/>
        <v/>
      </c>
      <c r="H8" s="164" t="str">
        <f t="shared" si="1"/>
        <v/>
      </c>
      <c r="I8" s="164" t="str">
        <f t="shared" si="2"/>
        <v/>
      </c>
      <c r="J8" s="164" t="str">
        <f t="shared" si="3"/>
        <v/>
      </c>
      <c r="K8" s="167" t="str">
        <f t="shared" ca="1" si="4"/>
        <v/>
      </c>
      <c r="L8" s="168"/>
      <c r="M8" s="169"/>
      <c r="N8" s="170"/>
      <c r="O8" s="170"/>
      <c r="P8" s="170"/>
      <c r="Q8" s="170"/>
      <c r="R8" s="171" t="str">
        <f t="shared" si="5"/>
        <v/>
      </c>
      <c r="S8" s="172" t="str">
        <f t="shared" si="19"/>
        <v/>
      </c>
      <c r="T8" s="117"/>
      <c r="U8" s="152" t="str">
        <f t="shared" si="6"/>
        <v/>
      </c>
      <c r="V8" s="152" t="str">
        <f t="shared" si="7"/>
        <v/>
      </c>
      <c r="W8" s="153" t="str">
        <f t="shared" si="8"/>
        <v/>
      </c>
      <c r="X8" s="121"/>
      <c r="Y8" s="154"/>
      <c r="Z8" s="154"/>
      <c r="AA8" s="154"/>
      <c r="AB8" s="154"/>
      <c r="AC8" s="154"/>
      <c r="AD8" s="155"/>
      <c r="AE8" s="156"/>
      <c r="AF8" s="154"/>
      <c r="AG8" s="155"/>
      <c r="AH8" s="120"/>
      <c r="AI8" s="123">
        <v>3</v>
      </c>
      <c r="AJ8" s="159" t="str">
        <f t="shared" si="9"/>
        <v/>
      </c>
      <c r="AK8" s="159">
        <f t="shared" si="20"/>
        <v>0</v>
      </c>
      <c r="AL8" s="159">
        <f t="shared" si="10"/>
        <v>0</v>
      </c>
      <c r="AM8" s="159">
        <f t="shared" si="11"/>
        <v>0</v>
      </c>
      <c r="AN8" s="159">
        <f t="shared" si="12"/>
        <v>0</v>
      </c>
      <c r="AO8" s="159">
        <f t="shared" si="13"/>
        <v>0</v>
      </c>
      <c r="AP8" s="159">
        <f t="shared" si="14"/>
        <v>0</v>
      </c>
      <c r="AQ8" s="159" t="str">
        <f t="array" ref="AQ8">IF(ISERROR($AJ8),0,IF($AJ8="","",SUM(IF($AJ8=$AJ$6:$AJ8,IF($L$6:$L8=T_MNG,1,0),0))))</f>
        <v/>
      </c>
      <c r="AR8" s="160" t="str">
        <f t="shared" si="15"/>
        <v/>
      </c>
      <c r="AS8" s="160" t="str">
        <f t="shared" si="16"/>
        <v/>
      </c>
      <c r="AT8" s="160" t="str">
        <f t="shared" si="17"/>
        <v/>
      </c>
      <c r="AU8" s="160" t="str">
        <f t="shared" si="18"/>
        <v/>
      </c>
      <c r="AV8" s="102"/>
      <c r="AW8" s="102"/>
      <c r="AX8" s="102"/>
      <c r="AY8" s="102"/>
    </row>
    <row r="9" spans="1:51" ht="13.5" customHeight="1">
      <c r="A9" s="102"/>
      <c r="B9" s="114"/>
      <c r="C9" s="161">
        <v>4</v>
      </c>
      <c r="D9" s="162"/>
      <c r="E9" s="162"/>
      <c r="F9" s="163" t="str">
        <f>IF($E9&lt;&gt;"",IF($AJ9&lt;&gt;"",IF(AND($L9=T_Journey,VLOOKUP($AJ9,DBPlayers,2,0)&lt;12),T_Error&amp;"7",IF("Journeymen not available"=0,T_Error&amp;"8",IF(COUNTIF($E$6:$E9,$E9)-$AQ9&gt;VLOOKUP($AJ9,DBPlayers,2,0),T_Error&amp;"2",IF(L9=T_MNG,0,COUNTIF($E$6:$E9,$E9)-$AQ9)&amp;"/"&amp;(VLOOKUP($AJ9,DBPlayers,2,0))))),T_Error&amp;"1"),"")</f>
        <v/>
      </c>
      <c r="G9" s="164" t="str">
        <f t="shared" si="0"/>
        <v/>
      </c>
      <c r="H9" s="164" t="str">
        <f t="shared" si="1"/>
        <v/>
      </c>
      <c r="I9" s="164" t="str">
        <f t="shared" si="2"/>
        <v/>
      </c>
      <c r="J9" s="164" t="str">
        <f t="shared" si="3"/>
        <v/>
      </c>
      <c r="K9" s="167" t="str">
        <f t="shared" ca="1" si="4"/>
        <v/>
      </c>
      <c r="L9" s="168"/>
      <c r="M9" s="169"/>
      <c r="N9" s="170"/>
      <c r="O9" s="170"/>
      <c r="P9" s="170"/>
      <c r="Q9" s="170"/>
      <c r="R9" s="171" t="str">
        <f t="shared" si="5"/>
        <v/>
      </c>
      <c r="S9" s="172" t="str">
        <f t="shared" si="19"/>
        <v/>
      </c>
      <c r="T9" s="117"/>
      <c r="U9" s="152" t="str">
        <f t="shared" si="6"/>
        <v/>
      </c>
      <c r="V9" s="152" t="str">
        <f t="shared" si="7"/>
        <v/>
      </c>
      <c r="W9" s="153" t="str">
        <f t="shared" si="8"/>
        <v/>
      </c>
      <c r="X9" s="121"/>
      <c r="Y9" s="154"/>
      <c r="Z9" s="154"/>
      <c r="AA9" s="154"/>
      <c r="AB9" s="154"/>
      <c r="AC9" s="154"/>
      <c r="AD9" s="155"/>
      <c r="AE9" s="156"/>
      <c r="AF9" s="154"/>
      <c r="AG9" s="155"/>
      <c r="AH9" s="120"/>
      <c r="AI9" s="123">
        <v>4</v>
      </c>
      <c r="AJ9" s="159" t="str">
        <f t="shared" si="9"/>
        <v/>
      </c>
      <c r="AK9" s="159">
        <f t="shared" si="20"/>
        <v>0</v>
      </c>
      <c r="AL9" s="159">
        <f t="shared" si="10"/>
        <v>0</v>
      </c>
      <c r="AM9" s="159">
        <f t="shared" si="11"/>
        <v>0</v>
      </c>
      <c r="AN9" s="159">
        <f t="shared" si="12"/>
        <v>0</v>
      </c>
      <c r="AO9" s="159">
        <f t="shared" si="13"/>
        <v>0</v>
      </c>
      <c r="AP9" s="159">
        <f t="shared" si="14"/>
        <v>0</v>
      </c>
      <c r="AQ9" s="159" t="str">
        <f t="array" ref="AQ9">IF(ISERROR($AJ9),0,IF($AJ9="","",SUM(IF($AJ9=$AJ$6:$AJ9,IF($L$6:$L9=T_MNG,1,0),0))))</f>
        <v/>
      </c>
      <c r="AR9" s="160" t="str">
        <f t="shared" si="15"/>
        <v/>
      </c>
      <c r="AS9" s="160" t="str">
        <f t="shared" si="16"/>
        <v/>
      </c>
      <c r="AT9" s="160" t="str">
        <f t="shared" si="17"/>
        <v/>
      </c>
      <c r="AU9" s="160" t="str">
        <f t="shared" si="18"/>
        <v/>
      </c>
      <c r="AV9" s="102"/>
      <c r="AW9" s="102"/>
      <c r="AX9" s="102"/>
      <c r="AY9" s="102"/>
    </row>
    <row r="10" spans="1:51" ht="13.5" customHeight="1">
      <c r="A10" s="102"/>
      <c r="B10" s="114"/>
      <c r="C10" s="161">
        <v>5</v>
      </c>
      <c r="D10" s="162" t="s">
        <v>231</v>
      </c>
      <c r="E10" s="162" t="s">
        <v>232</v>
      </c>
      <c r="F10" s="163" t="str">
        <f>IF($E10&lt;&gt;"",IF($AJ10&lt;&gt;"",IF(AND($L10=T_Journey,VLOOKUP($AJ10,DBPlayers,2,0)&lt;12),T_Error&amp;"7",IF("Journeymen not available"=0,T_Error&amp;"8",IF(COUNTIF($E$6:$E10,$E10)-$AQ10&gt;VLOOKUP($AJ10,DBPlayers,2,0),T_Error&amp;"2",IF(L10=T_MNG,0,COUNTIF($E$6:$E10,$E10)-$AQ10)&amp;"/"&amp;(VLOOKUP($AJ10,DBPlayers,2,0))))),T_Error&amp;"1"),"")</f>
        <v>1/16</v>
      </c>
      <c r="G10" s="164">
        <f t="shared" si="0"/>
        <v>4</v>
      </c>
      <c r="H10" s="164">
        <f t="shared" si="1"/>
        <v>3</v>
      </c>
      <c r="I10" s="164">
        <f t="shared" si="2"/>
        <v>2</v>
      </c>
      <c r="J10" s="164">
        <f t="shared" si="3"/>
        <v>8</v>
      </c>
      <c r="K10" s="167" t="str">
        <f t="shared" ca="1" si="4"/>
        <v>Regeneration</v>
      </c>
      <c r="L10" s="168"/>
      <c r="M10" s="169"/>
      <c r="N10" s="170"/>
      <c r="O10" s="170"/>
      <c r="P10" s="170"/>
      <c r="Q10" s="170"/>
      <c r="R10" s="171">
        <f t="shared" si="5"/>
        <v>0</v>
      </c>
      <c r="S10" s="172">
        <f t="shared" si="19"/>
        <v>40000</v>
      </c>
      <c r="T10" s="117"/>
      <c r="U10" s="152" t="str">
        <f t="shared" si="6"/>
        <v>G</v>
      </c>
      <c r="V10" s="152" t="str">
        <f t="shared" si="7"/>
        <v>A S P</v>
      </c>
      <c r="W10" s="153">
        <f t="shared" si="8"/>
        <v>0</v>
      </c>
      <c r="X10" s="121"/>
      <c r="Y10" s="154"/>
      <c r="Z10" s="154"/>
      <c r="AA10" s="154"/>
      <c r="AB10" s="154"/>
      <c r="AC10" s="154"/>
      <c r="AD10" s="155"/>
      <c r="AE10" s="156"/>
      <c r="AF10" s="154"/>
      <c r="AG10" s="155"/>
      <c r="AH10" s="120"/>
      <c r="AI10" s="123">
        <v>5</v>
      </c>
      <c r="AJ10" s="159" t="str">
        <f t="shared" si="9"/>
        <v>Necromantic1</v>
      </c>
      <c r="AK10" s="159">
        <f t="shared" si="20"/>
        <v>0</v>
      </c>
      <c r="AL10" s="159">
        <f t="shared" si="10"/>
        <v>0</v>
      </c>
      <c r="AM10" s="159">
        <f t="shared" si="11"/>
        <v>0</v>
      </c>
      <c r="AN10" s="159">
        <f t="shared" si="12"/>
        <v>0</v>
      </c>
      <c r="AO10" s="159">
        <f t="shared" si="13"/>
        <v>0</v>
      </c>
      <c r="AP10" s="159">
        <f t="shared" si="14"/>
        <v>0</v>
      </c>
      <c r="AQ10" s="159">
        <f t="array" ref="AQ10">IF(ISERROR($AJ10),0,IF($AJ10="","",SUM(IF($AJ10=$AJ$6:$AJ10,IF($L$6:$L10=T_MNG,1,0),0))))</f>
        <v>0</v>
      </c>
      <c r="AR10" s="160">
        <f t="shared" si="15"/>
        <v>4</v>
      </c>
      <c r="AS10" s="160">
        <f t="shared" si="16"/>
        <v>3</v>
      </c>
      <c r="AT10" s="160">
        <f t="shared" si="17"/>
        <v>2</v>
      </c>
      <c r="AU10" s="160">
        <f t="shared" si="18"/>
        <v>8</v>
      </c>
      <c r="AV10" s="102"/>
      <c r="AW10" s="102"/>
      <c r="AX10" s="102"/>
      <c r="AY10" s="102"/>
    </row>
    <row r="11" spans="1:51" ht="13.5" customHeight="1">
      <c r="A11" s="102"/>
      <c r="B11" s="114"/>
      <c r="C11" s="161">
        <v>6</v>
      </c>
      <c r="D11" s="162" t="s">
        <v>233</v>
      </c>
      <c r="E11" s="162" t="s">
        <v>232</v>
      </c>
      <c r="F11" s="163" t="str">
        <f>IF($E11&lt;&gt;"",IF($AJ11&lt;&gt;"",IF(AND($L11=T_Journey,VLOOKUP($AJ11,DBPlayers,2,0)&lt;12),T_Error&amp;"7",IF("Journeymen not available"=0,T_Error&amp;"8",IF(COUNTIF($E$6:$E11,$E11)-$AQ11&gt;VLOOKUP($AJ11,DBPlayers,2,0),T_Error&amp;"2",IF(L11=T_MNG,0,COUNTIF($E$6:$E11,$E11)-$AQ11)&amp;"/"&amp;(VLOOKUP($AJ11,DBPlayers,2,0))))),T_Error&amp;"1"),"")</f>
        <v>2/16</v>
      </c>
      <c r="G11" s="164">
        <f t="shared" si="0"/>
        <v>4</v>
      </c>
      <c r="H11" s="164">
        <f t="shared" si="1"/>
        <v>3</v>
      </c>
      <c r="I11" s="164">
        <f t="shared" si="2"/>
        <v>2</v>
      </c>
      <c r="J11" s="164">
        <f t="shared" si="3"/>
        <v>8</v>
      </c>
      <c r="K11" s="167" t="str">
        <f t="shared" ca="1" si="4"/>
        <v>Regeneration</v>
      </c>
      <c r="L11" s="168"/>
      <c r="M11" s="169"/>
      <c r="N11" s="170"/>
      <c r="O11" s="170"/>
      <c r="P11" s="170"/>
      <c r="Q11" s="170"/>
      <c r="R11" s="171">
        <f t="shared" si="5"/>
        <v>0</v>
      </c>
      <c r="S11" s="172">
        <f t="shared" si="19"/>
        <v>40000</v>
      </c>
      <c r="T11" s="117"/>
      <c r="U11" s="152" t="str">
        <f t="shared" si="6"/>
        <v>G</v>
      </c>
      <c r="V11" s="152" t="str">
        <f t="shared" si="7"/>
        <v>A S P</v>
      </c>
      <c r="W11" s="153">
        <f t="shared" si="8"/>
        <v>0</v>
      </c>
      <c r="X11" s="121"/>
      <c r="Y11" s="154"/>
      <c r="Z11" s="154"/>
      <c r="AA11" s="154"/>
      <c r="AB11" s="154"/>
      <c r="AC11" s="154"/>
      <c r="AD11" s="155"/>
      <c r="AE11" s="156"/>
      <c r="AF11" s="154"/>
      <c r="AG11" s="155"/>
      <c r="AH11" s="120"/>
      <c r="AI11" s="123">
        <v>6</v>
      </c>
      <c r="AJ11" s="159" t="str">
        <f t="shared" si="9"/>
        <v>Necromantic1</v>
      </c>
      <c r="AK11" s="159">
        <f t="shared" si="20"/>
        <v>0</v>
      </c>
      <c r="AL11" s="159">
        <f t="shared" si="10"/>
        <v>0</v>
      </c>
      <c r="AM11" s="159">
        <f t="shared" si="11"/>
        <v>0</v>
      </c>
      <c r="AN11" s="159">
        <f t="shared" si="12"/>
        <v>0</v>
      </c>
      <c r="AO11" s="159">
        <f t="shared" si="13"/>
        <v>0</v>
      </c>
      <c r="AP11" s="159">
        <f t="shared" si="14"/>
        <v>0</v>
      </c>
      <c r="AQ11" s="159">
        <f t="array" ref="AQ11">IF(ISERROR($AJ11),0,IF($AJ11="","",SUM(IF($AJ11=$AJ$6:$AJ11,IF($L$6:$L11=T_MNG,1,0),0))))</f>
        <v>0</v>
      </c>
      <c r="AR11" s="160">
        <f t="shared" si="15"/>
        <v>4</v>
      </c>
      <c r="AS11" s="160">
        <f t="shared" si="16"/>
        <v>3</v>
      </c>
      <c r="AT11" s="160">
        <f t="shared" si="17"/>
        <v>2</v>
      </c>
      <c r="AU11" s="160">
        <f t="shared" si="18"/>
        <v>8</v>
      </c>
      <c r="AV11" s="102"/>
      <c r="AW11" s="102"/>
      <c r="AX11" s="102"/>
      <c r="AY11" s="102"/>
    </row>
    <row r="12" spans="1:51" ht="13.5" customHeight="1">
      <c r="A12" s="102"/>
      <c r="B12" s="114"/>
      <c r="C12" s="161">
        <v>7</v>
      </c>
      <c r="D12" s="162" t="s">
        <v>234</v>
      </c>
      <c r="E12" s="162" t="s">
        <v>232</v>
      </c>
      <c r="F12" s="163" t="str">
        <f>IF($E12&lt;&gt;"",IF($AJ12&lt;&gt;"",IF(AND($L12=T_Journey,VLOOKUP($AJ12,DBPlayers,2,0)&lt;12),T_Error&amp;"7",IF("Journeymen not available"=0,T_Error&amp;"8",IF(COUNTIF($E$6:$E12,$E12)-$AQ12&gt;VLOOKUP($AJ12,DBPlayers,2,0),T_Error&amp;"2",IF(L12=T_MNG,0,COUNTIF($E$6:$E12,$E12)-$AQ12)&amp;"/"&amp;(VLOOKUP($AJ12,DBPlayers,2,0))))),T_Error&amp;"1"),"")</f>
        <v>3/16</v>
      </c>
      <c r="G12" s="164">
        <f t="shared" si="0"/>
        <v>4</v>
      </c>
      <c r="H12" s="164">
        <f t="shared" si="1"/>
        <v>3</v>
      </c>
      <c r="I12" s="164">
        <f t="shared" si="2"/>
        <v>2</v>
      </c>
      <c r="J12" s="164">
        <f t="shared" si="3"/>
        <v>8</v>
      </c>
      <c r="K12" s="167" t="str">
        <f t="shared" ca="1" si="4"/>
        <v>Regeneration</v>
      </c>
      <c r="L12" s="168"/>
      <c r="M12" s="169"/>
      <c r="N12" s="170"/>
      <c r="O12" s="170"/>
      <c r="P12" s="170"/>
      <c r="Q12" s="170"/>
      <c r="R12" s="171">
        <f t="shared" si="5"/>
        <v>0</v>
      </c>
      <c r="S12" s="172">
        <f t="shared" si="19"/>
        <v>40000</v>
      </c>
      <c r="T12" s="117"/>
      <c r="U12" s="152" t="str">
        <f t="shared" si="6"/>
        <v>G</v>
      </c>
      <c r="V12" s="152" t="str">
        <f t="shared" si="7"/>
        <v>A S P</v>
      </c>
      <c r="W12" s="153">
        <f t="shared" si="8"/>
        <v>0</v>
      </c>
      <c r="X12" s="121"/>
      <c r="Y12" s="154"/>
      <c r="Z12" s="154"/>
      <c r="AA12" s="154"/>
      <c r="AB12" s="154"/>
      <c r="AC12" s="154"/>
      <c r="AD12" s="155"/>
      <c r="AE12" s="156"/>
      <c r="AF12" s="154"/>
      <c r="AG12" s="155"/>
      <c r="AH12" s="120"/>
      <c r="AI12" s="123">
        <v>7</v>
      </c>
      <c r="AJ12" s="159" t="str">
        <f t="shared" si="9"/>
        <v>Necromantic1</v>
      </c>
      <c r="AK12" s="159">
        <f t="shared" si="20"/>
        <v>0</v>
      </c>
      <c r="AL12" s="159">
        <f t="shared" si="10"/>
        <v>0</v>
      </c>
      <c r="AM12" s="159">
        <f t="shared" si="11"/>
        <v>0</v>
      </c>
      <c r="AN12" s="159">
        <f t="shared" si="12"/>
        <v>0</v>
      </c>
      <c r="AO12" s="159">
        <f t="shared" si="13"/>
        <v>0</v>
      </c>
      <c r="AP12" s="159">
        <f t="shared" si="14"/>
        <v>0</v>
      </c>
      <c r="AQ12" s="159">
        <f t="array" ref="AQ12">IF(ISERROR($AJ12),0,IF($AJ12="","",SUM(IF($AJ12=$AJ$6:$AJ12,IF($L$6:$L12=T_MNG,1,0),0))))</f>
        <v>0</v>
      </c>
      <c r="AR12" s="160">
        <f t="shared" si="15"/>
        <v>4</v>
      </c>
      <c r="AS12" s="160">
        <f t="shared" si="16"/>
        <v>3</v>
      </c>
      <c r="AT12" s="160">
        <f t="shared" si="17"/>
        <v>2</v>
      </c>
      <c r="AU12" s="160">
        <f t="shared" si="18"/>
        <v>8</v>
      </c>
      <c r="AV12" s="102"/>
      <c r="AW12" s="102"/>
      <c r="AX12" s="102"/>
      <c r="AY12" s="102"/>
    </row>
    <row r="13" spans="1:51" ht="13.5" customHeight="1">
      <c r="A13" s="102"/>
      <c r="B13" s="114"/>
      <c r="C13" s="161">
        <v>8</v>
      </c>
      <c r="D13" s="162" t="s">
        <v>235</v>
      </c>
      <c r="E13" s="162" t="s">
        <v>232</v>
      </c>
      <c r="F13" s="163" t="str">
        <f>IF($E13&lt;&gt;"",IF($AJ13&lt;&gt;"",IF(AND($L13=T_Journey,VLOOKUP($AJ13,DBPlayers,2,0)&lt;12),T_Error&amp;"7",IF("Journeymen not available"=0,T_Error&amp;"8",IF(COUNTIF($E$6:$E13,$E13)-$AQ13&gt;VLOOKUP($AJ13,DBPlayers,2,0),T_Error&amp;"2",IF(L13=T_MNG,0,COUNTIF($E$6:$E13,$E13)-$AQ13)&amp;"/"&amp;(VLOOKUP($AJ13,DBPlayers,2,0))))),T_Error&amp;"1"),"")</f>
        <v>4/16</v>
      </c>
      <c r="G13" s="164">
        <f t="shared" si="0"/>
        <v>4</v>
      </c>
      <c r="H13" s="164">
        <f t="shared" si="1"/>
        <v>3</v>
      </c>
      <c r="I13" s="164">
        <f t="shared" si="2"/>
        <v>2</v>
      </c>
      <c r="J13" s="164">
        <f t="shared" si="3"/>
        <v>8</v>
      </c>
      <c r="K13" s="167" t="str">
        <f t="shared" ca="1" si="4"/>
        <v>Regeneration</v>
      </c>
      <c r="L13" s="168"/>
      <c r="M13" s="169"/>
      <c r="N13" s="170"/>
      <c r="O13" s="170"/>
      <c r="P13" s="170"/>
      <c r="Q13" s="170"/>
      <c r="R13" s="171">
        <f t="shared" si="5"/>
        <v>0</v>
      </c>
      <c r="S13" s="172">
        <f t="shared" si="19"/>
        <v>40000</v>
      </c>
      <c r="T13" s="117"/>
      <c r="U13" s="152" t="str">
        <f t="shared" si="6"/>
        <v>G</v>
      </c>
      <c r="V13" s="152" t="str">
        <f t="shared" si="7"/>
        <v>A S P</v>
      </c>
      <c r="W13" s="153">
        <f t="shared" si="8"/>
        <v>0</v>
      </c>
      <c r="X13" s="121"/>
      <c r="Y13" s="154"/>
      <c r="Z13" s="154"/>
      <c r="AA13" s="154"/>
      <c r="AB13" s="154"/>
      <c r="AC13" s="154"/>
      <c r="AD13" s="155"/>
      <c r="AE13" s="156"/>
      <c r="AF13" s="154"/>
      <c r="AG13" s="155"/>
      <c r="AH13" s="120"/>
      <c r="AI13" s="123">
        <v>8</v>
      </c>
      <c r="AJ13" s="159" t="str">
        <f t="shared" si="9"/>
        <v>Necromantic1</v>
      </c>
      <c r="AK13" s="159">
        <f t="shared" si="20"/>
        <v>0</v>
      </c>
      <c r="AL13" s="159">
        <f t="shared" si="10"/>
        <v>0</v>
      </c>
      <c r="AM13" s="159">
        <f t="shared" si="11"/>
        <v>0</v>
      </c>
      <c r="AN13" s="159">
        <f t="shared" si="12"/>
        <v>0</v>
      </c>
      <c r="AO13" s="159">
        <f t="shared" si="13"/>
        <v>0</v>
      </c>
      <c r="AP13" s="159">
        <f t="shared" si="14"/>
        <v>0</v>
      </c>
      <c r="AQ13" s="159">
        <f t="array" ref="AQ13">IF(ISERROR($AJ13),0,IF($AJ13="","",SUM(IF($AJ13=$AJ$6:$AJ13,IF($L$6:$L13=T_MNG,1,0),0))))</f>
        <v>0</v>
      </c>
      <c r="AR13" s="160">
        <f t="shared" si="15"/>
        <v>4</v>
      </c>
      <c r="AS13" s="160">
        <f t="shared" si="16"/>
        <v>3</v>
      </c>
      <c r="AT13" s="160">
        <f t="shared" si="17"/>
        <v>2</v>
      </c>
      <c r="AU13" s="160">
        <f t="shared" si="18"/>
        <v>8</v>
      </c>
      <c r="AV13" s="102"/>
      <c r="AW13" s="102"/>
      <c r="AX13" s="102"/>
      <c r="AY13" s="102"/>
    </row>
    <row r="14" spans="1:51" ht="13.5" customHeight="1">
      <c r="A14" s="102"/>
      <c r="B14" s="114"/>
      <c r="C14" s="161">
        <v>9</v>
      </c>
      <c r="D14" s="162" t="s">
        <v>236</v>
      </c>
      <c r="E14" s="162" t="s">
        <v>232</v>
      </c>
      <c r="F14" s="163" t="str">
        <f>IF($E14&lt;&gt;"",IF($AJ14&lt;&gt;"",IF(AND($L14=T_Journey,VLOOKUP($AJ14,DBPlayers,2,0)&lt;12),T_Error&amp;"7",IF("Journeymen not available"=0,T_Error&amp;"8",IF(COUNTIF($E$6:$E14,$E14)-$AQ14&gt;VLOOKUP($AJ14,DBPlayers,2,0),T_Error&amp;"2",IF(L14=T_MNG,0,COUNTIF($E$6:$E14,$E14)-$AQ14)&amp;"/"&amp;(VLOOKUP($AJ14,DBPlayers,2,0))))),T_Error&amp;"1"),"")</f>
        <v>5/16</v>
      </c>
      <c r="G14" s="164">
        <f t="shared" si="0"/>
        <v>4</v>
      </c>
      <c r="H14" s="164">
        <f t="shared" si="1"/>
        <v>3</v>
      </c>
      <c r="I14" s="164">
        <f t="shared" si="2"/>
        <v>2</v>
      </c>
      <c r="J14" s="164">
        <f t="shared" si="3"/>
        <v>8</v>
      </c>
      <c r="K14" s="167" t="str">
        <f t="shared" ca="1" si="4"/>
        <v>Regeneration</v>
      </c>
      <c r="L14" s="168"/>
      <c r="M14" s="169"/>
      <c r="N14" s="170"/>
      <c r="O14" s="170"/>
      <c r="P14" s="170"/>
      <c r="Q14" s="170"/>
      <c r="R14" s="171">
        <f t="shared" si="5"/>
        <v>0</v>
      </c>
      <c r="S14" s="172">
        <f t="shared" si="19"/>
        <v>40000</v>
      </c>
      <c r="T14" s="117"/>
      <c r="U14" s="152" t="str">
        <f t="shared" si="6"/>
        <v>G</v>
      </c>
      <c r="V14" s="152" t="str">
        <f t="shared" si="7"/>
        <v>A S P</v>
      </c>
      <c r="W14" s="153">
        <f t="shared" si="8"/>
        <v>0</v>
      </c>
      <c r="X14" s="121"/>
      <c r="Y14" s="154"/>
      <c r="Z14" s="154"/>
      <c r="AA14" s="154"/>
      <c r="AB14" s="154"/>
      <c r="AC14" s="154"/>
      <c r="AD14" s="155"/>
      <c r="AE14" s="156"/>
      <c r="AF14" s="154"/>
      <c r="AG14" s="155"/>
      <c r="AH14" s="120"/>
      <c r="AI14" s="123">
        <v>9</v>
      </c>
      <c r="AJ14" s="159" t="str">
        <f t="shared" si="9"/>
        <v>Necromantic1</v>
      </c>
      <c r="AK14" s="159">
        <f t="shared" si="20"/>
        <v>0</v>
      </c>
      <c r="AL14" s="159">
        <f t="shared" si="10"/>
        <v>0</v>
      </c>
      <c r="AM14" s="159">
        <f t="shared" si="11"/>
        <v>0</v>
      </c>
      <c r="AN14" s="159">
        <f t="shared" si="12"/>
        <v>0</v>
      </c>
      <c r="AO14" s="159">
        <f t="shared" si="13"/>
        <v>0</v>
      </c>
      <c r="AP14" s="159">
        <f t="shared" si="14"/>
        <v>0</v>
      </c>
      <c r="AQ14" s="159">
        <f t="array" ref="AQ14">IF(ISERROR($AJ14),0,IF($AJ14="","",SUM(IF($AJ14=$AJ$6:$AJ14,IF($L$6:$L14=T_MNG,1,0),0))))</f>
        <v>0</v>
      </c>
      <c r="AR14" s="160">
        <f t="shared" si="15"/>
        <v>4</v>
      </c>
      <c r="AS14" s="160">
        <f t="shared" si="16"/>
        <v>3</v>
      </c>
      <c r="AT14" s="160">
        <f t="shared" si="17"/>
        <v>2</v>
      </c>
      <c r="AU14" s="160">
        <f t="shared" si="18"/>
        <v>8</v>
      </c>
      <c r="AV14" s="102"/>
      <c r="AW14" s="102"/>
      <c r="AX14" s="102"/>
      <c r="AY14" s="102"/>
    </row>
    <row r="15" spans="1:51" ht="13.5" customHeight="1">
      <c r="A15" s="102"/>
      <c r="B15" s="114"/>
      <c r="C15" s="161">
        <v>10</v>
      </c>
      <c r="D15" s="162" t="s">
        <v>237</v>
      </c>
      <c r="E15" s="162" t="s">
        <v>232</v>
      </c>
      <c r="F15" s="163" t="str">
        <f>IF($E15&lt;&gt;"",IF($AJ15&lt;&gt;"",IF(AND($L15=T_Journey,VLOOKUP($AJ15,DBPlayers,2,0)&lt;12),T_Error&amp;"7",IF("Journeymen not available"=0,T_Error&amp;"8",IF(COUNTIF($E$6:$E15,$E15)-$AQ15&gt;VLOOKUP($AJ15,DBPlayers,2,0),T_Error&amp;"2",IF(L15=T_MNG,0,COUNTIF($E$6:$E15,$E15)-$AQ15)&amp;"/"&amp;(VLOOKUP($AJ15,DBPlayers,2,0))))),T_Error&amp;"1"),"")</f>
        <v>6/16</v>
      </c>
      <c r="G15" s="164">
        <f t="shared" si="0"/>
        <v>4</v>
      </c>
      <c r="H15" s="164">
        <f t="shared" si="1"/>
        <v>3</v>
      </c>
      <c r="I15" s="164">
        <f t="shared" si="2"/>
        <v>2</v>
      </c>
      <c r="J15" s="164">
        <f t="shared" si="3"/>
        <v>8</v>
      </c>
      <c r="K15" s="167" t="str">
        <f t="shared" ca="1" si="4"/>
        <v>Regeneration</v>
      </c>
      <c r="L15" s="168"/>
      <c r="M15" s="169"/>
      <c r="N15" s="170"/>
      <c r="O15" s="170"/>
      <c r="P15" s="170"/>
      <c r="Q15" s="170"/>
      <c r="R15" s="171">
        <f t="shared" si="5"/>
        <v>0</v>
      </c>
      <c r="S15" s="172">
        <f t="shared" si="19"/>
        <v>40000</v>
      </c>
      <c r="T15" s="117"/>
      <c r="U15" s="152" t="str">
        <f t="shared" si="6"/>
        <v>G</v>
      </c>
      <c r="V15" s="152" t="str">
        <f t="shared" si="7"/>
        <v>A S P</v>
      </c>
      <c r="W15" s="153">
        <f t="shared" si="8"/>
        <v>0</v>
      </c>
      <c r="X15" s="121"/>
      <c r="Y15" s="154"/>
      <c r="Z15" s="154"/>
      <c r="AA15" s="154"/>
      <c r="AB15" s="154"/>
      <c r="AC15" s="154"/>
      <c r="AD15" s="155"/>
      <c r="AE15" s="156"/>
      <c r="AF15" s="154"/>
      <c r="AG15" s="155"/>
      <c r="AH15" s="120"/>
      <c r="AI15" s="123">
        <v>10</v>
      </c>
      <c r="AJ15" s="159" t="str">
        <f t="shared" si="9"/>
        <v>Necromantic1</v>
      </c>
      <c r="AK15" s="159">
        <f t="shared" si="20"/>
        <v>0</v>
      </c>
      <c r="AL15" s="159">
        <f t="shared" si="10"/>
        <v>0</v>
      </c>
      <c r="AM15" s="159">
        <f t="shared" si="11"/>
        <v>0</v>
      </c>
      <c r="AN15" s="159">
        <f t="shared" si="12"/>
        <v>0</v>
      </c>
      <c r="AO15" s="159">
        <f t="shared" si="13"/>
        <v>0</v>
      </c>
      <c r="AP15" s="159">
        <f t="shared" si="14"/>
        <v>0</v>
      </c>
      <c r="AQ15" s="159">
        <f t="array" ref="AQ15">IF(ISERROR($AJ15),0,IF($AJ15="","",SUM(IF($AJ15=$AJ$6:$AJ15,IF($L$6:$L15=T_MNG,1,0),0))))</f>
        <v>0</v>
      </c>
      <c r="AR15" s="160">
        <f t="shared" si="15"/>
        <v>4</v>
      </c>
      <c r="AS15" s="160">
        <f t="shared" si="16"/>
        <v>3</v>
      </c>
      <c r="AT15" s="160">
        <f t="shared" si="17"/>
        <v>2</v>
      </c>
      <c r="AU15" s="160">
        <f t="shared" si="18"/>
        <v>8</v>
      </c>
      <c r="AV15" s="102"/>
      <c r="AW15" s="102"/>
      <c r="AX15" s="102"/>
      <c r="AY15" s="102"/>
    </row>
    <row r="16" spans="1:51" ht="13.5" customHeight="1">
      <c r="A16" s="102"/>
      <c r="B16" s="114"/>
      <c r="C16" s="161">
        <v>11</v>
      </c>
      <c r="D16" s="162" t="s">
        <v>238</v>
      </c>
      <c r="E16" s="162" t="s">
        <v>232</v>
      </c>
      <c r="F16" s="163" t="str">
        <f>IF($E16&lt;&gt;"",IF($AJ16&lt;&gt;"",IF(AND($L16=T_Journey,VLOOKUP($AJ16,DBPlayers,2,0)&lt;12),T_Error&amp;"7",IF("Journeymen not available"=0,T_Error&amp;"8",IF(COUNTIF($E$6:$E16,$E16)-$AQ16&gt;VLOOKUP($AJ16,DBPlayers,2,0),T_Error&amp;"2",IF(L16=T_MNG,0,COUNTIF($E$6:$E16,$E16)-$AQ16)&amp;"/"&amp;(VLOOKUP($AJ16,DBPlayers,2,0))))),T_Error&amp;"1"),"")</f>
        <v>7/16</v>
      </c>
      <c r="G16" s="164">
        <f t="shared" si="0"/>
        <v>4</v>
      </c>
      <c r="H16" s="164">
        <f t="shared" si="1"/>
        <v>3</v>
      </c>
      <c r="I16" s="164">
        <f t="shared" si="2"/>
        <v>2</v>
      </c>
      <c r="J16" s="164">
        <f t="shared" si="3"/>
        <v>8</v>
      </c>
      <c r="K16" s="167" t="str">
        <f t="shared" ca="1" si="4"/>
        <v>Regeneration</v>
      </c>
      <c r="L16" s="168"/>
      <c r="M16" s="169"/>
      <c r="N16" s="170"/>
      <c r="O16" s="170"/>
      <c r="P16" s="170"/>
      <c r="Q16" s="170"/>
      <c r="R16" s="171">
        <f t="shared" si="5"/>
        <v>0</v>
      </c>
      <c r="S16" s="172">
        <f t="shared" si="19"/>
        <v>40000</v>
      </c>
      <c r="T16" s="117"/>
      <c r="U16" s="152" t="str">
        <f t="shared" si="6"/>
        <v>G</v>
      </c>
      <c r="V16" s="152" t="str">
        <f t="shared" si="7"/>
        <v>A S P</v>
      </c>
      <c r="W16" s="153">
        <f t="shared" si="8"/>
        <v>0</v>
      </c>
      <c r="X16" s="121"/>
      <c r="Y16" s="154"/>
      <c r="Z16" s="154"/>
      <c r="AA16" s="154"/>
      <c r="AB16" s="154"/>
      <c r="AC16" s="154"/>
      <c r="AD16" s="155"/>
      <c r="AE16" s="156"/>
      <c r="AF16" s="154"/>
      <c r="AG16" s="155"/>
      <c r="AH16" s="120"/>
      <c r="AI16" s="123">
        <v>11</v>
      </c>
      <c r="AJ16" s="159" t="str">
        <f t="shared" si="9"/>
        <v>Necromantic1</v>
      </c>
      <c r="AK16" s="159">
        <f t="shared" si="20"/>
        <v>0</v>
      </c>
      <c r="AL16" s="159">
        <f t="shared" si="10"/>
        <v>0</v>
      </c>
      <c r="AM16" s="159">
        <f t="shared" si="11"/>
        <v>0</v>
      </c>
      <c r="AN16" s="159">
        <f t="shared" si="12"/>
        <v>0</v>
      </c>
      <c r="AO16" s="159">
        <f t="shared" si="13"/>
        <v>0</v>
      </c>
      <c r="AP16" s="159">
        <f t="shared" si="14"/>
        <v>0</v>
      </c>
      <c r="AQ16" s="159">
        <f t="array" ref="AQ16">IF(ISERROR($AJ16),0,IF($AJ16="","",SUM(IF($AJ16=$AJ$6:$AJ16,IF($L$6:$L16=T_MNG,1,0),0))))</f>
        <v>0</v>
      </c>
      <c r="AR16" s="160">
        <f t="shared" si="15"/>
        <v>4</v>
      </c>
      <c r="AS16" s="160">
        <f t="shared" si="16"/>
        <v>3</v>
      </c>
      <c r="AT16" s="160">
        <f t="shared" si="17"/>
        <v>2</v>
      </c>
      <c r="AU16" s="160">
        <f t="shared" si="18"/>
        <v>8</v>
      </c>
      <c r="AV16" s="102"/>
      <c r="AW16" s="102"/>
      <c r="AX16" s="102"/>
      <c r="AY16" s="102"/>
    </row>
    <row r="17" spans="1:51" ht="13.5" customHeight="1">
      <c r="A17" s="102"/>
      <c r="B17" s="114"/>
      <c r="C17" s="161">
        <v>12</v>
      </c>
      <c r="D17" s="162" t="s">
        <v>239</v>
      </c>
      <c r="E17" s="162" t="s">
        <v>232</v>
      </c>
      <c r="F17" s="163" t="str">
        <f>IF($E17&lt;&gt;"",IF($AJ17&lt;&gt;"",IF(AND($L17=T_Journey,VLOOKUP($AJ17,DBPlayers,2,0)&lt;12),T_Error&amp;"7",IF("Journeymen not available"=0,T_Error&amp;"8",IF(COUNTIF($E$6:$E17,$E17)-$AQ17&gt;VLOOKUP($AJ17,DBPlayers,2,0),T_Error&amp;"2",IF(L17=T_MNG,0,COUNTIF($E$6:$E17,$E17)-$AQ17)&amp;"/"&amp;(VLOOKUP($AJ17,DBPlayers,2,0))))),T_Error&amp;"1"),"")</f>
        <v>8/16</v>
      </c>
      <c r="G17" s="164">
        <f t="shared" si="0"/>
        <v>4</v>
      </c>
      <c r="H17" s="164">
        <f t="shared" si="1"/>
        <v>3</v>
      </c>
      <c r="I17" s="164">
        <f t="shared" si="2"/>
        <v>2</v>
      </c>
      <c r="J17" s="164">
        <f t="shared" si="3"/>
        <v>8</v>
      </c>
      <c r="K17" s="167" t="str">
        <f t="shared" ca="1" si="4"/>
        <v>Regeneration, Block</v>
      </c>
      <c r="L17" s="168"/>
      <c r="M17" s="169"/>
      <c r="N17" s="170"/>
      <c r="O17" s="170"/>
      <c r="P17" s="170">
        <v>1</v>
      </c>
      <c r="Q17" s="170">
        <v>1</v>
      </c>
      <c r="R17" s="171">
        <f t="shared" si="5"/>
        <v>7</v>
      </c>
      <c r="S17" s="172">
        <f t="shared" si="19"/>
        <v>60000</v>
      </c>
      <c r="T17" s="117"/>
      <c r="U17" s="152" t="str">
        <f t="shared" si="6"/>
        <v>G</v>
      </c>
      <c r="V17" s="152" t="str">
        <f t="shared" si="7"/>
        <v>A S P</v>
      </c>
      <c r="W17" s="153">
        <f t="shared" si="8"/>
        <v>1</v>
      </c>
      <c r="X17" s="121"/>
      <c r="Y17" s="154" t="s">
        <v>162</v>
      </c>
      <c r="Z17" s="154"/>
      <c r="AA17" s="154"/>
      <c r="AB17" s="154"/>
      <c r="AC17" s="154"/>
      <c r="AD17" s="155"/>
      <c r="AE17" s="156"/>
      <c r="AF17" s="154"/>
      <c r="AG17" s="155"/>
      <c r="AH17" s="120"/>
      <c r="AI17" s="123">
        <v>12</v>
      </c>
      <c r="AJ17" s="159" t="str">
        <f t="shared" si="9"/>
        <v>Necromantic1</v>
      </c>
      <c r="AK17" s="159">
        <f t="shared" si="20"/>
        <v>20000</v>
      </c>
      <c r="AL17" s="159">
        <f t="shared" si="10"/>
        <v>0</v>
      </c>
      <c r="AM17" s="159">
        <f t="shared" si="11"/>
        <v>0</v>
      </c>
      <c r="AN17" s="159">
        <f t="shared" si="12"/>
        <v>0</v>
      </c>
      <c r="AO17" s="159">
        <f t="shared" si="13"/>
        <v>0</v>
      </c>
      <c r="AP17" s="159">
        <f t="shared" si="14"/>
        <v>0</v>
      </c>
      <c r="AQ17" s="159">
        <f t="array" ref="AQ17">IF(ISERROR($AJ17),0,IF($AJ17="","",SUM(IF($AJ17=$AJ$6:$AJ17,IF($L$6:$L17=T_MNG,1,0),0))))</f>
        <v>0</v>
      </c>
      <c r="AR17" s="160">
        <f t="shared" si="15"/>
        <v>4</v>
      </c>
      <c r="AS17" s="160">
        <f t="shared" si="16"/>
        <v>3</v>
      </c>
      <c r="AT17" s="160">
        <f t="shared" si="17"/>
        <v>2</v>
      </c>
      <c r="AU17" s="160">
        <f t="shared" si="18"/>
        <v>8</v>
      </c>
      <c r="AV17" s="102"/>
      <c r="AW17" s="102"/>
      <c r="AX17" s="102"/>
      <c r="AY17" s="102"/>
    </row>
    <row r="18" spans="1:51" ht="13.5" customHeight="1">
      <c r="A18" s="102"/>
      <c r="B18" s="114"/>
      <c r="C18" s="161">
        <v>13</v>
      </c>
      <c r="D18" s="162" t="s">
        <v>240</v>
      </c>
      <c r="E18" s="162" t="s">
        <v>232</v>
      </c>
      <c r="F18" s="163" t="str">
        <f>IF($E18&lt;&gt;"",IF($AJ18&lt;&gt;"",IF(AND($L18=T_Journey,VLOOKUP($AJ18,DBPlayers,2,0)&lt;12),T_Error&amp;"7",IF("Journeymen not available"=0,T_Error&amp;"8",IF(COUNTIF($E$6:$E18,$E18)-$AQ18&gt;VLOOKUP($AJ18,DBPlayers,2,0),T_Error&amp;"2",IF(L18=T_MNG,0,COUNTIF($E$6:$E18,$E18)-$AQ18)&amp;"/"&amp;(VLOOKUP($AJ18,DBPlayers,2,0))))),T_Error&amp;"1"),"")</f>
        <v>9/16</v>
      </c>
      <c r="G18" s="164">
        <f t="shared" si="0"/>
        <v>4</v>
      </c>
      <c r="H18" s="164">
        <f t="shared" si="1"/>
        <v>3</v>
      </c>
      <c r="I18" s="164">
        <f t="shared" si="2"/>
        <v>2</v>
      </c>
      <c r="J18" s="164">
        <f t="shared" si="3"/>
        <v>8</v>
      </c>
      <c r="K18" s="167" t="str">
        <f t="shared" ca="1" si="4"/>
        <v>Regeneration, Block</v>
      </c>
      <c r="L18" s="168"/>
      <c r="M18" s="169"/>
      <c r="N18" s="170"/>
      <c r="O18" s="170"/>
      <c r="P18" s="170">
        <v>1</v>
      </c>
      <c r="Q18" s="170">
        <v>1</v>
      </c>
      <c r="R18" s="171">
        <f t="shared" si="5"/>
        <v>7</v>
      </c>
      <c r="S18" s="172">
        <f t="shared" si="19"/>
        <v>60000</v>
      </c>
      <c r="T18" s="117"/>
      <c r="U18" s="152" t="str">
        <f t="shared" si="6"/>
        <v>G</v>
      </c>
      <c r="V18" s="152" t="str">
        <f t="shared" si="7"/>
        <v>A S P</v>
      </c>
      <c r="W18" s="153">
        <f t="shared" si="8"/>
        <v>1</v>
      </c>
      <c r="X18" s="121"/>
      <c r="Y18" s="154" t="s">
        <v>162</v>
      </c>
      <c r="Z18" s="154"/>
      <c r="AA18" s="154"/>
      <c r="AB18" s="154"/>
      <c r="AC18" s="154"/>
      <c r="AD18" s="155"/>
      <c r="AE18" s="156"/>
      <c r="AF18" s="154"/>
      <c r="AG18" s="155"/>
      <c r="AH18" s="120"/>
      <c r="AI18" s="123">
        <v>13</v>
      </c>
      <c r="AJ18" s="159" t="str">
        <f t="shared" si="9"/>
        <v>Necromantic1</v>
      </c>
      <c r="AK18" s="159">
        <f t="shared" si="20"/>
        <v>20000</v>
      </c>
      <c r="AL18" s="159">
        <f t="shared" si="10"/>
        <v>0</v>
      </c>
      <c r="AM18" s="159">
        <f t="shared" si="11"/>
        <v>0</v>
      </c>
      <c r="AN18" s="159">
        <f t="shared" si="12"/>
        <v>0</v>
      </c>
      <c r="AO18" s="159">
        <f t="shared" si="13"/>
        <v>0</v>
      </c>
      <c r="AP18" s="159">
        <f t="shared" si="14"/>
        <v>0</v>
      </c>
      <c r="AQ18" s="159">
        <f t="array" ref="AQ18">IF(ISERROR($AJ18),0,IF($AJ18="","",SUM(IF($AJ18=$AJ$6:$AJ18,IF($L$6:$L18=T_MNG,1,0),0))))</f>
        <v>0</v>
      </c>
      <c r="AR18" s="160">
        <f t="shared" si="15"/>
        <v>4</v>
      </c>
      <c r="AS18" s="160">
        <f t="shared" si="16"/>
        <v>3</v>
      </c>
      <c r="AT18" s="160">
        <f t="shared" si="17"/>
        <v>2</v>
      </c>
      <c r="AU18" s="160">
        <f t="shared" si="18"/>
        <v>8</v>
      </c>
      <c r="AV18" s="102"/>
      <c r="AW18" s="102"/>
      <c r="AX18" s="102"/>
      <c r="AY18" s="102"/>
    </row>
    <row r="19" spans="1:51" ht="13.5" customHeight="1">
      <c r="A19" s="102"/>
      <c r="B19" s="114"/>
      <c r="C19" s="161">
        <v>14</v>
      </c>
      <c r="D19" s="162" t="s">
        <v>241</v>
      </c>
      <c r="E19" s="162" t="s">
        <v>232</v>
      </c>
      <c r="F19" s="163" t="str">
        <f>IF($E19&lt;&gt;"",IF($AJ19&lt;&gt;"",IF(AND($L19=T_Journey,VLOOKUP($AJ19,DBPlayers,2,0)&lt;12),T_Error&amp;"7",IF("Journeymen not available"=0,T_Error&amp;"8",IF(COUNTIF($E$6:$E19,$E19)-$AQ19&gt;VLOOKUP($AJ19,DBPlayers,2,0),T_Error&amp;"2",IF(L19=T_MNG,0,COUNTIF($E$6:$E19,$E19)-$AQ19)&amp;"/"&amp;(VLOOKUP($AJ19,DBPlayers,2,0))))),T_Error&amp;"1"),"")</f>
        <v>10/16</v>
      </c>
      <c r="G19" s="164">
        <f t="shared" si="0"/>
        <v>4</v>
      </c>
      <c r="H19" s="164">
        <f t="shared" si="1"/>
        <v>3</v>
      </c>
      <c r="I19" s="164">
        <f t="shared" si="2"/>
        <v>2</v>
      </c>
      <c r="J19" s="164">
        <f t="shared" si="3"/>
        <v>8</v>
      </c>
      <c r="K19" s="167" t="str">
        <f t="shared" ca="1" si="4"/>
        <v>Regeneration</v>
      </c>
      <c r="L19" s="168"/>
      <c r="M19" s="169"/>
      <c r="N19" s="170"/>
      <c r="O19" s="170"/>
      <c r="P19" s="170"/>
      <c r="Q19" s="170"/>
      <c r="R19" s="171">
        <f t="shared" si="5"/>
        <v>0</v>
      </c>
      <c r="S19" s="172">
        <f t="shared" si="19"/>
        <v>40000</v>
      </c>
      <c r="T19" s="117"/>
      <c r="U19" s="152" t="str">
        <f t="shared" si="6"/>
        <v>G</v>
      </c>
      <c r="V19" s="152" t="str">
        <f t="shared" si="7"/>
        <v>A S P</v>
      </c>
      <c r="W19" s="153">
        <f t="shared" si="8"/>
        <v>0</v>
      </c>
      <c r="X19" s="121"/>
      <c r="Y19" s="154"/>
      <c r="Z19" s="154"/>
      <c r="AA19" s="154"/>
      <c r="AB19" s="154"/>
      <c r="AC19" s="154"/>
      <c r="AD19" s="155"/>
      <c r="AE19" s="156"/>
      <c r="AF19" s="154"/>
      <c r="AG19" s="155"/>
      <c r="AH19" s="120"/>
      <c r="AI19" s="123">
        <v>14</v>
      </c>
      <c r="AJ19" s="159" t="str">
        <f t="shared" si="9"/>
        <v>Necromantic1</v>
      </c>
      <c r="AK19" s="159">
        <f t="shared" si="20"/>
        <v>0</v>
      </c>
      <c r="AL19" s="159">
        <f t="shared" si="10"/>
        <v>0</v>
      </c>
      <c r="AM19" s="159">
        <f t="shared" si="11"/>
        <v>0</v>
      </c>
      <c r="AN19" s="159">
        <f t="shared" si="12"/>
        <v>0</v>
      </c>
      <c r="AO19" s="159">
        <f t="shared" si="13"/>
        <v>0</v>
      </c>
      <c r="AP19" s="159">
        <f t="shared" si="14"/>
        <v>0</v>
      </c>
      <c r="AQ19" s="159">
        <f t="array" ref="AQ19">IF(ISERROR($AJ19),0,IF($AJ19="","",SUM(IF($AJ19=$AJ$6:$AJ19,IF($L$6:$L19=T_MNG,1,0),0))))</f>
        <v>0</v>
      </c>
      <c r="AR19" s="160">
        <f t="shared" si="15"/>
        <v>4</v>
      </c>
      <c r="AS19" s="160">
        <f t="shared" si="16"/>
        <v>3</v>
      </c>
      <c r="AT19" s="160">
        <f t="shared" si="17"/>
        <v>2</v>
      </c>
      <c r="AU19" s="160">
        <f t="shared" si="18"/>
        <v>8</v>
      </c>
      <c r="AV19" s="102"/>
      <c r="AW19" s="102"/>
      <c r="AX19" s="102"/>
      <c r="AY19" s="102"/>
    </row>
    <row r="20" spans="1:51" ht="13.5" customHeight="1">
      <c r="A20" s="102"/>
      <c r="B20" s="114"/>
      <c r="C20" s="161">
        <v>15</v>
      </c>
      <c r="D20" s="162" t="s">
        <v>254</v>
      </c>
      <c r="E20" s="162" t="s">
        <v>232</v>
      </c>
      <c r="F20" s="163" t="str">
        <f>IF($E20&lt;&gt;"",IF($AJ20&lt;&gt;"",IF(AND($L20=T_Journey,VLOOKUP($AJ20,DBPlayers,2,0)&lt;12),T_Error&amp;"7",IF("Journeymen not available"=0,T_Error&amp;"8",IF(COUNTIF($E$6:$E20,$E20)-$AQ20&gt;VLOOKUP($AJ20,DBPlayers,2,0),T_Error&amp;"2",IF(L20=T_MNG,0,COUNTIF($E$6:$E20,$E20)-$AQ20)&amp;"/"&amp;(VLOOKUP($AJ20,DBPlayers,2,0))))),T_Error&amp;"1"),"")</f>
        <v>11/16</v>
      </c>
      <c r="G20" s="164">
        <f t="shared" si="0"/>
        <v>4</v>
      </c>
      <c r="H20" s="164">
        <f t="shared" si="1"/>
        <v>3</v>
      </c>
      <c r="I20" s="164">
        <f t="shared" si="2"/>
        <v>2</v>
      </c>
      <c r="J20" s="164">
        <f t="shared" si="3"/>
        <v>8</v>
      </c>
      <c r="K20" s="167" t="str">
        <f t="shared" ca="1" si="4"/>
        <v>Regeneration</v>
      </c>
      <c r="L20" s="168"/>
      <c r="M20" s="169"/>
      <c r="N20" s="170"/>
      <c r="O20" s="170"/>
      <c r="P20" s="170"/>
      <c r="Q20" s="170"/>
      <c r="R20" s="171">
        <f t="shared" si="5"/>
        <v>0</v>
      </c>
      <c r="S20" s="172">
        <f t="shared" si="19"/>
        <v>40000</v>
      </c>
      <c r="T20" s="117"/>
      <c r="U20" s="152" t="str">
        <f t="shared" si="6"/>
        <v>G</v>
      </c>
      <c r="V20" s="152" t="str">
        <f t="shared" si="7"/>
        <v>A S P</v>
      </c>
      <c r="W20" s="153">
        <f t="shared" si="8"/>
        <v>0</v>
      </c>
      <c r="X20" s="121"/>
      <c r="Y20" s="154"/>
      <c r="Z20" s="154"/>
      <c r="AA20" s="154"/>
      <c r="AB20" s="154"/>
      <c r="AC20" s="154"/>
      <c r="AD20" s="155"/>
      <c r="AE20" s="156"/>
      <c r="AF20" s="154"/>
      <c r="AG20" s="155"/>
      <c r="AH20" s="120"/>
      <c r="AI20" s="123">
        <v>15</v>
      </c>
      <c r="AJ20" s="159" t="str">
        <f t="shared" si="9"/>
        <v>Necromantic1</v>
      </c>
      <c r="AK20" s="159">
        <f t="shared" si="20"/>
        <v>0</v>
      </c>
      <c r="AL20" s="159">
        <f t="shared" si="10"/>
        <v>0</v>
      </c>
      <c r="AM20" s="159">
        <f t="shared" si="11"/>
        <v>0</v>
      </c>
      <c r="AN20" s="159">
        <f t="shared" si="12"/>
        <v>0</v>
      </c>
      <c r="AO20" s="159">
        <f t="shared" si="13"/>
        <v>0</v>
      </c>
      <c r="AP20" s="159">
        <f t="shared" si="14"/>
        <v>0</v>
      </c>
      <c r="AQ20" s="159">
        <f t="array" ref="AQ20">IF(ISERROR($AJ20),0,IF($AJ20="","",SUM(IF($AJ20=$AJ$6:$AJ20,IF($L$6:$L20=T_MNG,1,0),0))))</f>
        <v>0</v>
      </c>
      <c r="AR20" s="160">
        <f t="shared" si="15"/>
        <v>4</v>
      </c>
      <c r="AS20" s="160">
        <f t="shared" si="16"/>
        <v>3</v>
      </c>
      <c r="AT20" s="160">
        <f t="shared" si="17"/>
        <v>2</v>
      </c>
      <c r="AU20" s="160">
        <f t="shared" si="18"/>
        <v>8</v>
      </c>
      <c r="AV20" s="102"/>
      <c r="AW20" s="102"/>
      <c r="AX20" s="102"/>
      <c r="AY20" s="102"/>
    </row>
    <row r="21" spans="1:51" ht="13.5" customHeight="1">
      <c r="A21" s="102"/>
      <c r="B21" s="114"/>
      <c r="C21" s="176">
        <v>16</v>
      </c>
      <c r="D21" s="175" t="s">
        <v>258</v>
      </c>
      <c r="E21" s="175" t="s">
        <v>232</v>
      </c>
      <c r="F21" s="177" t="str">
        <f>IF($E21&lt;&gt;"",IF($AJ21&lt;&gt;"",IF(AND($L21=T_Journey,VLOOKUP($AJ21,DBPlayers,2,0)&lt;12),T_Error&amp;"7",IF("Journeymen not available"=0,T_Error&amp;"8",IF(COUNTIF($E$6:$E21,$E21)-$AQ21&gt;VLOOKUP($AJ21,DBPlayers,2,0),T_Error&amp;"2",IF(L21=T_MNG,0,COUNTIF($E$6:$E21,$E21)-$AQ21)&amp;"/"&amp;(VLOOKUP($AJ21,DBPlayers,2,0))))),T_Error&amp;"1"),"")</f>
        <v>12/16</v>
      </c>
      <c r="G21" s="178">
        <f t="shared" si="0"/>
        <v>4</v>
      </c>
      <c r="H21" s="178">
        <f t="shared" si="1"/>
        <v>3</v>
      </c>
      <c r="I21" s="178">
        <f t="shared" si="2"/>
        <v>2</v>
      </c>
      <c r="J21" s="178">
        <f t="shared" si="3"/>
        <v>8</v>
      </c>
      <c r="K21" s="179" t="str">
        <f t="shared" ca="1" si="4"/>
        <v>Regeneration</v>
      </c>
      <c r="L21" s="180"/>
      <c r="M21" s="181"/>
      <c r="N21" s="182"/>
      <c r="O21" s="182"/>
      <c r="P21" s="182"/>
      <c r="Q21" s="182"/>
      <c r="R21" s="183">
        <f t="shared" si="5"/>
        <v>0</v>
      </c>
      <c r="S21" s="184">
        <f t="shared" si="19"/>
        <v>40000</v>
      </c>
      <c r="T21" s="117"/>
      <c r="U21" s="152" t="str">
        <f t="shared" si="6"/>
        <v>G</v>
      </c>
      <c r="V21" s="152" t="str">
        <f t="shared" si="7"/>
        <v>A S P</v>
      </c>
      <c r="W21" s="153">
        <f t="shared" si="8"/>
        <v>0</v>
      </c>
      <c r="X21" s="121"/>
      <c r="Y21" s="154"/>
      <c r="Z21" s="154"/>
      <c r="AA21" s="154"/>
      <c r="AB21" s="154"/>
      <c r="AC21" s="154"/>
      <c r="AD21" s="185"/>
      <c r="AE21" s="186"/>
      <c r="AF21" s="154"/>
      <c r="AG21" s="185"/>
      <c r="AH21" s="120"/>
      <c r="AI21" s="123">
        <v>16</v>
      </c>
      <c r="AJ21" s="159" t="str">
        <f t="shared" si="9"/>
        <v>Necromantic1</v>
      </c>
      <c r="AK21" s="159">
        <f t="shared" si="20"/>
        <v>0</v>
      </c>
      <c r="AL21" s="159">
        <f t="shared" si="10"/>
        <v>0</v>
      </c>
      <c r="AM21" s="159">
        <f t="shared" si="11"/>
        <v>0</v>
      </c>
      <c r="AN21" s="159">
        <f t="shared" si="12"/>
        <v>0</v>
      </c>
      <c r="AO21" s="159">
        <f t="shared" si="13"/>
        <v>0</v>
      </c>
      <c r="AP21" s="159">
        <f t="shared" si="14"/>
        <v>0</v>
      </c>
      <c r="AQ21" s="159">
        <f t="array" ref="AQ21">IF(ISERROR($AJ21),0,IF($AJ21="","",SUM(IF($AJ21=$AJ$6:$AJ21,IF($L$6:$L21=T_MNG,1,0),0))))</f>
        <v>0</v>
      </c>
      <c r="AR21" s="160">
        <f t="shared" si="15"/>
        <v>4</v>
      </c>
      <c r="AS21" s="160">
        <f t="shared" si="16"/>
        <v>3</v>
      </c>
      <c r="AT21" s="160">
        <f t="shared" si="17"/>
        <v>2</v>
      </c>
      <c r="AU21" s="160">
        <f t="shared" si="18"/>
        <v>8</v>
      </c>
      <c r="AV21" s="102"/>
      <c r="AW21" s="102"/>
      <c r="AX21" s="102"/>
      <c r="AY21" s="102"/>
    </row>
    <row r="22" spans="1:51" ht="18" customHeight="1">
      <c r="A22" s="102"/>
      <c r="B22" s="114"/>
      <c r="C22" s="187"/>
      <c r="D22" s="188"/>
      <c r="E22" s="189" t="s">
        <v>186</v>
      </c>
      <c r="F22" s="190" t="str">
        <f>COUNTIF(S6:S21,"&gt;0")&amp;"/16"</f>
        <v>14/16</v>
      </c>
      <c r="G22" s="191"/>
      <c r="H22" s="192" t="str">
        <f>IF(AND(AQ22&gt;0,AQ22+AM22&gt;11),T_Error8,IF(AM22&lt;11,AQ22&amp;" / "&amp;11-AM22&amp;" "&amp;T_AllowedJourney,""))</f>
        <v/>
      </c>
      <c r="I22" s="190"/>
      <c r="J22" s="190"/>
      <c r="K22" s="193"/>
      <c r="L22" s="189" t="s">
        <v>187</v>
      </c>
      <c r="M22" s="190">
        <f t="shared" ref="M22:Q22" si="21">SUMIF($R$6:$R$21,"&gt;=0",M$6:M$21)</f>
        <v>0</v>
      </c>
      <c r="N22" s="190">
        <f t="shared" si="21"/>
        <v>3</v>
      </c>
      <c r="O22" s="190">
        <f t="shared" si="21"/>
        <v>0</v>
      </c>
      <c r="P22" s="190">
        <f t="shared" si="21"/>
        <v>2</v>
      </c>
      <c r="Q22" s="190">
        <f t="shared" si="21"/>
        <v>2</v>
      </c>
      <c r="R22" s="190">
        <f t="shared" ref="R22:S22" si="22">SUM(R6:R21)</f>
        <v>23</v>
      </c>
      <c r="S22" s="194">
        <f t="shared" si="22"/>
        <v>780000</v>
      </c>
      <c r="T22" s="117"/>
      <c r="U22" s="195"/>
      <c r="V22" s="196"/>
      <c r="W22" s="197"/>
      <c r="X22" s="198"/>
      <c r="Y22" s="198"/>
      <c r="Z22" s="198"/>
      <c r="AA22" s="198"/>
      <c r="AB22" s="198"/>
      <c r="AC22" s="198"/>
      <c r="AD22" s="198"/>
      <c r="AE22" s="198"/>
      <c r="AF22" s="198"/>
      <c r="AG22" s="198"/>
      <c r="AH22" s="102"/>
      <c r="AI22" s="123"/>
      <c r="AJ22" s="102"/>
      <c r="AK22" s="102"/>
      <c r="AL22" s="199" t="s">
        <v>188</v>
      </c>
      <c r="AM22" s="200">
        <f>COUNTIF($S$6:$S$21,"&gt;0")-$AQ$22</f>
        <v>14</v>
      </c>
      <c r="AN22" s="123"/>
      <c r="AO22" s="123"/>
      <c r="AP22" s="199" t="s">
        <v>189</v>
      </c>
      <c r="AQ22" s="159">
        <f t="array" ref="AQ22">SUM(IF(L6:L21=T_Journey,IF(S6:S21&lt;&gt;"",1,0),0))</f>
        <v>0</v>
      </c>
      <c r="AR22" s="105"/>
      <c r="AS22" s="105"/>
      <c r="AT22" s="105"/>
      <c r="AU22" s="105"/>
      <c r="AV22" s="102"/>
      <c r="AW22" s="102"/>
      <c r="AX22" s="102"/>
      <c r="AY22" s="102"/>
    </row>
    <row r="23" spans="1:51" ht="3" customHeight="1">
      <c r="A23" s="102"/>
      <c r="B23" s="107"/>
      <c r="C23" s="108"/>
      <c r="D23" s="109"/>
      <c r="E23" s="109"/>
      <c r="F23" s="110"/>
      <c r="G23" s="108"/>
      <c r="H23" s="108"/>
      <c r="I23" s="108"/>
      <c r="J23" s="108"/>
      <c r="K23" s="109"/>
      <c r="L23" s="109"/>
      <c r="M23" s="109"/>
      <c r="N23" s="109"/>
      <c r="O23" s="109"/>
      <c r="P23" s="109"/>
      <c r="Q23" s="109"/>
      <c r="R23" s="109"/>
      <c r="S23" s="201"/>
      <c r="T23" s="111"/>
      <c r="U23" s="121"/>
      <c r="V23" s="202"/>
      <c r="W23" s="121"/>
      <c r="X23" s="121"/>
      <c r="Y23" s="102"/>
      <c r="Z23" s="113"/>
      <c r="AA23" s="113"/>
      <c r="AB23" s="102"/>
      <c r="AC23" s="102"/>
      <c r="AD23" s="102"/>
      <c r="AE23" s="102"/>
      <c r="AF23" s="102"/>
      <c r="AG23" s="102"/>
      <c r="AH23" s="102"/>
      <c r="AI23" s="123"/>
      <c r="AJ23" s="123"/>
      <c r="AK23" s="123"/>
      <c r="AL23" s="123"/>
      <c r="AM23" s="123"/>
      <c r="AN23" s="123"/>
      <c r="AO23" s="123"/>
      <c r="AP23" s="123"/>
      <c r="AQ23" s="123"/>
      <c r="AR23" s="105"/>
      <c r="AS23" s="105"/>
      <c r="AT23" s="105"/>
      <c r="AU23" s="105"/>
      <c r="AV23" s="102"/>
      <c r="AW23" s="102"/>
      <c r="AX23" s="102"/>
      <c r="AY23" s="102"/>
    </row>
    <row r="24" spans="1:51" ht="13.5" customHeight="1">
      <c r="A24" s="102"/>
      <c r="B24" s="114"/>
      <c r="C24" s="203"/>
      <c r="D24" s="351" t="s">
        <v>190</v>
      </c>
      <c r="E24" s="316"/>
      <c r="F24" s="127" t="s">
        <v>142</v>
      </c>
      <c r="G24" s="127" t="str">
        <f>T_MA</f>
        <v>MA</v>
      </c>
      <c r="H24" s="127" t="str">
        <f>T_ST</f>
        <v>ST</v>
      </c>
      <c r="I24" s="127" t="str">
        <f>T_AG</f>
        <v>AG</v>
      </c>
      <c r="J24" s="127" t="str">
        <f>T_AV</f>
        <v>AV</v>
      </c>
      <c r="K24" s="348" t="s">
        <v>191</v>
      </c>
      <c r="L24" s="316"/>
      <c r="M24" s="316"/>
      <c r="N24" s="316"/>
      <c r="O24" s="316"/>
      <c r="P24" s="316"/>
      <c r="Q24" s="316"/>
      <c r="R24" s="316"/>
      <c r="S24" s="204"/>
      <c r="T24" s="117"/>
      <c r="U24" s="133" t="s">
        <v>146</v>
      </c>
      <c r="V24" s="341" t="s">
        <v>192</v>
      </c>
      <c r="W24" s="316"/>
      <c r="X24" s="121"/>
      <c r="Y24" s="113"/>
      <c r="Z24" s="102"/>
      <c r="AA24" s="102"/>
      <c r="AB24" s="102"/>
      <c r="AC24" s="102"/>
      <c r="AD24" s="102"/>
      <c r="AE24" s="102"/>
      <c r="AF24" s="102"/>
      <c r="AG24" s="102"/>
      <c r="AH24" s="102"/>
      <c r="AI24" s="123"/>
      <c r="AJ24" s="123"/>
      <c r="AK24" s="123"/>
      <c r="AL24" s="123"/>
      <c r="AM24" s="123"/>
      <c r="AN24" s="123"/>
      <c r="AO24" s="123"/>
      <c r="AP24" s="141"/>
      <c r="AQ24" s="141" t="s">
        <v>160</v>
      </c>
      <c r="AR24" s="105"/>
      <c r="AS24" s="105"/>
      <c r="AT24" s="105"/>
      <c r="AU24" s="105"/>
      <c r="AV24" s="102"/>
      <c r="AW24" s="102"/>
      <c r="AX24" s="102"/>
      <c r="AY24" s="102"/>
    </row>
    <row r="25" spans="1:51" ht="13.5" customHeight="1">
      <c r="A25" s="102"/>
      <c r="B25" s="114"/>
      <c r="C25" s="115"/>
      <c r="D25" s="346"/>
      <c r="E25" s="316"/>
      <c r="F25" s="205" t="str">
        <f>IF($D25="","",IF($AJ25="",T_Error&amp;"1",IF(COUNTIF($D$25:$D25,"&lt;&gt;")&gt;$R$31,T_Error&amp;"3",IF(ISERROR(FIND(T_Merc,$D25)),IF(COUNTIF($D$25:$D25,D25)&gt;1,T_Error&amp;"4",IF(COUNTIF($AJ$25:$AJ25,"=Star")&gt;2,T_Error&amp;"5",IF(AND($D25=Brick,$F$31&lt;&gt;"1/1"),T_Error&amp;"6","1/1"))),IF(COUNTIF($AJ$6:$AJ25,$AJ25)-$AQ25&gt;VLOOKUP($AJ25,DBPlayers,2,0)+VLOOKUP($AJ25,$AL$58:$AM$67,2,0),T_Error&amp;"2",COUNTIF($AJ$6:$AJ25,$AJ25)-$AQ25&amp;"/"&amp;(VLOOKUP($AJ25,DBPlayers,2,0)))))))</f>
        <v/>
      </c>
      <c r="G25" s="205" t="str">
        <f t="shared" ref="G25:G30" si="23">IF(OR(LEFT($F25,LEN(T_Error))=T_Error,$D25=""),"",IF(ISERROR(FIND(T_Merc,$D25)),VLOOKUP($D25,DBStars,2,0),VLOOKUP($AJ25,DBPlayers,4,0)))</f>
        <v/>
      </c>
      <c r="H25" s="205" t="str">
        <f t="shared" ref="H25:H30" si="24">IF(OR(LEFT($F25,LEN(T_Error))=T_Error,$D25=""),"",IF(ISERROR(FIND(T_Merc,$D25)),VLOOKUP($D25,DBStars,3,0),VLOOKUP($AJ25,DBPlayers,5,0)))</f>
        <v/>
      </c>
      <c r="I25" s="205" t="str">
        <f t="shared" ref="I25:I30" si="25">IF(OR(LEFT($F25,LEN(T_Error))=T_Error,$D25=""),"",IF(ISERROR(FIND(T_Merc,$D25)),VLOOKUP($D25,DBStars,4,0),VLOOKUP($AJ25,DBPlayers,6,0)))</f>
        <v/>
      </c>
      <c r="J25" s="205" t="str">
        <f t="shared" ref="J25:J30" si="26">IF(OR(LEFT($F25,LEN(T_Error))=T_Error,$D25=""),"",IF(ISERROR(FIND(T_Merc,$D25)),VLOOKUP($D25,DBStars,5,0),VLOOKUP($AJ25,DBPlayers,7,0)))</f>
        <v/>
      </c>
      <c r="K25" s="347" t="str">
        <f t="shared" ref="K25:K30" ca="1" si="27">IF($D25="","",IF(LEFT($F25,LEN(T_Error))=T_Error,INDIRECT("T_Error"&amp;RIGHT($F25,1)),IF(ISERROR(FIND(T_Merc,$D25)),VLOOKUP($D25,DBStars,6,0),T_Loner&amp;", "&amp;VLOOKUP($AJ25,DBPlayers,8,0)&amp;IF($V25="","",", "&amp;$V25))))</f>
        <v/>
      </c>
      <c r="L25" s="316"/>
      <c r="M25" s="316"/>
      <c r="N25" s="316"/>
      <c r="O25" s="316"/>
      <c r="P25" s="316"/>
      <c r="Q25" s="316"/>
      <c r="R25" s="316"/>
      <c r="S25" s="206" t="str">
        <f t="shared" ref="S25:S30" si="28">IF(OR(LEFT($F25,LEN(T_Error))=T_Error,$D25=""),"",IF(ISERROR(FIND(T_Merc,$D25)),VLOOKUP($D25,DBStars,7,0),VLOOKUP($AJ25,DBPlayers,11,0)+30000+IF(V25&lt;&gt;"",50000,0)))</f>
        <v/>
      </c>
      <c r="T25" s="117"/>
      <c r="U25" s="207" t="str">
        <f t="shared" ref="U25:U30" si="29">IF(OR(LEFT($F25,LEN(T_Error))=T_Error,$D25=""),"",IF(ISERROR(FIND("Mercenary",$D25)),"none",VLOOKUP($AJ25,DBPlayers,9,0)))</f>
        <v/>
      </c>
      <c r="V25" s="334"/>
      <c r="W25" s="316"/>
      <c r="X25" s="121"/>
      <c r="Y25" s="102"/>
      <c r="Z25" s="102"/>
      <c r="AA25" s="102"/>
      <c r="AB25" s="102"/>
      <c r="AC25" s="102"/>
      <c r="AD25" s="102"/>
      <c r="AE25" s="102"/>
      <c r="AF25" s="102"/>
      <c r="AG25" s="102"/>
      <c r="AH25" s="102"/>
      <c r="AI25" s="199" t="s">
        <v>193</v>
      </c>
      <c r="AJ25" s="159" t="str">
        <f t="shared" ref="AJ25:AJ30" si="30">IF(ISERROR(VLOOKUP(MID($D25,1,LEN($D25)-LEN(" Mercenary")),$AJ$58:$AL$67,3,0)),IF(ISERROR(VLOOKUP(D25,AK48:AK57,1,0)),"","Star"),VLOOKUP(MID($D25,1,LEN($D25)-LEN(" Mercenary")),$AJ$58:$AL$67,3,0))</f>
        <v/>
      </c>
      <c r="AK25" s="123"/>
      <c r="AL25" s="123"/>
      <c r="AM25" s="123"/>
      <c r="AN25" s="123"/>
      <c r="AO25" s="123"/>
      <c r="AP25" s="123"/>
      <c r="AQ25" s="159" t="str">
        <f t="array" ref="AQ25">IF($AJ25&lt;&gt;"",SUM(IF($AJ25=$AJ$6:$AJ25,IF($L$6:$L25=T_MNG,1,0),0)),"")</f>
        <v/>
      </c>
      <c r="AR25" s="105"/>
      <c r="AS25" s="105"/>
      <c r="AT25" s="105"/>
      <c r="AU25" s="105"/>
      <c r="AV25" s="102"/>
      <c r="AW25" s="102"/>
      <c r="AX25" s="102"/>
      <c r="AY25" s="102"/>
    </row>
    <row r="26" spans="1:51" ht="13.5" customHeight="1">
      <c r="A26" s="102"/>
      <c r="B26" s="114"/>
      <c r="C26" s="208"/>
      <c r="D26" s="346"/>
      <c r="E26" s="316"/>
      <c r="F26" s="205" t="str">
        <f>IF($D26="","",IF($AJ26="",T_Error&amp;"1",IF(COUNTIF($D$25:$D26,"&lt;&gt;")&gt;$R$31,T_Error&amp;"3",IF(ISERROR(FIND(T_Merc,$D26)),IF(COUNTIF($D$25:$D26,D26)&gt;1,T_Error&amp;"4",IF(COUNTIF($AJ$25:$AJ26,"=Star")&gt;2,T_Error&amp;"5",IF(AND($D26=Brick,$F$31&lt;&gt;"1/1"),T_Error&amp;"6","1/1"))),IF(COUNTIF($AJ$6:$AJ26,$AJ26)-$AQ26&gt;VLOOKUP($AJ26,DBPlayers,2,0)+VLOOKUP($AJ26,$AL$58:$AM$67,2,0),T_Error&amp;"2",COUNTIF($AJ$6:$AJ26,$AJ26)-$AQ26&amp;"/"&amp;(VLOOKUP($AJ26,DBPlayers,2,0)))))))</f>
        <v/>
      </c>
      <c r="G26" s="205" t="str">
        <f t="shared" si="23"/>
        <v/>
      </c>
      <c r="H26" s="205" t="str">
        <f t="shared" si="24"/>
        <v/>
      </c>
      <c r="I26" s="205" t="str">
        <f t="shared" si="25"/>
        <v/>
      </c>
      <c r="J26" s="205" t="str">
        <f t="shared" si="26"/>
        <v/>
      </c>
      <c r="K26" s="347" t="str">
        <f t="shared" ca="1" si="27"/>
        <v/>
      </c>
      <c r="L26" s="316"/>
      <c r="M26" s="316"/>
      <c r="N26" s="316"/>
      <c r="O26" s="316"/>
      <c r="P26" s="316"/>
      <c r="Q26" s="316"/>
      <c r="R26" s="316"/>
      <c r="S26" s="206" t="str">
        <f t="shared" si="28"/>
        <v/>
      </c>
      <c r="T26" s="117"/>
      <c r="U26" s="207" t="str">
        <f t="shared" si="29"/>
        <v/>
      </c>
      <c r="V26" s="334"/>
      <c r="W26" s="316"/>
      <c r="X26" s="121"/>
      <c r="Y26" s="102"/>
      <c r="Z26" s="102"/>
      <c r="AA26" s="102"/>
      <c r="AB26" s="102"/>
      <c r="AC26" s="102"/>
      <c r="AD26" s="102"/>
      <c r="AE26" s="102"/>
      <c r="AF26" s="102"/>
      <c r="AG26" s="102"/>
      <c r="AH26" s="102"/>
      <c r="AI26" s="199" t="s">
        <v>194</v>
      </c>
      <c r="AJ26" s="159" t="str">
        <f t="shared" si="30"/>
        <v/>
      </c>
      <c r="AK26" s="123"/>
      <c r="AL26" s="123"/>
      <c r="AM26" s="123"/>
      <c r="AN26" s="123"/>
      <c r="AO26" s="123"/>
      <c r="AP26" s="123"/>
      <c r="AQ26" s="159" t="str">
        <f t="array" ref="AQ26">IF($AJ26&lt;&gt;"",SUM(IF($AJ26=$AJ$6:$AJ26,IF($L$6:$L26=T_MNG,1,0),0)),"")</f>
        <v/>
      </c>
      <c r="AR26" s="105"/>
      <c r="AS26" s="105"/>
      <c r="AT26" s="105"/>
      <c r="AU26" s="105"/>
      <c r="AV26" s="102"/>
      <c r="AW26" s="102"/>
      <c r="AX26" s="102"/>
      <c r="AY26" s="102"/>
    </row>
    <row r="27" spans="1:51" ht="13.5" customHeight="1">
      <c r="A27" s="102"/>
      <c r="B27" s="114"/>
      <c r="C27" s="208"/>
      <c r="D27" s="346"/>
      <c r="E27" s="316"/>
      <c r="F27" s="205" t="str">
        <f>IF($D27="","",IF($AJ27="",T_Error&amp;"1",IF(COUNTIF($D$25:$D27,"&lt;&gt;")&gt;$R$31,T_Error&amp;"3",IF(ISERROR(FIND(T_Merc,$D27)),IF(COUNTIF($D$25:$D27,D27)&gt;1,T_Error&amp;"4",IF(COUNTIF($AJ$25:$AJ27,"=Star")&gt;2,T_Error&amp;"5",IF(AND($D27=Brick,$F$31&lt;&gt;"1/1"),T_Error&amp;"6","1/1"))),IF(COUNTIF($AJ$6:$AJ27,$AJ27)-$AQ27&gt;VLOOKUP($AJ27,DBPlayers,2,0)+VLOOKUP($AJ27,$AL$58:$AM$67,2,0),T_Error&amp;"2",COUNTIF($AJ$6:$AJ27,$AJ27)-$AQ27&amp;"/"&amp;(VLOOKUP($AJ27,DBPlayers,2,0)))))))</f>
        <v/>
      </c>
      <c r="G27" s="205" t="str">
        <f t="shared" si="23"/>
        <v/>
      </c>
      <c r="H27" s="205" t="str">
        <f t="shared" si="24"/>
        <v/>
      </c>
      <c r="I27" s="205" t="str">
        <f t="shared" si="25"/>
        <v/>
      </c>
      <c r="J27" s="205" t="str">
        <f t="shared" si="26"/>
        <v/>
      </c>
      <c r="K27" s="347" t="str">
        <f t="shared" ca="1" si="27"/>
        <v/>
      </c>
      <c r="L27" s="316"/>
      <c r="M27" s="316"/>
      <c r="N27" s="316"/>
      <c r="O27" s="316"/>
      <c r="P27" s="316"/>
      <c r="Q27" s="316"/>
      <c r="R27" s="316"/>
      <c r="S27" s="206" t="str">
        <f t="shared" si="28"/>
        <v/>
      </c>
      <c r="T27" s="117"/>
      <c r="U27" s="207" t="str">
        <f t="shared" si="29"/>
        <v/>
      </c>
      <c r="V27" s="334"/>
      <c r="W27" s="316"/>
      <c r="X27" s="121"/>
      <c r="Y27" s="102"/>
      <c r="Z27" s="102"/>
      <c r="AA27" s="102"/>
      <c r="AB27" s="102"/>
      <c r="AC27" s="102"/>
      <c r="AD27" s="102"/>
      <c r="AE27" s="102"/>
      <c r="AF27" s="102"/>
      <c r="AG27" s="102"/>
      <c r="AH27" s="102"/>
      <c r="AI27" s="199" t="s">
        <v>195</v>
      </c>
      <c r="AJ27" s="159" t="str">
        <f t="shared" si="30"/>
        <v/>
      </c>
      <c r="AK27" s="123"/>
      <c r="AL27" s="123"/>
      <c r="AM27" s="123"/>
      <c r="AN27" s="123"/>
      <c r="AO27" s="123"/>
      <c r="AP27" s="123"/>
      <c r="AQ27" s="159" t="str">
        <f t="array" ref="AQ27">IF($AJ27&lt;&gt;"",SUM(IF($AJ27=$AJ$6:$AJ27,IF($L$6:$L27=T_MNG,1,0),0)),"")</f>
        <v/>
      </c>
      <c r="AR27" s="105"/>
      <c r="AS27" s="105"/>
      <c r="AT27" s="105"/>
      <c r="AU27" s="105"/>
      <c r="AV27" s="102"/>
      <c r="AW27" s="102"/>
      <c r="AX27" s="102"/>
      <c r="AY27" s="102"/>
    </row>
    <row r="28" spans="1:51" ht="13.5" customHeight="1">
      <c r="A28" s="102"/>
      <c r="B28" s="114"/>
      <c r="C28" s="187"/>
      <c r="D28" s="346"/>
      <c r="E28" s="316"/>
      <c r="F28" s="205" t="str">
        <f>IF($D28="","",IF($AJ28="",T_Error&amp;"1",IF(COUNTIF($D$25:$D28,"&lt;&gt;")&gt;$R$31,T_Error&amp;"3",IF(ISERROR(FIND(T_Merc,$D28)),IF(COUNTIF($D$25:$D28,D28)&gt;1,T_Error&amp;"4",IF(COUNTIF($AJ$25:$AJ28,"=Star")&gt;2,T_Error&amp;"5",IF(AND($D28=Brick,$F$31&lt;&gt;"1/1"),T_Error&amp;"6","1/1"))),IF(COUNTIF($AJ$6:$AJ28,$AJ28)-$AQ28&gt;VLOOKUP($AJ28,DBPlayers,2,0)+VLOOKUP($AJ28,$AL$58:$AM$67,2,0),T_Error&amp;"2",COUNTIF($AJ$6:$AJ28,$AJ28)-$AQ28&amp;"/"&amp;(VLOOKUP($AJ28,DBPlayers,2,0)))))))</f>
        <v/>
      </c>
      <c r="G28" s="205" t="str">
        <f t="shared" si="23"/>
        <v/>
      </c>
      <c r="H28" s="205" t="str">
        <f t="shared" si="24"/>
        <v/>
      </c>
      <c r="I28" s="205" t="str">
        <f t="shared" si="25"/>
        <v/>
      </c>
      <c r="J28" s="205" t="str">
        <f t="shared" si="26"/>
        <v/>
      </c>
      <c r="K28" s="347" t="str">
        <f t="shared" ca="1" si="27"/>
        <v/>
      </c>
      <c r="L28" s="316"/>
      <c r="M28" s="316"/>
      <c r="N28" s="316"/>
      <c r="O28" s="316"/>
      <c r="P28" s="316"/>
      <c r="Q28" s="316"/>
      <c r="R28" s="316"/>
      <c r="S28" s="206" t="str">
        <f t="shared" si="28"/>
        <v/>
      </c>
      <c r="T28" s="117"/>
      <c r="U28" s="207" t="str">
        <f t="shared" si="29"/>
        <v/>
      </c>
      <c r="V28" s="334"/>
      <c r="W28" s="316"/>
      <c r="X28" s="121"/>
      <c r="Y28" s="102"/>
      <c r="Z28" s="102"/>
      <c r="AA28" s="102"/>
      <c r="AB28" s="102"/>
      <c r="AC28" s="102"/>
      <c r="AD28" s="102"/>
      <c r="AE28" s="102"/>
      <c r="AF28" s="102"/>
      <c r="AG28" s="102"/>
      <c r="AH28" s="102"/>
      <c r="AI28" s="199" t="s">
        <v>196</v>
      </c>
      <c r="AJ28" s="159" t="str">
        <f t="shared" si="30"/>
        <v/>
      </c>
      <c r="AK28" s="123"/>
      <c r="AL28" s="123"/>
      <c r="AM28" s="123"/>
      <c r="AN28" s="123"/>
      <c r="AO28" s="123"/>
      <c r="AP28" s="123"/>
      <c r="AQ28" s="159" t="str">
        <f t="array" ref="AQ28">IF($AJ28&lt;&gt;"",SUM(IF($AJ28=$AJ$6:$AJ28,IF($L$6:$L28=T_MNG,1,0),0)),"")</f>
        <v/>
      </c>
      <c r="AR28" s="105"/>
      <c r="AS28" s="105"/>
      <c r="AT28" s="105"/>
      <c r="AU28" s="105"/>
      <c r="AV28" s="102"/>
      <c r="AW28" s="102"/>
      <c r="AX28" s="102"/>
      <c r="AY28" s="102"/>
    </row>
    <row r="29" spans="1:51" ht="13.5" customHeight="1">
      <c r="A29" s="102"/>
      <c r="B29" s="114"/>
      <c r="C29" s="190"/>
      <c r="D29" s="346"/>
      <c r="E29" s="316"/>
      <c r="F29" s="205" t="str">
        <f>IF($D29="","",IF($AJ29="",T_Error&amp;"1",IF(COUNTIF($D$25:$D29,"&lt;&gt;")&gt;$R$31,T_Error&amp;"3",IF(ISERROR(FIND(T_Merc,$D29)),IF(COUNTIF($D$25:$D29,D29)&gt;1,T_Error&amp;"4",IF(COUNTIF($AJ$25:$AJ29,"=Star")&gt;2,T_Error&amp;"5",IF(AND($D29=Brick,$F$31&lt;&gt;"1/1"),T_Error&amp;"6","1/1"))),IF(COUNTIF($AJ$6:$AJ29,$AJ29)-$AQ29&gt;VLOOKUP($AJ29,DBPlayers,2,0)+VLOOKUP($AJ29,$AL$58:$AM$67,2,0),T_Error&amp;"2",COUNTIF($AJ$6:$AJ29,$AJ29)-$AQ29&amp;"/"&amp;(VLOOKUP($AJ29,DBPlayers,2,0)))))))</f>
        <v/>
      </c>
      <c r="G29" s="205" t="str">
        <f t="shared" si="23"/>
        <v/>
      </c>
      <c r="H29" s="205" t="str">
        <f t="shared" si="24"/>
        <v/>
      </c>
      <c r="I29" s="205" t="str">
        <f t="shared" si="25"/>
        <v/>
      </c>
      <c r="J29" s="205" t="str">
        <f t="shared" si="26"/>
        <v/>
      </c>
      <c r="K29" s="347" t="str">
        <f t="shared" ca="1" si="27"/>
        <v/>
      </c>
      <c r="L29" s="316"/>
      <c r="M29" s="316"/>
      <c r="N29" s="316"/>
      <c r="O29" s="316"/>
      <c r="P29" s="316"/>
      <c r="Q29" s="316"/>
      <c r="R29" s="316"/>
      <c r="S29" s="206" t="str">
        <f t="shared" si="28"/>
        <v/>
      </c>
      <c r="T29" s="117"/>
      <c r="U29" s="207" t="str">
        <f t="shared" si="29"/>
        <v/>
      </c>
      <c r="V29" s="334"/>
      <c r="W29" s="316"/>
      <c r="X29" s="121"/>
      <c r="Y29" s="102"/>
      <c r="Z29" s="102"/>
      <c r="AA29" s="102"/>
      <c r="AB29" s="102"/>
      <c r="AC29" s="102"/>
      <c r="AD29" s="102"/>
      <c r="AE29" s="102"/>
      <c r="AF29" s="102"/>
      <c r="AG29" s="102"/>
      <c r="AH29" s="102"/>
      <c r="AI29" s="199" t="s">
        <v>197</v>
      </c>
      <c r="AJ29" s="159" t="str">
        <f t="shared" si="30"/>
        <v/>
      </c>
      <c r="AK29" s="123"/>
      <c r="AL29" s="123"/>
      <c r="AM29" s="123"/>
      <c r="AN29" s="123"/>
      <c r="AO29" s="123"/>
      <c r="AP29" s="123"/>
      <c r="AQ29" s="159" t="str">
        <f t="array" ref="AQ29">IF($AJ29&lt;&gt;"",SUM(IF($AJ29=$AJ$6:$AJ29,IF($L$6:$L29=T_MNG,1,0),0)),"")</f>
        <v/>
      </c>
      <c r="AR29" s="105"/>
      <c r="AS29" s="105"/>
      <c r="AT29" s="105"/>
      <c r="AU29" s="105"/>
      <c r="AV29" s="102"/>
      <c r="AW29" s="102"/>
      <c r="AX29" s="102"/>
      <c r="AY29" s="102"/>
    </row>
    <row r="30" spans="1:51" ht="13.5" customHeight="1">
      <c r="A30" s="102"/>
      <c r="B30" s="114"/>
      <c r="C30" s="190"/>
      <c r="D30" s="346"/>
      <c r="E30" s="316"/>
      <c r="F30" s="205" t="str">
        <f>IF($D30="","",IF($AJ30="",T_Error&amp;"1",IF(COUNTIF($D$25:$D30,"&lt;&gt;")&gt;$R$31,T_Error&amp;"3",IF(ISERROR(FIND(T_Merc,$D30)),IF(COUNTIF($D$25:$D30,D30)&gt;1,T_Error&amp;"4",IF(COUNTIF($AJ$25:$AJ30,"=Star")&gt;2,T_Error&amp;"5",IF(AND($D30=Brick,$F$31&lt;&gt;"1/1"),T_Error&amp;"6","1/1"))),IF(COUNTIF($AJ$6:$AJ30,$AJ30)-$AQ30&gt;VLOOKUP($AJ30,DBPlayers,2,0)+VLOOKUP($AJ30,$AL$58:$AM$67,2,0),T_Error&amp;"2",COUNTIF($AJ$6:$AJ30,$AJ30)-$AQ30&amp;"/"&amp;(VLOOKUP($AJ30,DBPlayers,2,0)))))))</f>
        <v/>
      </c>
      <c r="G30" s="205" t="str">
        <f t="shared" si="23"/>
        <v/>
      </c>
      <c r="H30" s="205" t="str">
        <f t="shared" si="24"/>
        <v/>
      </c>
      <c r="I30" s="205" t="str">
        <f t="shared" si="25"/>
        <v/>
      </c>
      <c r="J30" s="205" t="str">
        <f t="shared" si="26"/>
        <v/>
      </c>
      <c r="K30" s="347" t="str">
        <f t="shared" ca="1" si="27"/>
        <v/>
      </c>
      <c r="L30" s="316"/>
      <c r="M30" s="316"/>
      <c r="N30" s="316"/>
      <c r="O30" s="316"/>
      <c r="P30" s="316"/>
      <c r="Q30" s="316"/>
      <c r="R30" s="316"/>
      <c r="S30" s="206" t="str">
        <f t="shared" si="28"/>
        <v/>
      </c>
      <c r="T30" s="117"/>
      <c r="U30" s="207" t="str">
        <f t="shared" si="29"/>
        <v/>
      </c>
      <c r="V30" s="334"/>
      <c r="W30" s="316"/>
      <c r="X30" s="121"/>
      <c r="Y30" s="209"/>
      <c r="Z30" s="102"/>
      <c r="AA30" s="102"/>
      <c r="AB30" s="102"/>
      <c r="AC30" s="102"/>
      <c r="AD30" s="102"/>
      <c r="AE30" s="102"/>
      <c r="AF30" s="102"/>
      <c r="AG30" s="102"/>
      <c r="AH30" s="102"/>
      <c r="AI30" s="199" t="s">
        <v>198</v>
      </c>
      <c r="AJ30" s="159" t="str">
        <f t="shared" si="30"/>
        <v/>
      </c>
      <c r="AK30" s="123"/>
      <c r="AL30" s="123"/>
      <c r="AM30" s="123"/>
      <c r="AN30" s="123"/>
      <c r="AO30" s="123"/>
      <c r="AP30" s="123"/>
      <c r="AQ30" s="159" t="str">
        <f t="array" ref="AQ30">IF($AJ30&lt;&gt;"",SUM(IF($AJ30=$AJ$6:$AJ30,IF($L$6:$L30=T_MNG,1,0),0)),"")</f>
        <v/>
      </c>
      <c r="AR30" s="105"/>
      <c r="AS30" s="105"/>
      <c r="AT30" s="105"/>
      <c r="AU30" s="105"/>
      <c r="AV30" s="102"/>
      <c r="AW30" s="102"/>
      <c r="AX30" s="102"/>
      <c r="AY30" s="102"/>
    </row>
    <row r="31" spans="1:51" ht="13.5" customHeight="1">
      <c r="A31" s="102"/>
      <c r="B31" s="114"/>
      <c r="C31" s="190"/>
      <c r="D31" s="210"/>
      <c r="E31" s="210"/>
      <c r="F31" s="205" t="str">
        <f>IF($D31="","",IF(COUNTIF($D$25:$D31,"&lt;&gt;")&gt;$R$31,T_Error&amp;"3",IF(COUNTIF($AJ$25:$AJ30,"=Star")&gt;2,T_Error&amp;"5","1/1")))</f>
        <v/>
      </c>
      <c r="G31" s="205" t="str">
        <f>IF(OR(LEFT($F31,LEN(T_Error))=T_Error,$D31=""),"",VLOOKUP($D31,DBStars,2,0))</f>
        <v/>
      </c>
      <c r="H31" s="205" t="str">
        <f>IF(OR(LEFT($F31,LEN(T_Error))=T_Error,$D31=""),"",VLOOKUP($D31,DBStars,3,0))</f>
        <v/>
      </c>
      <c r="I31" s="205" t="str">
        <f>IF(OR(LEFT($F31,LEN(T_Error))=T_Error,$D31=""),"",VLOOKUP($D31,DBStars,4,0))</f>
        <v/>
      </c>
      <c r="J31" s="205" t="str">
        <f>IF(OR(LEFT($F31,LEN(T_Error))=T_Error,$D31=""),"",VLOOKUP($D31,DBStars,5,0))</f>
        <v/>
      </c>
      <c r="K31" s="193" t="str">
        <f ca="1">IF($D31="","",IF(LEFT($F31,LEN(T_Error))=T_Error,INDIRECT("T_"&amp;$F31),VLOOKUP($D31,DBStars,6,0)))</f>
        <v/>
      </c>
      <c r="L31" s="343" t="s">
        <v>199</v>
      </c>
      <c r="M31" s="316"/>
      <c r="N31" s="316"/>
      <c r="O31" s="316"/>
      <c r="P31" s="316"/>
      <c r="Q31" s="189" t="str">
        <f>COUNTIF(J25:J31,"&gt;0")&amp;" /"</f>
        <v>0 /</v>
      </c>
      <c r="R31" s="211">
        <f>16-COUNTIF(S6:S21,"&gt;0")</f>
        <v>2</v>
      </c>
      <c r="S31" s="206"/>
      <c r="T31" s="117"/>
      <c r="U31" s="207" t="str">
        <f>IF($D31="","",IF(ISERROR(FIND("Mercenary",$D31)),"",VLOOKUP($AJ31,DBPlayers,9,0)))</f>
        <v/>
      </c>
      <c r="V31" s="154"/>
      <c r="W31" s="154"/>
      <c r="X31" s="121"/>
      <c r="Y31" s="102"/>
      <c r="Z31" s="102"/>
      <c r="AA31" s="102"/>
      <c r="AB31" s="102"/>
      <c r="AC31" s="102"/>
      <c r="AD31" s="102"/>
      <c r="AE31" s="102"/>
      <c r="AF31" s="102"/>
      <c r="AG31" s="102"/>
      <c r="AH31" s="102"/>
      <c r="AI31" s="102"/>
      <c r="AJ31" s="102"/>
      <c r="AK31" s="102"/>
      <c r="AL31" s="102"/>
      <c r="AM31" s="102"/>
      <c r="AN31" s="102"/>
      <c r="AO31" s="102"/>
      <c r="AP31" s="102"/>
      <c r="AQ31" s="102"/>
      <c r="AR31" s="105"/>
      <c r="AS31" s="105"/>
      <c r="AT31" s="105"/>
      <c r="AU31" s="105"/>
      <c r="AV31" s="102"/>
      <c r="AW31" s="102"/>
      <c r="AX31" s="102"/>
      <c r="AY31" s="102"/>
    </row>
    <row r="32" spans="1:51" ht="3" customHeight="1">
      <c r="A32" s="102"/>
      <c r="B32" s="107"/>
      <c r="C32" s="108"/>
      <c r="D32" s="109"/>
      <c r="E32" s="109"/>
      <c r="F32" s="110"/>
      <c r="G32" s="108"/>
      <c r="H32" s="108"/>
      <c r="I32" s="108"/>
      <c r="J32" s="108"/>
      <c r="K32" s="109"/>
      <c r="L32" s="109"/>
      <c r="M32" s="109"/>
      <c r="N32" s="109"/>
      <c r="O32" s="109"/>
      <c r="P32" s="109"/>
      <c r="Q32" s="109"/>
      <c r="R32" s="109"/>
      <c r="S32" s="201"/>
      <c r="T32" s="111"/>
      <c r="U32" s="121"/>
      <c r="V32" s="121"/>
      <c r="W32" s="121"/>
      <c r="X32" s="121"/>
      <c r="Y32" s="102"/>
      <c r="Z32" s="102"/>
      <c r="AA32" s="102"/>
      <c r="AB32" s="102"/>
      <c r="AC32" s="102"/>
      <c r="AD32" s="102"/>
      <c r="AE32" s="102"/>
      <c r="AF32" s="102"/>
      <c r="AG32" s="102"/>
      <c r="AH32" s="102"/>
      <c r="AI32" s="102"/>
      <c r="AJ32" s="102"/>
      <c r="AK32" s="102"/>
      <c r="AL32" s="102"/>
      <c r="AM32" s="102"/>
      <c r="AN32" s="102"/>
      <c r="AO32" s="102"/>
      <c r="AP32" s="102"/>
      <c r="AQ32" s="102"/>
      <c r="AR32" s="105"/>
      <c r="AS32" s="105"/>
      <c r="AT32" s="105"/>
      <c r="AU32" s="105"/>
      <c r="AV32" s="102"/>
      <c r="AW32" s="102"/>
      <c r="AX32" s="102"/>
      <c r="AY32" s="102"/>
    </row>
    <row r="33" spans="1:51" ht="13.5" customHeight="1">
      <c r="A33" s="102"/>
      <c r="B33" s="114"/>
      <c r="C33" s="115"/>
      <c r="D33" s="345" t="s">
        <v>260</v>
      </c>
      <c r="E33" s="316"/>
      <c r="F33" s="316"/>
      <c r="G33" s="316"/>
      <c r="H33" s="316"/>
      <c r="I33" s="316"/>
      <c r="J33" s="115"/>
      <c r="K33" s="212"/>
      <c r="L33" s="345" t="s">
        <v>201</v>
      </c>
      <c r="M33" s="316"/>
      <c r="N33" s="316"/>
      <c r="O33" s="316"/>
      <c r="P33" s="316"/>
      <c r="Q33" s="316"/>
      <c r="R33" s="316"/>
      <c r="S33" s="213"/>
      <c r="T33" s="117"/>
      <c r="U33" s="102"/>
      <c r="V33" s="106"/>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5"/>
      <c r="AS33" s="105"/>
      <c r="AT33" s="105"/>
      <c r="AU33" s="105"/>
      <c r="AV33" s="102"/>
      <c r="AW33" s="102"/>
      <c r="AX33" s="102"/>
      <c r="AY33" s="102"/>
    </row>
    <row r="34" spans="1:51" ht="13.5" customHeight="1">
      <c r="A34" s="102"/>
      <c r="B34" s="114"/>
      <c r="C34" s="191"/>
      <c r="D34" s="343" t="s">
        <v>202</v>
      </c>
      <c r="E34" s="316"/>
      <c r="F34" s="116">
        <v>0</v>
      </c>
      <c r="G34" s="189" t="s">
        <v>203</v>
      </c>
      <c r="H34" s="344">
        <v>50000</v>
      </c>
      <c r="I34" s="316"/>
      <c r="J34" s="190"/>
      <c r="K34" s="191"/>
      <c r="L34" s="189" t="s">
        <v>204</v>
      </c>
      <c r="M34" s="187">
        <v>4</v>
      </c>
      <c r="N34" s="189" t="s">
        <v>203</v>
      </c>
      <c r="O34" s="352">
        <f>IF(ISERROR(VLOOKUP($E$3,Database!$B$6:$C$30,2,0)),0,VLOOKUP($E$3,Database!$B$6:$C$30,2,0))</f>
        <v>70000</v>
      </c>
      <c r="P34" s="316"/>
      <c r="Q34" s="316"/>
      <c r="R34" s="191" t="s">
        <v>205</v>
      </c>
      <c r="S34" s="194">
        <f>M34*O34</f>
        <v>280000</v>
      </c>
      <c r="T34" s="117"/>
      <c r="U34" s="214"/>
      <c r="V34" s="106"/>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5"/>
      <c r="AS34" s="105"/>
      <c r="AT34" s="105"/>
      <c r="AU34" s="105"/>
      <c r="AV34" s="102"/>
      <c r="AW34" s="102"/>
      <c r="AX34" s="102"/>
      <c r="AY34" s="102"/>
    </row>
    <row r="35" spans="1:51" ht="13.5" customHeight="1">
      <c r="A35" s="102"/>
      <c r="B35" s="114"/>
      <c r="C35" s="191"/>
      <c r="D35" s="343" t="s">
        <v>206</v>
      </c>
      <c r="E35" s="316"/>
      <c r="F35" s="116">
        <v>0</v>
      </c>
      <c r="G35" s="189" t="s">
        <v>203</v>
      </c>
      <c r="H35" s="344">
        <f>IF($E$3=Goblin,50000,100000)</f>
        <v>100000</v>
      </c>
      <c r="I35" s="316"/>
      <c r="J35" s="190"/>
      <c r="K35" s="191"/>
      <c r="L35" s="189" t="s">
        <v>207</v>
      </c>
      <c r="M35" s="187">
        <v>4</v>
      </c>
      <c r="N35" s="189" t="s">
        <v>203</v>
      </c>
      <c r="O35" s="352">
        <v>10000</v>
      </c>
      <c r="P35" s="316"/>
      <c r="Q35" s="316"/>
      <c r="R35" s="191" t="s">
        <v>205</v>
      </c>
      <c r="S35" s="194">
        <f t="shared" ref="S35:S38" si="31">O35*M35</f>
        <v>40000</v>
      </c>
      <c r="T35" s="117"/>
      <c r="U35" s="11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5"/>
      <c r="AS35" s="105"/>
      <c r="AT35" s="105"/>
      <c r="AU35" s="105"/>
      <c r="AV35" s="102"/>
      <c r="AW35" s="102"/>
      <c r="AX35" s="102"/>
      <c r="AY35" s="102"/>
    </row>
    <row r="36" spans="1:51" ht="13.5" customHeight="1">
      <c r="A36" s="102"/>
      <c r="B36" s="114"/>
      <c r="C36" s="191"/>
      <c r="D36" s="343" t="s">
        <v>208</v>
      </c>
      <c r="E36" s="316"/>
      <c r="F36" s="116">
        <v>0</v>
      </c>
      <c r="G36" s="189" t="s">
        <v>203</v>
      </c>
      <c r="H36" s="344">
        <v>100000</v>
      </c>
      <c r="I36" s="316"/>
      <c r="J36" s="190"/>
      <c r="K36" s="191"/>
      <c r="L36" s="189" t="s">
        <v>209</v>
      </c>
      <c r="M36" s="187">
        <v>1</v>
      </c>
      <c r="N36" s="189" t="s">
        <v>203</v>
      </c>
      <c r="O36" s="352">
        <v>10000</v>
      </c>
      <c r="P36" s="316"/>
      <c r="Q36" s="316"/>
      <c r="R36" s="191" t="s">
        <v>205</v>
      </c>
      <c r="S36" s="194">
        <f t="shared" si="31"/>
        <v>10000</v>
      </c>
      <c r="T36" s="117"/>
      <c r="U36" s="214"/>
      <c r="V36" s="106"/>
      <c r="W36" s="102"/>
      <c r="X36" s="102"/>
      <c r="Y36" s="113"/>
      <c r="Z36" s="113"/>
      <c r="AA36" s="113"/>
      <c r="AB36" s="102"/>
      <c r="AC36" s="102"/>
      <c r="AD36" s="102"/>
      <c r="AE36" s="102"/>
      <c r="AF36" s="102"/>
      <c r="AG36" s="102"/>
      <c r="AH36" s="102"/>
      <c r="AI36" s="102"/>
      <c r="AJ36" s="102"/>
      <c r="AK36" s="102"/>
      <c r="AL36" s="102"/>
      <c r="AM36" s="102"/>
      <c r="AN36" s="102"/>
      <c r="AO36" s="102"/>
      <c r="AP36" s="102"/>
      <c r="AQ36" s="102"/>
      <c r="AR36" s="105"/>
      <c r="AS36" s="105"/>
      <c r="AT36" s="105"/>
      <c r="AU36" s="105"/>
      <c r="AV36" s="102"/>
      <c r="AW36" s="102"/>
      <c r="AX36" s="102"/>
      <c r="AY36" s="102"/>
    </row>
    <row r="37" spans="1:51" ht="13.5" customHeight="1">
      <c r="A37" s="102"/>
      <c r="B37" s="114"/>
      <c r="C37" s="191"/>
      <c r="D37" s="343" t="s">
        <v>210</v>
      </c>
      <c r="E37" s="316"/>
      <c r="F37" s="116">
        <v>0</v>
      </c>
      <c r="G37" s="189" t="s">
        <v>203</v>
      </c>
      <c r="H37" s="344">
        <f>IF($E$3=Halfling,100000,300000)</f>
        <v>300000</v>
      </c>
      <c r="I37" s="316"/>
      <c r="J37" s="190"/>
      <c r="K37" s="191"/>
      <c r="L37" s="189" t="s">
        <v>211</v>
      </c>
      <c r="M37" s="187">
        <v>1</v>
      </c>
      <c r="N37" s="189" t="s">
        <v>203</v>
      </c>
      <c r="O37" s="352">
        <v>10000</v>
      </c>
      <c r="P37" s="316"/>
      <c r="Q37" s="316"/>
      <c r="R37" s="191" t="s">
        <v>205</v>
      </c>
      <c r="S37" s="194">
        <f t="shared" si="31"/>
        <v>10000</v>
      </c>
      <c r="T37" s="117"/>
      <c r="U37" s="214"/>
      <c r="V37" s="215"/>
      <c r="W37" s="113"/>
      <c r="X37" s="113"/>
      <c r="Y37" s="216"/>
      <c r="Z37" s="113"/>
      <c r="AA37" s="217"/>
      <c r="AB37" s="102"/>
      <c r="AC37" s="102"/>
      <c r="AD37" s="102"/>
      <c r="AE37" s="102"/>
      <c r="AF37" s="102"/>
      <c r="AG37" s="102"/>
      <c r="AH37" s="102"/>
      <c r="AI37" s="102"/>
      <c r="AJ37" s="102"/>
      <c r="AK37" s="102"/>
      <c r="AL37" s="102"/>
      <c r="AM37" s="102"/>
      <c r="AN37" s="102"/>
      <c r="AO37" s="102"/>
      <c r="AP37" s="102"/>
      <c r="AQ37" s="102"/>
      <c r="AR37" s="105"/>
      <c r="AS37" s="105"/>
      <c r="AT37" s="105"/>
      <c r="AU37" s="105"/>
      <c r="AV37" s="102"/>
      <c r="AW37" s="102"/>
      <c r="AX37" s="102"/>
      <c r="AY37" s="102"/>
    </row>
    <row r="38" spans="1:51" ht="13.5" customHeight="1">
      <c r="A38" s="102"/>
      <c r="B38" s="114"/>
      <c r="C38" s="191"/>
      <c r="D38" s="343" t="s">
        <v>212</v>
      </c>
      <c r="E38" s="316"/>
      <c r="F38" s="116">
        <v>0</v>
      </c>
      <c r="G38" s="189" t="s">
        <v>203</v>
      </c>
      <c r="H38" s="344">
        <v>100000</v>
      </c>
      <c r="I38" s="316"/>
      <c r="J38" s="190"/>
      <c r="K38" s="191"/>
      <c r="L38" s="189" t="s">
        <v>213</v>
      </c>
      <c r="M38" s="187">
        <v>0</v>
      </c>
      <c r="N38" s="189" t="s">
        <v>203</v>
      </c>
      <c r="O38" s="352">
        <v>50000</v>
      </c>
      <c r="P38" s="316"/>
      <c r="Q38" s="316"/>
      <c r="R38" s="191" t="s">
        <v>205</v>
      </c>
      <c r="S38" s="194">
        <f t="shared" si="31"/>
        <v>0</v>
      </c>
      <c r="T38" s="117"/>
      <c r="U38" s="214"/>
      <c r="V38" s="112"/>
      <c r="W38" s="113"/>
      <c r="X38" s="113"/>
      <c r="Y38" s="113"/>
      <c r="Z38" s="113"/>
      <c r="AA38" s="113"/>
      <c r="AB38" s="102"/>
      <c r="AC38" s="102"/>
      <c r="AD38" s="102"/>
      <c r="AE38" s="102"/>
      <c r="AF38" s="102"/>
      <c r="AG38" s="102"/>
      <c r="AH38" s="102"/>
      <c r="AI38" s="102"/>
      <c r="AJ38" s="102"/>
      <c r="AK38" s="102"/>
      <c r="AL38" s="102"/>
      <c r="AM38" s="102"/>
      <c r="AN38" s="102"/>
      <c r="AO38" s="102"/>
      <c r="AP38" s="102"/>
      <c r="AQ38" s="102"/>
      <c r="AR38" s="105"/>
      <c r="AS38" s="105"/>
      <c r="AT38" s="105"/>
      <c r="AU38" s="105"/>
      <c r="AV38" s="102"/>
      <c r="AW38" s="102"/>
      <c r="AX38" s="102"/>
      <c r="AY38" s="102"/>
    </row>
    <row r="39" spans="1:51" ht="13.5" customHeight="1">
      <c r="A39" s="102"/>
      <c r="B39" s="114"/>
      <c r="C39" s="191"/>
      <c r="D39" s="343" t="s">
        <v>214</v>
      </c>
      <c r="E39" s="316"/>
      <c r="F39" s="116">
        <v>0</v>
      </c>
      <c r="G39" s="189" t="s">
        <v>203</v>
      </c>
      <c r="H39" s="344">
        <v>150000</v>
      </c>
      <c r="I39" s="316"/>
      <c r="J39" s="190"/>
      <c r="K39" s="212"/>
      <c r="L39" s="189" t="s">
        <v>215</v>
      </c>
      <c r="M39" s="353">
        <v>140000</v>
      </c>
      <c r="N39" s="316"/>
      <c r="O39" s="316"/>
      <c r="P39" s="316"/>
      <c r="Q39" s="212"/>
      <c r="R39" s="212"/>
      <c r="S39" s="115"/>
      <c r="T39" s="117"/>
      <c r="U39" s="214"/>
      <c r="V39" s="215"/>
      <c r="W39" s="113"/>
      <c r="X39" s="113"/>
      <c r="Y39" s="113"/>
      <c r="Z39" s="113"/>
      <c r="AA39" s="113"/>
      <c r="AB39" s="102"/>
      <c r="AC39" s="102"/>
      <c r="AD39" s="102"/>
      <c r="AE39" s="102"/>
      <c r="AF39" s="102"/>
      <c r="AG39" s="102"/>
      <c r="AH39" s="102"/>
      <c r="AI39" s="102"/>
      <c r="AJ39" s="102"/>
      <c r="AK39" s="102"/>
      <c r="AL39" s="102"/>
      <c r="AM39" s="102"/>
      <c r="AN39" s="102"/>
      <c r="AO39" s="102"/>
      <c r="AP39" s="102"/>
      <c r="AQ39" s="102"/>
      <c r="AR39" s="105"/>
      <c r="AS39" s="105"/>
      <c r="AT39" s="105"/>
      <c r="AU39" s="105"/>
      <c r="AV39" s="102"/>
      <c r="AW39" s="102"/>
      <c r="AX39" s="102"/>
      <c r="AY39" s="102"/>
    </row>
    <row r="40" spans="1:51" ht="13.5" customHeight="1">
      <c r="A40" s="102"/>
      <c r="B40" s="114"/>
      <c r="C40" s="191"/>
      <c r="D40" s="343" t="s">
        <v>216</v>
      </c>
      <c r="E40" s="316"/>
      <c r="F40" s="116">
        <v>0</v>
      </c>
      <c r="G40" s="189" t="s">
        <v>203</v>
      </c>
      <c r="H40" s="344">
        <v>100000</v>
      </c>
      <c r="I40" s="316"/>
      <c r="J40" s="190"/>
      <c r="K40" s="212"/>
      <c r="L40" s="189"/>
      <c r="M40" s="115"/>
      <c r="N40" s="218"/>
      <c r="O40" s="218"/>
      <c r="P40" s="218"/>
      <c r="Q40" s="132" t="s">
        <v>217</v>
      </c>
      <c r="R40" s="350">
        <f>SUM(S6:S21,S34:S38)</f>
        <v>1120000</v>
      </c>
      <c r="S40" s="316"/>
      <c r="T40" s="117"/>
      <c r="U40" s="214"/>
      <c r="V40" s="215"/>
      <c r="W40" s="113"/>
      <c r="X40" s="113"/>
      <c r="Y40" s="113"/>
      <c r="Z40" s="113"/>
      <c r="AA40" s="113"/>
      <c r="AB40" s="102"/>
      <c r="AC40" s="102"/>
      <c r="AD40" s="102"/>
      <c r="AE40" s="102"/>
      <c r="AF40" s="102"/>
      <c r="AG40" s="102"/>
      <c r="AH40" s="102"/>
      <c r="AI40" s="102"/>
      <c r="AJ40" s="102"/>
      <c r="AK40" s="102"/>
      <c r="AL40" s="102"/>
      <c r="AM40" s="102"/>
      <c r="AN40" s="102"/>
      <c r="AO40" s="102"/>
      <c r="AP40" s="102"/>
      <c r="AQ40" s="102"/>
      <c r="AR40" s="105"/>
      <c r="AS40" s="105"/>
      <c r="AT40" s="105"/>
      <c r="AU40" s="105"/>
      <c r="AV40" s="102"/>
      <c r="AW40" s="102"/>
      <c r="AX40" s="102"/>
      <c r="AY40" s="102"/>
    </row>
    <row r="41" spans="1:51" ht="13.5" customHeight="1">
      <c r="A41" s="102"/>
      <c r="B41" s="114"/>
      <c r="C41" s="212"/>
      <c r="D41" s="343" t="s">
        <v>218</v>
      </c>
      <c r="E41" s="316"/>
      <c r="F41" s="349">
        <v>0</v>
      </c>
      <c r="G41" s="316"/>
      <c r="H41" s="316"/>
      <c r="I41" s="316"/>
      <c r="J41" s="212"/>
      <c r="K41" s="212"/>
      <c r="L41" s="212"/>
      <c r="M41" s="212"/>
      <c r="N41" s="191"/>
      <c r="O41" s="191"/>
      <c r="P41" s="191"/>
      <c r="Q41" s="132" t="s">
        <v>219</v>
      </c>
      <c r="R41" s="350">
        <f>SUMPRODUCT(F34:F40,H34:H40)+F41+F42</f>
        <v>0</v>
      </c>
      <c r="S41" s="316"/>
      <c r="T41" s="117"/>
      <c r="U41" s="214"/>
      <c r="V41" s="215"/>
      <c r="W41" s="113"/>
      <c r="X41" s="113"/>
      <c r="Y41" s="113"/>
      <c r="Z41" s="113"/>
      <c r="AA41" s="113"/>
      <c r="AB41" s="102"/>
      <c r="AC41" s="102"/>
      <c r="AD41" s="102"/>
      <c r="AE41" s="102"/>
      <c r="AF41" s="102"/>
      <c r="AG41" s="102"/>
      <c r="AH41" s="102"/>
      <c r="AI41" s="102"/>
      <c r="AJ41" s="102"/>
      <c r="AK41" s="102"/>
      <c r="AL41" s="102"/>
      <c r="AM41" s="102"/>
      <c r="AN41" s="102"/>
      <c r="AO41" s="102"/>
      <c r="AP41" s="102"/>
      <c r="AQ41" s="102"/>
      <c r="AR41" s="105"/>
      <c r="AS41" s="105"/>
      <c r="AT41" s="105"/>
      <c r="AU41" s="105"/>
      <c r="AV41" s="102"/>
      <c r="AW41" s="102"/>
      <c r="AX41" s="102"/>
      <c r="AY41" s="102"/>
    </row>
    <row r="42" spans="1:51" ht="13.5" customHeight="1">
      <c r="A42" s="102"/>
      <c r="B42" s="114"/>
      <c r="C42" s="191"/>
      <c r="D42" s="189"/>
      <c r="E42" s="189" t="s">
        <v>220</v>
      </c>
      <c r="F42" s="344">
        <f>SUM(S25:S30)</f>
        <v>0</v>
      </c>
      <c r="G42" s="316"/>
      <c r="H42" s="316"/>
      <c r="I42" s="316"/>
      <c r="J42" s="191"/>
      <c r="K42" s="191"/>
      <c r="L42" s="212"/>
      <c r="M42" s="212"/>
      <c r="N42" s="191"/>
      <c r="O42" s="191"/>
      <c r="P42" s="191"/>
      <c r="Q42" s="132" t="s">
        <v>221</v>
      </c>
      <c r="R42" s="350">
        <f>R40+R41</f>
        <v>1120000</v>
      </c>
      <c r="S42" s="316"/>
      <c r="T42" s="117"/>
      <c r="U42" s="214"/>
      <c r="V42" s="215"/>
      <c r="W42" s="113"/>
      <c r="X42" s="113"/>
      <c r="Y42" s="113"/>
      <c r="Z42" s="113"/>
      <c r="AA42" s="113"/>
      <c r="AB42" s="102"/>
      <c r="AC42" s="102"/>
      <c r="AD42" s="102"/>
      <c r="AE42" s="102"/>
      <c r="AF42" s="102"/>
      <c r="AG42" s="102"/>
      <c r="AH42" s="102"/>
      <c r="AI42" s="102"/>
      <c r="AJ42" s="102"/>
      <c r="AK42" s="102"/>
      <c r="AL42" s="102"/>
      <c r="AM42" s="102"/>
      <c r="AN42" s="102"/>
      <c r="AO42" s="102"/>
      <c r="AP42" s="102"/>
      <c r="AQ42" s="102"/>
      <c r="AR42" s="105"/>
      <c r="AS42" s="105"/>
      <c r="AT42" s="105"/>
      <c r="AU42" s="105"/>
      <c r="AV42" s="102"/>
      <c r="AW42" s="102"/>
      <c r="AX42" s="102"/>
      <c r="AY42" s="102"/>
    </row>
    <row r="43" spans="1:51" ht="3" customHeight="1">
      <c r="A43" s="102"/>
      <c r="B43" s="219"/>
      <c r="C43" s="220"/>
      <c r="D43" s="221"/>
      <c r="E43" s="221"/>
      <c r="F43" s="222"/>
      <c r="G43" s="220"/>
      <c r="H43" s="220"/>
      <c r="I43" s="220"/>
      <c r="J43" s="220"/>
      <c r="K43" s="221"/>
      <c r="L43" s="221"/>
      <c r="M43" s="221"/>
      <c r="N43" s="221"/>
      <c r="O43" s="221"/>
      <c r="P43" s="221"/>
      <c r="Q43" s="221"/>
      <c r="R43" s="221"/>
      <c r="S43" s="220"/>
      <c r="T43" s="223"/>
      <c r="U43" s="214"/>
      <c r="V43" s="215"/>
      <c r="W43" s="113"/>
      <c r="X43" s="113"/>
      <c r="Y43" s="113"/>
      <c r="Z43" s="113"/>
      <c r="AA43" s="113"/>
      <c r="AB43" s="102"/>
      <c r="AC43" s="102"/>
      <c r="AD43" s="102"/>
      <c r="AE43" s="102"/>
      <c r="AF43" s="102"/>
      <c r="AG43" s="102"/>
      <c r="AH43" s="102"/>
      <c r="AI43" s="102"/>
      <c r="AJ43" s="102"/>
      <c r="AK43" s="102"/>
      <c r="AL43" s="102"/>
      <c r="AM43" s="102"/>
      <c r="AN43" s="102"/>
      <c r="AO43" s="102"/>
      <c r="AP43" s="102"/>
      <c r="AQ43" s="102"/>
      <c r="AR43" s="105"/>
      <c r="AS43" s="105"/>
      <c r="AT43" s="105"/>
      <c r="AU43" s="105"/>
      <c r="AV43" s="102"/>
      <c r="AW43" s="102"/>
      <c r="AX43" s="102"/>
      <c r="AY43" s="102"/>
    </row>
    <row r="44" spans="1:51" ht="13.5" customHeight="1">
      <c r="A44" s="102"/>
      <c r="B44" s="102"/>
      <c r="C44" s="102"/>
      <c r="D44" s="102"/>
      <c r="E44" s="102"/>
      <c r="F44" s="102"/>
      <c r="G44" s="102"/>
      <c r="H44" s="102"/>
      <c r="I44" s="102"/>
      <c r="J44" s="102"/>
      <c r="K44" s="102"/>
      <c r="L44" s="102"/>
      <c r="M44" s="102"/>
      <c r="N44" s="102"/>
      <c r="O44" s="102"/>
      <c r="P44" s="102"/>
      <c r="Q44" s="102"/>
      <c r="R44" s="102"/>
      <c r="S44" s="105"/>
      <c r="T44" s="102"/>
      <c r="U44" s="102"/>
      <c r="V44" s="215"/>
      <c r="W44" s="113"/>
      <c r="X44" s="113"/>
      <c r="Y44" s="113"/>
      <c r="Z44" s="113"/>
      <c r="AA44" s="113"/>
      <c r="AB44" s="102"/>
      <c r="AC44" s="102"/>
      <c r="AD44" s="102"/>
      <c r="AE44" s="102"/>
      <c r="AF44" s="102"/>
      <c r="AG44" s="102"/>
      <c r="AH44" s="102"/>
      <c r="AI44" s="102"/>
      <c r="AJ44" s="102"/>
      <c r="AK44" s="102"/>
      <c r="AL44" s="102"/>
      <c r="AM44" s="102"/>
      <c r="AN44" s="102"/>
      <c r="AO44" s="102"/>
      <c r="AP44" s="102"/>
      <c r="AQ44" s="102"/>
      <c r="AR44" s="105"/>
      <c r="AS44" s="105"/>
      <c r="AT44" s="105"/>
      <c r="AU44" s="105"/>
      <c r="AV44" s="102"/>
      <c r="AW44" s="102"/>
      <c r="AX44" s="102"/>
      <c r="AY44" s="102"/>
    </row>
    <row r="45" spans="1:51" ht="13.5" customHeight="1">
      <c r="A45" s="102"/>
      <c r="B45" s="102"/>
      <c r="C45" s="105"/>
      <c r="D45" s="102"/>
      <c r="E45" s="102"/>
      <c r="F45" s="104"/>
      <c r="G45" s="105"/>
      <c r="H45" s="105"/>
      <c r="I45" s="105"/>
      <c r="J45" s="105"/>
      <c r="K45" s="102"/>
      <c r="L45" s="102"/>
      <c r="M45" s="102"/>
      <c r="N45" s="102"/>
      <c r="O45" s="102"/>
      <c r="P45" s="102"/>
      <c r="Q45" s="102"/>
      <c r="R45" s="102"/>
      <c r="S45" s="105"/>
      <c r="T45" s="102"/>
      <c r="U45" s="102"/>
      <c r="V45" s="106"/>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5"/>
      <c r="AS45" s="105"/>
      <c r="AT45" s="105"/>
      <c r="AU45" s="105"/>
      <c r="AV45" s="102"/>
      <c r="AW45" s="102"/>
      <c r="AX45" s="102"/>
      <c r="AY45" s="102"/>
    </row>
    <row r="46" spans="1:51" ht="13.5" customHeight="1">
      <c r="A46" s="102"/>
      <c r="B46" s="102"/>
      <c r="C46" s="105"/>
      <c r="D46" s="102"/>
      <c r="E46" s="102"/>
      <c r="F46" s="104"/>
      <c r="G46" s="105"/>
      <c r="H46" s="105"/>
      <c r="I46" s="105"/>
      <c r="J46" s="105"/>
      <c r="K46" s="102"/>
      <c r="L46" s="102"/>
      <c r="M46" s="102"/>
      <c r="N46" s="102"/>
      <c r="O46" s="102"/>
      <c r="P46" s="102"/>
      <c r="Q46" s="102"/>
      <c r="R46" s="102"/>
      <c r="S46" s="105"/>
      <c r="T46" s="102"/>
      <c r="U46" s="102"/>
      <c r="V46" s="106"/>
      <c r="W46" s="102"/>
      <c r="X46" s="102"/>
      <c r="Y46" s="102"/>
      <c r="Z46" s="102"/>
      <c r="AA46" s="102"/>
      <c r="AB46" s="102"/>
      <c r="AC46" s="102"/>
      <c r="AD46" s="102"/>
      <c r="AE46" s="102"/>
      <c r="AF46" s="102"/>
      <c r="AG46" s="102"/>
      <c r="AH46" s="102"/>
      <c r="AI46" s="102"/>
      <c r="AJ46" s="102"/>
      <c r="AK46" s="106"/>
      <c r="AL46" s="102"/>
      <c r="AM46" s="102"/>
      <c r="AN46" s="102"/>
      <c r="AO46" s="102"/>
      <c r="AP46" s="102"/>
      <c r="AQ46" s="102"/>
      <c r="AR46" s="105"/>
      <c r="AS46" s="105"/>
      <c r="AT46" s="105"/>
      <c r="AU46" s="105"/>
      <c r="AV46" s="102"/>
      <c r="AW46" s="102"/>
      <c r="AX46" s="102"/>
      <c r="AY46" s="102"/>
    </row>
    <row r="47" spans="1:51" ht="13.5" customHeight="1">
      <c r="A47" s="102"/>
      <c r="B47" s="102"/>
      <c r="C47" s="105"/>
      <c r="D47" s="102"/>
      <c r="E47" s="102"/>
      <c r="F47" s="104"/>
      <c r="G47" s="105"/>
      <c r="H47" s="105"/>
      <c r="I47" s="105"/>
      <c r="J47" s="105"/>
      <c r="K47" s="102"/>
      <c r="L47" s="102"/>
      <c r="M47" s="102"/>
      <c r="N47" s="102"/>
      <c r="O47" s="102"/>
      <c r="P47" s="102"/>
      <c r="Q47" s="102"/>
      <c r="R47" s="102"/>
      <c r="S47" s="105"/>
      <c r="T47" s="102"/>
      <c r="U47" s="102"/>
      <c r="V47" s="106"/>
      <c r="W47" s="102"/>
      <c r="X47" s="102"/>
      <c r="Y47" s="102"/>
      <c r="Z47" s="102"/>
      <c r="AA47" s="102"/>
      <c r="AB47" s="102"/>
      <c r="AC47" s="102"/>
      <c r="AD47" s="102"/>
      <c r="AE47" s="102"/>
      <c r="AF47" s="102"/>
      <c r="AG47" s="102"/>
      <c r="AH47" s="102"/>
      <c r="AI47" s="102"/>
      <c r="AJ47" s="102"/>
      <c r="AK47" s="106" t="s">
        <v>222</v>
      </c>
      <c r="AL47" s="102" t="s">
        <v>223</v>
      </c>
      <c r="AM47" s="102"/>
      <c r="AN47" s="102"/>
      <c r="AO47" s="102"/>
      <c r="AP47" s="102"/>
      <c r="AQ47" s="102"/>
      <c r="AR47" s="105"/>
      <c r="AS47" s="105"/>
      <c r="AT47" s="105"/>
      <c r="AU47" s="105"/>
      <c r="AV47" s="102"/>
      <c r="AW47" s="102"/>
      <c r="AX47" s="102"/>
      <c r="AY47" s="102"/>
    </row>
    <row r="48" spans="1:51" ht="13.5" customHeight="1">
      <c r="A48" s="102"/>
      <c r="B48" s="102"/>
      <c r="C48" s="105"/>
      <c r="D48" s="102"/>
      <c r="E48" s="102"/>
      <c r="F48" s="104"/>
      <c r="G48" s="105"/>
      <c r="H48" s="105"/>
      <c r="I48" s="105"/>
      <c r="J48" s="105"/>
      <c r="K48" s="102"/>
      <c r="L48" s="102"/>
      <c r="M48" s="102"/>
      <c r="N48" s="102"/>
      <c r="O48" s="102"/>
      <c r="P48" s="102"/>
      <c r="Q48" s="102"/>
      <c r="R48" s="102"/>
      <c r="S48" s="105"/>
      <c r="T48" s="102"/>
      <c r="U48" s="102"/>
      <c r="V48" s="106"/>
      <c r="W48" s="102"/>
      <c r="X48" s="102"/>
      <c r="Y48" s="102"/>
      <c r="Z48" s="102"/>
      <c r="AA48" s="102"/>
      <c r="AB48" s="102"/>
      <c r="AC48" s="102"/>
      <c r="AD48" s="102"/>
      <c r="AE48" s="102"/>
      <c r="AF48" s="102"/>
      <c r="AG48" s="102"/>
      <c r="AH48" s="102"/>
      <c r="AI48" s="102"/>
      <c r="AJ48" s="102"/>
      <c r="AK48" s="234" t="e">
        <f t="shared" ref="AK48:AK57" si="32">VLOOKUP(AL48,DBTeamStars,2,0)</f>
        <v>#N/A</v>
      </c>
      <c r="AL48" s="234" t="str">
        <f>$E$3&amp;"10"</f>
        <v>Necromantic10</v>
      </c>
      <c r="AM48" s="102"/>
      <c r="AN48" s="102"/>
      <c r="AO48" s="102"/>
      <c r="AP48" s="102"/>
      <c r="AQ48" s="102"/>
      <c r="AR48" s="105"/>
      <c r="AS48" s="105"/>
      <c r="AT48" s="105"/>
      <c r="AU48" s="105"/>
      <c r="AV48" s="102"/>
      <c r="AW48" s="102"/>
      <c r="AX48" s="102"/>
      <c r="AY48" s="102"/>
    </row>
    <row r="49" spans="1:51" ht="13.5" customHeight="1">
      <c r="A49" s="102"/>
      <c r="B49" s="102"/>
      <c r="C49" s="105"/>
      <c r="D49" s="102"/>
      <c r="E49" s="102"/>
      <c r="F49" s="104"/>
      <c r="G49" s="105"/>
      <c r="H49" s="105"/>
      <c r="I49" s="105"/>
      <c r="J49" s="105"/>
      <c r="K49" s="102"/>
      <c r="L49" s="102"/>
      <c r="M49" s="102"/>
      <c r="N49" s="102"/>
      <c r="O49" s="102"/>
      <c r="P49" s="102"/>
      <c r="Q49" s="102"/>
      <c r="R49" s="102"/>
      <c r="S49" s="105"/>
      <c r="T49" s="102"/>
      <c r="U49" s="102"/>
      <c r="V49" s="106"/>
      <c r="W49" s="102"/>
      <c r="X49" s="102"/>
      <c r="Y49" s="102"/>
      <c r="Z49" s="102"/>
      <c r="AA49" s="102"/>
      <c r="AB49" s="102"/>
      <c r="AC49" s="102"/>
      <c r="AD49" s="102"/>
      <c r="AE49" s="102"/>
      <c r="AF49" s="102"/>
      <c r="AG49" s="102"/>
      <c r="AH49" s="102"/>
      <c r="AI49" s="102"/>
      <c r="AJ49" s="102"/>
      <c r="AK49" s="234" t="e">
        <f t="shared" si="32"/>
        <v>#N/A</v>
      </c>
      <c r="AL49" s="234" t="str">
        <f>$E$3&amp;"9"</f>
        <v>Necromantic9</v>
      </c>
      <c r="AM49" s="102"/>
      <c r="AN49" s="102"/>
      <c r="AO49" s="102"/>
      <c r="AP49" s="102"/>
      <c r="AQ49" s="102"/>
      <c r="AR49" s="105"/>
      <c r="AS49" s="105"/>
      <c r="AT49" s="105"/>
      <c r="AU49" s="105"/>
      <c r="AV49" s="102"/>
      <c r="AW49" s="102"/>
      <c r="AX49" s="102"/>
      <c r="AY49" s="102"/>
    </row>
    <row r="50" spans="1:51" ht="13.5" customHeight="1">
      <c r="A50" s="102"/>
      <c r="B50" s="102"/>
      <c r="C50" s="105"/>
      <c r="D50" s="102"/>
      <c r="E50" s="102"/>
      <c r="F50" s="104"/>
      <c r="G50" s="105"/>
      <c r="H50" s="105"/>
      <c r="I50" s="105"/>
      <c r="J50" s="105"/>
      <c r="K50" s="102"/>
      <c r="L50" s="102"/>
      <c r="M50" s="102"/>
      <c r="N50" s="102"/>
      <c r="O50" s="102"/>
      <c r="P50" s="102"/>
      <c r="Q50" s="102"/>
      <c r="R50" s="102"/>
      <c r="S50" s="105"/>
      <c r="T50" s="102"/>
      <c r="U50" s="102"/>
      <c r="V50" s="106"/>
      <c r="W50" s="102"/>
      <c r="X50" s="102"/>
      <c r="Y50" s="102"/>
      <c r="Z50" s="102"/>
      <c r="AA50" s="102"/>
      <c r="AB50" s="102"/>
      <c r="AC50" s="102"/>
      <c r="AD50" s="102"/>
      <c r="AE50" s="102"/>
      <c r="AF50" s="102"/>
      <c r="AG50" s="102"/>
      <c r="AH50" s="102"/>
      <c r="AI50" s="102"/>
      <c r="AJ50" s="102"/>
      <c r="AK50" s="234" t="e">
        <f t="shared" si="32"/>
        <v>#N/A</v>
      </c>
      <c r="AL50" s="234" t="str">
        <f>$E$3&amp;"8"</f>
        <v>Necromantic8</v>
      </c>
      <c r="AM50" s="102"/>
      <c r="AN50" s="102"/>
      <c r="AO50" s="102"/>
      <c r="AP50" s="102"/>
      <c r="AQ50" s="102"/>
      <c r="AR50" s="105"/>
      <c r="AS50" s="105"/>
      <c r="AT50" s="105"/>
      <c r="AU50" s="105"/>
      <c r="AV50" s="102"/>
      <c r="AW50" s="102"/>
      <c r="AX50" s="102"/>
      <c r="AY50" s="102"/>
    </row>
    <row r="51" spans="1:51" ht="13.5" customHeight="1">
      <c r="A51" s="102"/>
      <c r="B51" s="102"/>
      <c r="C51" s="105"/>
      <c r="D51" s="102"/>
      <c r="E51" s="102"/>
      <c r="F51" s="104"/>
      <c r="G51" s="105"/>
      <c r="H51" s="105"/>
      <c r="I51" s="105"/>
      <c r="J51" s="105"/>
      <c r="K51" s="102"/>
      <c r="L51" s="102"/>
      <c r="M51" s="102"/>
      <c r="N51" s="102"/>
      <c r="O51" s="102"/>
      <c r="P51" s="102"/>
      <c r="Q51" s="102"/>
      <c r="R51" s="102"/>
      <c r="S51" s="105"/>
      <c r="T51" s="102"/>
      <c r="U51" s="102"/>
      <c r="V51" s="106"/>
      <c r="W51" s="102"/>
      <c r="X51" s="102"/>
      <c r="Y51" s="102"/>
      <c r="Z51" s="102"/>
      <c r="AA51" s="102"/>
      <c r="AB51" s="102"/>
      <c r="AC51" s="102"/>
      <c r="AD51" s="102"/>
      <c r="AE51" s="102"/>
      <c r="AF51" s="102"/>
      <c r="AG51" s="102"/>
      <c r="AH51" s="102"/>
      <c r="AI51" s="102"/>
      <c r="AJ51" s="102"/>
      <c r="AK51" s="234" t="e">
        <f t="shared" si="32"/>
        <v>#N/A</v>
      </c>
      <c r="AL51" s="234" t="str">
        <f>$E$3&amp;"7"</f>
        <v>Necromantic7</v>
      </c>
      <c r="AM51" s="102"/>
      <c r="AN51" s="102"/>
      <c r="AO51" s="102"/>
      <c r="AP51" s="102"/>
      <c r="AQ51" s="102"/>
      <c r="AR51" s="105"/>
      <c r="AS51" s="105"/>
      <c r="AT51" s="105"/>
      <c r="AU51" s="105"/>
      <c r="AV51" s="102"/>
      <c r="AW51" s="102"/>
      <c r="AX51" s="102"/>
      <c r="AY51" s="102"/>
    </row>
    <row r="52" spans="1:51" ht="13.5" customHeight="1">
      <c r="A52" s="102"/>
      <c r="B52" s="102"/>
      <c r="C52" s="105"/>
      <c r="D52" s="102"/>
      <c r="E52" s="102"/>
      <c r="F52" s="104"/>
      <c r="G52" s="105"/>
      <c r="H52" s="105"/>
      <c r="I52" s="105"/>
      <c r="J52" s="105"/>
      <c r="K52" s="102"/>
      <c r="L52" s="102"/>
      <c r="M52" s="102"/>
      <c r="N52" s="102"/>
      <c r="O52" s="102"/>
      <c r="P52" s="102"/>
      <c r="Q52" s="102"/>
      <c r="R52" s="102"/>
      <c r="S52" s="105"/>
      <c r="T52" s="102"/>
      <c r="U52" s="102"/>
      <c r="V52" s="106"/>
      <c r="W52" s="102"/>
      <c r="X52" s="102"/>
      <c r="Y52" s="102"/>
      <c r="Z52" s="102"/>
      <c r="AA52" s="102"/>
      <c r="AB52" s="102"/>
      <c r="AC52" s="102"/>
      <c r="AD52" s="102"/>
      <c r="AE52" s="102"/>
      <c r="AF52" s="102"/>
      <c r="AG52" s="102"/>
      <c r="AH52" s="102"/>
      <c r="AI52" s="102"/>
      <c r="AJ52" s="102"/>
      <c r="AK52" s="234" t="str">
        <f t="shared" si="32"/>
        <v>J Earlice</v>
      </c>
      <c r="AL52" s="234" t="str">
        <f>$E$3&amp;"6"</f>
        <v>Necromantic6</v>
      </c>
      <c r="AM52" s="102"/>
      <c r="AN52" s="102"/>
      <c r="AO52" s="102"/>
      <c r="AP52" s="102"/>
      <c r="AQ52" s="102"/>
      <c r="AR52" s="105"/>
      <c r="AS52" s="105"/>
      <c r="AT52" s="105"/>
      <c r="AU52" s="105"/>
      <c r="AV52" s="102"/>
      <c r="AW52" s="102"/>
      <c r="AX52" s="102"/>
      <c r="AY52" s="102"/>
    </row>
    <row r="53" spans="1:51" ht="13.5" customHeight="1">
      <c r="A53" s="102"/>
      <c r="B53" s="102"/>
      <c r="C53" s="105"/>
      <c r="D53" s="102"/>
      <c r="E53" s="102"/>
      <c r="F53" s="104"/>
      <c r="G53" s="105"/>
      <c r="H53" s="105"/>
      <c r="I53" s="105"/>
      <c r="J53" s="105"/>
      <c r="K53" s="102"/>
      <c r="L53" s="102"/>
      <c r="M53" s="102"/>
      <c r="N53" s="102"/>
      <c r="O53" s="102"/>
      <c r="P53" s="102"/>
      <c r="Q53" s="102"/>
      <c r="R53" s="102"/>
      <c r="S53" s="105"/>
      <c r="T53" s="102"/>
      <c r="U53" s="102"/>
      <c r="V53" s="106"/>
      <c r="W53" s="102"/>
      <c r="X53" s="102"/>
      <c r="Y53" s="102"/>
      <c r="Z53" s="102"/>
      <c r="AA53" s="102"/>
      <c r="AB53" s="102"/>
      <c r="AC53" s="102"/>
      <c r="AD53" s="102"/>
      <c r="AE53" s="102"/>
      <c r="AF53" s="102"/>
      <c r="AG53" s="102"/>
      <c r="AH53" s="102"/>
      <c r="AI53" s="102"/>
      <c r="AJ53" s="102"/>
      <c r="AK53" s="234" t="str">
        <f t="shared" si="32"/>
        <v>Count Luthor von Drakenborg</v>
      </c>
      <c r="AL53" s="234" t="str">
        <f>$E$3&amp;"5"</f>
        <v>Necromantic5</v>
      </c>
      <c r="AM53" s="102"/>
      <c r="AN53" s="102"/>
      <c r="AO53" s="102"/>
      <c r="AP53" s="102"/>
      <c r="AQ53" s="102"/>
      <c r="AR53" s="105"/>
      <c r="AS53" s="105"/>
      <c r="AT53" s="105"/>
      <c r="AU53" s="105"/>
      <c r="AV53" s="102"/>
      <c r="AW53" s="102"/>
      <c r="AX53" s="102"/>
      <c r="AY53" s="102"/>
    </row>
    <row r="54" spans="1:51" ht="13.5" customHeight="1">
      <c r="A54" s="102"/>
      <c r="B54" s="102"/>
      <c r="C54" s="105"/>
      <c r="D54" s="102"/>
      <c r="E54" s="102"/>
      <c r="F54" s="104"/>
      <c r="G54" s="105"/>
      <c r="H54" s="105"/>
      <c r="I54" s="105"/>
      <c r="J54" s="105"/>
      <c r="K54" s="102"/>
      <c r="L54" s="102"/>
      <c r="M54" s="102"/>
      <c r="N54" s="102"/>
      <c r="O54" s="102"/>
      <c r="P54" s="102"/>
      <c r="Q54" s="102"/>
      <c r="R54" s="102"/>
      <c r="S54" s="105"/>
      <c r="T54" s="102"/>
      <c r="U54" s="102"/>
      <c r="V54" s="106"/>
      <c r="W54" s="102"/>
      <c r="X54" s="102"/>
      <c r="Y54" s="102"/>
      <c r="Z54" s="102"/>
      <c r="AA54" s="102"/>
      <c r="AB54" s="102"/>
      <c r="AC54" s="102"/>
      <c r="AD54" s="102"/>
      <c r="AE54" s="102"/>
      <c r="AF54" s="102"/>
      <c r="AG54" s="102"/>
      <c r="AH54" s="102"/>
      <c r="AI54" s="102"/>
      <c r="AJ54" s="102"/>
      <c r="AK54" s="234" t="str">
        <f t="shared" si="32"/>
        <v>Hack Enslash</v>
      </c>
      <c r="AL54" s="234" t="str">
        <f>$E$3&amp;"4"</f>
        <v>Necromantic4</v>
      </c>
      <c r="AM54" s="102"/>
      <c r="AN54" s="102"/>
      <c r="AO54" s="102"/>
      <c r="AP54" s="102"/>
      <c r="AQ54" s="102"/>
      <c r="AR54" s="105"/>
      <c r="AS54" s="105"/>
      <c r="AT54" s="105"/>
      <c r="AU54" s="105"/>
      <c r="AV54" s="102"/>
      <c r="AW54" s="102"/>
      <c r="AX54" s="102"/>
      <c r="AY54" s="102"/>
    </row>
    <row r="55" spans="1:51" ht="13.5" customHeight="1">
      <c r="A55" s="102"/>
      <c r="B55" s="102"/>
      <c r="C55" s="105"/>
      <c r="D55" s="102"/>
      <c r="E55" s="102"/>
      <c r="F55" s="104"/>
      <c r="G55" s="105"/>
      <c r="H55" s="105"/>
      <c r="I55" s="105"/>
      <c r="J55" s="105"/>
      <c r="K55" s="102"/>
      <c r="L55" s="102"/>
      <c r="M55" s="102"/>
      <c r="N55" s="102"/>
      <c r="O55" s="102"/>
      <c r="P55" s="102"/>
      <c r="Q55" s="102"/>
      <c r="R55" s="102"/>
      <c r="S55" s="105"/>
      <c r="T55" s="102"/>
      <c r="U55" s="102"/>
      <c r="V55" s="106"/>
      <c r="W55" s="102"/>
      <c r="X55" s="102"/>
      <c r="Y55" s="102"/>
      <c r="Z55" s="102"/>
      <c r="AA55" s="102"/>
      <c r="AB55" s="102"/>
      <c r="AC55" s="102"/>
      <c r="AD55" s="102"/>
      <c r="AE55" s="102"/>
      <c r="AF55" s="102"/>
      <c r="AG55" s="102"/>
      <c r="AH55" s="102"/>
      <c r="AI55" s="102"/>
      <c r="AJ55" s="102"/>
      <c r="AK55" s="234" t="str">
        <f t="shared" si="32"/>
        <v>Ramtut III</v>
      </c>
      <c r="AL55" s="234" t="str">
        <f>$E$3&amp;"3"</f>
        <v>Necromantic3</v>
      </c>
      <c r="AM55" s="102"/>
      <c r="AN55" s="102"/>
      <c r="AO55" s="102"/>
      <c r="AP55" s="102"/>
      <c r="AQ55" s="102"/>
      <c r="AR55" s="105"/>
      <c r="AS55" s="105"/>
      <c r="AT55" s="105"/>
      <c r="AU55" s="105"/>
      <c r="AV55" s="102"/>
      <c r="AW55" s="102"/>
      <c r="AX55" s="102"/>
      <c r="AY55" s="102"/>
    </row>
    <row r="56" spans="1:51" ht="13.5" customHeight="1">
      <c r="A56" s="102"/>
      <c r="B56" s="102"/>
      <c r="C56" s="105"/>
      <c r="D56" s="102"/>
      <c r="E56" s="102"/>
      <c r="F56" s="104"/>
      <c r="G56" s="105"/>
      <c r="H56" s="105"/>
      <c r="I56" s="105"/>
      <c r="J56" s="105"/>
      <c r="K56" s="102"/>
      <c r="L56" s="102"/>
      <c r="M56" s="102"/>
      <c r="N56" s="102"/>
      <c r="O56" s="102"/>
      <c r="P56" s="102"/>
      <c r="Q56" s="102"/>
      <c r="R56" s="102"/>
      <c r="S56" s="105"/>
      <c r="T56" s="102"/>
      <c r="U56" s="102"/>
      <c r="V56" s="106"/>
      <c r="W56" s="102"/>
      <c r="X56" s="102"/>
      <c r="Y56" s="102"/>
      <c r="Z56" s="102"/>
      <c r="AA56" s="102"/>
      <c r="AB56" s="102"/>
      <c r="AC56" s="102"/>
      <c r="AD56" s="102"/>
      <c r="AE56" s="102"/>
      <c r="AF56" s="102"/>
      <c r="AG56" s="102"/>
      <c r="AH56" s="102"/>
      <c r="AI56" s="102"/>
      <c r="AJ56" s="102"/>
      <c r="AK56" s="234" t="str">
        <f t="shared" si="32"/>
        <v>Setekh</v>
      </c>
      <c r="AL56" s="234" t="str">
        <f>$E$3&amp;"2"</f>
        <v>Necromantic2</v>
      </c>
      <c r="AM56" s="102"/>
      <c r="AN56" s="102"/>
      <c r="AO56" s="102"/>
      <c r="AP56" s="102"/>
      <c r="AQ56" s="102"/>
      <c r="AR56" s="105"/>
      <c r="AS56" s="105"/>
      <c r="AT56" s="105"/>
      <c r="AU56" s="105"/>
      <c r="AV56" s="102"/>
      <c r="AW56" s="102"/>
      <c r="AX56" s="102"/>
      <c r="AY56" s="102"/>
    </row>
    <row r="57" spans="1:51" ht="13.5" customHeight="1">
      <c r="A57" s="102"/>
      <c r="B57" s="102"/>
      <c r="C57" s="105"/>
      <c r="D57" s="102"/>
      <c r="E57" s="102"/>
      <c r="F57" s="104"/>
      <c r="G57" s="105"/>
      <c r="H57" s="105"/>
      <c r="I57" s="105"/>
      <c r="J57" s="105"/>
      <c r="K57" s="102"/>
      <c r="L57" s="102"/>
      <c r="M57" s="102"/>
      <c r="N57" s="102"/>
      <c r="O57" s="102"/>
      <c r="P57" s="102"/>
      <c r="Q57" s="102"/>
      <c r="R57" s="102"/>
      <c r="S57" s="105"/>
      <c r="T57" s="102"/>
      <c r="U57" s="102"/>
      <c r="V57" s="106"/>
      <c r="W57" s="102"/>
      <c r="X57" s="102"/>
      <c r="Y57" s="102"/>
      <c r="Z57" s="102"/>
      <c r="AA57" s="102"/>
      <c r="AB57" s="102"/>
      <c r="AC57" s="102"/>
      <c r="AD57" s="102"/>
      <c r="AE57" s="102"/>
      <c r="AF57" s="102"/>
      <c r="AG57" s="102"/>
      <c r="AH57" s="102"/>
      <c r="AI57" s="102"/>
      <c r="AJ57" s="106" t="s">
        <v>224</v>
      </c>
      <c r="AK57" s="234" t="str">
        <f t="shared" si="32"/>
        <v>Wilhelm Chaney</v>
      </c>
      <c r="AL57" s="234" t="str">
        <f t="shared" ref="AL57:AL58" si="33">$E$3&amp;"1"</f>
        <v>Necromantic1</v>
      </c>
      <c r="AM57" s="102"/>
      <c r="AN57" s="102"/>
      <c r="AO57" s="102"/>
      <c r="AP57" s="102"/>
      <c r="AQ57" s="102"/>
      <c r="AR57" s="105"/>
      <c r="AS57" s="105"/>
      <c r="AT57" s="105"/>
      <c r="AU57" s="105"/>
      <c r="AV57" s="102"/>
      <c r="AW57" s="102"/>
      <c r="AX57" s="102"/>
      <c r="AY57" s="102"/>
    </row>
    <row r="58" spans="1:51" ht="13.5" customHeight="1">
      <c r="A58" s="102"/>
      <c r="B58" s="102"/>
      <c r="C58" s="105"/>
      <c r="D58" s="102"/>
      <c r="E58" s="102"/>
      <c r="F58" s="104"/>
      <c r="G58" s="105"/>
      <c r="H58" s="105"/>
      <c r="I58" s="105"/>
      <c r="J58" s="105"/>
      <c r="K58" s="102"/>
      <c r="L58" s="102"/>
      <c r="M58" s="102"/>
      <c r="N58" s="102"/>
      <c r="O58" s="102"/>
      <c r="P58" s="102"/>
      <c r="Q58" s="102"/>
      <c r="R58" s="102"/>
      <c r="S58" s="105"/>
      <c r="T58" s="102"/>
      <c r="U58" s="102"/>
      <c r="V58" s="106"/>
      <c r="W58" s="102"/>
      <c r="X58" s="102"/>
      <c r="Y58" s="102"/>
      <c r="Z58" s="102"/>
      <c r="AA58" s="102"/>
      <c r="AB58" s="102"/>
      <c r="AC58" s="102"/>
      <c r="AD58" s="102"/>
      <c r="AE58" s="102"/>
      <c r="AF58" s="102"/>
      <c r="AG58" s="102"/>
      <c r="AH58" s="102"/>
      <c r="AI58" s="102"/>
      <c r="AJ58" s="234" t="str">
        <f t="shared" ref="AJ58:AJ67" si="34">VLOOKUP(AL58,DBPlayers,3,0)</f>
        <v>Zombie</v>
      </c>
      <c r="AK58" s="234" t="str">
        <f t="shared" ref="AK58:AK67" si="35">AJ58&amp;" "&amp;T_Merc</f>
        <v>Zombie Mercenary</v>
      </c>
      <c r="AL58" s="234" t="str">
        <f t="shared" si="33"/>
        <v>Necromantic1</v>
      </c>
      <c r="AM58" s="102"/>
      <c r="AN58" s="235"/>
      <c r="AO58" s="102"/>
      <c r="AP58" s="102"/>
      <c r="AQ58" s="102"/>
      <c r="AR58" s="105"/>
      <c r="AS58" s="105"/>
      <c r="AT58" s="105"/>
      <c r="AU58" s="105"/>
      <c r="AV58" s="102"/>
      <c r="AW58" s="102"/>
      <c r="AX58" s="102"/>
      <c r="AY58" s="102"/>
    </row>
    <row r="59" spans="1:51" ht="13.5" customHeight="1">
      <c r="A59" s="102"/>
      <c r="B59" s="102"/>
      <c r="C59" s="105"/>
      <c r="D59" s="102"/>
      <c r="E59" s="102"/>
      <c r="F59" s="104"/>
      <c r="G59" s="105"/>
      <c r="H59" s="105"/>
      <c r="I59" s="105"/>
      <c r="J59" s="105"/>
      <c r="K59" s="102"/>
      <c r="L59" s="102"/>
      <c r="M59" s="102"/>
      <c r="N59" s="102"/>
      <c r="O59" s="102"/>
      <c r="P59" s="102"/>
      <c r="Q59" s="102"/>
      <c r="R59" s="102"/>
      <c r="S59" s="105"/>
      <c r="T59" s="102"/>
      <c r="U59" s="102"/>
      <c r="V59" s="106"/>
      <c r="W59" s="102"/>
      <c r="X59" s="102"/>
      <c r="Y59" s="102"/>
      <c r="Z59" s="102"/>
      <c r="AA59" s="102"/>
      <c r="AB59" s="102"/>
      <c r="AC59" s="102"/>
      <c r="AD59" s="102"/>
      <c r="AE59" s="102"/>
      <c r="AF59" s="102"/>
      <c r="AG59" s="102"/>
      <c r="AH59" s="102"/>
      <c r="AI59" s="102"/>
      <c r="AJ59" s="234" t="str">
        <f t="shared" si="34"/>
        <v>Ghoul</v>
      </c>
      <c r="AK59" s="234" t="str">
        <f t="shared" si="35"/>
        <v>Ghoul Mercenary</v>
      </c>
      <c r="AL59" s="234" t="str">
        <f>$E$3&amp;"2"</f>
        <v>Necromantic2</v>
      </c>
      <c r="AM59" s="102"/>
      <c r="AN59" s="102"/>
      <c r="AO59" s="102"/>
      <c r="AP59" s="102"/>
      <c r="AQ59" s="102"/>
      <c r="AR59" s="105"/>
      <c r="AS59" s="105"/>
      <c r="AT59" s="105"/>
      <c r="AU59" s="105"/>
      <c r="AV59" s="102"/>
      <c r="AW59" s="102"/>
      <c r="AX59" s="102"/>
      <c r="AY59" s="102"/>
    </row>
    <row r="60" spans="1:51" ht="12.75" customHeight="1">
      <c r="A60" s="102"/>
      <c r="B60" s="102"/>
      <c r="C60" s="105"/>
      <c r="D60" s="102"/>
      <c r="E60" s="102"/>
      <c r="F60" s="104"/>
      <c r="G60" s="105"/>
      <c r="H60" s="105"/>
      <c r="I60" s="105"/>
      <c r="J60" s="105"/>
      <c r="K60" s="102"/>
      <c r="L60" s="102"/>
      <c r="M60" s="102"/>
      <c r="N60" s="102"/>
      <c r="O60" s="102"/>
      <c r="P60" s="102"/>
      <c r="Q60" s="102"/>
      <c r="R60" s="102"/>
      <c r="S60" s="105"/>
      <c r="T60" s="102"/>
      <c r="U60" s="102"/>
      <c r="V60" s="106"/>
      <c r="W60" s="102"/>
      <c r="X60" s="102"/>
      <c r="Y60" s="102"/>
      <c r="Z60" s="102"/>
      <c r="AA60" s="102"/>
      <c r="AB60" s="102"/>
      <c r="AC60" s="102"/>
      <c r="AD60" s="102"/>
      <c r="AE60" s="102"/>
      <c r="AF60" s="102"/>
      <c r="AG60" s="102"/>
      <c r="AH60" s="102"/>
      <c r="AI60" s="102"/>
      <c r="AJ60" s="234" t="str">
        <f t="shared" si="34"/>
        <v>Wight</v>
      </c>
      <c r="AK60" s="234" t="str">
        <f t="shared" si="35"/>
        <v>Wight Mercenary</v>
      </c>
      <c r="AL60" s="234" t="str">
        <f>$E$3&amp;"3"</f>
        <v>Necromantic3</v>
      </c>
      <c r="AM60" s="102"/>
      <c r="AN60" s="102"/>
      <c r="AO60" s="102"/>
      <c r="AP60" s="102"/>
      <c r="AQ60" s="102"/>
      <c r="AR60" s="105"/>
      <c r="AS60" s="105"/>
      <c r="AT60" s="105"/>
      <c r="AU60" s="105"/>
      <c r="AV60" s="102"/>
      <c r="AW60" s="102"/>
      <c r="AX60" s="102"/>
      <c r="AY60" s="102"/>
    </row>
    <row r="61" spans="1:51" ht="12.75" customHeight="1">
      <c r="A61" s="102"/>
      <c r="B61" s="102"/>
      <c r="C61" s="105"/>
      <c r="D61" s="102"/>
      <c r="E61" s="102"/>
      <c r="F61" s="104"/>
      <c r="G61" s="105"/>
      <c r="H61" s="105"/>
      <c r="I61" s="105"/>
      <c r="J61" s="105"/>
      <c r="K61" s="102"/>
      <c r="L61" s="102"/>
      <c r="M61" s="102"/>
      <c r="N61" s="102"/>
      <c r="O61" s="102"/>
      <c r="P61" s="102"/>
      <c r="Q61" s="102"/>
      <c r="R61" s="102"/>
      <c r="S61" s="105"/>
      <c r="T61" s="102"/>
      <c r="U61" s="102"/>
      <c r="V61" s="106"/>
      <c r="W61" s="102"/>
      <c r="X61" s="102"/>
      <c r="Y61" s="102"/>
      <c r="Z61" s="102"/>
      <c r="AA61" s="102"/>
      <c r="AB61" s="102"/>
      <c r="AC61" s="102"/>
      <c r="AD61" s="102"/>
      <c r="AE61" s="102"/>
      <c r="AF61" s="102"/>
      <c r="AG61" s="102"/>
      <c r="AH61" s="102"/>
      <c r="AI61" s="102"/>
      <c r="AJ61" s="234" t="str">
        <f t="shared" si="34"/>
        <v>Flesh Golem</v>
      </c>
      <c r="AK61" s="234" t="str">
        <f t="shared" si="35"/>
        <v>Flesh Golem Mercenary</v>
      </c>
      <c r="AL61" s="234" t="str">
        <f>$E$3&amp;"4"</f>
        <v>Necromantic4</v>
      </c>
      <c r="AM61" s="102"/>
      <c r="AN61" s="102"/>
      <c r="AO61" s="102"/>
      <c r="AP61" s="102"/>
      <c r="AQ61" s="102"/>
      <c r="AR61" s="105"/>
      <c r="AS61" s="105"/>
      <c r="AT61" s="105"/>
      <c r="AU61" s="105"/>
      <c r="AV61" s="102"/>
      <c r="AW61" s="102"/>
      <c r="AX61" s="102"/>
      <c r="AY61" s="102"/>
    </row>
    <row r="62" spans="1:51" ht="12.75" customHeight="1">
      <c r="A62" s="102"/>
      <c r="B62" s="102"/>
      <c r="C62" s="105"/>
      <c r="D62" s="102"/>
      <c r="E62" s="102"/>
      <c r="F62" s="104"/>
      <c r="G62" s="105"/>
      <c r="H62" s="105"/>
      <c r="I62" s="105"/>
      <c r="J62" s="105"/>
      <c r="K62" s="102"/>
      <c r="L62" s="102"/>
      <c r="M62" s="102"/>
      <c r="N62" s="102"/>
      <c r="O62" s="102"/>
      <c r="P62" s="102"/>
      <c r="Q62" s="102"/>
      <c r="R62" s="102"/>
      <c r="S62" s="105"/>
      <c r="T62" s="102"/>
      <c r="U62" s="102"/>
      <c r="V62" s="106"/>
      <c r="W62" s="102"/>
      <c r="X62" s="102"/>
      <c r="Y62" s="102"/>
      <c r="Z62" s="102"/>
      <c r="AA62" s="102"/>
      <c r="AB62" s="102"/>
      <c r="AC62" s="102"/>
      <c r="AD62" s="102"/>
      <c r="AE62" s="102"/>
      <c r="AF62" s="102"/>
      <c r="AG62" s="102"/>
      <c r="AH62" s="102"/>
      <c r="AI62" s="102"/>
      <c r="AJ62" s="234" t="str">
        <f t="shared" si="34"/>
        <v>Werewolf</v>
      </c>
      <c r="AK62" s="234" t="str">
        <f t="shared" si="35"/>
        <v>Werewolf Mercenary</v>
      </c>
      <c r="AL62" s="234" t="str">
        <f>$E$3&amp;"5"</f>
        <v>Necromantic5</v>
      </c>
      <c r="AM62" s="102"/>
      <c r="AN62" s="102"/>
      <c r="AO62" s="102"/>
      <c r="AP62" s="102"/>
      <c r="AQ62" s="102"/>
      <c r="AR62" s="105"/>
      <c r="AS62" s="105"/>
      <c r="AT62" s="105"/>
      <c r="AU62" s="105"/>
      <c r="AV62" s="102"/>
      <c r="AW62" s="102"/>
      <c r="AX62" s="102"/>
      <c r="AY62" s="102"/>
    </row>
    <row r="63" spans="1:51" ht="12.75" customHeight="1">
      <c r="A63" s="102"/>
      <c r="B63" s="102"/>
      <c r="C63" s="105"/>
      <c r="D63" s="102"/>
      <c r="E63" s="102"/>
      <c r="F63" s="104"/>
      <c r="G63" s="105"/>
      <c r="H63" s="105"/>
      <c r="I63" s="105"/>
      <c r="J63" s="105"/>
      <c r="K63" s="102"/>
      <c r="L63" s="102"/>
      <c r="M63" s="102"/>
      <c r="N63" s="102"/>
      <c r="O63" s="102"/>
      <c r="P63" s="102"/>
      <c r="Q63" s="102"/>
      <c r="R63" s="102"/>
      <c r="S63" s="105"/>
      <c r="T63" s="102"/>
      <c r="U63" s="102"/>
      <c r="V63" s="106"/>
      <c r="W63" s="102"/>
      <c r="X63" s="102"/>
      <c r="Y63" s="102"/>
      <c r="Z63" s="102"/>
      <c r="AA63" s="102"/>
      <c r="AB63" s="102"/>
      <c r="AC63" s="102"/>
      <c r="AD63" s="102"/>
      <c r="AE63" s="102"/>
      <c r="AF63" s="102"/>
      <c r="AG63" s="102"/>
      <c r="AH63" s="102"/>
      <c r="AI63" s="102"/>
      <c r="AJ63" s="234" t="e">
        <f t="shared" si="34"/>
        <v>#N/A</v>
      </c>
      <c r="AK63" s="234" t="e">
        <f t="shared" si="35"/>
        <v>#N/A</v>
      </c>
      <c r="AL63" s="234" t="str">
        <f>$E$3&amp;"6"</f>
        <v>Necromantic6</v>
      </c>
      <c r="AM63" s="102"/>
      <c r="AN63" s="102"/>
      <c r="AO63" s="102"/>
      <c r="AP63" s="102"/>
      <c r="AQ63" s="102"/>
      <c r="AR63" s="105"/>
      <c r="AS63" s="105"/>
      <c r="AT63" s="105"/>
      <c r="AU63" s="105"/>
      <c r="AV63" s="102"/>
      <c r="AW63" s="102"/>
      <c r="AX63" s="102"/>
      <c r="AY63" s="102"/>
    </row>
    <row r="64" spans="1:51" ht="12.75" customHeight="1">
      <c r="A64" s="102"/>
      <c r="B64" s="102"/>
      <c r="C64" s="105"/>
      <c r="D64" s="102"/>
      <c r="E64" s="102"/>
      <c r="F64" s="104"/>
      <c r="G64" s="105"/>
      <c r="H64" s="105"/>
      <c r="I64" s="105"/>
      <c r="J64" s="105"/>
      <c r="K64" s="102"/>
      <c r="L64" s="102"/>
      <c r="M64" s="102"/>
      <c r="N64" s="102"/>
      <c r="O64" s="102"/>
      <c r="P64" s="102"/>
      <c r="Q64" s="102"/>
      <c r="R64" s="102"/>
      <c r="S64" s="105"/>
      <c r="T64" s="102"/>
      <c r="U64" s="102"/>
      <c r="V64" s="106"/>
      <c r="W64" s="102"/>
      <c r="X64" s="102"/>
      <c r="Y64" s="102"/>
      <c r="Z64" s="102"/>
      <c r="AA64" s="102"/>
      <c r="AB64" s="102"/>
      <c r="AC64" s="102"/>
      <c r="AD64" s="102"/>
      <c r="AE64" s="102"/>
      <c r="AF64" s="102"/>
      <c r="AG64" s="102"/>
      <c r="AH64" s="102"/>
      <c r="AI64" s="102"/>
      <c r="AJ64" s="234" t="e">
        <f t="shared" si="34"/>
        <v>#N/A</v>
      </c>
      <c r="AK64" s="234" t="e">
        <f t="shared" si="35"/>
        <v>#N/A</v>
      </c>
      <c r="AL64" s="234" t="str">
        <f>$E$3&amp;"7"</f>
        <v>Necromantic7</v>
      </c>
      <c r="AM64" s="102"/>
      <c r="AN64" s="102"/>
      <c r="AO64" s="102"/>
      <c r="AP64" s="102"/>
      <c r="AQ64" s="102"/>
      <c r="AR64" s="105"/>
      <c r="AS64" s="105"/>
      <c r="AT64" s="105"/>
      <c r="AU64" s="105"/>
      <c r="AV64" s="102"/>
      <c r="AW64" s="102"/>
      <c r="AX64" s="102"/>
      <c r="AY64" s="102"/>
    </row>
    <row r="65" spans="1:51" ht="12.75" customHeight="1">
      <c r="A65" s="102"/>
      <c r="B65" s="102"/>
      <c r="C65" s="105"/>
      <c r="D65" s="102"/>
      <c r="E65" s="102"/>
      <c r="F65" s="104"/>
      <c r="G65" s="105"/>
      <c r="H65" s="105"/>
      <c r="I65" s="105"/>
      <c r="J65" s="105"/>
      <c r="K65" s="102"/>
      <c r="L65" s="102"/>
      <c r="M65" s="102"/>
      <c r="N65" s="102"/>
      <c r="O65" s="102"/>
      <c r="P65" s="102"/>
      <c r="Q65" s="102"/>
      <c r="R65" s="102"/>
      <c r="S65" s="105"/>
      <c r="T65" s="102"/>
      <c r="U65" s="102"/>
      <c r="V65" s="106"/>
      <c r="W65" s="102"/>
      <c r="X65" s="102"/>
      <c r="Y65" s="102"/>
      <c r="Z65" s="102"/>
      <c r="AA65" s="102"/>
      <c r="AB65" s="102"/>
      <c r="AC65" s="102"/>
      <c r="AD65" s="102"/>
      <c r="AE65" s="102"/>
      <c r="AF65" s="102"/>
      <c r="AG65" s="102"/>
      <c r="AH65" s="102"/>
      <c r="AI65" s="102"/>
      <c r="AJ65" s="234" t="e">
        <f t="shared" si="34"/>
        <v>#N/A</v>
      </c>
      <c r="AK65" s="234" t="e">
        <f t="shared" si="35"/>
        <v>#N/A</v>
      </c>
      <c r="AL65" s="234" t="str">
        <f>$E$3&amp;"8"</f>
        <v>Necromantic8</v>
      </c>
      <c r="AM65" s="102"/>
      <c r="AN65" s="102"/>
      <c r="AO65" s="102"/>
      <c r="AP65" s="102"/>
      <c r="AQ65" s="102"/>
      <c r="AR65" s="105"/>
      <c r="AS65" s="105"/>
      <c r="AT65" s="105"/>
      <c r="AU65" s="105"/>
      <c r="AV65" s="102"/>
      <c r="AW65" s="102"/>
      <c r="AX65" s="102"/>
      <c r="AY65" s="102"/>
    </row>
    <row r="66" spans="1:51" ht="12.75" customHeight="1">
      <c r="A66" s="102"/>
      <c r="B66" s="102"/>
      <c r="C66" s="105"/>
      <c r="D66" s="102"/>
      <c r="E66" s="102"/>
      <c r="F66" s="104"/>
      <c r="G66" s="105"/>
      <c r="H66" s="105"/>
      <c r="I66" s="105"/>
      <c r="J66" s="105"/>
      <c r="K66" s="102"/>
      <c r="L66" s="102"/>
      <c r="M66" s="102"/>
      <c r="N66" s="102"/>
      <c r="O66" s="102"/>
      <c r="P66" s="102"/>
      <c r="Q66" s="102"/>
      <c r="R66" s="102"/>
      <c r="S66" s="105"/>
      <c r="T66" s="102"/>
      <c r="U66" s="102"/>
      <c r="V66" s="106"/>
      <c r="W66" s="102"/>
      <c r="X66" s="102"/>
      <c r="Y66" s="102"/>
      <c r="Z66" s="102"/>
      <c r="AA66" s="102"/>
      <c r="AB66" s="102"/>
      <c r="AC66" s="102"/>
      <c r="AD66" s="102"/>
      <c r="AE66" s="102"/>
      <c r="AF66" s="102"/>
      <c r="AG66" s="102"/>
      <c r="AH66" s="102"/>
      <c r="AI66" s="102"/>
      <c r="AJ66" s="234" t="e">
        <f t="shared" si="34"/>
        <v>#N/A</v>
      </c>
      <c r="AK66" s="234" t="e">
        <f t="shared" si="35"/>
        <v>#N/A</v>
      </c>
      <c r="AL66" s="234" t="str">
        <f>$E$3&amp;"9"</f>
        <v>Necromantic9</v>
      </c>
      <c r="AM66" s="102"/>
      <c r="AN66" s="102"/>
      <c r="AO66" s="102"/>
      <c r="AP66" s="102"/>
      <c r="AQ66" s="102"/>
      <c r="AR66" s="105"/>
      <c r="AS66" s="105"/>
      <c r="AT66" s="105"/>
      <c r="AU66" s="105"/>
      <c r="AV66" s="102"/>
      <c r="AW66" s="102"/>
      <c r="AX66" s="102"/>
      <c r="AY66" s="102"/>
    </row>
    <row r="67" spans="1:51" ht="12.75" customHeight="1">
      <c r="A67" s="102"/>
      <c r="B67" s="102"/>
      <c r="C67" s="105"/>
      <c r="D67" s="102"/>
      <c r="E67" s="102"/>
      <c r="F67" s="104"/>
      <c r="G67" s="105"/>
      <c r="H67" s="105"/>
      <c r="I67" s="105"/>
      <c r="J67" s="105"/>
      <c r="K67" s="102"/>
      <c r="L67" s="102"/>
      <c r="M67" s="102"/>
      <c r="N67" s="102"/>
      <c r="O67" s="102"/>
      <c r="P67" s="102"/>
      <c r="Q67" s="102"/>
      <c r="R67" s="102"/>
      <c r="S67" s="105"/>
      <c r="T67" s="102"/>
      <c r="U67" s="102"/>
      <c r="V67" s="106"/>
      <c r="W67" s="102"/>
      <c r="X67" s="102"/>
      <c r="Y67" s="102"/>
      <c r="Z67" s="102"/>
      <c r="AA67" s="102"/>
      <c r="AB67" s="102"/>
      <c r="AC67" s="102"/>
      <c r="AD67" s="102"/>
      <c r="AE67" s="102"/>
      <c r="AF67" s="102"/>
      <c r="AG67" s="102"/>
      <c r="AH67" s="102"/>
      <c r="AI67" s="102"/>
      <c r="AJ67" s="234" t="e">
        <f t="shared" si="34"/>
        <v>#N/A</v>
      </c>
      <c r="AK67" s="234" t="e">
        <f t="shared" si="35"/>
        <v>#N/A</v>
      </c>
      <c r="AL67" s="234" t="str">
        <f>$E$3&amp;"10"</f>
        <v>Necromantic10</v>
      </c>
      <c r="AM67" s="102"/>
      <c r="AN67" s="102"/>
      <c r="AO67" s="102"/>
      <c r="AP67" s="102"/>
      <c r="AQ67" s="102"/>
      <c r="AR67" s="105"/>
      <c r="AS67" s="105"/>
      <c r="AT67" s="105"/>
      <c r="AU67" s="105"/>
      <c r="AV67" s="102"/>
      <c r="AW67" s="102"/>
      <c r="AX67" s="102"/>
      <c r="AY67" s="102"/>
    </row>
    <row r="68" spans="1:51" ht="12.75" customHeight="1">
      <c r="A68" s="102"/>
      <c r="B68" s="102"/>
      <c r="C68" s="105"/>
      <c r="D68" s="102"/>
      <c r="E68" s="102"/>
      <c r="F68" s="104"/>
      <c r="G68" s="105"/>
      <c r="H68" s="105"/>
      <c r="I68" s="105"/>
      <c r="J68" s="105"/>
      <c r="K68" s="102"/>
      <c r="L68" s="102"/>
      <c r="M68" s="102"/>
      <c r="N68" s="102"/>
      <c r="O68" s="102"/>
      <c r="P68" s="102"/>
      <c r="Q68" s="102"/>
      <c r="R68" s="102"/>
      <c r="S68" s="105"/>
      <c r="T68" s="102"/>
      <c r="U68" s="102"/>
      <c r="V68" s="106"/>
      <c r="W68" s="102"/>
      <c r="X68" s="102"/>
      <c r="Y68" s="102"/>
      <c r="Z68" s="102"/>
      <c r="AA68" s="102"/>
      <c r="AB68" s="102"/>
      <c r="AC68" s="102"/>
      <c r="AD68" s="102"/>
      <c r="AE68" s="102"/>
      <c r="AF68" s="102"/>
      <c r="AG68" s="102"/>
      <c r="AH68" s="102"/>
      <c r="AI68" s="102"/>
      <c r="AJ68" s="102"/>
      <c r="AK68" s="102"/>
      <c r="AL68" s="102"/>
      <c r="AM68" s="102"/>
      <c r="AN68" s="102"/>
      <c r="AO68" s="102"/>
      <c r="AP68" s="102"/>
      <c r="AQ68" s="102"/>
      <c r="AR68" s="105"/>
      <c r="AS68" s="105"/>
      <c r="AT68" s="105"/>
      <c r="AU68" s="105"/>
      <c r="AV68" s="102"/>
      <c r="AW68" s="102"/>
      <c r="AX68" s="102"/>
      <c r="AY68" s="102"/>
    </row>
    <row r="69" spans="1:51" ht="12.75" customHeight="1">
      <c r="A69" s="102"/>
      <c r="B69" s="102"/>
      <c r="C69" s="105"/>
      <c r="D69" s="102"/>
      <c r="E69" s="102"/>
      <c r="F69" s="104"/>
      <c r="G69" s="105"/>
      <c r="H69" s="105"/>
      <c r="I69" s="105"/>
      <c r="J69" s="105"/>
      <c r="K69" s="102"/>
      <c r="L69" s="102"/>
      <c r="M69" s="102"/>
      <c r="N69" s="102"/>
      <c r="O69" s="102"/>
      <c r="P69" s="102"/>
      <c r="Q69" s="102"/>
      <c r="R69" s="102"/>
      <c r="S69" s="105"/>
      <c r="T69" s="102"/>
      <c r="U69" s="102"/>
      <c r="V69" s="106"/>
      <c r="W69" s="102"/>
      <c r="X69" s="102"/>
      <c r="Y69" s="102"/>
      <c r="Z69" s="102"/>
      <c r="AA69" s="102"/>
      <c r="AB69" s="102"/>
      <c r="AC69" s="102"/>
      <c r="AD69" s="102"/>
      <c r="AE69" s="102"/>
      <c r="AF69" s="102"/>
      <c r="AG69" s="102"/>
      <c r="AH69" s="102"/>
      <c r="AI69" s="102"/>
      <c r="AJ69" s="235" t="s">
        <v>225</v>
      </c>
      <c r="AK69" s="234">
        <f t="array" ref="AK69">SUM(IF(ISERROR($AK$58:$AK$67),0,1))</f>
        <v>5</v>
      </c>
      <c r="AL69" s="102"/>
      <c r="AM69" s="102"/>
      <c r="AN69" s="102"/>
      <c r="AO69" s="102"/>
      <c r="AP69" s="102"/>
      <c r="AQ69" s="102"/>
      <c r="AR69" s="105"/>
      <c r="AS69" s="105"/>
      <c r="AT69" s="105"/>
      <c r="AU69" s="105"/>
      <c r="AV69" s="102"/>
      <c r="AW69" s="102"/>
      <c r="AX69" s="102"/>
      <c r="AY69" s="102"/>
    </row>
    <row r="70" spans="1:51" ht="12.75" customHeight="1">
      <c r="A70" s="102"/>
      <c r="B70" s="102"/>
      <c r="C70" s="105"/>
      <c r="D70" s="102"/>
      <c r="E70" s="102"/>
      <c r="F70" s="104"/>
      <c r="G70" s="105"/>
      <c r="H70" s="105"/>
      <c r="I70" s="105"/>
      <c r="J70" s="105"/>
      <c r="K70" s="102"/>
      <c r="L70" s="102"/>
      <c r="M70" s="102"/>
      <c r="N70" s="102"/>
      <c r="O70" s="102"/>
      <c r="P70" s="102"/>
      <c r="Q70" s="102"/>
      <c r="R70" s="102"/>
      <c r="S70" s="105"/>
      <c r="T70" s="102"/>
      <c r="U70" s="102"/>
      <c r="V70" s="106"/>
      <c r="W70" s="102"/>
      <c r="X70" s="102"/>
      <c r="Y70" s="102"/>
      <c r="Z70" s="102"/>
      <c r="AA70" s="102"/>
      <c r="AB70" s="102"/>
      <c r="AC70" s="102"/>
      <c r="AD70" s="102"/>
      <c r="AE70" s="102"/>
      <c r="AF70" s="102"/>
      <c r="AG70" s="102"/>
      <c r="AH70" s="102"/>
      <c r="AI70" s="102"/>
      <c r="AJ70" s="235" t="s">
        <v>226</v>
      </c>
      <c r="AK70" s="234">
        <f t="array" ref="AK70">SUM(IF(ISERROR($AK$48:$AK$57),0,1))</f>
        <v>6</v>
      </c>
      <c r="AL70" s="102"/>
      <c r="AM70" s="102"/>
      <c r="AN70" s="102"/>
      <c r="AO70" s="102"/>
      <c r="AP70" s="102"/>
      <c r="AQ70" s="102"/>
      <c r="AR70" s="105"/>
      <c r="AS70" s="105"/>
      <c r="AT70" s="105"/>
      <c r="AU70" s="105"/>
      <c r="AV70" s="102"/>
      <c r="AW70" s="102"/>
      <c r="AX70" s="102"/>
      <c r="AY70" s="102"/>
    </row>
  </sheetData>
  <mergeCells count="58">
    <mergeCell ref="F41:I41"/>
    <mergeCell ref="F42:I42"/>
    <mergeCell ref="H39:I39"/>
    <mergeCell ref="H38:I38"/>
    <mergeCell ref="D41:E41"/>
    <mergeCell ref="H40:I40"/>
    <mergeCell ref="D40:E40"/>
    <mergeCell ref="O38:Q38"/>
    <mergeCell ref="M39:P39"/>
    <mergeCell ref="R42:S42"/>
    <mergeCell ref="R40:S40"/>
    <mergeCell ref="R41:S41"/>
    <mergeCell ref="D30:E30"/>
    <mergeCell ref="L3:M3"/>
    <mergeCell ref="K27:R27"/>
    <mergeCell ref="K26:R26"/>
    <mergeCell ref="K25:R25"/>
    <mergeCell ref="K28:R28"/>
    <mergeCell ref="K29:R29"/>
    <mergeCell ref="J3:K3"/>
    <mergeCell ref="N3:S3"/>
    <mergeCell ref="D24:E24"/>
    <mergeCell ref="V24:W24"/>
    <mergeCell ref="V25:W25"/>
    <mergeCell ref="E3:F3"/>
    <mergeCell ref="G3:I3"/>
    <mergeCell ref="O36:Q36"/>
    <mergeCell ref="O37:Q37"/>
    <mergeCell ref="AF3:AG3"/>
    <mergeCell ref="AR3:AU3"/>
    <mergeCell ref="V30:W30"/>
    <mergeCell ref="V26:W26"/>
    <mergeCell ref="K30:R30"/>
    <mergeCell ref="L31:P31"/>
    <mergeCell ref="L33:R33"/>
    <mergeCell ref="V27:W27"/>
    <mergeCell ref="V28:W28"/>
    <mergeCell ref="V29:W29"/>
    <mergeCell ref="O34:Q34"/>
    <mergeCell ref="O35:Q35"/>
    <mergeCell ref="U3:W3"/>
    <mergeCell ref="K24:R24"/>
    <mergeCell ref="D33:I33"/>
    <mergeCell ref="D39:E39"/>
    <mergeCell ref="D37:E37"/>
    <mergeCell ref="D38:E38"/>
    <mergeCell ref="D25:E25"/>
    <mergeCell ref="D27:E27"/>
    <mergeCell ref="D28:E28"/>
    <mergeCell ref="D26:E26"/>
    <mergeCell ref="D34:E34"/>
    <mergeCell ref="H36:I36"/>
    <mergeCell ref="H37:I37"/>
    <mergeCell ref="H34:I34"/>
    <mergeCell ref="H35:I35"/>
    <mergeCell ref="D36:E36"/>
    <mergeCell ref="D35:E35"/>
    <mergeCell ref="D29:E29"/>
  </mergeCells>
  <conditionalFormatting sqref="G6:J21">
    <cfRule type="cellIs" dxfId="20" priority="1" stopIfTrue="1" operator="greaterThan">
      <formula>AR6</formula>
    </cfRule>
  </conditionalFormatting>
  <conditionalFormatting sqref="G6:J21">
    <cfRule type="cellIs" dxfId="19" priority="2" stopIfTrue="1" operator="lessThan">
      <formula>AR6</formula>
    </cfRule>
  </conditionalFormatting>
  <dataValidations count="13">
    <dataValidation type="list" allowBlank="1" showErrorMessage="1" sqref="E3">
      <formula1>TeamList</formula1>
    </dataValidation>
    <dataValidation type="decimal" allowBlank="1" showInputMessage="1" showErrorMessage="1" prompt="Wrong Entry - Please enter only numbers between 0 and 2!" sqref="F34 F38">
      <formula1>0</formula1>
      <formula2>2</formula2>
    </dataValidation>
    <dataValidation type="list" allowBlank="1" showInputMessage="1" showErrorMessage="1" prompt="Wrong Entry - Please enter a value from the dropdown list!" sqref="E6:E21">
      <formula1>OFFSET($AJ$58:$AJ$67,0,0,$AK$69,1)</formula1>
    </dataValidation>
    <dataValidation type="list" allowBlank="1" showErrorMessage="1" sqref="D44">
      <formula1>#REF!</formula1>
    </dataValidation>
    <dataValidation type="list" allowBlank="1" showInputMessage="1" showErrorMessage="1" prompt="Wrong Entry - Please enter a value from the dropdown list!" sqref="L6:L21">
      <formula1>StatusDropdown</formula1>
    </dataValidation>
    <dataValidation type="list" allowBlank="1" showInputMessage="1" showErrorMessage="1" prompt="Wrong Entry - Please enter a value from the dropdown list!" sqref="D25:D30">
      <formula1>OFFSET($AK$48:$AK$67,(10-$AK$70),0,$AK$69+$AK$70,1)</formula1>
    </dataValidation>
    <dataValidation type="decimal" allowBlank="1" showInputMessage="1" showErrorMessage="1" prompt="Wrong Entry - Please enter only numbers between 0 and 3!" sqref="F35">
      <formula1>0</formula1>
      <formula2>3</formula2>
    </dataValidation>
    <dataValidation type="decimal" allowBlank="1" showInputMessage="1" showErrorMessage="1" prompt="Wrong Entry - Please enter only numbers!" sqref="M34:M37">
      <formula1>0</formula1>
      <formula2>99</formula2>
    </dataValidation>
    <dataValidation type="list" allowBlank="1" showErrorMessage="1" sqref="Y6:AD21 V25:V30 Y30">
      <formula1>OFFSET(DBSkills,0,0,ROWS(DBSkills),1)</formula1>
    </dataValidation>
    <dataValidation type="decimal" allowBlank="1" showInputMessage="1" showErrorMessage="1" prompt="Wrong Entry - Please enter only numbers!" sqref="M39 F41">
      <formula1>-10000000</formula1>
      <formula2>1000000</formula2>
    </dataValidation>
    <dataValidation type="decimal" allowBlank="1" showInputMessage="1" showErrorMessage="1" prompt="Wrong Entry - Please enter only numbers between 0 and 4!" sqref="F36">
      <formula1>0</formula1>
      <formula2>4</formula2>
    </dataValidation>
    <dataValidation type="decimal" allowBlank="1" showInputMessage="1" showErrorMessage="1" prompt="Wrong Entry - Please do only enter numbers!" sqref="M6:Q21">
      <formula1>0</formula1>
      <formula2>9999</formula2>
    </dataValidation>
    <dataValidation type="decimal" allowBlank="1" showInputMessage="1" showErrorMessage="1" prompt="Wrong Entry - Please enter only 0 or 1!" sqref="F37 M38 F39:F40">
      <formula1>0</formula1>
      <formula2>1</formula2>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Y70"/>
  <sheetViews>
    <sheetView workbookViewId="0">
      <selection activeCell="D8" sqref="D8"/>
    </sheetView>
  </sheetViews>
  <sheetFormatPr defaultColWidth="14.42578125" defaultRowHeight="15" customHeight="1"/>
  <cols>
    <col min="1" max="1" width="0.7109375" customWidth="1"/>
    <col min="2" max="2" width="0.5703125" customWidth="1"/>
    <col min="3" max="3" width="3.7109375" customWidth="1"/>
    <col min="4" max="4" width="17.28515625" customWidth="1"/>
    <col min="5" max="5" width="12.140625" customWidth="1"/>
    <col min="6" max="6" width="5.85546875" customWidth="1"/>
    <col min="7" max="7" width="3.140625" customWidth="1"/>
    <col min="8" max="10" width="3.42578125" customWidth="1"/>
    <col min="11" max="11" width="55.42578125" customWidth="1"/>
    <col min="12" max="12" width="5.85546875" customWidth="1"/>
    <col min="13" max="18" width="3.42578125" customWidth="1"/>
    <col min="19" max="19" width="8" customWidth="1"/>
    <col min="20" max="20" width="0.5703125" customWidth="1"/>
    <col min="21" max="22" width="7.140625" customWidth="1"/>
    <col min="23" max="23" width="7.42578125" customWidth="1"/>
    <col min="24" max="24" width="0.5703125" customWidth="1"/>
    <col min="25" max="30" width="12.42578125" customWidth="1"/>
    <col min="31" max="31" width="13.28515625" customWidth="1"/>
    <col min="32" max="32" width="17.42578125" customWidth="1"/>
    <col min="33" max="33" width="6.42578125" customWidth="1"/>
    <col min="34" max="34" width="24.140625" customWidth="1"/>
    <col min="35" max="35" width="10.140625" hidden="1" customWidth="1"/>
    <col min="36" max="43" width="11.42578125" hidden="1" customWidth="1"/>
    <col min="44" max="47" width="3.5703125" hidden="1" customWidth="1"/>
    <col min="48" max="51" width="11.42578125" hidden="1" customWidth="1"/>
  </cols>
  <sheetData>
    <row r="1" spans="1:51" ht="3.75" customHeight="1">
      <c r="A1" s="102"/>
      <c r="B1" s="102"/>
      <c r="C1" s="103"/>
      <c r="D1" s="102"/>
      <c r="E1" s="102"/>
      <c r="F1" s="104"/>
      <c r="G1" s="105"/>
      <c r="H1" s="105"/>
      <c r="I1" s="105"/>
      <c r="J1" s="105"/>
      <c r="K1" s="102"/>
      <c r="L1" s="102"/>
      <c r="M1" s="102"/>
      <c r="N1" s="102"/>
      <c r="O1" s="102"/>
      <c r="P1" s="102"/>
      <c r="Q1" s="102"/>
      <c r="R1" s="102"/>
      <c r="S1" s="105"/>
      <c r="T1" s="102"/>
      <c r="U1" s="102"/>
      <c r="V1" s="106"/>
      <c r="W1" s="102"/>
      <c r="X1" s="102"/>
      <c r="Y1" s="102"/>
      <c r="Z1" s="102"/>
      <c r="AA1" s="102"/>
      <c r="AB1" s="102"/>
      <c r="AC1" s="102"/>
      <c r="AD1" s="102"/>
      <c r="AE1" s="102"/>
      <c r="AF1" s="102"/>
      <c r="AG1" s="102"/>
      <c r="AH1" s="102"/>
      <c r="AI1" s="102"/>
      <c r="AJ1" s="102"/>
      <c r="AK1" s="102"/>
      <c r="AL1" s="102"/>
      <c r="AM1" s="102"/>
      <c r="AN1" s="102"/>
      <c r="AO1" s="102"/>
      <c r="AP1" s="102"/>
      <c r="AQ1" s="102"/>
      <c r="AR1" s="105"/>
      <c r="AS1" s="105"/>
      <c r="AT1" s="105"/>
      <c r="AU1" s="105"/>
      <c r="AV1" s="102"/>
      <c r="AW1" s="102"/>
      <c r="AX1" s="102"/>
      <c r="AY1" s="102"/>
    </row>
    <row r="2" spans="1:51" ht="3" customHeight="1">
      <c r="A2" s="102"/>
      <c r="B2" s="107"/>
      <c r="C2" s="108"/>
      <c r="D2" s="109"/>
      <c r="E2" s="109"/>
      <c r="F2" s="110"/>
      <c r="G2" s="108"/>
      <c r="H2" s="108"/>
      <c r="I2" s="108"/>
      <c r="J2" s="108"/>
      <c r="K2" s="109"/>
      <c r="L2" s="109"/>
      <c r="M2" s="109"/>
      <c r="N2" s="109"/>
      <c r="O2" s="109"/>
      <c r="P2" s="109"/>
      <c r="Q2" s="109"/>
      <c r="R2" s="109"/>
      <c r="S2" s="109"/>
      <c r="T2" s="111"/>
      <c r="U2" s="102"/>
      <c r="V2" s="112"/>
      <c r="W2" s="113"/>
      <c r="X2" s="113"/>
      <c r="Y2" s="102"/>
      <c r="Z2" s="102"/>
      <c r="AA2" s="102"/>
      <c r="AB2" s="102"/>
      <c r="AC2" s="102"/>
      <c r="AD2" s="102"/>
      <c r="AE2" s="102"/>
      <c r="AF2" s="102"/>
      <c r="AG2" s="102"/>
      <c r="AH2" s="102"/>
      <c r="AI2" s="102"/>
      <c r="AJ2" s="102"/>
      <c r="AK2" s="102"/>
      <c r="AL2" s="102"/>
      <c r="AM2" s="102"/>
      <c r="AN2" s="102"/>
      <c r="AO2" s="102"/>
      <c r="AP2" s="102"/>
      <c r="AQ2" s="102"/>
      <c r="AR2" s="105"/>
      <c r="AS2" s="105"/>
      <c r="AT2" s="105"/>
      <c r="AU2" s="105"/>
      <c r="AV2" s="102"/>
      <c r="AW2" s="102"/>
      <c r="AX2" s="102"/>
      <c r="AY2" s="102"/>
    </row>
    <row r="3" spans="1:51" ht="18" customHeight="1">
      <c r="A3" s="102"/>
      <c r="B3" s="114"/>
      <c r="C3" s="115"/>
      <c r="D3" s="116" t="s">
        <v>131</v>
      </c>
      <c r="E3" s="339" t="s">
        <v>255</v>
      </c>
      <c r="F3" s="340"/>
      <c r="G3" s="342" t="s">
        <v>133</v>
      </c>
      <c r="H3" s="316"/>
      <c r="I3" s="316"/>
      <c r="J3" s="339" t="s">
        <v>35</v>
      </c>
      <c r="K3" s="340"/>
      <c r="L3" s="342" t="s">
        <v>134</v>
      </c>
      <c r="M3" s="316"/>
      <c r="N3" s="339" t="s">
        <v>256</v>
      </c>
      <c r="O3" s="340"/>
      <c r="P3" s="340"/>
      <c r="Q3" s="340"/>
      <c r="R3" s="340"/>
      <c r="S3" s="340"/>
      <c r="T3" s="117"/>
      <c r="U3" s="338" t="s">
        <v>136</v>
      </c>
      <c r="V3" s="316"/>
      <c r="W3" s="316"/>
      <c r="X3" s="118"/>
      <c r="Y3" s="119" t="s">
        <v>137</v>
      </c>
      <c r="Z3" s="102"/>
      <c r="AA3" s="102"/>
      <c r="AB3" s="102"/>
      <c r="AC3" s="102"/>
      <c r="AD3" s="102"/>
      <c r="AE3" s="102"/>
      <c r="AF3" s="336" t="s">
        <v>138</v>
      </c>
      <c r="AG3" s="337"/>
      <c r="AH3" s="120"/>
      <c r="AI3" s="102"/>
      <c r="AJ3" s="102"/>
      <c r="AK3" s="102"/>
      <c r="AL3" s="102"/>
      <c r="AM3" s="102"/>
      <c r="AN3" s="102"/>
      <c r="AO3" s="102"/>
      <c r="AP3" s="102"/>
      <c r="AQ3" s="102"/>
      <c r="AR3" s="335" t="s">
        <v>139</v>
      </c>
      <c r="AS3" s="316"/>
      <c r="AT3" s="316"/>
      <c r="AU3" s="316"/>
      <c r="AV3" s="102"/>
      <c r="AW3" s="102"/>
      <c r="AX3" s="102"/>
      <c r="AY3" s="102"/>
    </row>
    <row r="4" spans="1:51" ht="3" customHeight="1">
      <c r="A4" s="102"/>
      <c r="B4" s="107"/>
      <c r="C4" s="108"/>
      <c r="D4" s="109"/>
      <c r="E4" s="109"/>
      <c r="F4" s="110"/>
      <c r="G4" s="108"/>
      <c r="H4" s="108"/>
      <c r="I4" s="108"/>
      <c r="J4" s="108"/>
      <c r="K4" s="109"/>
      <c r="L4" s="109"/>
      <c r="M4" s="109"/>
      <c r="N4" s="109"/>
      <c r="O4" s="109"/>
      <c r="P4" s="109"/>
      <c r="Q4" s="109"/>
      <c r="R4" s="109"/>
      <c r="S4" s="108"/>
      <c r="T4" s="111"/>
      <c r="U4" s="121"/>
      <c r="V4" s="122"/>
      <c r="W4" s="121"/>
      <c r="X4" s="121"/>
      <c r="Y4" s="121"/>
      <c r="Z4" s="121"/>
      <c r="AA4" s="121"/>
      <c r="AB4" s="121"/>
      <c r="AC4" s="121"/>
      <c r="AD4" s="121"/>
      <c r="AE4" s="121"/>
      <c r="AF4" s="121"/>
      <c r="AG4" s="121"/>
      <c r="AH4" s="120"/>
      <c r="AI4" s="102"/>
      <c r="AJ4" s="102"/>
      <c r="AK4" s="102"/>
      <c r="AL4" s="102"/>
      <c r="AM4" s="102"/>
      <c r="AN4" s="102"/>
      <c r="AO4" s="102"/>
      <c r="AP4" s="102"/>
      <c r="AQ4" s="102"/>
      <c r="AR4" s="105"/>
      <c r="AS4" s="105"/>
      <c r="AT4" s="105"/>
      <c r="AU4" s="105"/>
      <c r="AV4" s="102"/>
      <c r="AW4" s="102"/>
      <c r="AX4" s="102"/>
      <c r="AY4" s="102"/>
    </row>
    <row r="5" spans="1:51" ht="13.5" customHeight="1">
      <c r="A5" s="123"/>
      <c r="B5" s="124"/>
      <c r="C5" s="125" t="s">
        <v>140</v>
      </c>
      <c r="D5" s="126" t="s">
        <v>141</v>
      </c>
      <c r="E5" s="126" t="s">
        <v>126</v>
      </c>
      <c r="F5" s="127" t="s">
        <v>142</v>
      </c>
      <c r="G5" s="127" t="str">
        <f>T_MA</f>
        <v>MA</v>
      </c>
      <c r="H5" s="127" t="str">
        <f>T_ST</f>
        <v>ST</v>
      </c>
      <c r="I5" s="127" t="str">
        <f>T_AG</f>
        <v>AG</v>
      </c>
      <c r="J5" s="127" t="str">
        <f>T_AV</f>
        <v>AV</v>
      </c>
      <c r="K5" s="128" t="s">
        <v>143</v>
      </c>
      <c r="L5" s="125" t="s">
        <v>144</v>
      </c>
      <c r="M5" s="129" t="s">
        <v>120</v>
      </c>
      <c r="N5" s="130" t="s">
        <v>20</v>
      </c>
      <c r="O5" s="130" t="s">
        <v>121</v>
      </c>
      <c r="P5" s="130" t="s">
        <v>122</v>
      </c>
      <c r="Q5" s="130" t="s">
        <v>123</v>
      </c>
      <c r="R5" s="131" t="s">
        <v>124</v>
      </c>
      <c r="S5" s="132" t="s">
        <v>145</v>
      </c>
      <c r="T5" s="117"/>
      <c r="U5" s="133" t="s">
        <v>146</v>
      </c>
      <c r="V5" s="133" t="s">
        <v>147</v>
      </c>
      <c r="W5" s="134" t="s">
        <v>148</v>
      </c>
      <c r="X5" s="135"/>
      <c r="Y5" s="136" t="s">
        <v>149</v>
      </c>
      <c r="Z5" s="136" t="s">
        <v>150</v>
      </c>
      <c r="AA5" s="136" t="s">
        <v>151</v>
      </c>
      <c r="AB5" s="136" t="s">
        <v>152</v>
      </c>
      <c r="AC5" s="136" t="s">
        <v>153</v>
      </c>
      <c r="AD5" s="137" t="s">
        <v>154</v>
      </c>
      <c r="AE5" s="138" t="s">
        <v>155</v>
      </c>
      <c r="AF5" s="139" t="s">
        <v>156</v>
      </c>
      <c r="AG5" s="140" t="s">
        <v>157</v>
      </c>
      <c r="AH5" s="120"/>
      <c r="AI5" s="123"/>
      <c r="AJ5" s="141" t="s">
        <v>158</v>
      </c>
      <c r="AK5" s="141" t="s">
        <v>159</v>
      </c>
      <c r="AL5" s="123"/>
      <c r="AM5" s="123"/>
      <c r="AN5" s="123"/>
      <c r="AO5" s="123"/>
      <c r="AP5" s="123"/>
      <c r="AQ5" s="141" t="s">
        <v>160</v>
      </c>
      <c r="AR5" s="104" t="str">
        <f>T_MA</f>
        <v>MA</v>
      </c>
      <c r="AS5" s="104" t="str">
        <f>T_ST</f>
        <v>ST</v>
      </c>
      <c r="AT5" s="104" t="str">
        <f>T_AG</f>
        <v>AG</v>
      </c>
      <c r="AU5" s="104" t="str">
        <f>T_AV</f>
        <v>AV</v>
      </c>
      <c r="AV5" s="123"/>
      <c r="AW5" s="102"/>
      <c r="AX5" s="102"/>
      <c r="AY5" s="102"/>
    </row>
    <row r="6" spans="1:51" ht="13.5" customHeight="1">
      <c r="A6" s="102"/>
      <c r="B6" s="114"/>
      <c r="C6" s="142">
        <v>1</v>
      </c>
      <c r="D6" s="143" t="s">
        <v>257</v>
      </c>
      <c r="E6" s="143" t="s">
        <v>777</v>
      </c>
      <c r="F6" s="144" t="str">
        <f>IF($E6&lt;&gt;"",IF($AJ6&lt;&gt;"",IF(AND($L6=T_Journey,VLOOKUP($AJ6,DBPlayers,2,0)&lt;12),T_Error&amp;"7",IF("Journeymen not available"=0,T_Error&amp;"8",IF(COUNTIF($E$6:$E6,$E6)-$AQ6&gt;VLOOKUP($AJ6,DBPlayers,2,0),T_Error&amp;"2",IF(L6=T_MNG,0,COUNTIF($E$6:$E6,$E6)-$AQ6)&amp;"/"&amp;(VLOOKUP($AJ6,DBPlayers,2,0))))),T_Error&amp;"1"),"")</f>
        <v>1/16</v>
      </c>
      <c r="G6" s="145">
        <f t="shared" ref="G6:G21" si="0">IF(OR($E6="",LEFT($F6,LEN(T_Error))=T_Error),"",MAX(1,VLOOKUP($AJ6,DBPlayers,4,0)+COUNTIF($Y6:$AD6,T_MA&amp;"+")-IF(ISERROR(FIND(T_MA&amp;"-",$AE6)),0,IF(ISERROR(FIND(T_MA&amp;"-",$AE6,FIND(T_MA&amp;"-",$AE6)+LEN(T_MA)+1)),1,2))))</f>
        <v>5</v>
      </c>
      <c r="H6" s="145">
        <f t="shared" ref="H6:H21" si="1">IF(OR(($E6=""),(LEFT($F6,LEN(T_Error))=T_Error)),"",MAX(1,VLOOKUP($AJ6,DBPlayers,5,0)+COUNTIF($Y6:$AD6,T_ST&amp;"+")-IF(ISERROR(FIND(T_ST&amp;"-",$AE6)),0,IF(ISERROR(FIND(T_ST&amp;"-",$AE6,FIND(T_ST&amp;"-",$AE6)+LEN(T_ST)+1)),1,2))))</f>
        <v>3</v>
      </c>
      <c r="I6" s="145">
        <f t="shared" ref="I6:I21" si="2">IF(OR(($E6=""),(LEFT($F6,LEN(T_Error))=T_Error)),"",MAX(1,VLOOKUP($AJ6,DBPlayers,6,0)+COUNTIF($Y6:$AD6,T_AG&amp;"+")-IF(ISERROR(FIND(T_AG&amp;"-",$AE6)),0,IF(ISERROR(FIND(T_AG&amp;"-",$AE6,FIND(T_AG&amp;"-",$AE6)+LEN(T_AG)+1)),1,2))))</f>
        <v>3</v>
      </c>
      <c r="J6" s="145">
        <f t="shared" ref="J6:J21" si="3">IF(OR(($E6=""),(LEFT($F6,LEN(T_Error))=T_Error)),"",MAX(1,VLOOKUP($AJ6,DBPlayers,7,0)+COUNTIF($Y6:$AD6,T_AV&amp;"+")-IF(ISERROR(FIND(T_AV&amp;"-",$AE6)),0,IF(ISERROR(FIND(T_AV&amp;"-",$AE6,FIND(T_AV&amp;"-",$AE6)+LEN(T_AV)+1)),1,2))))</f>
        <v>9</v>
      </c>
      <c r="K6" s="146" t="str">
        <f t="shared" ref="K6:K21" ca="1" si="4">IF($E6="","",IF(LEFT($F6,LEN(T_Error))=T_Error,INDIRECT("T_Error"&amp;RIGHT($F6,1)),IF(VLOOKUP($AJ6,DBPlayers,8,0)&lt;&gt;0,IF($L6=T_Journey,T_Loner&amp;", ","")&amp;VLOOKUP($AJ6,DBPlayers,8,0)&amp;IF($W6&gt;0,", ",""),IF($L6=T_Journey,T_Loner,""))&amp;IF($W6&gt;0,IF(Y6&lt;&gt;"",Y6,T_MS),"")&amp;IF($W6&gt;1,", "&amp;IF(Z6&lt;&gt;"",Z6,T_MS),"")&amp;IF($W6&gt;2,", "&amp;IF(AA6&lt;&gt;"",AA6,T_MS),"")&amp;IF($W6&gt;3,", "&amp;IF(AB6&lt;&gt;"",AB6,T_MS),"")&amp;IF($W6&gt;4,", "&amp;IF(AC6&lt;&gt;"",AC6,T_MS),"")&amp;IF($W6&gt;5,", "&amp;IF(AD6&lt;&gt;"",AD6,T_MS),"")&amp;IF(AF6&lt;&gt;"",IF(OR($W6&gt;0,VLOOKUP($AJ6,DBPlayers,8,0)&lt;&gt;0),", ","")&amp;AF6,"")&amp;IF(AE6&lt;&gt;"",IF(OR($W6&gt;0,AF6&lt;&gt;"",VLOOKUP($AJ6,DBPlayers,8,0)&lt;&gt;0),", ","")&amp;AE6,"")))</f>
        <v>Block</v>
      </c>
      <c r="L6" s="147"/>
      <c r="M6" s="148"/>
      <c r="N6" s="149"/>
      <c r="O6" s="149"/>
      <c r="P6" s="149">
        <v>1</v>
      </c>
      <c r="Q6" s="149">
        <v>1</v>
      </c>
      <c r="R6" s="150">
        <f t="shared" ref="R6:R21" si="5">IF(OR(($E6=""),(LEFT($F6,LEN(T_Error))=T_Error)),"",M6*SPP_CP+N6*SPP_TD+O6*SPP_IN+P6*SPP_CS+Q6*SPP_VP)</f>
        <v>7</v>
      </c>
      <c r="S6" s="151">
        <f>IF(OR($E6="",LEFT($F6,LEN(T_Error))=T_Error),"",IF($L6=T_MNG,0,VLOOKUP($AJ6,DBPlayers,11,0)+SUM($AK6:$AP6)+AG6))</f>
        <v>70000</v>
      </c>
      <c r="T6" s="117"/>
      <c r="U6" s="152" t="str">
        <f t="shared" ref="U6:U21" si="6">IF(OR(($E6=""),(LEFT($F6,LEN(T_Error))=T_Error)),"",VLOOKUP($AJ6,DBPlayers,9,0))</f>
        <v>G</v>
      </c>
      <c r="V6" s="152" t="str">
        <f t="shared" ref="V6:V21" si="7">IF(OR(($E6=""),(LEFT($F6,LEN(T_Error))=T_Error)),"",VLOOKUP($AJ6,DBPlayers,10,0))</f>
        <v>A S P</v>
      </c>
      <c r="W6" s="153">
        <f t="shared" ref="W6:W21" si="8">IF(R6="","",IF($R6&gt;=SPP_6,6,IF($R6&gt;=SPP_5,5,IF($R6&gt;=SPP_4,4,IF($R6&gt;=SPP_3,3,IF($R6&gt;=SPP_2,2,IF($R6&gt;=SPP_1,1,0)))))))</f>
        <v>1</v>
      </c>
      <c r="X6" s="121"/>
      <c r="Y6" s="154" t="s">
        <v>162</v>
      </c>
      <c r="Z6" s="154"/>
      <c r="AA6" s="154"/>
      <c r="AB6" s="154"/>
      <c r="AC6" s="154"/>
      <c r="AD6" s="155"/>
      <c r="AE6" s="156"/>
      <c r="AF6" s="157"/>
      <c r="AG6" s="158"/>
      <c r="AH6" s="120"/>
      <c r="AI6" s="123">
        <v>1</v>
      </c>
      <c r="AJ6" s="159" t="str">
        <f t="shared" ref="AJ6:AJ21" si="9">IF(OR(E6="",ISERROR(VLOOKUP(E6,$AJ$58:$AL$67,3,0))),"",VLOOKUP(E6,$AJ$58:$AL$67,3,0))</f>
        <v>Orc1</v>
      </c>
      <c r="AK6" s="159">
        <f>IF(Y6="",0,IF(ISERROR(FIND(VLOOKUP(Y6,DBSkills,2,0),$U6)),0,IMP_REGULAR)+IF(ISERROR(FIND(VLOOKUP(Y6,DBSkills,2,0),$V6)),0,IMP_DOUBLE)+IF(Y6=T_ST&amp;"+",IMP_ST,0)+IF(Y6=T_AG&amp;"+",IMP_AG,0)+IF(Y6=T_MA&amp;"+",IMP_MA,0)+IF(Y6=T_AV&amp;"+",IMP_MA,0))</f>
        <v>20000</v>
      </c>
      <c r="AL6" s="159">
        <f t="shared" ref="AL6:AL21" si="10">IF(Z6="",0,IF(Z6=T_ST&amp;"+",50000,IF(Z6=T_AG&amp;"+",40000,IF(OR(Z6=T_MA&amp;"+",Z6=T_AV&amp;"+"),30000,IF(ISERROR(FIND(VLOOKUP(Z6,DBSkills,2,0),$V6)),20000,30000)))))</f>
        <v>0</v>
      </c>
      <c r="AM6" s="159">
        <f t="shared" ref="AM6:AM21" si="11">IF(AA6="",0,IF(AA6=T_ST&amp;"+",50000,IF(AA6=T_AG&amp;"+",40000,IF(OR(AA6=T_MA&amp;"+",AA6=T_AV&amp;"+"),30000,IF(ISERROR(FIND(VLOOKUP(AA6,DBSkills,2,0),$V6)),20000,30000)))))</f>
        <v>0</v>
      </c>
      <c r="AN6" s="159">
        <f t="shared" ref="AN6:AN21" si="12">IF(AB6="",0,IF(AB6=T_ST&amp;"+",50000,IF(AB6=T_AG&amp;"+",40000,IF(OR(AB6=T_MA&amp;"+",AB6=T_AV&amp;"+"),30000,IF(ISERROR(FIND(VLOOKUP(AB6,DBSkills,2,0),$V6)),20000,30000)))))</f>
        <v>0</v>
      </c>
      <c r="AO6" s="159">
        <f t="shared" ref="AO6:AO21" si="13">IF(AC6="",0,IF(AC6=T_ST&amp;"+",50000,IF(AC6=T_AG&amp;"+",40000,IF(OR(AC6=T_MA&amp;"+",AC6=T_AV&amp;"+"),30000,IF(ISERROR(FIND(VLOOKUP(AC6,DBSkills,2,0),$V6)),20000,30000)))))</f>
        <v>0</v>
      </c>
      <c r="AP6" s="159">
        <f t="shared" ref="AP6:AP21" si="14">IF(AD6="",0,IF(AD6=T_ST&amp;"+",50000,IF(AD6=T_AG&amp;"+",40000,IF(OR(AD6=T_MA&amp;"+",AD6=T_AV&amp;"+"),30000,IF(ISERROR(FIND(VLOOKUP(AD6,DBSkills,2,0),$V6)),20000,30000)))))</f>
        <v>0</v>
      </c>
      <c r="AQ6" s="159">
        <f t="array" ref="AQ6">IF(ISERROR($AJ6),0,IF($AJ6="","",SUM(IF($AJ6=$AJ$6:$AJ6,IF($L$6:$L6=T_MNG,1,0),0))))</f>
        <v>0</v>
      </c>
      <c r="AR6" s="160">
        <f t="shared" ref="AR6:AR21" si="15">IF(OR($E6="",LEFT($F6,LEN(T_Error))=T_Error),"",MAX(1,VLOOKUP($AJ6,DBPlayers,4,0)))</f>
        <v>5</v>
      </c>
      <c r="AS6" s="160">
        <f t="shared" ref="AS6:AS21" si="16">IF(OR(($E6=""),(LEFT($F6,LEN(T_Error))=T_Error)),"",MAX(1,VLOOKUP($AJ6,DBPlayers,5,0)))</f>
        <v>3</v>
      </c>
      <c r="AT6" s="160">
        <f t="shared" ref="AT6:AT21" si="17">IF(OR(($E6=""),(LEFT($F6,LEN(T_Error))=T_Error)),"",MAX(1,VLOOKUP($AJ6,DBPlayers,6,0)))</f>
        <v>3</v>
      </c>
      <c r="AU6" s="160">
        <f t="shared" ref="AU6:AU21" si="18">IF(OR(($E6=""),(LEFT($F6,LEN(T_Error))=T_Error)),"",MAX(1,VLOOKUP($AJ6,DBPlayers,7,0)))</f>
        <v>9</v>
      </c>
      <c r="AV6" s="102"/>
      <c r="AW6" s="102"/>
      <c r="AX6" s="102"/>
      <c r="AY6" s="102"/>
    </row>
    <row r="7" spans="1:51" ht="13.5" customHeight="1">
      <c r="A7" s="102"/>
      <c r="B7" s="114"/>
      <c r="C7" s="161">
        <v>2</v>
      </c>
      <c r="D7" s="162" t="s">
        <v>259</v>
      </c>
      <c r="E7" s="162" t="s">
        <v>777</v>
      </c>
      <c r="F7" s="163" t="str">
        <f>IF($E7&lt;&gt;"",IF($AJ7&lt;&gt;"",IF(AND($L7=T_Journey,VLOOKUP($AJ7,DBPlayers,2,0)&lt;12),T_Error&amp;"7",IF("Journeymen not available"=0,T_Error&amp;"8",IF(COUNTIF($E$6:$E7,$E7)-$AQ7&gt;VLOOKUP($AJ7,DBPlayers,2,0),T_Error&amp;"2",IF(L7=T_MNG,0,COUNTIF($E$6:$E7,$E7)-$AQ7)&amp;"/"&amp;(VLOOKUP($AJ7,DBPlayers,2,0))))),T_Error&amp;"1"),"")</f>
        <v>2/16</v>
      </c>
      <c r="G7" s="164">
        <f t="shared" si="0"/>
        <v>5</v>
      </c>
      <c r="H7" s="164">
        <f t="shared" si="1"/>
        <v>3</v>
      </c>
      <c r="I7" s="164">
        <f t="shared" si="2"/>
        <v>3</v>
      </c>
      <c r="J7" s="164">
        <f t="shared" si="3"/>
        <v>9</v>
      </c>
      <c r="K7" s="167" t="str">
        <f t="shared" ca="1" si="4"/>
        <v/>
      </c>
      <c r="L7" s="168"/>
      <c r="M7" s="169"/>
      <c r="N7" s="170"/>
      <c r="O7" s="170"/>
      <c r="P7" s="170"/>
      <c r="Q7" s="170"/>
      <c r="R7" s="171">
        <f t="shared" si="5"/>
        <v>0</v>
      </c>
      <c r="S7" s="172">
        <f t="shared" ref="S7:S21" si="19">IF(OR($E7="",LEFT($F7,LEN(T_Error))=T_Error),"",IF($L7=T_MNG,0,VLOOKUP($AJ7,DBPlayers,11,0)+SUM($AK7:$AP7)))</f>
        <v>50000</v>
      </c>
      <c r="T7" s="117"/>
      <c r="U7" s="152" t="str">
        <f t="shared" si="6"/>
        <v>G</v>
      </c>
      <c r="V7" s="152" t="str">
        <f t="shared" si="7"/>
        <v>A S P</v>
      </c>
      <c r="W7" s="153">
        <f t="shared" si="8"/>
        <v>0</v>
      </c>
      <c r="X7" s="121"/>
      <c r="Y7" s="154"/>
      <c r="Z7" s="154"/>
      <c r="AA7" s="154"/>
      <c r="AB7" s="154"/>
      <c r="AC7" s="154"/>
      <c r="AD7" s="155"/>
      <c r="AE7" s="156"/>
      <c r="AF7" s="173"/>
      <c r="AG7" s="174"/>
      <c r="AH7" s="120"/>
      <c r="AI7" s="123">
        <v>2</v>
      </c>
      <c r="AJ7" s="159" t="str">
        <f t="shared" si="9"/>
        <v>Orc1</v>
      </c>
      <c r="AK7" s="159">
        <f t="shared" ref="AK7:AK21" si="20">IF(Y7="",0,IF(Y7=T_ST&amp;"+",50000,IF(Y7=T_AG&amp;"+",40000,IF(OR(Y7=T_MA&amp;"+",Y7=T_AV&amp;"+"),30000,IF(ISERROR(FIND(VLOOKUP(Y7,DBSkills,2,0),$V7)),20000,30000)))))</f>
        <v>0</v>
      </c>
      <c r="AL7" s="159">
        <f t="shared" si="10"/>
        <v>0</v>
      </c>
      <c r="AM7" s="159">
        <f t="shared" si="11"/>
        <v>0</v>
      </c>
      <c r="AN7" s="159">
        <f t="shared" si="12"/>
        <v>0</v>
      </c>
      <c r="AO7" s="159">
        <f t="shared" si="13"/>
        <v>0</v>
      </c>
      <c r="AP7" s="159">
        <f t="shared" si="14"/>
        <v>0</v>
      </c>
      <c r="AQ7" s="159">
        <f t="array" ref="AQ7">IF(ISERROR($AJ7),0,IF($AJ7="","",SUM(IF($AJ7=$AJ$6:$AJ7,IF($L$6:$L7=T_MNG,1,0),0))))</f>
        <v>0</v>
      </c>
      <c r="AR7" s="160">
        <f t="shared" si="15"/>
        <v>5</v>
      </c>
      <c r="AS7" s="160">
        <f t="shared" si="16"/>
        <v>3</v>
      </c>
      <c r="AT7" s="160">
        <f t="shared" si="17"/>
        <v>3</v>
      </c>
      <c r="AU7" s="160">
        <f t="shared" si="18"/>
        <v>9</v>
      </c>
      <c r="AV7" s="102"/>
      <c r="AW7" s="123"/>
      <c r="AX7" s="123"/>
      <c r="AY7" s="123"/>
    </row>
    <row r="8" spans="1:51" ht="13.5" customHeight="1">
      <c r="A8" s="102"/>
      <c r="B8" s="114"/>
      <c r="C8" s="161">
        <v>3</v>
      </c>
      <c r="D8" s="162"/>
      <c r="E8" s="162"/>
      <c r="F8" s="163" t="str">
        <f>IF($E8&lt;&gt;"",IF($AJ8&lt;&gt;"",IF(AND($L8=T_Journey,VLOOKUP($AJ8,DBPlayers,2,0)&lt;12),T_Error&amp;"7",IF("Journeymen not available"=0,T_Error&amp;"8",IF(COUNTIF($E$6:$E8,$E8)-$AQ8&gt;VLOOKUP($AJ8,DBPlayers,2,0),T_Error&amp;"2",IF(L8=T_MNG,0,COUNTIF($E$6:$E8,$E8)-$AQ8)&amp;"/"&amp;(VLOOKUP($AJ8,DBPlayers,2,0))))),T_Error&amp;"1"),"")</f>
        <v/>
      </c>
      <c r="G8" s="164" t="str">
        <f t="shared" si="0"/>
        <v/>
      </c>
      <c r="H8" s="164" t="str">
        <f t="shared" si="1"/>
        <v/>
      </c>
      <c r="I8" s="164" t="str">
        <f t="shared" si="2"/>
        <v/>
      </c>
      <c r="J8" s="164" t="str">
        <f t="shared" si="3"/>
        <v/>
      </c>
      <c r="K8" s="167" t="str">
        <f t="shared" ca="1" si="4"/>
        <v/>
      </c>
      <c r="L8" s="168"/>
      <c r="M8" s="169"/>
      <c r="N8" s="170"/>
      <c r="O8" s="170"/>
      <c r="P8" s="170"/>
      <c r="Q8" s="170"/>
      <c r="R8" s="171" t="str">
        <f t="shared" si="5"/>
        <v/>
      </c>
      <c r="S8" s="172" t="str">
        <f t="shared" si="19"/>
        <v/>
      </c>
      <c r="T8" s="117"/>
      <c r="U8" s="152" t="str">
        <f t="shared" si="6"/>
        <v/>
      </c>
      <c r="V8" s="152" t="str">
        <f t="shared" si="7"/>
        <v/>
      </c>
      <c r="W8" s="153" t="str">
        <f t="shared" si="8"/>
        <v/>
      </c>
      <c r="X8" s="121"/>
      <c r="Y8" s="154"/>
      <c r="Z8" s="154"/>
      <c r="AA8" s="154"/>
      <c r="AB8" s="154"/>
      <c r="AC8" s="154"/>
      <c r="AD8" s="155"/>
      <c r="AE8" s="156"/>
      <c r="AF8" s="154"/>
      <c r="AG8" s="155"/>
      <c r="AH8" s="120"/>
      <c r="AI8" s="123">
        <v>3</v>
      </c>
      <c r="AJ8" s="159" t="str">
        <f t="shared" si="9"/>
        <v/>
      </c>
      <c r="AK8" s="159">
        <f t="shared" si="20"/>
        <v>0</v>
      </c>
      <c r="AL8" s="159">
        <f t="shared" si="10"/>
        <v>0</v>
      </c>
      <c r="AM8" s="159">
        <f t="shared" si="11"/>
        <v>0</v>
      </c>
      <c r="AN8" s="159">
        <f t="shared" si="12"/>
        <v>0</v>
      </c>
      <c r="AO8" s="159">
        <f t="shared" si="13"/>
        <v>0</v>
      </c>
      <c r="AP8" s="159">
        <f t="shared" si="14"/>
        <v>0</v>
      </c>
      <c r="AQ8" s="159" t="str">
        <f t="array" ref="AQ8">IF(ISERROR($AJ8),0,IF($AJ8="","",SUM(IF($AJ8=$AJ$6:$AJ8,IF($L$6:$L8=T_MNG,1,0),0))))</f>
        <v/>
      </c>
      <c r="AR8" s="160" t="str">
        <f t="shared" si="15"/>
        <v/>
      </c>
      <c r="AS8" s="160" t="str">
        <f t="shared" si="16"/>
        <v/>
      </c>
      <c r="AT8" s="160" t="str">
        <f t="shared" si="17"/>
        <v/>
      </c>
      <c r="AU8" s="160" t="str">
        <f t="shared" si="18"/>
        <v/>
      </c>
      <c r="AV8" s="102"/>
      <c r="AW8" s="102"/>
      <c r="AX8" s="102"/>
      <c r="AY8" s="102"/>
    </row>
    <row r="9" spans="1:51" ht="13.5" customHeight="1">
      <c r="A9" s="102"/>
      <c r="B9" s="114"/>
      <c r="C9" s="161">
        <v>4</v>
      </c>
      <c r="D9" s="162"/>
      <c r="E9" s="162"/>
      <c r="F9" s="163" t="str">
        <f>IF($E9&lt;&gt;"",IF($AJ9&lt;&gt;"",IF(AND($L9=T_Journey,VLOOKUP($AJ9,DBPlayers,2,0)&lt;12),T_Error&amp;"7",IF("Journeymen not available"=0,T_Error&amp;"8",IF(COUNTIF($E$6:$E9,$E9)-$AQ9&gt;VLOOKUP($AJ9,DBPlayers,2,0),T_Error&amp;"2",IF(L9=T_MNG,0,COUNTIF($E$6:$E9,$E9)-$AQ9)&amp;"/"&amp;(VLOOKUP($AJ9,DBPlayers,2,0))))),T_Error&amp;"1"),"")</f>
        <v/>
      </c>
      <c r="G9" s="164" t="str">
        <f t="shared" si="0"/>
        <v/>
      </c>
      <c r="H9" s="164" t="str">
        <f t="shared" si="1"/>
        <v/>
      </c>
      <c r="I9" s="164" t="str">
        <f t="shared" si="2"/>
        <v/>
      </c>
      <c r="J9" s="164" t="str">
        <f t="shared" si="3"/>
        <v/>
      </c>
      <c r="K9" s="167" t="str">
        <f t="shared" ca="1" si="4"/>
        <v/>
      </c>
      <c r="L9" s="168"/>
      <c r="M9" s="169"/>
      <c r="N9" s="170"/>
      <c r="O9" s="170"/>
      <c r="P9" s="170"/>
      <c r="Q9" s="170"/>
      <c r="R9" s="171" t="str">
        <f t="shared" si="5"/>
        <v/>
      </c>
      <c r="S9" s="172" t="str">
        <f t="shared" si="19"/>
        <v/>
      </c>
      <c r="T9" s="117"/>
      <c r="U9" s="152" t="str">
        <f t="shared" si="6"/>
        <v/>
      </c>
      <c r="V9" s="152" t="str">
        <f t="shared" si="7"/>
        <v/>
      </c>
      <c r="W9" s="153" t="str">
        <f t="shared" si="8"/>
        <v/>
      </c>
      <c r="X9" s="121"/>
      <c r="Y9" s="154"/>
      <c r="Z9" s="154"/>
      <c r="AA9" s="154"/>
      <c r="AB9" s="154"/>
      <c r="AC9" s="154"/>
      <c r="AD9" s="155"/>
      <c r="AE9" s="156"/>
      <c r="AF9" s="154"/>
      <c r="AG9" s="155"/>
      <c r="AH9" s="120"/>
      <c r="AI9" s="123">
        <v>4</v>
      </c>
      <c r="AJ9" s="159" t="str">
        <f t="shared" si="9"/>
        <v/>
      </c>
      <c r="AK9" s="159">
        <f t="shared" si="20"/>
        <v>0</v>
      </c>
      <c r="AL9" s="159">
        <f t="shared" si="10"/>
        <v>0</v>
      </c>
      <c r="AM9" s="159">
        <f t="shared" si="11"/>
        <v>0</v>
      </c>
      <c r="AN9" s="159">
        <f t="shared" si="12"/>
        <v>0</v>
      </c>
      <c r="AO9" s="159">
        <f t="shared" si="13"/>
        <v>0</v>
      </c>
      <c r="AP9" s="159">
        <f t="shared" si="14"/>
        <v>0</v>
      </c>
      <c r="AQ9" s="159" t="str">
        <f t="array" ref="AQ9">IF(ISERROR($AJ9),0,IF($AJ9="","",SUM(IF($AJ9=$AJ$6:$AJ9,IF($L$6:$L9=T_MNG,1,0),0))))</f>
        <v/>
      </c>
      <c r="AR9" s="160" t="str">
        <f t="shared" si="15"/>
        <v/>
      </c>
      <c r="AS9" s="160" t="str">
        <f t="shared" si="16"/>
        <v/>
      </c>
      <c r="AT9" s="160" t="str">
        <f t="shared" si="17"/>
        <v/>
      </c>
      <c r="AU9" s="160" t="str">
        <f t="shared" si="18"/>
        <v/>
      </c>
      <c r="AV9" s="102"/>
      <c r="AW9" s="102"/>
      <c r="AX9" s="102"/>
      <c r="AY9" s="102"/>
    </row>
    <row r="10" spans="1:51" ht="13.5" customHeight="1">
      <c r="A10" s="102"/>
      <c r="B10" s="114"/>
      <c r="C10" s="161">
        <v>5</v>
      </c>
      <c r="D10" s="162"/>
      <c r="E10" s="162"/>
      <c r="F10" s="163" t="str">
        <f>IF($E10&lt;&gt;"",IF($AJ10&lt;&gt;"",IF(AND($L10=T_Journey,VLOOKUP($AJ10,DBPlayers,2,0)&lt;12),T_Error&amp;"7",IF("Journeymen not available"=0,T_Error&amp;"8",IF(COUNTIF($E$6:$E10,$E10)-$AQ10&gt;VLOOKUP($AJ10,DBPlayers,2,0),T_Error&amp;"2",IF(L10=T_MNG,0,COUNTIF($E$6:$E10,$E10)-$AQ10)&amp;"/"&amp;(VLOOKUP($AJ10,DBPlayers,2,0))))),T_Error&amp;"1"),"")</f>
        <v/>
      </c>
      <c r="G10" s="164" t="str">
        <f t="shared" si="0"/>
        <v/>
      </c>
      <c r="H10" s="164" t="str">
        <f t="shared" si="1"/>
        <v/>
      </c>
      <c r="I10" s="164" t="str">
        <f t="shared" si="2"/>
        <v/>
      </c>
      <c r="J10" s="164" t="str">
        <f t="shared" si="3"/>
        <v/>
      </c>
      <c r="K10" s="167" t="str">
        <f t="shared" ca="1" si="4"/>
        <v/>
      </c>
      <c r="L10" s="168"/>
      <c r="M10" s="169"/>
      <c r="N10" s="170"/>
      <c r="O10" s="170"/>
      <c r="P10" s="170"/>
      <c r="Q10" s="170"/>
      <c r="R10" s="171" t="str">
        <f t="shared" si="5"/>
        <v/>
      </c>
      <c r="S10" s="172" t="str">
        <f t="shared" si="19"/>
        <v/>
      </c>
      <c r="T10" s="117"/>
      <c r="U10" s="152" t="str">
        <f t="shared" si="6"/>
        <v/>
      </c>
      <c r="V10" s="152" t="str">
        <f t="shared" si="7"/>
        <v/>
      </c>
      <c r="W10" s="153" t="str">
        <f t="shared" si="8"/>
        <v/>
      </c>
      <c r="X10" s="121"/>
      <c r="Y10" s="154"/>
      <c r="Z10" s="154"/>
      <c r="AA10" s="154"/>
      <c r="AB10" s="154"/>
      <c r="AC10" s="154"/>
      <c r="AD10" s="155"/>
      <c r="AE10" s="156"/>
      <c r="AF10" s="154"/>
      <c r="AG10" s="155"/>
      <c r="AH10" s="120"/>
      <c r="AI10" s="123">
        <v>5</v>
      </c>
      <c r="AJ10" s="159" t="str">
        <f t="shared" si="9"/>
        <v/>
      </c>
      <c r="AK10" s="159">
        <f t="shared" si="20"/>
        <v>0</v>
      </c>
      <c r="AL10" s="159">
        <f t="shared" si="10"/>
        <v>0</v>
      </c>
      <c r="AM10" s="159">
        <f t="shared" si="11"/>
        <v>0</v>
      </c>
      <c r="AN10" s="159">
        <f t="shared" si="12"/>
        <v>0</v>
      </c>
      <c r="AO10" s="159">
        <f t="shared" si="13"/>
        <v>0</v>
      </c>
      <c r="AP10" s="159">
        <f t="shared" si="14"/>
        <v>0</v>
      </c>
      <c r="AQ10" s="159" t="str">
        <f t="array" ref="AQ10">IF(ISERROR($AJ10),0,IF($AJ10="","",SUM(IF($AJ10=$AJ$6:$AJ10,IF($L$6:$L10=T_MNG,1,0),0))))</f>
        <v/>
      </c>
      <c r="AR10" s="160" t="str">
        <f t="shared" si="15"/>
        <v/>
      </c>
      <c r="AS10" s="160" t="str">
        <f t="shared" si="16"/>
        <v/>
      </c>
      <c r="AT10" s="160" t="str">
        <f t="shared" si="17"/>
        <v/>
      </c>
      <c r="AU10" s="160" t="str">
        <f t="shared" si="18"/>
        <v/>
      </c>
      <c r="AV10" s="102"/>
      <c r="AW10" s="102"/>
      <c r="AX10" s="102"/>
      <c r="AY10" s="102"/>
    </row>
    <row r="11" spans="1:51" ht="13.5" customHeight="1">
      <c r="A11" s="102"/>
      <c r="B11" s="114"/>
      <c r="C11" s="161">
        <v>6</v>
      </c>
      <c r="D11" s="162"/>
      <c r="E11" s="162"/>
      <c r="F11" s="163" t="str">
        <f>IF($E11&lt;&gt;"",IF($AJ11&lt;&gt;"",IF(AND($L11=T_Journey,VLOOKUP($AJ11,DBPlayers,2,0)&lt;12),T_Error&amp;"7",IF("Journeymen not available"=0,T_Error&amp;"8",IF(COUNTIF($E$6:$E11,$E11)-$AQ11&gt;VLOOKUP($AJ11,DBPlayers,2,0),T_Error&amp;"2",IF(L11=T_MNG,0,COUNTIF($E$6:$E11,$E11)-$AQ11)&amp;"/"&amp;(VLOOKUP($AJ11,DBPlayers,2,0))))),T_Error&amp;"1"),"")</f>
        <v/>
      </c>
      <c r="G11" s="164" t="str">
        <f t="shared" si="0"/>
        <v/>
      </c>
      <c r="H11" s="164" t="str">
        <f t="shared" si="1"/>
        <v/>
      </c>
      <c r="I11" s="164" t="str">
        <f t="shared" si="2"/>
        <v/>
      </c>
      <c r="J11" s="164" t="str">
        <f t="shared" si="3"/>
        <v/>
      </c>
      <c r="K11" s="167" t="str">
        <f t="shared" ca="1" si="4"/>
        <v/>
      </c>
      <c r="L11" s="168"/>
      <c r="M11" s="169"/>
      <c r="N11" s="170"/>
      <c r="O11" s="170"/>
      <c r="P11" s="170"/>
      <c r="Q11" s="170"/>
      <c r="R11" s="171" t="str">
        <f t="shared" si="5"/>
        <v/>
      </c>
      <c r="S11" s="172" t="str">
        <f t="shared" si="19"/>
        <v/>
      </c>
      <c r="T11" s="117"/>
      <c r="U11" s="152" t="str">
        <f t="shared" si="6"/>
        <v/>
      </c>
      <c r="V11" s="152" t="str">
        <f t="shared" si="7"/>
        <v/>
      </c>
      <c r="W11" s="153" t="str">
        <f t="shared" si="8"/>
        <v/>
      </c>
      <c r="X11" s="121"/>
      <c r="Y11" s="154"/>
      <c r="Z11" s="154"/>
      <c r="AA11" s="154"/>
      <c r="AB11" s="154"/>
      <c r="AC11" s="154"/>
      <c r="AD11" s="155"/>
      <c r="AE11" s="156"/>
      <c r="AF11" s="154"/>
      <c r="AG11" s="155"/>
      <c r="AH11" s="120"/>
      <c r="AI11" s="123">
        <v>6</v>
      </c>
      <c r="AJ11" s="159" t="str">
        <f t="shared" si="9"/>
        <v/>
      </c>
      <c r="AK11" s="159">
        <f t="shared" si="20"/>
        <v>0</v>
      </c>
      <c r="AL11" s="159">
        <f t="shared" si="10"/>
        <v>0</v>
      </c>
      <c r="AM11" s="159">
        <f t="shared" si="11"/>
        <v>0</v>
      </c>
      <c r="AN11" s="159">
        <f t="shared" si="12"/>
        <v>0</v>
      </c>
      <c r="AO11" s="159">
        <f t="shared" si="13"/>
        <v>0</v>
      </c>
      <c r="AP11" s="159">
        <f t="shared" si="14"/>
        <v>0</v>
      </c>
      <c r="AQ11" s="159" t="str">
        <f t="array" ref="AQ11">IF(ISERROR($AJ11),0,IF($AJ11="","",SUM(IF($AJ11=$AJ$6:$AJ11,IF($L$6:$L11=T_MNG,1,0),0))))</f>
        <v/>
      </c>
      <c r="AR11" s="160" t="str">
        <f t="shared" si="15"/>
        <v/>
      </c>
      <c r="AS11" s="160" t="str">
        <f t="shared" si="16"/>
        <v/>
      </c>
      <c r="AT11" s="160" t="str">
        <f t="shared" si="17"/>
        <v/>
      </c>
      <c r="AU11" s="160" t="str">
        <f t="shared" si="18"/>
        <v/>
      </c>
      <c r="AV11" s="102"/>
      <c r="AW11" s="102"/>
      <c r="AX11" s="102"/>
      <c r="AY11" s="102"/>
    </row>
    <row r="12" spans="1:51" ht="13.5" customHeight="1">
      <c r="A12" s="102"/>
      <c r="B12" s="114"/>
      <c r="C12" s="161">
        <v>7</v>
      </c>
      <c r="D12" s="162" t="s">
        <v>261</v>
      </c>
      <c r="E12" s="162" t="s">
        <v>262</v>
      </c>
      <c r="F12" s="163" t="str">
        <f>IF($E12&lt;&gt;"",IF($AJ12&lt;&gt;"",IF(AND($L12=T_Journey,VLOOKUP($AJ12,DBPlayers,2,0)&lt;12),T_Error&amp;"7",IF("Journeymen not available"=0,T_Error&amp;"8",IF(COUNTIF($E$6:$E12,$E12)-$AQ12&gt;VLOOKUP($AJ12,DBPlayers,2,0),T_Error&amp;"2",IF(L12=T_MNG,0,COUNTIF($E$6:$E12,$E12)-$AQ12)&amp;"/"&amp;(VLOOKUP($AJ12,DBPlayers,2,0))))),T_Error&amp;"1"),"")</f>
        <v>1/2</v>
      </c>
      <c r="G12" s="164">
        <f t="shared" si="0"/>
        <v>5</v>
      </c>
      <c r="H12" s="164">
        <f t="shared" si="1"/>
        <v>3</v>
      </c>
      <c r="I12" s="164">
        <f t="shared" si="2"/>
        <v>3</v>
      </c>
      <c r="J12" s="164">
        <f t="shared" si="3"/>
        <v>8</v>
      </c>
      <c r="K12" s="167" t="str">
        <f t="shared" ca="1" si="4"/>
        <v>Pass, Sure Hands, Block</v>
      </c>
      <c r="L12" s="168"/>
      <c r="M12" s="169">
        <v>1</v>
      </c>
      <c r="N12" s="170">
        <v>2</v>
      </c>
      <c r="O12" s="170"/>
      <c r="P12" s="170">
        <v>1</v>
      </c>
      <c r="Q12" s="170"/>
      <c r="R12" s="171">
        <f t="shared" si="5"/>
        <v>9</v>
      </c>
      <c r="S12" s="172">
        <f t="shared" si="19"/>
        <v>90000</v>
      </c>
      <c r="T12" s="117"/>
      <c r="U12" s="152" t="str">
        <f t="shared" si="6"/>
        <v xml:space="preserve">G P </v>
      </c>
      <c r="V12" s="152" t="str">
        <f t="shared" si="7"/>
        <v>A S</v>
      </c>
      <c r="W12" s="153">
        <f t="shared" si="8"/>
        <v>1</v>
      </c>
      <c r="X12" s="121"/>
      <c r="Y12" s="154" t="s">
        <v>162</v>
      </c>
      <c r="Z12" s="154"/>
      <c r="AA12" s="154"/>
      <c r="AB12" s="154"/>
      <c r="AC12" s="154"/>
      <c r="AD12" s="155"/>
      <c r="AE12" s="156"/>
      <c r="AF12" s="154"/>
      <c r="AG12" s="155"/>
      <c r="AH12" s="120"/>
      <c r="AI12" s="123">
        <v>7</v>
      </c>
      <c r="AJ12" s="159" t="str">
        <f t="shared" si="9"/>
        <v>Orc3</v>
      </c>
      <c r="AK12" s="159">
        <f t="shared" si="20"/>
        <v>20000</v>
      </c>
      <c r="AL12" s="159">
        <f t="shared" si="10"/>
        <v>0</v>
      </c>
      <c r="AM12" s="159">
        <f t="shared" si="11"/>
        <v>0</v>
      </c>
      <c r="AN12" s="159">
        <f t="shared" si="12"/>
        <v>0</v>
      </c>
      <c r="AO12" s="159">
        <f t="shared" si="13"/>
        <v>0</v>
      </c>
      <c r="AP12" s="159">
        <f t="shared" si="14"/>
        <v>0</v>
      </c>
      <c r="AQ12" s="159">
        <f t="array" ref="AQ12">IF(ISERROR($AJ12),0,IF($AJ12="","",SUM(IF($AJ12=$AJ$6:$AJ12,IF($L$6:$L12=T_MNG,1,0),0))))</f>
        <v>0</v>
      </c>
      <c r="AR12" s="160">
        <f t="shared" si="15"/>
        <v>5</v>
      </c>
      <c r="AS12" s="160">
        <f t="shared" si="16"/>
        <v>3</v>
      </c>
      <c r="AT12" s="160">
        <f t="shared" si="17"/>
        <v>3</v>
      </c>
      <c r="AU12" s="160">
        <f t="shared" si="18"/>
        <v>8</v>
      </c>
      <c r="AV12" s="102"/>
      <c r="AW12" s="102"/>
      <c r="AX12" s="102"/>
      <c r="AY12" s="102"/>
    </row>
    <row r="13" spans="1:51" ht="13.5" customHeight="1">
      <c r="A13" s="102"/>
      <c r="B13" s="114"/>
      <c r="C13" s="161">
        <v>8</v>
      </c>
      <c r="D13" s="162"/>
      <c r="E13" s="162"/>
      <c r="F13" s="163" t="str">
        <f>IF($E13&lt;&gt;"",IF($AJ13&lt;&gt;"",IF(AND($L13=T_Journey,VLOOKUP($AJ13,DBPlayers,2,0)&lt;12),T_Error&amp;"7",IF("Journeymen not available"=0,T_Error&amp;"8",IF(COUNTIF($E$6:$E13,$E13)-$AQ13&gt;VLOOKUP($AJ13,DBPlayers,2,0),T_Error&amp;"2",IF(L13=T_MNG,0,COUNTIF($E$6:$E13,$E13)-$AQ13)&amp;"/"&amp;(VLOOKUP($AJ13,DBPlayers,2,0))))),T_Error&amp;"1"),"")</f>
        <v/>
      </c>
      <c r="G13" s="164" t="str">
        <f t="shared" si="0"/>
        <v/>
      </c>
      <c r="H13" s="164" t="str">
        <f t="shared" si="1"/>
        <v/>
      </c>
      <c r="I13" s="164" t="str">
        <f t="shared" si="2"/>
        <v/>
      </c>
      <c r="J13" s="164" t="str">
        <f t="shared" si="3"/>
        <v/>
      </c>
      <c r="K13" s="167" t="str">
        <f t="shared" ca="1" si="4"/>
        <v/>
      </c>
      <c r="L13" s="168"/>
      <c r="M13" s="169"/>
      <c r="N13" s="170"/>
      <c r="O13" s="170"/>
      <c r="P13" s="170"/>
      <c r="Q13" s="170"/>
      <c r="R13" s="171" t="str">
        <f t="shared" si="5"/>
        <v/>
      </c>
      <c r="S13" s="172" t="str">
        <f t="shared" si="19"/>
        <v/>
      </c>
      <c r="T13" s="117"/>
      <c r="U13" s="152" t="str">
        <f t="shared" si="6"/>
        <v/>
      </c>
      <c r="V13" s="152" t="str">
        <f t="shared" si="7"/>
        <v/>
      </c>
      <c r="W13" s="153" t="str">
        <f t="shared" si="8"/>
        <v/>
      </c>
      <c r="X13" s="121"/>
      <c r="Y13" s="154"/>
      <c r="Z13" s="154"/>
      <c r="AA13" s="154"/>
      <c r="AB13" s="154"/>
      <c r="AC13" s="154"/>
      <c r="AD13" s="155"/>
      <c r="AE13" s="156"/>
      <c r="AF13" s="154"/>
      <c r="AG13" s="155"/>
      <c r="AH13" s="120"/>
      <c r="AI13" s="123">
        <v>8</v>
      </c>
      <c r="AJ13" s="159" t="str">
        <f t="shared" si="9"/>
        <v/>
      </c>
      <c r="AK13" s="159">
        <f t="shared" si="20"/>
        <v>0</v>
      </c>
      <c r="AL13" s="159">
        <f t="shared" si="10"/>
        <v>0</v>
      </c>
      <c r="AM13" s="159">
        <f t="shared" si="11"/>
        <v>0</v>
      </c>
      <c r="AN13" s="159">
        <f t="shared" si="12"/>
        <v>0</v>
      </c>
      <c r="AO13" s="159">
        <f t="shared" si="13"/>
        <v>0</v>
      </c>
      <c r="AP13" s="159">
        <f t="shared" si="14"/>
        <v>0</v>
      </c>
      <c r="AQ13" s="159" t="str">
        <f t="array" ref="AQ13">IF(ISERROR($AJ13),0,IF($AJ13="","",SUM(IF($AJ13=$AJ$6:$AJ13,IF($L$6:$L13=T_MNG,1,0),0))))</f>
        <v/>
      </c>
      <c r="AR13" s="160" t="str">
        <f t="shared" si="15"/>
        <v/>
      </c>
      <c r="AS13" s="160" t="str">
        <f t="shared" si="16"/>
        <v/>
      </c>
      <c r="AT13" s="160" t="str">
        <f t="shared" si="17"/>
        <v/>
      </c>
      <c r="AU13" s="160" t="str">
        <f t="shared" si="18"/>
        <v/>
      </c>
      <c r="AV13" s="102"/>
      <c r="AW13" s="102"/>
      <c r="AX13" s="102"/>
      <c r="AY13" s="102"/>
    </row>
    <row r="14" spans="1:51" ht="13.5" customHeight="1">
      <c r="A14" s="102"/>
      <c r="B14" s="114"/>
      <c r="C14" s="161">
        <v>9</v>
      </c>
      <c r="D14" s="162" t="s">
        <v>268</v>
      </c>
      <c r="E14" s="162" t="s">
        <v>269</v>
      </c>
      <c r="F14" s="163" t="str">
        <f>IF($E14&lt;&gt;"",IF($AJ14&lt;&gt;"",IF(AND($L14=T_Journey,VLOOKUP($AJ14,DBPlayers,2,0)&lt;12),T_Error&amp;"7",IF("Journeymen not available"=0,T_Error&amp;"8",IF(COUNTIF($E$6:$E14,$E14)-$AQ14&gt;VLOOKUP($AJ14,DBPlayers,2,0),T_Error&amp;"2",IF(L14=T_MNG,0,COUNTIF($E$6:$E14,$E14)-$AQ14)&amp;"/"&amp;(VLOOKUP($AJ14,DBPlayers,2,0))))),T_Error&amp;"1"),"")</f>
        <v>1/4</v>
      </c>
      <c r="G14" s="164">
        <f t="shared" si="0"/>
        <v>6</v>
      </c>
      <c r="H14" s="164">
        <f t="shared" si="1"/>
        <v>3</v>
      </c>
      <c r="I14" s="164">
        <f t="shared" si="2"/>
        <v>3</v>
      </c>
      <c r="J14" s="164">
        <f t="shared" si="3"/>
        <v>9</v>
      </c>
      <c r="K14" s="167" t="str">
        <f t="shared" ca="1" si="4"/>
        <v>Block, Guard</v>
      </c>
      <c r="L14" s="168"/>
      <c r="M14" s="169">
        <v>1</v>
      </c>
      <c r="N14" s="170"/>
      <c r="O14" s="170"/>
      <c r="P14" s="170">
        <v>3</v>
      </c>
      <c r="Q14" s="170">
        <v>1</v>
      </c>
      <c r="R14" s="171">
        <f t="shared" si="5"/>
        <v>12</v>
      </c>
      <c r="S14" s="172">
        <f t="shared" si="19"/>
        <v>100000</v>
      </c>
      <c r="T14" s="117"/>
      <c r="U14" s="152" t="str">
        <f t="shared" si="6"/>
        <v>G S</v>
      </c>
      <c r="V14" s="152" t="str">
        <f t="shared" si="7"/>
        <v>A P</v>
      </c>
      <c r="W14" s="153">
        <f t="shared" si="8"/>
        <v>1</v>
      </c>
      <c r="X14" s="121"/>
      <c r="Y14" s="154" t="s">
        <v>270</v>
      </c>
      <c r="Z14" s="154"/>
      <c r="AA14" s="154"/>
      <c r="AB14" s="154"/>
      <c r="AC14" s="154"/>
      <c r="AD14" s="155"/>
      <c r="AE14" s="156"/>
      <c r="AF14" s="154"/>
      <c r="AG14" s="155"/>
      <c r="AH14" s="120"/>
      <c r="AI14" s="123">
        <v>9</v>
      </c>
      <c r="AJ14" s="159" t="str">
        <f t="shared" si="9"/>
        <v>Orc5</v>
      </c>
      <c r="AK14" s="159">
        <f t="shared" si="20"/>
        <v>20000</v>
      </c>
      <c r="AL14" s="159">
        <f t="shared" si="10"/>
        <v>0</v>
      </c>
      <c r="AM14" s="159">
        <f t="shared" si="11"/>
        <v>0</v>
      </c>
      <c r="AN14" s="159">
        <f t="shared" si="12"/>
        <v>0</v>
      </c>
      <c r="AO14" s="159">
        <f t="shared" si="13"/>
        <v>0</v>
      </c>
      <c r="AP14" s="159">
        <f t="shared" si="14"/>
        <v>0</v>
      </c>
      <c r="AQ14" s="159">
        <f t="array" ref="AQ14">IF(ISERROR($AJ14),0,IF($AJ14="","",SUM(IF($AJ14=$AJ$6:$AJ14,IF($L$6:$L14=T_MNG,1,0),0))))</f>
        <v>0</v>
      </c>
      <c r="AR14" s="160">
        <f t="shared" si="15"/>
        <v>6</v>
      </c>
      <c r="AS14" s="160">
        <f t="shared" si="16"/>
        <v>3</v>
      </c>
      <c r="AT14" s="160">
        <f t="shared" si="17"/>
        <v>3</v>
      </c>
      <c r="AU14" s="160">
        <f t="shared" si="18"/>
        <v>9</v>
      </c>
      <c r="AV14" s="102"/>
      <c r="AW14" s="102"/>
      <c r="AX14" s="102"/>
      <c r="AY14" s="102"/>
    </row>
    <row r="15" spans="1:51" ht="13.5" customHeight="1">
      <c r="A15" s="102"/>
      <c r="B15" s="114"/>
      <c r="C15" s="161">
        <v>10</v>
      </c>
      <c r="D15" s="162" t="s">
        <v>272</v>
      </c>
      <c r="E15" s="162" t="s">
        <v>269</v>
      </c>
      <c r="F15" s="163" t="str">
        <f>IF($E15&lt;&gt;"",IF($AJ15&lt;&gt;"",IF(AND($L15=T_Journey,VLOOKUP($AJ15,DBPlayers,2,0)&lt;12),T_Error&amp;"7",IF("Journeymen not available"=0,T_Error&amp;"8",IF(COUNTIF($E$6:$E15,$E15)-$AQ15&gt;VLOOKUP($AJ15,DBPlayers,2,0),T_Error&amp;"2",IF(L15=T_MNG,0,COUNTIF($E$6:$E15,$E15)-$AQ15)&amp;"/"&amp;(VLOOKUP($AJ15,DBPlayers,2,0))))),T_Error&amp;"1"),"")</f>
        <v>2/4</v>
      </c>
      <c r="G15" s="164">
        <f t="shared" si="0"/>
        <v>6</v>
      </c>
      <c r="H15" s="164">
        <f t="shared" si="1"/>
        <v>3</v>
      </c>
      <c r="I15" s="164">
        <f t="shared" si="2"/>
        <v>3</v>
      </c>
      <c r="J15" s="164">
        <f t="shared" si="3"/>
        <v>9</v>
      </c>
      <c r="K15" s="167" t="str">
        <f t="shared" ca="1" si="4"/>
        <v>Block</v>
      </c>
      <c r="L15" s="168"/>
      <c r="M15" s="169"/>
      <c r="N15" s="170"/>
      <c r="O15" s="170"/>
      <c r="P15" s="170"/>
      <c r="Q15" s="170"/>
      <c r="R15" s="171">
        <f t="shared" si="5"/>
        <v>0</v>
      </c>
      <c r="S15" s="172">
        <f t="shared" si="19"/>
        <v>80000</v>
      </c>
      <c r="T15" s="117"/>
      <c r="U15" s="152" t="str">
        <f t="shared" si="6"/>
        <v>G S</v>
      </c>
      <c r="V15" s="152" t="str">
        <f t="shared" si="7"/>
        <v>A P</v>
      </c>
      <c r="W15" s="153">
        <f t="shared" si="8"/>
        <v>0</v>
      </c>
      <c r="X15" s="121"/>
      <c r="Y15" s="154"/>
      <c r="Z15" s="154"/>
      <c r="AA15" s="154"/>
      <c r="AB15" s="154"/>
      <c r="AC15" s="154"/>
      <c r="AD15" s="155"/>
      <c r="AE15" s="156"/>
      <c r="AF15" s="154"/>
      <c r="AG15" s="155"/>
      <c r="AH15" s="120"/>
      <c r="AI15" s="123">
        <v>10</v>
      </c>
      <c r="AJ15" s="159" t="str">
        <f t="shared" si="9"/>
        <v>Orc5</v>
      </c>
      <c r="AK15" s="159">
        <f t="shared" si="20"/>
        <v>0</v>
      </c>
      <c r="AL15" s="159">
        <f t="shared" si="10"/>
        <v>0</v>
      </c>
      <c r="AM15" s="159">
        <f t="shared" si="11"/>
        <v>0</v>
      </c>
      <c r="AN15" s="159">
        <f t="shared" si="12"/>
        <v>0</v>
      </c>
      <c r="AO15" s="159">
        <f t="shared" si="13"/>
        <v>0</v>
      </c>
      <c r="AP15" s="159">
        <f t="shared" si="14"/>
        <v>0</v>
      </c>
      <c r="AQ15" s="159">
        <f t="array" ref="AQ15">IF(ISERROR($AJ15),0,IF($AJ15="","",SUM(IF($AJ15=$AJ$6:$AJ15,IF($L$6:$L15=T_MNG,1,0),0))))</f>
        <v>0</v>
      </c>
      <c r="AR15" s="160">
        <f t="shared" si="15"/>
        <v>6</v>
      </c>
      <c r="AS15" s="160">
        <f t="shared" si="16"/>
        <v>3</v>
      </c>
      <c r="AT15" s="160">
        <f t="shared" si="17"/>
        <v>3</v>
      </c>
      <c r="AU15" s="160">
        <f t="shared" si="18"/>
        <v>9</v>
      </c>
      <c r="AV15" s="102"/>
      <c r="AW15" s="102"/>
      <c r="AX15" s="102"/>
      <c r="AY15" s="102"/>
    </row>
    <row r="16" spans="1:51" ht="13.5" customHeight="1">
      <c r="A16" s="102"/>
      <c r="B16" s="114"/>
      <c r="C16" s="161">
        <v>11</v>
      </c>
      <c r="D16" s="162" t="s">
        <v>274</v>
      </c>
      <c r="E16" s="162" t="s">
        <v>269</v>
      </c>
      <c r="F16" s="163" t="str">
        <f>IF($E16&lt;&gt;"",IF($AJ16&lt;&gt;"",IF(AND($L16=T_Journey,VLOOKUP($AJ16,DBPlayers,2,0)&lt;12),T_Error&amp;"7",IF("Journeymen not available"=0,T_Error&amp;"8",IF(COUNTIF($E$6:$E16,$E16)-$AQ16&gt;VLOOKUP($AJ16,DBPlayers,2,0),T_Error&amp;"2",IF(L16=T_MNG,0,COUNTIF($E$6:$E16,$E16)-$AQ16)&amp;"/"&amp;(VLOOKUP($AJ16,DBPlayers,2,0))))),T_Error&amp;"1"),"")</f>
        <v>3/4</v>
      </c>
      <c r="G16" s="164">
        <f t="shared" si="0"/>
        <v>6</v>
      </c>
      <c r="H16" s="164">
        <f t="shared" si="1"/>
        <v>3</v>
      </c>
      <c r="I16" s="164">
        <f t="shared" si="2"/>
        <v>3</v>
      </c>
      <c r="J16" s="164">
        <f t="shared" si="3"/>
        <v>9</v>
      </c>
      <c r="K16" s="167" t="str">
        <f t="shared" ca="1" si="4"/>
        <v>Block</v>
      </c>
      <c r="L16" s="168"/>
      <c r="M16" s="169"/>
      <c r="N16" s="170"/>
      <c r="O16" s="170"/>
      <c r="P16" s="170">
        <v>2</v>
      </c>
      <c r="Q16" s="170"/>
      <c r="R16" s="171">
        <f t="shared" si="5"/>
        <v>4</v>
      </c>
      <c r="S16" s="172">
        <f t="shared" si="19"/>
        <v>80000</v>
      </c>
      <c r="T16" s="117"/>
      <c r="U16" s="152" t="str">
        <f t="shared" si="6"/>
        <v>G S</v>
      </c>
      <c r="V16" s="152" t="str">
        <f t="shared" si="7"/>
        <v>A P</v>
      </c>
      <c r="W16" s="153">
        <f t="shared" si="8"/>
        <v>0</v>
      </c>
      <c r="X16" s="121"/>
      <c r="Y16" s="154"/>
      <c r="Z16" s="154"/>
      <c r="AA16" s="154"/>
      <c r="AB16" s="154"/>
      <c r="AC16" s="154"/>
      <c r="AD16" s="155"/>
      <c r="AE16" s="156"/>
      <c r="AF16" s="154"/>
      <c r="AG16" s="155"/>
      <c r="AH16" s="120"/>
      <c r="AI16" s="123">
        <v>11</v>
      </c>
      <c r="AJ16" s="159" t="str">
        <f t="shared" si="9"/>
        <v>Orc5</v>
      </c>
      <c r="AK16" s="159">
        <f t="shared" si="20"/>
        <v>0</v>
      </c>
      <c r="AL16" s="159">
        <f t="shared" si="10"/>
        <v>0</v>
      </c>
      <c r="AM16" s="159">
        <f t="shared" si="11"/>
        <v>0</v>
      </c>
      <c r="AN16" s="159">
        <f t="shared" si="12"/>
        <v>0</v>
      </c>
      <c r="AO16" s="159">
        <f t="shared" si="13"/>
        <v>0</v>
      </c>
      <c r="AP16" s="159">
        <f t="shared" si="14"/>
        <v>0</v>
      </c>
      <c r="AQ16" s="159">
        <f t="array" ref="AQ16">IF(ISERROR($AJ16),0,IF($AJ16="","",SUM(IF($AJ16=$AJ$6:$AJ16,IF($L$6:$L16=T_MNG,1,0),0))))</f>
        <v>0</v>
      </c>
      <c r="AR16" s="160">
        <f t="shared" si="15"/>
        <v>6</v>
      </c>
      <c r="AS16" s="160">
        <f t="shared" si="16"/>
        <v>3</v>
      </c>
      <c r="AT16" s="160">
        <f t="shared" si="17"/>
        <v>3</v>
      </c>
      <c r="AU16" s="160">
        <f t="shared" si="18"/>
        <v>9</v>
      </c>
      <c r="AV16" s="102"/>
      <c r="AW16" s="102"/>
      <c r="AX16" s="102"/>
      <c r="AY16" s="102"/>
    </row>
    <row r="17" spans="1:51" ht="13.5" customHeight="1">
      <c r="A17" s="102"/>
      <c r="B17" s="114"/>
      <c r="C17" s="161">
        <v>12</v>
      </c>
      <c r="D17" s="162" t="s">
        <v>275</v>
      </c>
      <c r="E17" s="162" t="s">
        <v>269</v>
      </c>
      <c r="F17" s="163" t="str">
        <f>IF($E17&lt;&gt;"",IF($AJ17&lt;&gt;"",IF(AND($L17=T_Journey,VLOOKUP($AJ17,DBPlayers,2,0)&lt;12),T_Error&amp;"7",IF("Journeymen not available"=0,T_Error&amp;"8",IF(COUNTIF($E$6:$E17,$E17)-$AQ17&gt;VLOOKUP($AJ17,DBPlayers,2,0),T_Error&amp;"2",IF(L17=T_MNG,0,COUNTIF($E$6:$E17,$E17)-$AQ17)&amp;"/"&amp;(VLOOKUP($AJ17,DBPlayers,2,0))))),T_Error&amp;"1"),"")</f>
        <v>4/4</v>
      </c>
      <c r="G17" s="164">
        <f t="shared" si="0"/>
        <v>6</v>
      </c>
      <c r="H17" s="164">
        <f t="shared" si="1"/>
        <v>3</v>
      </c>
      <c r="I17" s="164">
        <f t="shared" si="2"/>
        <v>3</v>
      </c>
      <c r="J17" s="164">
        <f t="shared" si="3"/>
        <v>9</v>
      </c>
      <c r="K17" s="167" t="str">
        <f t="shared" ca="1" si="4"/>
        <v>Block, Guard</v>
      </c>
      <c r="L17" s="168"/>
      <c r="M17" s="169">
        <v>1</v>
      </c>
      <c r="N17" s="170">
        <v>1</v>
      </c>
      <c r="O17" s="170"/>
      <c r="P17" s="170">
        <v>1</v>
      </c>
      <c r="Q17" s="170"/>
      <c r="R17" s="171">
        <f t="shared" si="5"/>
        <v>6</v>
      </c>
      <c r="S17" s="172">
        <f t="shared" si="19"/>
        <v>100000</v>
      </c>
      <c r="T17" s="117"/>
      <c r="U17" s="152" t="str">
        <f t="shared" si="6"/>
        <v>G S</v>
      </c>
      <c r="V17" s="152" t="str">
        <f t="shared" si="7"/>
        <v>A P</v>
      </c>
      <c r="W17" s="153">
        <f t="shared" si="8"/>
        <v>1</v>
      </c>
      <c r="X17" s="121"/>
      <c r="Y17" s="154" t="s">
        <v>270</v>
      </c>
      <c r="Z17" s="154"/>
      <c r="AA17" s="154"/>
      <c r="AB17" s="154"/>
      <c r="AC17" s="154"/>
      <c r="AD17" s="155"/>
      <c r="AE17" s="156"/>
      <c r="AF17" s="154"/>
      <c r="AG17" s="155"/>
      <c r="AH17" s="120"/>
      <c r="AI17" s="123">
        <v>12</v>
      </c>
      <c r="AJ17" s="159" t="str">
        <f t="shared" si="9"/>
        <v>Orc5</v>
      </c>
      <c r="AK17" s="159">
        <f t="shared" si="20"/>
        <v>20000</v>
      </c>
      <c r="AL17" s="159">
        <f t="shared" si="10"/>
        <v>0</v>
      </c>
      <c r="AM17" s="159">
        <f t="shared" si="11"/>
        <v>0</v>
      </c>
      <c r="AN17" s="159">
        <f t="shared" si="12"/>
        <v>0</v>
      </c>
      <c r="AO17" s="159">
        <f t="shared" si="13"/>
        <v>0</v>
      </c>
      <c r="AP17" s="159">
        <f t="shared" si="14"/>
        <v>0</v>
      </c>
      <c r="AQ17" s="159">
        <f t="array" ref="AQ17">IF(ISERROR($AJ17),0,IF($AJ17="","",SUM(IF($AJ17=$AJ$6:$AJ17,IF($L$6:$L17=T_MNG,1,0),0))))</f>
        <v>0</v>
      </c>
      <c r="AR17" s="160">
        <f t="shared" si="15"/>
        <v>6</v>
      </c>
      <c r="AS17" s="160">
        <f t="shared" si="16"/>
        <v>3</v>
      </c>
      <c r="AT17" s="160">
        <f t="shared" si="17"/>
        <v>3</v>
      </c>
      <c r="AU17" s="160">
        <f t="shared" si="18"/>
        <v>9</v>
      </c>
      <c r="AV17" s="102"/>
      <c r="AW17" s="102"/>
      <c r="AX17" s="102"/>
      <c r="AY17" s="102"/>
    </row>
    <row r="18" spans="1:51" ht="13.5" customHeight="1">
      <c r="A18" s="102"/>
      <c r="B18" s="114"/>
      <c r="C18" s="161">
        <v>13</v>
      </c>
      <c r="D18" s="162" t="s">
        <v>276</v>
      </c>
      <c r="E18" s="162" t="s">
        <v>277</v>
      </c>
      <c r="F18" s="163" t="str">
        <f>IF($E18&lt;&gt;"",IF($AJ18&lt;&gt;"",IF(AND($L18=T_Journey,VLOOKUP($AJ18,DBPlayers,2,0)&lt;12),T_Error&amp;"7",IF("Journeymen not available"=0,T_Error&amp;"8",IF(COUNTIF($E$6:$E18,$E18)-$AQ18&gt;VLOOKUP($AJ18,DBPlayers,2,0),T_Error&amp;"2",IF(L18=T_MNG,0,COUNTIF($E$6:$E18,$E18)-$AQ18)&amp;"/"&amp;(VLOOKUP($AJ18,DBPlayers,2,0))))),T_Error&amp;"1"),"")</f>
        <v>1/4</v>
      </c>
      <c r="G18" s="164">
        <f t="shared" si="0"/>
        <v>4</v>
      </c>
      <c r="H18" s="164">
        <f t="shared" si="1"/>
        <v>4</v>
      </c>
      <c r="I18" s="164">
        <f t="shared" si="2"/>
        <v>2</v>
      </c>
      <c r="J18" s="164">
        <f t="shared" si="3"/>
        <v>9</v>
      </c>
      <c r="K18" s="167" t="str">
        <f t="shared" ca="1" si="4"/>
        <v>Block</v>
      </c>
      <c r="L18" s="168"/>
      <c r="M18" s="169"/>
      <c r="N18" s="170"/>
      <c r="O18" s="170"/>
      <c r="P18" s="170"/>
      <c r="Q18" s="170">
        <v>2</v>
      </c>
      <c r="R18" s="171">
        <f t="shared" si="5"/>
        <v>10</v>
      </c>
      <c r="S18" s="172">
        <f t="shared" si="19"/>
        <v>100000</v>
      </c>
      <c r="T18" s="117"/>
      <c r="U18" s="152" t="str">
        <f t="shared" si="6"/>
        <v>G S</v>
      </c>
      <c r="V18" s="152" t="str">
        <f t="shared" si="7"/>
        <v>A P</v>
      </c>
      <c r="W18" s="153">
        <f t="shared" si="8"/>
        <v>1</v>
      </c>
      <c r="X18" s="121"/>
      <c r="Y18" s="154" t="s">
        <v>162</v>
      </c>
      <c r="Z18" s="154"/>
      <c r="AA18" s="154"/>
      <c r="AB18" s="154"/>
      <c r="AC18" s="154"/>
      <c r="AD18" s="155"/>
      <c r="AE18" s="156"/>
      <c r="AF18" s="154"/>
      <c r="AG18" s="155"/>
      <c r="AH18" s="120"/>
      <c r="AI18" s="123">
        <v>13</v>
      </c>
      <c r="AJ18" s="159" t="str">
        <f t="shared" si="9"/>
        <v>Orc4</v>
      </c>
      <c r="AK18" s="159">
        <f t="shared" si="20"/>
        <v>20000</v>
      </c>
      <c r="AL18" s="159">
        <f t="shared" si="10"/>
        <v>0</v>
      </c>
      <c r="AM18" s="159">
        <f t="shared" si="11"/>
        <v>0</v>
      </c>
      <c r="AN18" s="159">
        <f t="shared" si="12"/>
        <v>0</v>
      </c>
      <c r="AO18" s="159">
        <f t="shared" si="13"/>
        <v>0</v>
      </c>
      <c r="AP18" s="159">
        <f t="shared" si="14"/>
        <v>0</v>
      </c>
      <c r="AQ18" s="159">
        <f t="array" ref="AQ18">IF(ISERROR($AJ18),0,IF($AJ18="","",SUM(IF($AJ18=$AJ$6:$AJ18,IF($L$6:$L18=T_MNG,1,0),0))))</f>
        <v>0</v>
      </c>
      <c r="AR18" s="160">
        <f t="shared" si="15"/>
        <v>4</v>
      </c>
      <c r="AS18" s="160">
        <f t="shared" si="16"/>
        <v>4</v>
      </c>
      <c r="AT18" s="160">
        <f t="shared" si="17"/>
        <v>2</v>
      </c>
      <c r="AU18" s="160">
        <f t="shared" si="18"/>
        <v>9</v>
      </c>
      <c r="AV18" s="102"/>
      <c r="AW18" s="102"/>
      <c r="AX18" s="102"/>
      <c r="AY18" s="102"/>
    </row>
    <row r="19" spans="1:51" ht="13.5" customHeight="1">
      <c r="A19" s="102"/>
      <c r="B19" s="114"/>
      <c r="C19" s="161">
        <v>14</v>
      </c>
      <c r="D19" s="162" t="s">
        <v>278</v>
      </c>
      <c r="E19" s="162" t="s">
        <v>277</v>
      </c>
      <c r="F19" s="163" t="str">
        <f>IF($E19&lt;&gt;"",IF($AJ19&lt;&gt;"",IF(AND($L19=T_Journey,VLOOKUP($AJ19,DBPlayers,2,0)&lt;12),T_Error&amp;"7",IF("Journeymen not available"=0,T_Error&amp;"8",IF(COUNTIF($E$6:$E19,$E19)-$AQ19&gt;VLOOKUP($AJ19,DBPlayers,2,0),T_Error&amp;"2",IF(L19=T_MNG,0,COUNTIF($E$6:$E19,$E19)-$AQ19)&amp;"/"&amp;(VLOOKUP($AJ19,DBPlayers,2,0))))),T_Error&amp;"1"),"")</f>
        <v>2/4</v>
      </c>
      <c r="G19" s="164">
        <f t="shared" si="0"/>
        <v>4</v>
      </c>
      <c r="H19" s="164">
        <f t="shared" si="1"/>
        <v>4</v>
      </c>
      <c r="I19" s="164">
        <f t="shared" si="2"/>
        <v>2</v>
      </c>
      <c r="J19" s="164">
        <f t="shared" si="3"/>
        <v>9</v>
      </c>
      <c r="K19" s="167" t="str">
        <f t="shared" ca="1" si="4"/>
        <v/>
      </c>
      <c r="L19" s="168"/>
      <c r="M19" s="169"/>
      <c r="N19" s="170"/>
      <c r="O19" s="170"/>
      <c r="P19" s="170"/>
      <c r="Q19" s="170">
        <v>1</v>
      </c>
      <c r="R19" s="171">
        <f t="shared" si="5"/>
        <v>5</v>
      </c>
      <c r="S19" s="172">
        <f t="shared" si="19"/>
        <v>80000</v>
      </c>
      <c r="T19" s="117"/>
      <c r="U19" s="152" t="str">
        <f t="shared" si="6"/>
        <v>G S</v>
      </c>
      <c r="V19" s="152" t="str">
        <f t="shared" si="7"/>
        <v>A P</v>
      </c>
      <c r="W19" s="153">
        <f t="shared" si="8"/>
        <v>0</v>
      </c>
      <c r="X19" s="121"/>
      <c r="Y19" s="154"/>
      <c r="Z19" s="154"/>
      <c r="AA19" s="154"/>
      <c r="AB19" s="154"/>
      <c r="AC19" s="154"/>
      <c r="AD19" s="155"/>
      <c r="AE19" s="156"/>
      <c r="AF19" s="154"/>
      <c r="AG19" s="155"/>
      <c r="AH19" s="120"/>
      <c r="AI19" s="123">
        <v>14</v>
      </c>
      <c r="AJ19" s="159" t="str">
        <f t="shared" si="9"/>
        <v>Orc4</v>
      </c>
      <c r="AK19" s="159">
        <f t="shared" si="20"/>
        <v>0</v>
      </c>
      <c r="AL19" s="159">
        <f t="shared" si="10"/>
        <v>0</v>
      </c>
      <c r="AM19" s="159">
        <f t="shared" si="11"/>
        <v>0</v>
      </c>
      <c r="AN19" s="159">
        <f t="shared" si="12"/>
        <v>0</v>
      </c>
      <c r="AO19" s="159">
        <f t="shared" si="13"/>
        <v>0</v>
      </c>
      <c r="AP19" s="159">
        <f t="shared" si="14"/>
        <v>0</v>
      </c>
      <c r="AQ19" s="159">
        <f t="array" ref="AQ19">IF(ISERROR($AJ19),0,IF($AJ19="","",SUM(IF($AJ19=$AJ$6:$AJ19,IF($L$6:$L19=T_MNG,1,0),0))))</f>
        <v>0</v>
      </c>
      <c r="AR19" s="160">
        <f t="shared" si="15"/>
        <v>4</v>
      </c>
      <c r="AS19" s="160">
        <f t="shared" si="16"/>
        <v>4</v>
      </c>
      <c r="AT19" s="160">
        <f t="shared" si="17"/>
        <v>2</v>
      </c>
      <c r="AU19" s="160">
        <f t="shared" si="18"/>
        <v>9</v>
      </c>
      <c r="AV19" s="102"/>
      <c r="AW19" s="102"/>
      <c r="AX19" s="102"/>
      <c r="AY19" s="102"/>
    </row>
    <row r="20" spans="1:51" ht="13.5" customHeight="1">
      <c r="A20" s="102"/>
      <c r="B20" s="114"/>
      <c r="C20" s="161">
        <v>15</v>
      </c>
      <c r="D20" s="162" t="s">
        <v>279</v>
      </c>
      <c r="E20" s="162" t="s">
        <v>277</v>
      </c>
      <c r="F20" s="163" t="str">
        <f>IF($E20&lt;&gt;"",IF($AJ20&lt;&gt;"",IF(AND($L20=T_Journey,VLOOKUP($AJ20,DBPlayers,2,0)&lt;12),T_Error&amp;"7",IF("Journeymen not available"=0,T_Error&amp;"8",IF(COUNTIF($E$6:$E20,$E20)-$AQ20&gt;VLOOKUP($AJ20,DBPlayers,2,0),T_Error&amp;"2",IF(L20=T_MNG,0,COUNTIF($E$6:$E20,$E20)-$AQ20)&amp;"/"&amp;(VLOOKUP($AJ20,DBPlayers,2,0))))),T_Error&amp;"1"),"")</f>
        <v>3/4</v>
      </c>
      <c r="G20" s="164">
        <f t="shared" si="0"/>
        <v>4</v>
      </c>
      <c r="H20" s="164">
        <f t="shared" si="1"/>
        <v>4</v>
      </c>
      <c r="I20" s="164">
        <f t="shared" si="2"/>
        <v>2</v>
      </c>
      <c r="J20" s="164">
        <f t="shared" si="3"/>
        <v>9</v>
      </c>
      <c r="K20" s="167" t="str">
        <f t="shared" ca="1" si="4"/>
        <v>Block</v>
      </c>
      <c r="L20" s="168"/>
      <c r="M20" s="169"/>
      <c r="N20" s="170"/>
      <c r="O20" s="170"/>
      <c r="P20" s="170">
        <v>1</v>
      </c>
      <c r="Q20" s="170">
        <v>1</v>
      </c>
      <c r="R20" s="171">
        <f t="shared" si="5"/>
        <v>7</v>
      </c>
      <c r="S20" s="172">
        <f t="shared" si="19"/>
        <v>100000</v>
      </c>
      <c r="T20" s="117"/>
      <c r="U20" s="152" t="str">
        <f t="shared" si="6"/>
        <v>G S</v>
      </c>
      <c r="V20" s="152" t="str">
        <f t="shared" si="7"/>
        <v>A P</v>
      </c>
      <c r="W20" s="153">
        <f t="shared" si="8"/>
        <v>1</v>
      </c>
      <c r="X20" s="121"/>
      <c r="Y20" s="154" t="s">
        <v>162</v>
      </c>
      <c r="Z20" s="154"/>
      <c r="AA20" s="154"/>
      <c r="AB20" s="154"/>
      <c r="AC20" s="154"/>
      <c r="AD20" s="155"/>
      <c r="AE20" s="156"/>
      <c r="AF20" s="154"/>
      <c r="AG20" s="155"/>
      <c r="AH20" s="120"/>
      <c r="AI20" s="123">
        <v>15</v>
      </c>
      <c r="AJ20" s="159" t="str">
        <f t="shared" si="9"/>
        <v>Orc4</v>
      </c>
      <c r="AK20" s="159">
        <f t="shared" si="20"/>
        <v>20000</v>
      </c>
      <c r="AL20" s="159">
        <f t="shared" si="10"/>
        <v>0</v>
      </c>
      <c r="AM20" s="159">
        <f t="shared" si="11"/>
        <v>0</v>
      </c>
      <c r="AN20" s="159">
        <f t="shared" si="12"/>
        <v>0</v>
      </c>
      <c r="AO20" s="159">
        <f t="shared" si="13"/>
        <v>0</v>
      </c>
      <c r="AP20" s="159">
        <f t="shared" si="14"/>
        <v>0</v>
      </c>
      <c r="AQ20" s="159">
        <f t="array" ref="AQ20">IF(ISERROR($AJ20),0,IF($AJ20="","",SUM(IF($AJ20=$AJ$6:$AJ20,IF($L$6:$L20=T_MNG,1,0),0))))</f>
        <v>0</v>
      </c>
      <c r="AR20" s="160">
        <f t="shared" si="15"/>
        <v>4</v>
      </c>
      <c r="AS20" s="160">
        <f t="shared" si="16"/>
        <v>4</v>
      </c>
      <c r="AT20" s="160">
        <f t="shared" si="17"/>
        <v>2</v>
      </c>
      <c r="AU20" s="160">
        <f t="shared" si="18"/>
        <v>9</v>
      </c>
      <c r="AV20" s="102"/>
      <c r="AW20" s="102"/>
      <c r="AX20" s="102"/>
      <c r="AY20" s="102"/>
    </row>
    <row r="21" spans="1:51" ht="13.5" customHeight="1">
      <c r="A21" s="102"/>
      <c r="B21" s="114"/>
      <c r="C21" s="176">
        <v>16</v>
      </c>
      <c r="D21" s="175" t="s">
        <v>281</v>
      </c>
      <c r="E21" s="162" t="s">
        <v>277</v>
      </c>
      <c r="F21" s="177" t="str">
        <f>IF($E21&lt;&gt;"",IF($AJ21&lt;&gt;"",IF(AND($L21=T_Journey,VLOOKUP($AJ21,DBPlayers,2,0)&lt;12),T_Error&amp;"7",IF("Journeymen not available"=0,T_Error&amp;"8",IF(COUNTIF($E$6:$E21,$E21)-$AQ21&gt;VLOOKUP($AJ21,DBPlayers,2,0),T_Error&amp;"2",IF(L21=T_MNG,0,COUNTIF($E$6:$E21,$E21)-$AQ21)&amp;"/"&amp;(VLOOKUP($AJ21,DBPlayers,2,0))))),T_Error&amp;"1"),"")</f>
        <v>4/4</v>
      </c>
      <c r="G21" s="178">
        <f t="shared" si="0"/>
        <v>4</v>
      </c>
      <c r="H21" s="178">
        <f t="shared" si="1"/>
        <v>4</v>
      </c>
      <c r="I21" s="178">
        <f t="shared" si="2"/>
        <v>2</v>
      </c>
      <c r="J21" s="178">
        <f t="shared" si="3"/>
        <v>9</v>
      </c>
      <c r="K21" s="179" t="str">
        <f t="shared" ca="1" si="4"/>
        <v>Block</v>
      </c>
      <c r="L21" s="180"/>
      <c r="M21" s="181"/>
      <c r="N21" s="182"/>
      <c r="O21" s="182"/>
      <c r="P21" s="182">
        <v>5</v>
      </c>
      <c r="Q21" s="182">
        <v>1</v>
      </c>
      <c r="R21" s="183">
        <f t="shared" si="5"/>
        <v>15</v>
      </c>
      <c r="S21" s="184">
        <f t="shared" si="19"/>
        <v>100000</v>
      </c>
      <c r="T21" s="117"/>
      <c r="U21" s="152" t="str">
        <f t="shared" si="6"/>
        <v>G S</v>
      </c>
      <c r="V21" s="152" t="str">
        <f t="shared" si="7"/>
        <v>A P</v>
      </c>
      <c r="W21" s="153">
        <f t="shared" si="8"/>
        <v>1</v>
      </c>
      <c r="X21" s="121"/>
      <c r="Y21" s="154" t="s">
        <v>162</v>
      </c>
      <c r="Z21" s="154"/>
      <c r="AA21" s="154"/>
      <c r="AB21" s="154"/>
      <c r="AC21" s="154"/>
      <c r="AD21" s="185"/>
      <c r="AE21" s="186"/>
      <c r="AF21" s="154"/>
      <c r="AG21" s="185"/>
      <c r="AH21" s="120"/>
      <c r="AI21" s="123">
        <v>16</v>
      </c>
      <c r="AJ21" s="159" t="str">
        <f t="shared" si="9"/>
        <v>Orc4</v>
      </c>
      <c r="AK21" s="159">
        <f t="shared" si="20"/>
        <v>20000</v>
      </c>
      <c r="AL21" s="159">
        <f t="shared" si="10"/>
        <v>0</v>
      </c>
      <c r="AM21" s="159">
        <f t="shared" si="11"/>
        <v>0</v>
      </c>
      <c r="AN21" s="159">
        <f t="shared" si="12"/>
        <v>0</v>
      </c>
      <c r="AO21" s="159">
        <f t="shared" si="13"/>
        <v>0</v>
      </c>
      <c r="AP21" s="159">
        <f t="shared" si="14"/>
        <v>0</v>
      </c>
      <c r="AQ21" s="159">
        <f t="array" ref="AQ21">IF(ISERROR($AJ21),0,IF($AJ21="","",SUM(IF($AJ21=$AJ$6:$AJ21,IF($L$6:$L21=T_MNG,1,0),0))))</f>
        <v>0</v>
      </c>
      <c r="AR21" s="160">
        <f t="shared" si="15"/>
        <v>4</v>
      </c>
      <c r="AS21" s="160">
        <f t="shared" si="16"/>
        <v>4</v>
      </c>
      <c r="AT21" s="160">
        <f t="shared" si="17"/>
        <v>2</v>
      </c>
      <c r="AU21" s="160">
        <f t="shared" si="18"/>
        <v>9</v>
      </c>
      <c r="AV21" s="102"/>
      <c r="AW21" s="102"/>
      <c r="AX21" s="102"/>
      <c r="AY21" s="102"/>
    </row>
    <row r="22" spans="1:51" ht="18" customHeight="1">
      <c r="A22" s="102"/>
      <c r="B22" s="114"/>
      <c r="C22" s="187"/>
      <c r="D22" s="188"/>
      <c r="E22" s="189" t="s">
        <v>186</v>
      </c>
      <c r="F22" s="190" t="str">
        <f>COUNTIF(S6:S21,"&gt;0")&amp;"/16"</f>
        <v>11/16</v>
      </c>
      <c r="G22" s="191"/>
      <c r="H22" s="192" t="str">
        <f>IF(AND(AQ22&gt;0,AQ22+AM22&gt;11),T_Error8,IF(AM22&lt;11,AQ22&amp;" / "&amp;11-AM22&amp;" "&amp;T_AllowedJourney,""))</f>
        <v/>
      </c>
      <c r="I22" s="190"/>
      <c r="J22" s="190"/>
      <c r="K22" s="193"/>
      <c r="L22" s="189" t="s">
        <v>187</v>
      </c>
      <c r="M22" s="190">
        <f t="shared" ref="M22:Q22" si="21">SUMIF($R$6:$R$21,"&gt;=0",M$6:M$21)</f>
        <v>3</v>
      </c>
      <c r="N22" s="190">
        <f t="shared" si="21"/>
        <v>3</v>
      </c>
      <c r="O22" s="190">
        <f t="shared" si="21"/>
        <v>0</v>
      </c>
      <c r="P22" s="190">
        <f t="shared" si="21"/>
        <v>14</v>
      </c>
      <c r="Q22" s="190">
        <f t="shared" si="21"/>
        <v>7</v>
      </c>
      <c r="R22" s="190">
        <f t="shared" ref="R22:S22" si="22">SUM(R6:R21)</f>
        <v>75</v>
      </c>
      <c r="S22" s="194">
        <f t="shared" si="22"/>
        <v>950000</v>
      </c>
      <c r="T22" s="117"/>
      <c r="U22" s="195"/>
      <c r="V22" s="196"/>
      <c r="W22" s="197"/>
      <c r="X22" s="198"/>
      <c r="Y22" s="198"/>
      <c r="Z22" s="198"/>
      <c r="AA22" s="198"/>
      <c r="AB22" s="198"/>
      <c r="AC22" s="198"/>
      <c r="AD22" s="198"/>
      <c r="AE22" s="198"/>
      <c r="AF22" s="198"/>
      <c r="AG22" s="198"/>
      <c r="AH22" s="102"/>
      <c r="AI22" s="123"/>
      <c r="AJ22" s="102"/>
      <c r="AK22" s="102"/>
      <c r="AL22" s="199" t="s">
        <v>188</v>
      </c>
      <c r="AM22" s="200">
        <f>COUNTIF($S$6:$S$21,"&gt;0")-$AQ$22</f>
        <v>11</v>
      </c>
      <c r="AN22" s="123"/>
      <c r="AO22" s="123"/>
      <c r="AP22" s="199" t="s">
        <v>189</v>
      </c>
      <c r="AQ22" s="159">
        <f t="array" ref="AQ22">SUM(IF(L6:L21=T_Journey,IF(S6:S21&lt;&gt;"",1,0),0))</f>
        <v>0</v>
      </c>
      <c r="AR22" s="105"/>
      <c r="AS22" s="105"/>
      <c r="AT22" s="105"/>
      <c r="AU22" s="105"/>
      <c r="AV22" s="102"/>
      <c r="AW22" s="102"/>
      <c r="AX22" s="102"/>
      <c r="AY22" s="102"/>
    </row>
    <row r="23" spans="1:51" ht="3" customHeight="1">
      <c r="A23" s="102"/>
      <c r="B23" s="107"/>
      <c r="C23" s="108"/>
      <c r="D23" s="109"/>
      <c r="E23" s="109"/>
      <c r="F23" s="110"/>
      <c r="G23" s="108"/>
      <c r="H23" s="108"/>
      <c r="I23" s="108"/>
      <c r="J23" s="108"/>
      <c r="K23" s="109"/>
      <c r="L23" s="109"/>
      <c r="M23" s="109"/>
      <c r="N23" s="109"/>
      <c r="O23" s="109"/>
      <c r="P23" s="109"/>
      <c r="Q23" s="109"/>
      <c r="R23" s="109"/>
      <c r="S23" s="201"/>
      <c r="T23" s="111"/>
      <c r="U23" s="121"/>
      <c r="V23" s="202"/>
      <c r="W23" s="121"/>
      <c r="X23" s="121"/>
      <c r="Y23" s="102"/>
      <c r="Z23" s="113"/>
      <c r="AA23" s="113"/>
      <c r="AB23" s="102"/>
      <c r="AC23" s="102"/>
      <c r="AD23" s="102"/>
      <c r="AE23" s="102"/>
      <c r="AF23" s="102"/>
      <c r="AG23" s="102"/>
      <c r="AH23" s="102"/>
      <c r="AI23" s="123"/>
      <c r="AJ23" s="123"/>
      <c r="AK23" s="123"/>
      <c r="AL23" s="123"/>
      <c r="AM23" s="123"/>
      <c r="AN23" s="123"/>
      <c r="AO23" s="123"/>
      <c r="AP23" s="123"/>
      <c r="AQ23" s="123"/>
      <c r="AR23" s="105"/>
      <c r="AS23" s="105"/>
      <c r="AT23" s="105"/>
      <c r="AU23" s="105"/>
      <c r="AV23" s="102"/>
      <c r="AW23" s="102"/>
      <c r="AX23" s="102"/>
      <c r="AY23" s="102"/>
    </row>
    <row r="24" spans="1:51" ht="13.5" customHeight="1">
      <c r="A24" s="102"/>
      <c r="B24" s="114"/>
      <c r="C24" s="203"/>
      <c r="D24" s="351" t="s">
        <v>190</v>
      </c>
      <c r="E24" s="316"/>
      <c r="F24" s="127" t="s">
        <v>142</v>
      </c>
      <c r="G24" s="127" t="str">
        <f>T_MA</f>
        <v>MA</v>
      </c>
      <c r="H24" s="127" t="str">
        <f>T_ST</f>
        <v>ST</v>
      </c>
      <c r="I24" s="127" t="str">
        <f>T_AG</f>
        <v>AG</v>
      </c>
      <c r="J24" s="127" t="str">
        <f>T_AV</f>
        <v>AV</v>
      </c>
      <c r="K24" s="348" t="s">
        <v>191</v>
      </c>
      <c r="L24" s="316"/>
      <c r="M24" s="316"/>
      <c r="N24" s="316"/>
      <c r="O24" s="316"/>
      <c r="P24" s="316"/>
      <c r="Q24" s="316"/>
      <c r="R24" s="316"/>
      <c r="S24" s="204"/>
      <c r="T24" s="117"/>
      <c r="U24" s="133" t="s">
        <v>146</v>
      </c>
      <c r="V24" s="341" t="s">
        <v>192</v>
      </c>
      <c r="W24" s="316"/>
      <c r="X24" s="121"/>
      <c r="Y24" s="113"/>
      <c r="Z24" s="102"/>
      <c r="AA24" s="102"/>
      <c r="AB24" s="102"/>
      <c r="AC24" s="102"/>
      <c r="AD24" s="102"/>
      <c r="AE24" s="102"/>
      <c r="AF24" s="102"/>
      <c r="AG24" s="102"/>
      <c r="AH24" s="102"/>
      <c r="AI24" s="123"/>
      <c r="AJ24" s="123"/>
      <c r="AK24" s="123"/>
      <c r="AL24" s="123"/>
      <c r="AM24" s="123"/>
      <c r="AN24" s="123"/>
      <c r="AO24" s="123"/>
      <c r="AP24" s="141"/>
      <c r="AQ24" s="141" t="s">
        <v>160</v>
      </c>
      <c r="AR24" s="105"/>
      <c r="AS24" s="105"/>
      <c r="AT24" s="105"/>
      <c r="AU24" s="105"/>
      <c r="AV24" s="102"/>
      <c r="AW24" s="102"/>
      <c r="AX24" s="102"/>
      <c r="AY24" s="102"/>
    </row>
    <row r="25" spans="1:51" ht="13.5" customHeight="1">
      <c r="A25" s="102"/>
      <c r="B25" s="114"/>
      <c r="C25" s="115"/>
      <c r="D25" s="346"/>
      <c r="E25" s="316"/>
      <c r="F25" s="205" t="str">
        <f>IF($D25="","",IF($AJ25="",T_Error&amp;"1",IF(COUNTIF($D$25:$D25,"&lt;&gt;")&gt;$R$31,T_Error&amp;"3",IF(ISERROR(FIND(T_Merc,$D25)),IF(COUNTIF($D$25:$D25,D25)&gt;1,T_Error&amp;"4",IF(COUNTIF($AJ$25:$AJ25,"=Star")&gt;2,T_Error&amp;"5",IF(AND($D25=Brick,$F$31&lt;&gt;"1/1"),T_Error&amp;"6","1/1"))),IF(COUNTIF($AJ$6:$AJ25,$AJ25)-$AQ25&gt;VLOOKUP($AJ25,DBPlayers,2,0)+VLOOKUP($AJ25,$AL$58:$AM$67,2,0),T_Error&amp;"2",COUNTIF($AJ$6:$AJ25,$AJ25)-$AQ25&amp;"/"&amp;(VLOOKUP($AJ25,DBPlayers,2,0)))))))</f>
        <v/>
      </c>
      <c r="G25" s="205" t="str">
        <f t="shared" ref="G25:G30" si="23">IF(OR(LEFT($F25,LEN(T_Error))=T_Error,$D25=""),"",IF(ISERROR(FIND(T_Merc,$D25)),VLOOKUP($D25,DBStars,2,0),VLOOKUP($AJ25,DBPlayers,4,0)))</f>
        <v/>
      </c>
      <c r="H25" s="205" t="str">
        <f t="shared" ref="H25:H30" si="24">IF(OR(LEFT($F25,LEN(T_Error))=T_Error,$D25=""),"",IF(ISERROR(FIND(T_Merc,$D25)),VLOOKUP($D25,DBStars,3,0),VLOOKUP($AJ25,DBPlayers,5,0)))</f>
        <v/>
      </c>
      <c r="I25" s="205" t="str">
        <f t="shared" ref="I25:I30" si="25">IF(OR(LEFT($F25,LEN(T_Error))=T_Error,$D25=""),"",IF(ISERROR(FIND(T_Merc,$D25)),VLOOKUP($D25,DBStars,4,0),VLOOKUP($AJ25,DBPlayers,6,0)))</f>
        <v/>
      </c>
      <c r="J25" s="205" t="str">
        <f t="shared" ref="J25:J30" si="26">IF(OR(LEFT($F25,LEN(T_Error))=T_Error,$D25=""),"",IF(ISERROR(FIND(T_Merc,$D25)),VLOOKUP($D25,DBStars,5,0),VLOOKUP($AJ25,DBPlayers,7,0)))</f>
        <v/>
      </c>
      <c r="K25" s="347" t="str">
        <f t="shared" ref="K25:K30" ca="1" si="27">IF($D25="","",IF(LEFT($F25,LEN(T_Error))=T_Error,INDIRECT("T_Error"&amp;RIGHT($F25,1)),IF(ISERROR(FIND(T_Merc,$D25)),VLOOKUP($D25,DBStars,6,0),T_Loner&amp;", "&amp;VLOOKUP($AJ25,DBPlayers,8,0)&amp;IF($V25="","",", "&amp;$V25))))</f>
        <v/>
      </c>
      <c r="L25" s="316"/>
      <c r="M25" s="316"/>
      <c r="N25" s="316"/>
      <c r="O25" s="316"/>
      <c r="P25" s="316"/>
      <c r="Q25" s="316"/>
      <c r="R25" s="316"/>
      <c r="S25" s="206" t="str">
        <f t="shared" ref="S25:S30" si="28">IF(OR(LEFT($F25,LEN(T_Error))=T_Error,$D25=""),"",IF(ISERROR(FIND(T_Merc,$D25)),VLOOKUP($D25,DBStars,7,0),VLOOKUP($AJ25,DBPlayers,11,0)+30000+IF(V25&lt;&gt;"",50000,0)))</f>
        <v/>
      </c>
      <c r="T25" s="117"/>
      <c r="U25" s="207" t="str">
        <f t="shared" ref="U25:U30" si="29">IF(OR(LEFT($F25,LEN(T_Error))=T_Error,$D25=""),"",IF(ISERROR(FIND("Mercenary",$D25)),"none",VLOOKUP($AJ25,DBPlayers,9,0)))</f>
        <v/>
      </c>
      <c r="V25" s="334"/>
      <c r="W25" s="316"/>
      <c r="X25" s="121"/>
      <c r="Y25" s="102"/>
      <c r="Z25" s="102"/>
      <c r="AA25" s="102"/>
      <c r="AB25" s="102"/>
      <c r="AC25" s="102"/>
      <c r="AD25" s="102"/>
      <c r="AE25" s="102"/>
      <c r="AF25" s="102"/>
      <c r="AG25" s="102"/>
      <c r="AH25" s="102"/>
      <c r="AI25" s="199" t="s">
        <v>193</v>
      </c>
      <c r="AJ25" s="159" t="str">
        <f t="shared" ref="AJ25:AJ30" si="30">IF(ISERROR(VLOOKUP(MID($D25,1,LEN($D25)-LEN(" Mercenary")),$AJ$58:$AL$67,3,0)),IF(ISERROR(VLOOKUP(D25,AK48:AK57,1,0)),"","Star"),VLOOKUP(MID($D25,1,LEN($D25)-LEN(" Mercenary")),$AJ$58:$AL$67,3,0))</f>
        <v/>
      </c>
      <c r="AK25" s="123"/>
      <c r="AL25" s="123"/>
      <c r="AM25" s="123"/>
      <c r="AN25" s="123"/>
      <c r="AO25" s="123"/>
      <c r="AP25" s="123"/>
      <c r="AQ25" s="159" t="str">
        <f t="array" ref="AQ25">IF($AJ25&lt;&gt;"",SUM(IF($AJ25=$AJ$6:$AJ25,IF($L$6:$L25=T_MNG,1,0),0)),"")</f>
        <v/>
      </c>
      <c r="AR25" s="105"/>
      <c r="AS25" s="105"/>
      <c r="AT25" s="105"/>
      <c r="AU25" s="105"/>
      <c r="AV25" s="102"/>
      <c r="AW25" s="102"/>
      <c r="AX25" s="102"/>
      <c r="AY25" s="102"/>
    </row>
    <row r="26" spans="1:51" ht="13.5" customHeight="1">
      <c r="A26" s="102"/>
      <c r="B26" s="114"/>
      <c r="C26" s="208"/>
      <c r="D26" s="346"/>
      <c r="E26" s="316"/>
      <c r="F26" s="205" t="str">
        <f>IF($D26="","",IF($AJ26="",T_Error&amp;"1",IF(COUNTIF($D$25:$D26,"&lt;&gt;")&gt;$R$31,T_Error&amp;"3",IF(ISERROR(FIND(T_Merc,$D26)),IF(COUNTIF($D$25:$D26,D26)&gt;1,T_Error&amp;"4",IF(COUNTIF($AJ$25:$AJ26,"=Star")&gt;2,T_Error&amp;"5",IF(AND($D26=Brick,$F$31&lt;&gt;"1/1"),T_Error&amp;"6","1/1"))),IF(COUNTIF($AJ$6:$AJ26,$AJ26)-$AQ26&gt;VLOOKUP($AJ26,DBPlayers,2,0)+VLOOKUP($AJ26,$AL$58:$AM$67,2,0),T_Error&amp;"2",COUNTIF($AJ$6:$AJ26,$AJ26)-$AQ26&amp;"/"&amp;(VLOOKUP($AJ26,DBPlayers,2,0)))))))</f>
        <v/>
      </c>
      <c r="G26" s="205" t="str">
        <f t="shared" si="23"/>
        <v/>
      </c>
      <c r="H26" s="205" t="str">
        <f t="shared" si="24"/>
        <v/>
      </c>
      <c r="I26" s="205" t="str">
        <f t="shared" si="25"/>
        <v/>
      </c>
      <c r="J26" s="205" t="str">
        <f t="shared" si="26"/>
        <v/>
      </c>
      <c r="K26" s="347" t="str">
        <f t="shared" ca="1" si="27"/>
        <v/>
      </c>
      <c r="L26" s="316"/>
      <c r="M26" s="316"/>
      <c r="N26" s="316"/>
      <c r="O26" s="316"/>
      <c r="P26" s="316"/>
      <c r="Q26" s="316"/>
      <c r="R26" s="316"/>
      <c r="S26" s="206" t="str">
        <f t="shared" si="28"/>
        <v/>
      </c>
      <c r="T26" s="117"/>
      <c r="U26" s="207" t="str">
        <f t="shared" si="29"/>
        <v/>
      </c>
      <c r="V26" s="334"/>
      <c r="W26" s="316"/>
      <c r="X26" s="121"/>
      <c r="Y26" s="102"/>
      <c r="Z26" s="102"/>
      <c r="AA26" s="102"/>
      <c r="AB26" s="102"/>
      <c r="AC26" s="102"/>
      <c r="AD26" s="102"/>
      <c r="AE26" s="102"/>
      <c r="AF26" s="102"/>
      <c r="AG26" s="102"/>
      <c r="AH26" s="102"/>
      <c r="AI26" s="199" t="s">
        <v>194</v>
      </c>
      <c r="AJ26" s="159" t="str">
        <f t="shared" si="30"/>
        <v/>
      </c>
      <c r="AK26" s="123"/>
      <c r="AL26" s="123"/>
      <c r="AM26" s="123"/>
      <c r="AN26" s="123"/>
      <c r="AO26" s="123"/>
      <c r="AP26" s="123"/>
      <c r="AQ26" s="159" t="str">
        <f t="array" ref="AQ26">IF($AJ26&lt;&gt;"",SUM(IF($AJ26=$AJ$6:$AJ26,IF($L$6:$L26=T_MNG,1,0),0)),"")</f>
        <v/>
      </c>
      <c r="AR26" s="105"/>
      <c r="AS26" s="105"/>
      <c r="AT26" s="105"/>
      <c r="AU26" s="105"/>
      <c r="AV26" s="102"/>
      <c r="AW26" s="102"/>
      <c r="AX26" s="102"/>
      <c r="AY26" s="102"/>
    </row>
    <row r="27" spans="1:51" ht="13.5" customHeight="1">
      <c r="A27" s="102"/>
      <c r="B27" s="114"/>
      <c r="C27" s="208"/>
      <c r="D27" s="346"/>
      <c r="E27" s="316"/>
      <c r="F27" s="205" t="str">
        <f>IF($D27="","",IF($AJ27="",T_Error&amp;"1",IF(COUNTIF($D$25:$D27,"&lt;&gt;")&gt;$R$31,T_Error&amp;"3",IF(ISERROR(FIND(T_Merc,$D27)),IF(COUNTIF($D$25:$D27,D27)&gt;1,T_Error&amp;"4",IF(COUNTIF($AJ$25:$AJ27,"=Star")&gt;2,T_Error&amp;"5",IF(AND($D27=Brick,$F$31&lt;&gt;"1/1"),T_Error&amp;"6","1/1"))),IF(COUNTIF($AJ$6:$AJ27,$AJ27)-$AQ27&gt;VLOOKUP($AJ27,DBPlayers,2,0)+VLOOKUP($AJ27,$AL$58:$AM$67,2,0),T_Error&amp;"2",COUNTIF($AJ$6:$AJ27,$AJ27)-$AQ27&amp;"/"&amp;(VLOOKUP($AJ27,DBPlayers,2,0)))))))</f>
        <v/>
      </c>
      <c r="G27" s="205" t="str">
        <f t="shared" si="23"/>
        <v/>
      </c>
      <c r="H27" s="205" t="str">
        <f t="shared" si="24"/>
        <v/>
      </c>
      <c r="I27" s="205" t="str">
        <f t="shared" si="25"/>
        <v/>
      </c>
      <c r="J27" s="205" t="str">
        <f t="shared" si="26"/>
        <v/>
      </c>
      <c r="K27" s="347" t="str">
        <f t="shared" ca="1" si="27"/>
        <v/>
      </c>
      <c r="L27" s="316"/>
      <c r="M27" s="316"/>
      <c r="N27" s="316"/>
      <c r="O27" s="316"/>
      <c r="P27" s="316"/>
      <c r="Q27" s="316"/>
      <c r="R27" s="316"/>
      <c r="S27" s="206" t="str">
        <f t="shared" si="28"/>
        <v/>
      </c>
      <c r="T27" s="117"/>
      <c r="U27" s="207" t="str">
        <f t="shared" si="29"/>
        <v/>
      </c>
      <c r="V27" s="334"/>
      <c r="W27" s="316"/>
      <c r="X27" s="121"/>
      <c r="Y27" s="102"/>
      <c r="Z27" s="102"/>
      <c r="AA27" s="102"/>
      <c r="AB27" s="102"/>
      <c r="AC27" s="102"/>
      <c r="AD27" s="102"/>
      <c r="AE27" s="102"/>
      <c r="AF27" s="102"/>
      <c r="AG27" s="102"/>
      <c r="AH27" s="102"/>
      <c r="AI27" s="199" t="s">
        <v>195</v>
      </c>
      <c r="AJ27" s="159" t="str">
        <f t="shared" si="30"/>
        <v/>
      </c>
      <c r="AK27" s="123"/>
      <c r="AL27" s="123"/>
      <c r="AM27" s="123"/>
      <c r="AN27" s="123"/>
      <c r="AO27" s="123"/>
      <c r="AP27" s="123"/>
      <c r="AQ27" s="159" t="str">
        <f t="array" ref="AQ27">IF($AJ27&lt;&gt;"",SUM(IF($AJ27=$AJ$6:$AJ27,IF($L$6:$L27=T_MNG,1,0),0)),"")</f>
        <v/>
      </c>
      <c r="AR27" s="105"/>
      <c r="AS27" s="105"/>
      <c r="AT27" s="105"/>
      <c r="AU27" s="105"/>
      <c r="AV27" s="102"/>
      <c r="AW27" s="102"/>
      <c r="AX27" s="102"/>
      <c r="AY27" s="102"/>
    </row>
    <row r="28" spans="1:51" ht="13.5" customHeight="1">
      <c r="A28" s="102"/>
      <c r="B28" s="114"/>
      <c r="C28" s="187"/>
      <c r="D28" s="346"/>
      <c r="E28" s="316"/>
      <c r="F28" s="205" t="str">
        <f>IF($D28="","",IF($AJ28="",T_Error&amp;"1",IF(COUNTIF($D$25:$D28,"&lt;&gt;")&gt;$R$31,T_Error&amp;"3",IF(ISERROR(FIND(T_Merc,$D28)),IF(COUNTIF($D$25:$D28,D28)&gt;1,T_Error&amp;"4",IF(COUNTIF($AJ$25:$AJ28,"=Star")&gt;2,T_Error&amp;"5",IF(AND($D28=Brick,$F$31&lt;&gt;"1/1"),T_Error&amp;"6","1/1"))),IF(COUNTIF($AJ$6:$AJ28,$AJ28)-$AQ28&gt;VLOOKUP($AJ28,DBPlayers,2,0)+VLOOKUP($AJ28,$AL$58:$AM$67,2,0),T_Error&amp;"2",COUNTIF($AJ$6:$AJ28,$AJ28)-$AQ28&amp;"/"&amp;(VLOOKUP($AJ28,DBPlayers,2,0)))))))</f>
        <v/>
      </c>
      <c r="G28" s="205" t="str">
        <f t="shared" si="23"/>
        <v/>
      </c>
      <c r="H28" s="205" t="str">
        <f t="shared" si="24"/>
        <v/>
      </c>
      <c r="I28" s="205" t="str">
        <f t="shared" si="25"/>
        <v/>
      </c>
      <c r="J28" s="205" t="str">
        <f t="shared" si="26"/>
        <v/>
      </c>
      <c r="K28" s="347" t="str">
        <f t="shared" ca="1" si="27"/>
        <v/>
      </c>
      <c r="L28" s="316"/>
      <c r="M28" s="316"/>
      <c r="N28" s="316"/>
      <c r="O28" s="316"/>
      <c r="P28" s="316"/>
      <c r="Q28" s="316"/>
      <c r="R28" s="316"/>
      <c r="S28" s="206" t="str">
        <f t="shared" si="28"/>
        <v/>
      </c>
      <c r="T28" s="117"/>
      <c r="U28" s="207" t="str">
        <f t="shared" si="29"/>
        <v/>
      </c>
      <c r="V28" s="334"/>
      <c r="W28" s="316"/>
      <c r="X28" s="121"/>
      <c r="Y28" s="102"/>
      <c r="Z28" s="102"/>
      <c r="AA28" s="102"/>
      <c r="AB28" s="102"/>
      <c r="AC28" s="102"/>
      <c r="AD28" s="102"/>
      <c r="AE28" s="102"/>
      <c r="AF28" s="102"/>
      <c r="AG28" s="102"/>
      <c r="AH28" s="102"/>
      <c r="AI28" s="199" t="s">
        <v>196</v>
      </c>
      <c r="AJ28" s="159" t="str">
        <f t="shared" si="30"/>
        <v/>
      </c>
      <c r="AK28" s="123"/>
      <c r="AL28" s="123"/>
      <c r="AM28" s="123"/>
      <c r="AN28" s="123"/>
      <c r="AO28" s="123"/>
      <c r="AP28" s="123"/>
      <c r="AQ28" s="159" t="str">
        <f t="array" ref="AQ28">IF($AJ28&lt;&gt;"",SUM(IF($AJ28=$AJ$6:$AJ28,IF($L$6:$L28=T_MNG,1,0),0)),"")</f>
        <v/>
      </c>
      <c r="AR28" s="105"/>
      <c r="AS28" s="105"/>
      <c r="AT28" s="105"/>
      <c r="AU28" s="105"/>
      <c r="AV28" s="102"/>
      <c r="AW28" s="102"/>
      <c r="AX28" s="102"/>
      <c r="AY28" s="102"/>
    </row>
    <row r="29" spans="1:51" ht="13.5" customHeight="1">
      <c r="A29" s="102"/>
      <c r="B29" s="114"/>
      <c r="C29" s="190"/>
      <c r="D29" s="346"/>
      <c r="E29" s="316"/>
      <c r="F29" s="205" t="str">
        <f>IF($D29="","",IF($AJ29="",T_Error&amp;"1",IF(COUNTIF($D$25:$D29,"&lt;&gt;")&gt;$R$31,T_Error&amp;"3",IF(ISERROR(FIND(T_Merc,$D29)),IF(COUNTIF($D$25:$D29,D29)&gt;1,T_Error&amp;"4",IF(COUNTIF($AJ$25:$AJ29,"=Star")&gt;2,T_Error&amp;"5",IF(AND($D29=Brick,$F$31&lt;&gt;"1/1"),T_Error&amp;"6","1/1"))),IF(COUNTIF($AJ$6:$AJ29,$AJ29)-$AQ29&gt;VLOOKUP($AJ29,DBPlayers,2,0)+VLOOKUP($AJ29,$AL$58:$AM$67,2,0),T_Error&amp;"2",COUNTIF($AJ$6:$AJ29,$AJ29)-$AQ29&amp;"/"&amp;(VLOOKUP($AJ29,DBPlayers,2,0)))))))</f>
        <v/>
      </c>
      <c r="G29" s="205" t="str">
        <f t="shared" si="23"/>
        <v/>
      </c>
      <c r="H29" s="205" t="str">
        <f t="shared" si="24"/>
        <v/>
      </c>
      <c r="I29" s="205" t="str">
        <f t="shared" si="25"/>
        <v/>
      </c>
      <c r="J29" s="205" t="str">
        <f t="shared" si="26"/>
        <v/>
      </c>
      <c r="K29" s="347" t="str">
        <f t="shared" ca="1" si="27"/>
        <v/>
      </c>
      <c r="L29" s="316"/>
      <c r="M29" s="316"/>
      <c r="N29" s="316"/>
      <c r="O29" s="316"/>
      <c r="P29" s="316"/>
      <c r="Q29" s="316"/>
      <c r="R29" s="316"/>
      <c r="S29" s="206" t="str">
        <f t="shared" si="28"/>
        <v/>
      </c>
      <c r="T29" s="117"/>
      <c r="U29" s="207" t="str">
        <f t="shared" si="29"/>
        <v/>
      </c>
      <c r="V29" s="334"/>
      <c r="W29" s="316"/>
      <c r="X29" s="121"/>
      <c r="Y29" s="102"/>
      <c r="Z29" s="102"/>
      <c r="AA29" s="102"/>
      <c r="AB29" s="102"/>
      <c r="AC29" s="102"/>
      <c r="AD29" s="102"/>
      <c r="AE29" s="102"/>
      <c r="AF29" s="102"/>
      <c r="AG29" s="102"/>
      <c r="AH29" s="102"/>
      <c r="AI29" s="199" t="s">
        <v>197</v>
      </c>
      <c r="AJ29" s="159" t="str">
        <f t="shared" si="30"/>
        <v/>
      </c>
      <c r="AK29" s="123"/>
      <c r="AL29" s="123"/>
      <c r="AM29" s="123"/>
      <c r="AN29" s="123"/>
      <c r="AO29" s="123"/>
      <c r="AP29" s="123"/>
      <c r="AQ29" s="159" t="str">
        <f t="array" ref="AQ29">IF($AJ29&lt;&gt;"",SUM(IF($AJ29=$AJ$6:$AJ29,IF($L$6:$L29=T_MNG,1,0),0)),"")</f>
        <v/>
      </c>
      <c r="AR29" s="105"/>
      <c r="AS29" s="105"/>
      <c r="AT29" s="105"/>
      <c r="AU29" s="105"/>
      <c r="AV29" s="102"/>
      <c r="AW29" s="102"/>
      <c r="AX29" s="102"/>
      <c r="AY29" s="102"/>
    </row>
    <row r="30" spans="1:51" ht="13.5" customHeight="1">
      <c r="A30" s="102"/>
      <c r="B30" s="114"/>
      <c r="C30" s="190"/>
      <c r="D30" s="346"/>
      <c r="E30" s="316"/>
      <c r="F30" s="205" t="str">
        <f>IF($D30="","",IF($AJ30="",T_Error&amp;"1",IF(COUNTIF($D$25:$D30,"&lt;&gt;")&gt;$R$31,T_Error&amp;"3",IF(ISERROR(FIND(T_Merc,$D30)),IF(COUNTIF($D$25:$D30,D30)&gt;1,T_Error&amp;"4",IF(COUNTIF($AJ$25:$AJ30,"=Star")&gt;2,T_Error&amp;"5",IF(AND($D30=Brick,$F$31&lt;&gt;"1/1"),T_Error&amp;"6","1/1"))),IF(COUNTIF($AJ$6:$AJ30,$AJ30)-$AQ30&gt;VLOOKUP($AJ30,DBPlayers,2,0)+VLOOKUP($AJ30,$AL$58:$AM$67,2,0),T_Error&amp;"2",COUNTIF($AJ$6:$AJ30,$AJ30)-$AQ30&amp;"/"&amp;(VLOOKUP($AJ30,DBPlayers,2,0)))))))</f>
        <v/>
      </c>
      <c r="G30" s="205" t="str">
        <f t="shared" si="23"/>
        <v/>
      </c>
      <c r="H30" s="205" t="str">
        <f t="shared" si="24"/>
        <v/>
      </c>
      <c r="I30" s="205" t="str">
        <f t="shared" si="25"/>
        <v/>
      </c>
      <c r="J30" s="205" t="str">
        <f t="shared" si="26"/>
        <v/>
      </c>
      <c r="K30" s="347" t="str">
        <f t="shared" ca="1" si="27"/>
        <v/>
      </c>
      <c r="L30" s="316"/>
      <c r="M30" s="316"/>
      <c r="N30" s="316"/>
      <c r="O30" s="316"/>
      <c r="P30" s="316"/>
      <c r="Q30" s="316"/>
      <c r="R30" s="316"/>
      <c r="S30" s="206" t="str">
        <f t="shared" si="28"/>
        <v/>
      </c>
      <c r="T30" s="117"/>
      <c r="U30" s="207" t="str">
        <f t="shared" si="29"/>
        <v/>
      </c>
      <c r="V30" s="334"/>
      <c r="W30" s="316"/>
      <c r="X30" s="121"/>
      <c r="Y30" s="209"/>
      <c r="Z30" s="102"/>
      <c r="AA30" s="102"/>
      <c r="AB30" s="102"/>
      <c r="AC30" s="102"/>
      <c r="AD30" s="102"/>
      <c r="AE30" s="102"/>
      <c r="AF30" s="102"/>
      <c r="AG30" s="102"/>
      <c r="AH30" s="102"/>
      <c r="AI30" s="199" t="s">
        <v>198</v>
      </c>
      <c r="AJ30" s="159" t="str">
        <f t="shared" si="30"/>
        <v/>
      </c>
      <c r="AK30" s="123"/>
      <c r="AL30" s="123"/>
      <c r="AM30" s="123"/>
      <c r="AN30" s="123"/>
      <c r="AO30" s="123"/>
      <c r="AP30" s="123"/>
      <c r="AQ30" s="159" t="str">
        <f t="array" ref="AQ30">IF($AJ30&lt;&gt;"",SUM(IF($AJ30=$AJ$6:$AJ30,IF($L$6:$L30=T_MNG,1,0),0)),"")</f>
        <v/>
      </c>
      <c r="AR30" s="105"/>
      <c r="AS30" s="105"/>
      <c r="AT30" s="105"/>
      <c r="AU30" s="105"/>
      <c r="AV30" s="102"/>
      <c r="AW30" s="102"/>
      <c r="AX30" s="102"/>
      <c r="AY30" s="102"/>
    </row>
    <row r="31" spans="1:51" ht="13.5" customHeight="1">
      <c r="A31" s="102"/>
      <c r="B31" s="114"/>
      <c r="C31" s="190"/>
      <c r="D31" s="210"/>
      <c r="E31" s="210"/>
      <c r="F31" s="205" t="str">
        <f>IF($D31="","",IF(COUNTIF($D$25:$D31,"&lt;&gt;")&gt;$R$31,T_Error&amp;"3",IF(COUNTIF($AJ$25:$AJ30,"=Star")&gt;2,T_Error&amp;"5","1/1")))</f>
        <v/>
      </c>
      <c r="G31" s="205" t="str">
        <f>IF(OR(LEFT($F31,LEN(T_Error))=T_Error,$D31=""),"",VLOOKUP($D31,DBStars,2,0))</f>
        <v/>
      </c>
      <c r="H31" s="205" t="str">
        <f>IF(OR(LEFT($F31,LEN(T_Error))=T_Error,$D31=""),"",VLOOKUP($D31,DBStars,3,0))</f>
        <v/>
      </c>
      <c r="I31" s="205" t="str">
        <f>IF(OR(LEFT($F31,LEN(T_Error))=T_Error,$D31=""),"",VLOOKUP($D31,DBStars,4,0))</f>
        <v/>
      </c>
      <c r="J31" s="205" t="str">
        <f>IF(OR(LEFT($F31,LEN(T_Error))=T_Error,$D31=""),"",VLOOKUP($D31,DBStars,5,0))</f>
        <v/>
      </c>
      <c r="K31" s="193" t="str">
        <f ca="1">IF($D31="","",IF(LEFT($F31,LEN(T_Error))=T_Error,INDIRECT("T_"&amp;$F31),VLOOKUP($D31,DBStars,6,0)))</f>
        <v/>
      </c>
      <c r="L31" s="343" t="s">
        <v>199</v>
      </c>
      <c r="M31" s="316"/>
      <c r="N31" s="316"/>
      <c r="O31" s="316"/>
      <c r="P31" s="316"/>
      <c r="Q31" s="189" t="str">
        <f>COUNTIF(J25:J31,"&gt;0")&amp;" /"</f>
        <v>0 /</v>
      </c>
      <c r="R31" s="211">
        <f>16-COUNTIF(S6:S21,"&gt;0")</f>
        <v>5</v>
      </c>
      <c r="S31" s="206"/>
      <c r="T31" s="117"/>
      <c r="U31" s="207" t="str">
        <f>IF($D31="","",IF(ISERROR(FIND("Mercenary",$D31)),"",VLOOKUP($AJ31,DBPlayers,9,0)))</f>
        <v/>
      </c>
      <c r="V31" s="154"/>
      <c r="W31" s="154"/>
      <c r="X31" s="121"/>
      <c r="Y31" s="102"/>
      <c r="Z31" s="102"/>
      <c r="AA31" s="102"/>
      <c r="AB31" s="102"/>
      <c r="AC31" s="102"/>
      <c r="AD31" s="102"/>
      <c r="AE31" s="102"/>
      <c r="AF31" s="102"/>
      <c r="AG31" s="102"/>
      <c r="AH31" s="102"/>
      <c r="AI31" s="102"/>
      <c r="AJ31" s="102"/>
      <c r="AK31" s="102"/>
      <c r="AL31" s="102"/>
      <c r="AM31" s="102"/>
      <c r="AN31" s="102"/>
      <c r="AO31" s="102"/>
      <c r="AP31" s="102"/>
      <c r="AQ31" s="102"/>
      <c r="AR31" s="105"/>
      <c r="AS31" s="105"/>
      <c r="AT31" s="105"/>
      <c r="AU31" s="105"/>
      <c r="AV31" s="102"/>
      <c r="AW31" s="102"/>
      <c r="AX31" s="102"/>
      <c r="AY31" s="102"/>
    </row>
    <row r="32" spans="1:51" ht="3" customHeight="1">
      <c r="A32" s="102"/>
      <c r="B32" s="107"/>
      <c r="C32" s="108"/>
      <c r="D32" s="109"/>
      <c r="E32" s="109"/>
      <c r="F32" s="110"/>
      <c r="G32" s="108"/>
      <c r="H32" s="108"/>
      <c r="I32" s="108"/>
      <c r="J32" s="108"/>
      <c r="K32" s="109"/>
      <c r="L32" s="109"/>
      <c r="M32" s="109"/>
      <c r="N32" s="109"/>
      <c r="O32" s="109"/>
      <c r="P32" s="109"/>
      <c r="Q32" s="109"/>
      <c r="R32" s="109"/>
      <c r="S32" s="201"/>
      <c r="T32" s="111"/>
      <c r="U32" s="121"/>
      <c r="V32" s="121"/>
      <c r="W32" s="121"/>
      <c r="X32" s="121"/>
      <c r="Y32" s="102"/>
      <c r="Z32" s="102"/>
      <c r="AA32" s="102"/>
      <c r="AB32" s="102"/>
      <c r="AC32" s="102"/>
      <c r="AD32" s="102"/>
      <c r="AE32" s="102"/>
      <c r="AF32" s="102"/>
      <c r="AG32" s="102"/>
      <c r="AH32" s="102"/>
      <c r="AI32" s="102"/>
      <c r="AJ32" s="102"/>
      <c r="AK32" s="102"/>
      <c r="AL32" s="102"/>
      <c r="AM32" s="102"/>
      <c r="AN32" s="102"/>
      <c r="AO32" s="102"/>
      <c r="AP32" s="102"/>
      <c r="AQ32" s="102"/>
      <c r="AR32" s="105"/>
      <c r="AS32" s="105"/>
      <c r="AT32" s="105"/>
      <c r="AU32" s="105"/>
      <c r="AV32" s="102"/>
      <c r="AW32" s="102"/>
      <c r="AX32" s="102"/>
      <c r="AY32" s="102"/>
    </row>
    <row r="33" spans="1:51" ht="13.5" customHeight="1">
      <c r="A33" s="102"/>
      <c r="B33" s="114"/>
      <c r="C33" s="115"/>
      <c r="D33" s="345" t="s">
        <v>288</v>
      </c>
      <c r="E33" s="316"/>
      <c r="F33" s="316"/>
      <c r="G33" s="316"/>
      <c r="H33" s="316"/>
      <c r="I33" s="316"/>
      <c r="J33" s="115"/>
      <c r="K33" s="212"/>
      <c r="L33" s="345" t="s">
        <v>201</v>
      </c>
      <c r="M33" s="316"/>
      <c r="N33" s="316"/>
      <c r="O33" s="316"/>
      <c r="P33" s="316"/>
      <c r="Q33" s="316"/>
      <c r="R33" s="316"/>
      <c r="S33" s="213"/>
      <c r="T33" s="117"/>
      <c r="U33" s="102"/>
      <c r="V33" s="106"/>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5"/>
      <c r="AS33" s="105"/>
      <c r="AT33" s="105"/>
      <c r="AU33" s="105"/>
      <c r="AV33" s="102"/>
      <c r="AW33" s="102"/>
      <c r="AX33" s="102"/>
      <c r="AY33" s="102"/>
    </row>
    <row r="34" spans="1:51" ht="13.5" customHeight="1">
      <c r="A34" s="102"/>
      <c r="B34" s="114"/>
      <c r="C34" s="191"/>
      <c r="D34" s="343" t="s">
        <v>202</v>
      </c>
      <c r="E34" s="316"/>
      <c r="F34" s="116">
        <v>0</v>
      </c>
      <c r="G34" s="189" t="s">
        <v>203</v>
      </c>
      <c r="H34" s="344">
        <v>50000</v>
      </c>
      <c r="I34" s="316"/>
      <c r="J34" s="190"/>
      <c r="K34" s="191"/>
      <c r="L34" s="189" t="s">
        <v>204</v>
      </c>
      <c r="M34" s="187">
        <v>3</v>
      </c>
      <c r="N34" s="189" t="s">
        <v>203</v>
      </c>
      <c r="O34" s="352">
        <f>IF(ISERROR(VLOOKUP($E$3,Database!$B$6:$C$30,2,0)),0,VLOOKUP($E$3,Database!$B$6:$C$30,2,0))</f>
        <v>60000</v>
      </c>
      <c r="P34" s="316"/>
      <c r="Q34" s="316"/>
      <c r="R34" s="191" t="s">
        <v>205</v>
      </c>
      <c r="S34" s="194">
        <f>M34*O34</f>
        <v>180000</v>
      </c>
      <c r="T34" s="117"/>
      <c r="U34" s="214"/>
      <c r="V34" s="106"/>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5"/>
      <c r="AS34" s="105"/>
      <c r="AT34" s="105"/>
      <c r="AU34" s="105"/>
      <c r="AV34" s="102"/>
      <c r="AW34" s="102"/>
      <c r="AX34" s="102"/>
      <c r="AY34" s="102"/>
    </row>
    <row r="35" spans="1:51" ht="13.5" customHeight="1">
      <c r="A35" s="102"/>
      <c r="B35" s="114"/>
      <c r="C35" s="191"/>
      <c r="D35" s="343" t="s">
        <v>206</v>
      </c>
      <c r="E35" s="316"/>
      <c r="F35" s="116">
        <v>0</v>
      </c>
      <c r="G35" s="189" t="s">
        <v>203</v>
      </c>
      <c r="H35" s="344">
        <f>IF($E$3=Goblin,50000,100000)</f>
        <v>100000</v>
      </c>
      <c r="I35" s="316"/>
      <c r="J35" s="190"/>
      <c r="K35" s="191"/>
      <c r="L35" s="189" t="s">
        <v>207</v>
      </c>
      <c r="M35" s="187">
        <v>2</v>
      </c>
      <c r="N35" s="189" t="s">
        <v>203</v>
      </c>
      <c r="O35" s="352">
        <v>10000</v>
      </c>
      <c r="P35" s="316"/>
      <c r="Q35" s="316"/>
      <c r="R35" s="191" t="s">
        <v>205</v>
      </c>
      <c r="S35" s="194">
        <f t="shared" ref="S35:S38" si="31">O35*M35</f>
        <v>20000</v>
      </c>
      <c r="T35" s="117"/>
      <c r="U35" s="11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5"/>
      <c r="AS35" s="105"/>
      <c r="AT35" s="105"/>
      <c r="AU35" s="105"/>
      <c r="AV35" s="102"/>
      <c r="AW35" s="102"/>
      <c r="AX35" s="102"/>
      <c r="AY35" s="102"/>
    </row>
    <row r="36" spans="1:51" ht="13.5" customHeight="1">
      <c r="A36" s="102"/>
      <c r="B36" s="114"/>
      <c r="C36" s="191"/>
      <c r="D36" s="343" t="s">
        <v>208</v>
      </c>
      <c r="E36" s="316"/>
      <c r="F36" s="116">
        <v>0</v>
      </c>
      <c r="G36" s="189" t="s">
        <v>203</v>
      </c>
      <c r="H36" s="344">
        <v>100000</v>
      </c>
      <c r="I36" s="316"/>
      <c r="J36" s="190"/>
      <c r="K36" s="191"/>
      <c r="L36" s="189" t="s">
        <v>209</v>
      </c>
      <c r="M36" s="187">
        <v>0</v>
      </c>
      <c r="N36" s="189" t="s">
        <v>203</v>
      </c>
      <c r="O36" s="352">
        <v>10000</v>
      </c>
      <c r="P36" s="316"/>
      <c r="Q36" s="316"/>
      <c r="R36" s="191" t="s">
        <v>205</v>
      </c>
      <c r="S36" s="194">
        <f t="shared" si="31"/>
        <v>0</v>
      </c>
      <c r="T36" s="117"/>
      <c r="U36" s="214"/>
      <c r="V36" s="106"/>
      <c r="W36" s="102"/>
      <c r="X36" s="102"/>
      <c r="Y36" s="113"/>
      <c r="Z36" s="113"/>
      <c r="AA36" s="113"/>
      <c r="AB36" s="102"/>
      <c r="AC36" s="102"/>
      <c r="AD36" s="102"/>
      <c r="AE36" s="102"/>
      <c r="AF36" s="102"/>
      <c r="AG36" s="102"/>
      <c r="AH36" s="102"/>
      <c r="AI36" s="102"/>
      <c r="AJ36" s="102"/>
      <c r="AK36" s="102"/>
      <c r="AL36" s="102"/>
      <c r="AM36" s="102"/>
      <c r="AN36" s="102"/>
      <c r="AO36" s="102"/>
      <c r="AP36" s="102"/>
      <c r="AQ36" s="102"/>
      <c r="AR36" s="105"/>
      <c r="AS36" s="105"/>
      <c r="AT36" s="105"/>
      <c r="AU36" s="105"/>
      <c r="AV36" s="102"/>
      <c r="AW36" s="102"/>
      <c r="AX36" s="102"/>
      <c r="AY36" s="102"/>
    </row>
    <row r="37" spans="1:51" ht="13.5" customHeight="1">
      <c r="A37" s="102"/>
      <c r="B37" s="114"/>
      <c r="C37" s="191"/>
      <c r="D37" s="343" t="s">
        <v>210</v>
      </c>
      <c r="E37" s="316"/>
      <c r="F37" s="116">
        <v>0</v>
      </c>
      <c r="G37" s="189" t="s">
        <v>203</v>
      </c>
      <c r="H37" s="344">
        <f>IF($E$3=Halfling,100000,300000)</f>
        <v>300000</v>
      </c>
      <c r="I37" s="316"/>
      <c r="J37" s="190"/>
      <c r="K37" s="191"/>
      <c r="L37" s="189" t="s">
        <v>211</v>
      </c>
      <c r="M37" s="187">
        <v>0</v>
      </c>
      <c r="N37" s="189" t="s">
        <v>203</v>
      </c>
      <c r="O37" s="352">
        <v>10000</v>
      </c>
      <c r="P37" s="316"/>
      <c r="Q37" s="316"/>
      <c r="R37" s="191" t="s">
        <v>205</v>
      </c>
      <c r="S37" s="194">
        <f t="shared" si="31"/>
        <v>0</v>
      </c>
      <c r="T37" s="117"/>
      <c r="U37" s="214"/>
      <c r="V37" s="215"/>
      <c r="W37" s="113"/>
      <c r="X37" s="113"/>
      <c r="Y37" s="216"/>
      <c r="Z37" s="113"/>
      <c r="AA37" s="217"/>
      <c r="AB37" s="102"/>
      <c r="AC37" s="102"/>
      <c r="AD37" s="102"/>
      <c r="AE37" s="102"/>
      <c r="AF37" s="102"/>
      <c r="AG37" s="102"/>
      <c r="AH37" s="102"/>
      <c r="AI37" s="102"/>
      <c r="AJ37" s="102"/>
      <c r="AK37" s="102"/>
      <c r="AL37" s="102"/>
      <c r="AM37" s="102"/>
      <c r="AN37" s="102"/>
      <c r="AO37" s="102"/>
      <c r="AP37" s="102"/>
      <c r="AQ37" s="102"/>
      <c r="AR37" s="105"/>
      <c r="AS37" s="105"/>
      <c r="AT37" s="105"/>
      <c r="AU37" s="105"/>
      <c r="AV37" s="102"/>
      <c r="AW37" s="102"/>
      <c r="AX37" s="102"/>
      <c r="AY37" s="102"/>
    </row>
    <row r="38" spans="1:51" ht="13.5" customHeight="1">
      <c r="A38" s="102"/>
      <c r="B38" s="114"/>
      <c r="C38" s="191"/>
      <c r="D38" s="343" t="s">
        <v>212</v>
      </c>
      <c r="E38" s="316"/>
      <c r="F38" s="116">
        <v>0</v>
      </c>
      <c r="G38" s="189" t="s">
        <v>203</v>
      </c>
      <c r="H38" s="344">
        <v>100000</v>
      </c>
      <c r="I38" s="316"/>
      <c r="J38" s="190"/>
      <c r="K38" s="191"/>
      <c r="L38" s="189" t="s">
        <v>213</v>
      </c>
      <c r="M38" s="187">
        <v>1</v>
      </c>
      <c r="N38" s="189" t="s">
        <v>203</v>
      </c>
      <c r="O38" s="352">
        <v>50000</v>
      </c>
      <c r="P38" s="316"/>
      <c r="Q38" s="316"/>
      <c r="R38" s="191" t="s">
        <v>205</v>
      </c>
      <c r="S38" s="194">
        <f t="shared" si="31"/>
        <v>50000</v>
      </c>
      <c r="T38" s="117"/>
      <c r="U38" s="214"/>
      <c r="V38" s="112"/>
      <c r="W38" s="113"/>
      <c r="X38" s="113"/>
      <c r="Y38" s="113"/>
      <c r="Z38" s="113"/>
      <c r="AA38" s="113"/>
      <c r="AB38" s="102"/>
      <c r="AC38" s="102"/>
      <c r="AD38" s="102"/>
      <c r="AE38" s="102"/>
      <c r="AF38" s="102"/>
      <c r="AG38" s="102"/>
      <c r="AH38" s="102"/>
      <c r="AI38" s="102"/>
      <c r="AJ38" s="102"/>
      <c r="AK38" s="102"/>
      <c r="AL38" s="102"/>
      <c r="AM38" s="102"/>
      <c r="AN38" s="102"/>
      <c r="AO38" s="102"/>
      <c r="AP38" s="102"/>
      <c r="AQ38" s="102"/>
      <c r="AR38" s="105"/>
      <c r="AS38" s="105"/>
      <c r="AT38" s="105"/>
      <c r="AU38" s="105"/>
      <c r="AV38" s="102"/>
      <c r="AW38" s="102"/>
      <c r="AX38" s="102"/>
      <c r="AY38" s="102"/>
    </row>
    <row r="39" spans="1:51" ht="13.5" customHeight="1">
      <c r="A39" s="102"/>
      <c r="B39" s="114"/>
      <c r="C39" s="191"/>
      <c r="D39" s="343" t="s">
        <v>214</v>
      </c>
      <c r="E39" s="316"/>
      <c r="F39" s="116">
        <v>0</v>
      </c>
      <c r="G39" s="189" t="s">
        <v>203</v>
      </c>
      <c r="H39" s="344">
        <v>150000</v>
      </c>
      <c r="I39" s="316"/>
      <c r="J39" s="190"/>
      <c r="K39" s="212"/>
      <c r="L39" s="189" t="s">
        <v>215</v>
      </c>
      <c r="M39" s="353">
        <v>170000</v>
      </c>
      <c r="N39" s="316"/>
      <c r="O39" s="316"/>
      <c r="P39" s="316"/>
      <c r="Q39" s="212"/>
      <c r="R39" s="212"/>
      <c r="S39" s="115"/>
      <c r="T39" s="117"/>
      <c r="U39" s="214"/>
      <c r="V39" s="215"/>
      <c r="W39" s="113"/>
      <c r="X39" s="113"/>
      <c r="Y39" s="113"/>
      <c r="Z39" s="113"/>
      <c r="AA39" s="113"/>
      <c r="AB39" s="102"/>
      <c r="AC39" s="102"/>
      <c r="AD39" s="102"/>
      <c r="AE39" s="102"/>
      <c r="AF39" s="102"/>
      <c r="AG39" s="102"/>
      <c r="AH39" s="102"/>
      <c r="AI39" s="102"/>
      <c r="AJ39" s="102"/>
      <c r="AK39" s="102"/>
      <c r="AL39" s="102"/>
      <c r="AM39" s="102"/>
      <c r="AN39" s="102"/>
      <c r="AO39" s="102"/>
      <c r="AP39" s="102"/>
      <c r="AQ39" s="102"/>
      <c r="AR39" s="105"/>
      <c r="AS39" s="105"/>
      <c r="AT39" s="105"/>
      <c r="AU39" s="105"/>
      <c r="AV39" s="102"/>
      <c r="AW39" s="102"/>
      <c r="AX39" s="102"/>
      <c r="AY39" s="102"/>
    </row>
    <row r="40" spans="1:51" ht="13.5" customHeight="1">
      <c r="A40" s="102"/>
      <c r="B40" s="114"/>
      <c r="C40" s="191"/>
      <c r="D40" s="343" t="s">
        <v>216</v>
      </c>
      <c r="E40" s="316"/>
      <c r="F40" s="116">
        <v>0</v>
      </c>
      <c r="G40" s="189" t="s">
        <v>203</v>
      </c>
      <c r="H40" s="344">
        <v>100000</v>
      </c>
      <c r="I40" s="316"/>
      <c r="J40" s="190"/>
      <c r="K40" s="212"/>
      <c r="L40" s="189"/>
      <c r="M40" s="115"/>
      <c r="N40" s="218"/>
      <c r="O40" s="218"/>
      <c r="P40" s="218"/>
      <c r="Q40" s="132" t="s">
        <v>217</v>
      </c>
      <c r="R40" s="350">
        <f>SUM(S6:S21,S34:S38)</f>
        <v>1200000</v>
      </c>
      <c r="S40" s="316"/>
      <c r="T40" s="117"/>
      <c r="U40" s="214"/>
      <c r="V40" s="215"/>
      <c r="W40" s="113"/>
      <c r="X40" s="113"/>
      <c r="Y40" s="113"/>
      <c r="Z40" s="113"/>
      <c r="AA40" s="113"/>
      <c r="AB40" s="102"/>
      <c r="AC40" s="102"/>
      <c r="AD40" s="102"/>
      <c r="AE40" s="102"/>
      <c r="AF40" s="102"/>
      <c r="AG40" s="102"/>
      <c r="AH40" s="102"/>
      <c r="AI40" s="102"/>
      <c r="AJ40" s="102"/>
      <c r="AK40" s="102"/>
      <c r="AL40" s="102"/>
      <c r="AM40" s="102"/>
      <c r="AN40" s="102"/>
      <c r="AO40" s="102"/>
      <c r="AP40" s="102"/>
      <c r="AQ40" s="102"/>
      <c r="AR40" s="105"/>
      <c r="AS40" s="105"/>
      <c r="AT40" s="105"/>
      <c r="AU40" s="105"/>
      <c r="AV40" s="102"/>
      <c r="AW40" s="102"/>
      <c r="AX40" s="102"/>
      <c r="AY40" s="102"/>
    </row>
    <row r="41" spans="1:51" ht="13.5" customHeight="1">
      <c r="A41" s="102"/>
      <c r="B41" s="114"/>
      <c r="C41" s="212"/>
      <c r="D41" s="343" t="s">
        <v>218</v>
      </c>
      <c r="E41" s="316"/>
      <c r="F41" s="349">
        <v>0</v>
      </c>
      <c r="G41" s="316"/>
      <c r="H41" s="316"/>
      <c r="I41" s="316"/>
      <c r="J41" s="212"/>
      <c r="K41" s="212"/>
      <c r="L41" s="212"/>
      <c r="M41" s="212"/>
      <c r="N41" s="191"/>
      <c r="O41" s="191"/>
      <c r="P41" s="191"/>
      <c r="Q41" s="132" t="s">
        <v>219</v>
      </c>
      <c r="R41" s="350">
        <f>SUMPRODUCT(F34:F40,H34:H40)+F41+F42</f>
        <v>0</v>
      </c>
      <c r="S41" s="316"/>
      <c r="T41" s="117"/>
      <c r="U41" s="214"/>
      <c r="V41" s="215"/>
      <c r="W41" s="113"/>
      <c r="X41" s="113"/>
      <c r="Y41" s="113"/>
      <c r="Z41" s="113"/>
      <c r="AA41" s="113"/>
      <c r="AB41" s="102"/>
      <c r="AC41" s="102"/>
      <c r="AD41" s="102"/>
      <c r="AE41" s="102"/>
      <c r="AF41" s="102"/>
      <c r="AG41" s="102"/>
      <c r="AH41" s="102"/>
      <c r="AI41" s="102"/>
      <c r="AJ41" s="102"/>
      <c r="AK41" s="102"/>
      <c r="AL41" s="102"/>
      <c r="AM41" s="102"/>
      <c r="AN41" s="102"/>
      <c r="AO41" s="102"/>
      <c r="AP41" s="102"/>
      <c r="AQ41" s="102"/>
      <c r="AR41" s="105"/>
      <c r="AS41" s="105"/>
      <c r="AT41" s="105"/>
      <c r="AU41" s="105"/>
      <c r="AV41" s="102"/>
      <c r="AW41" s="102"/>
      <c r="AX41" s="102"/>
      <c r="AY41" s="102"/>
    </row>
    <row r="42" spans="1:51" ht="13.5" customHeight="1">
      <c r="A42" s="102"/>
      <c r="B42" s="114"/>
      <c r="C42" s="191"/>
      <c r="D42" s="189"/>
      <c r="E42" s="189" t="s">
        <v>220</v>
      </c>
      <c r="F42" s="344">
        <f>SUM(S25:S30)</f>
        <v>0</v>
      </c>
      <c r="G42" s="316"/>
      <c r="H42" s="316"/>
      <c r="I42" s="316"/>
      <c r="J42" s="191"/>
      <c r="K42" s="191"/>
      <c r="L42" s="212"/>
      <c r="M42" s="212"/>
      <c r="N42" s="191"/>
      <c r="O42" s="191"/>
      <c r="P42" s="191"/>
      <c r="Q42" s="132" t="s">
        <v>221</v>
      </c>
      <c r="R42" s="350">
        <f>R40+R41</f>
        <v>1200000</v>
      </c>
      <c r="S42" s="316"/>
      <c r="T42" s="117"/>
      <c r="U42" s="214"/>
      <c r="V42" s="215"/>
      <c r="W42" s="113"/>
      <c r="X42" s="113"/>
      <c r="Y42" s="113"/>
      <c r="Z42" s="113"/>
      <c r="AA42" s="113"/>
      <c r="AB42" s="102"/>
      <c r="AC42" s="102"/>
      <c r="AD42" s="102"/>
      <c r="AE42" s="102"/>
      <c r="AF42" s="102"/>
      <c r="AG42" s="102"/>
      <c r="AH42" s="102"/>
      <c r="AI42" s="102"/>
      <c r="AJ42" s="102"/>
      <c r="AK42" s="102"/>
      <c r="AL42" s="102"/>
      <c r="AM42" s="102"/>
      <c r="AN42" s="102"/>
      <c r="AO42" s="102"/>
      <c r="AP42" s="102"/>
      <c r="AQ42" s="102"/>
      <c r="AR42" s="105"/>
      <c r="AS42" s="105"/>
      <c r="AT42" s="105"/>
      <c r="AU42" s="105"/>
      <c r="AV42" s="102"/>
      <c r="AW42" s="102"/>
      <c r="AX42" s="102"/>
      <c r="AY42" s="102"/>
    </row>
    <row r="43" spans="1:51" ht="3" customHeight="1">
      <c r="A43" s="102"/>
      <c r="B43" s="219"/>
      <c r="C43" s="220"/>
      <c r="D43" s="221"/>
      <c r="E43" s="221"/>
      <c r="F43" s="222"/>
      <c r="G43" s="220"/>
      <c r="H43" s="220"/>
      <c r="I43" s="220"/>
      <c r="J43" s="220"/>
      <c r="K43" s="221"/>
      <c r="L43" s="221"/>
      <c r="M43" s="221"/>
      <c r="N43" s="221"/>
      <c r="O43" s="221"/>
      <c r="P43" s="221"/>
      <c r="Q43" s="221"/>
      <c r="R43" s="221"/>
      <c r="S43" s="220"/>
      <c r="T43" s="223"/>
      <c r="U43" s="214"/>
      <c r="V43" s="215"/>
      <c r="W43" s="113"/>
      <c r="X43" s="113"/>
      <c r="Y43" s="113"/>
      <c r="Z43" s="113"/>
      <c r="AA43" s="113"/>
      <c r="AB43" s="102"/>
      <c r="AC43" s="102"/>
      <c r="AD43" s="102"/>
      <c r="AE43" s="102"/>
      <c r="AF43" s="102"/>
      <c r="AG43" s="102"/>
      <c r="AH43" s="102"/>
      <c r="AI43" s="102"/>
      <c r="AJ43" s="102"/>
      <c r="AK43" s="102"/>
      <c r="AL43" s="102"/>
      <c r="AM43" s="102"/>
      <c r="AN43" s="102"/>
      <c r="AO43" s="102"/>
      <c r="AP43" s="102"/>
      <c r="AQ43" s="102"/>
      <c r="AR43" s="105"/>
      <c r="AS43" s="105"/>
      <c r="AT43" s="105"/>
      <c r="AU43" s="105"/>
      <c r="AV43" s="102"/>
      <c r="AW43" s="102"/>
      <c r="AX43" s="102"/>
      <c r="AY43" s="102"/>
    </row>
    <row r="44" spans="1:51" ht="13.5" customHeight="1">
      <c r="A44" s="102"/>
      <c r="B44" s="102"/>
      <c r="C44" s="102"/>
      <c r="D44" s="102"/>
      <c r="E44" s="102"/>
      <c r="F44" s="102"/>
      <c r="G44" s="102"/>
      <c r="H44" s="102"/>
      <c r="I44" s="102"/>
      <c r="J44" s="102"/>
      <c r="K44" s="102"/>
      <c r="L44" s="102"/>
      <c r="M44" s="102"/>
      <c r="N44" s="102"/>
      <c r="O44" s="102"/>
      <c r="P44" s="102"/>
      <c r="Q44" s="102"/>
      <c r="R44" s="102"/>
      <c r="S44" s="105"/>
      <c r="T44" s="102"/>
      <c r="U44" s="102"/>
      <c r="V44" s="215"/>
      <c r="W44" s="113"/>
      <c r="X44" s="113"/>
      <c r="Y44" s="113"/>
      <c r="Z44" s="113"/>
      <c r="AA44" s="113"/>
      <c r="AB44" s="102"/>
      <c r="AC44" s="102"/>
      <c r="AD44" s="102"/>
      <c r="AE44" s="102"/>
      <c r="AF44" s="102"/>
      <c r="AG44" s="102"/>
      <c r="AH44" s="102"/>
      <c r="AI44" s="102"/>
      <c r="AJ44" s="102"/>
      <c r="AK44" s="102"/>
      <c r="AL44" s="102"/>
      <c r="AM44" s="102"/>
      <c r="AN44" s="102"/>
      <c r="AO44" s="102"/>
      <c r="AP44" s="102"/>
      <c r="AQ44" s="102"/>
      <c r="AR44" s="105"/>
      <c r="AS44" s="105"/>
      <c r="AT44" s="105"/>
      <c r="AU44" s="105"/>
      <c r="AV44" s="102"/>
      <c r="AW44" s="102"/>
      <c r="AX44" s="102"/>
      <c r="AY44" s="102"/>
    </row>
    <row r="45" spans="1:51" ht="13.5" customHeight="1">
      <c r="A45" s="102"/>
      <c r="B45" s="102"/>
      <c r="C45" s="105"/>
      <c r="D45" s="102"/>
      <c r="E45" s="102"/>
      <c r="F45" s="104"/>
      <c r="G45" s="105"/>
      <c r="H45" s="105"/>
      <c r="I45" s="105"/>
      <c r="J45" s="105"/>
      <c r="K45" s="102"/>
      <c r="L45" s="102"/>
      <c r="M45" s="102"/>
      <c r="N45" s="102"/>
      <c r="O45" s="102"/>
      <c r="P45" s="102"/>
      <c r="Q45" s="102"/>
      <c r="R45" s="102"/>
      <c r="S45" s="105"/>
      <c r="T45" s="102"/>
      <c r="U45" s="102"/>
      <c r="V45" s="106"/>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5"/>
      <c r="AS45" s="105"/>
      <c r="AT45" s="105"/>
      <c r="AU45" s="105"/>
      <c r="AV45" s="102"/>
      <c r="AW45" s="102"/>
      <c r="AX45" s="102"/>
      <c r="AY45" s="102"/>
    </row>
    <row r="46" spans="1:51" ht="13.5" customHeight="1">
      <c r="A46" s="102"/>
      <c r="B46" s="102"/>
      <c r="C46" s="105"/>
      <c r="D46" s="102"/>
      <c r="E46" s="102"/>
      <c r="F46" s="104"/>
      <c r="G46" s="105"/>
      <c r="H46" s="105"/>
      <c r="I46" s="105"/>
      <c r="J46" s="105"/>
      <c r="K46" s="102"/>
      <c r="L46" s="102"/>
      <c r="M46" s="102"/>
      <c r="N46" s="102"/>
      <c r="O46" s="102"/>
      <c r="P46" s="102"/>
      <c r="Q46" s="102"/>
      <c r="R46" s="102"/>
      <c r="S46" s="105"/>
      <c r="T46" s="102"/>
      <c r="U46" s="102"/>
      <c r="V46" s="106"/>
      <c r="W46" s="102"/>
      <c r="X46" s="102"/>
      <c r="Y46" s="102"/>
      <c r="Z46" s="102"/>
      <c r="AA46" s="102"/>
      <c r="AB46" s="102"/>
      <c r="AC46" s="102"/>
      <c r="AD46" s="102"/>
      <c r="AE46" s="102"/>
      <c r="AF46" s="102"/>
      <c r="AG46" s="102"/>
      <c r="AH46" s="102"/>
      <c r="AI46" s="102"/>
      <c r="AJ46" s="102"/>
      <c r="AK46" s="106"/>
      <c r="AL46" s="102"/>
      <c r="AM46" s="102"/>
      <c r="AN46" s="102"/>
      <c r="AO46" s="102"/>
      <c r="AP46" s="102"/>
      <c r="AQ46" s="102"/>
      <c r="AR46" s="105"/>
      <c r="AS46" s="105"/>
      <c r="AT46" s="105"/>
      <c r="AU46" s="105"/>
      <c r="AV46" s="102"/>
      <c r="AW46" s="102"/>
      <c r="AX46" s="102"/>
      <c r="AY46" s="102"/>
    </row>
    <row r="47" spans="1:51" ht="13.5" customHeight="1">
      <c r="A47" s="102"/>
      <c r="B47" s="102"/>
      <c r="C47" s="105"/>
      <c r="D47" s="102"/>
      <c r="E47" s="102"/>
      <c r="F47" s="104"/>
      <c r="G47" s="105"/>
      <c r="H47" s="105"/>
      <c r="I47" s="105"/>
      <c r="J47" s="105"/>
      <c r="K47" s="102"/>
      <c r="L47" s="102"/>
      <c r="M47" s="102"/>
      <c r="N47" s="102"/>
      <c r="O47" s="102"/>
      <c r="P47" s="102"/>
      <c r="Q47" s="102"/>
      <c r="R47" s="102"/>
      <c r="S47" s="105"/>
      <c r="T47" s="102"/>
      <c r="U47" s="102"/>
      <c r="V47" s="106"/>
      <c r="W47" s="102"/>
      <c r="X47" s="102"/>
      <c r="Y47" s="102"/>
      <c r="Z47" s="102"/>
      <c r="AA47" s="102"/>
      <c r="AB47" s="102"/>
      <c r="AC47" s="102"/>
      <c r="AD47" s="102"/>
      <c r="AE47" s="102"/>
      <c r="AF47" s="102"/>
      <c r="AG47" s="102"/>
      <c r="AH47" s="102"/>
      <c r="AI47" s="102"/>
      <c r="AJ47" s="102"/>
      <c r="AK47" s="106" t="s">
        <v>222</v>
      </c>
      <c r="AL47" s="102" t="s">
        <v>223</v>
      </c>
      <c r="AM47" s="102"/>
      <c r="AN47" s="102"/>
      <c r="AO47" s="102"/>
      <c r="AP47" s="102"/>
      <c r="AQ47" s="102"/>
      <c r="AR47" s="105"/>
      <c r="AS47" s="105"/>
      <c r="AT47" s="105"/>
      <c r="AU47" s="105"/>
      <c r="AV47" s="102"/>
      <c r="AW47" s="102"/>
      <c r="AX47" s="102"/>
      <c r="AY47" s="102"/>
    </row>
    <row r="48" spans="1:51" ht="13.5" customHeight="1">
      <c r="A48" s="102"/>
      <c r="B48" s="102"/>
      <c r="C48" s="105"/>
      <c r="D48" s="102"/>
      <c r="E48" s="102"/>
      <c r="F48" s="104"/>
      <c r="G48" s="105"/>
      <c r="H48" s="105"/>
      <c r="I48" s="105"/>
      <c r="J48" s="105"/>
      <c r="K48" s="102"/>
      <c r="L48" s="102"/>
      <c r="M48" s="102"/>
      <c r="N48" s="102"/>
      <c r="O48" s="102"/>
      <c r="P48" s="102"/>
      <c r="Q48" s="102"/>
      <c r="R48" s="102"/>
      <c r="S48" s="105"/>
      <c r="T48" s="102"/>
      <c r="U48" s="102"/>
      <c r="V48" s="106"/>
      <c r="W48" s="102"/>
      <c r="X48" s="102"/>
      <c r="Y48" s="102"/>
      <c r="Z48" s="102"/>
      <c r="AA48" s="102"/>
      <c r="AB48" s="102"/>
      <c r="AC48" s="102"/>
      <c r="AD48" s="102"/>
      <c r="AE48" s="102"/>
      <c r="AF48" s="102"/>
      <c r="AG48" s="102"/>
      <c r="AH48" s="102"/>
      <c r="AI48" s="102"/>
      <c r="AJ48" s="102"/>
      <c r="AK48" s="234" t="e">
        <f t="shared" ref="AK48:AK57" si="32">VLOOKUP(AL48,DBTeamStars,2,0)</f>
        <v>#N/A</v>
      </c>
      <c r="AL48" s="234" t="str">
        <f>$E$3&amp;"10"</f>
        <v>Orc10</v>
      </c>
      <c r="AM48" s="102"/>
      <c r="AN48" s="102"/>
      <c r="AO48" s="102"/>
      <c r="AP48" s="102"/>
      <c r="AQ48" s="102"/>
      <c r="AR48" s="105"/>
      <c r="AS48" s="105"/>
      <c r="AT48" s="105"/>
      <c r="AU48" s="105"/>
      <c r="AV48" s="102"/>
      <c r="AW48" s="102"/>
      <c r="AX48" s="102"/>
      <c r="AY48" s="102"/>
    </row>
    <row r="49" spans="1:51" ht="13.5" customHeight="1">
      <c r="A49" s="102"/>
      <c r="B49" s="102"/>
      <c r="C49" s="105"/>
      <c r="D49" s="102"/>
      <c r="E49" s="102"/>
      <c r="F49" s="104"/>
      <c r="G49" s="105"/>
      <c r="H49" s="105"/>
      <c r="I49" s="105"/>
      <c r="J49" s="105"/>
      <c r="K49" s="102"/>
      <c r="L49" s="102"/>
      <c r="M49" s="102"/>
      <c r="N49" s="102"/>
      <c r="O49" s="102"/>
      <c r="P49" s="102"/>
      <c r="Q49" s="102"/>
      <c r="R49" s="102"/>
      <c r="S49" s="105"/>
      <c r="T49" s="102"/>
      <c r="U49" s="102"/>
      <c r="V49" s="106"/>
      <c r="W49" s="102"/>
      <c r="X49" s="102"/>
      <c r="Y49" s="102"/>
      <c r="Z49" s="102"/>
      <c r="AA49" s="102"/>
      <c r="AB49" s="102"/>
      <c r="AC49" s="102"/>
      <c r="AD49" s="102"/>
      <c r="AE49" s="102"/>
      <c r="AF49" s="102"/>
      <c r="AG49" s="102"/>
      <c r="AH49" s="102"/>
      <c r="AI49" s="102"/>
      <c r="AJ49" s="102"/>
      <c r="AK49" s="234" t="e">
        <f t="shared" si="32"/>
        <v>#N/A</v>
      </c>
      <c r="AL49" s="234" t="str">
        <f>$E$3&amp;"9"</f>
        <v>Orc9</v>
      </c>
      <c r="AM49" s="102"/>
      <c r="AN49" s="102"/>
      <c r="AO49" s="102"/>
      <c r="AP49" s="102"/>
      <c r="AQ49" s="102"/>
      <c r="AR49" s="105"/>
      <c r="AS49" s="105"/>
      <c r="AT49" s="105"/>
      <c r="AU49" s="105"/>
      <c r="AV49" s="102"/>
      <c r="AW49" s="102"/>
      <c r="AX49" s="102"/>
      <c r="AY49" s="102"/>
    </row>
    <row r="50" spans="1:51" ht="13.5" customHeight="1">
      <c r="A50" s="102"/>
      <c r="B50" s="102"/>
      <c r="C50" s="105"/>
      <c r="D50" s="102"/>
      <c r="E50" s="102"/>
      <c r="F50" s="104"/>
      <c r="G50" s="105"/>
      <c r="H50" s="105"/>
      <c r="I50" s="105"/>
      <c r="J50" s="105"/>
      <c r="K50" s="102"/>
      <c r="L50" s="102"/>
      <c r="M50" s="102"/>
      <c r="N50" s="102"/>
      <c r="O50" s="102"/>
      <c r="P50" s="102"/>
      <c r="Q50" s="102"/>
      <c r="R50" s="102"/>
      <c r="S50" s="105"/>
      <c r="T50" s="102"/>
      <c r="U50" s="102"/>
      <c r="V50" s="106"/>
      <c r="W50" s="102"/>
      <c r="X50" s="102"/>
      <c r="Y50" s="102"/>
      <c r="Z50" s="102"/>
      <c r="AA50" s="102"/>
      <c r="AB50" s="102"/>
      <c r="AC50" s="102"/>
      <c r="AD50" s="102"/>
      <c r="AE50" s="102"/>
      <c r="AF50" s="102"/>
      <c r="AG50" s="102"/>
      <c r="AH50" s="102"/>
      <c r="AI50" s="102"/>
      <c r="AJ50" s="102"/>
      <c r="AK50" s="234" t="e">
        <f t="shared" si="32"/>
        <v>#N/A</v>
      </c>
      <c r="AL50" s="234" t="str">
        <f>$E$3&amp;"8"</f>
        <v>Orc8</v>
      </c>
      <c r="AM50" s="102"/>
      <c r="AN50" s="102"/>
      <c r="AO50" s="102"/>
      <c r="AP50" s="102"/>
      <c r="AQ50" s="102"/>
      <c r="AR50" s="105"/>
      <c r="AS50" s="105"/>
      <c r="AT50" s="105"/>
      <c r="AU50" s="105"/>
      <c r="AV50" s="102"/>
      <c r="AW50" s="102"/>
      <c r="AX50" s="102"/>
      <c r="AY50" s="102"/>
    </row>
    <row r="51" spans="1:51" ht="13.5" customHeight="1">
      <c r="A51" s="102"/>
      <c r="B51" s="102"/>
      <c r="C51" s="105"/>
      <c r="D51" s="102"/>
      <c r="E51" s="102"/>
      <c r="F51" s="104"/>
      <c r="G51" s="105"/>
      <c r="H51" s="105"/>
      <c r="I51" s="105"/>
      <c r="J51" s="105"/>
      <c r="K51" s="102"/>
      <c r="L51" s="102"/>
      <c r="M51" s="102"/>
      <c r="N51" s="102"/>
      <c r="O51" s="102"/>
      <c r="P51" s="102"/>
      <c r="Q51" s="102"/>
      <c r="R51" s="102"/>
      <c r="S51" s="105"/>
      <c r="T51" s="102"/>
      <c r="U51" s="102"/>
      <c r="V51" s="106"/>
      <c r="W51" s="102"/>
      <c r="X51" s="102"/>
      <c r="Y51" s="102"/>
      <c r="Z51" s="102"/>
      <c r="AA51" s="102"/>
      <c r="AB51" s="102"/>
      <c r="AC51" s="102"/>
      <c r="AD51" s="102"/>
      <c r="AE51" s="102"/>
      <c r="AF51" s="102"/>
      <c r="AG51" s="102"/>
      <c r="AH51" s="102"/>
      <c r="AI51" s="102"/>
      <c r="AJ51" s="102"/>
      <c r="AK51" s="234" t="e">
        <f t="shared" si="32"/>
        <v>#N/A</v>
      </c>
      <c r="AL51" s="234" t="str">
        <f>$E$3&amp;"7"</f>
        <v>Orc7</v>
      </c>
      <c r="AM51" s="102"/>
      <c r="AN51" s="102"/>
      <c r="AO51" s="102"/>
      <c r="AP51" s="102"/>
      <c r="AQ51" s="102"/>
      <c r="AR51" s="105"/>
      <c r="AS51" s="105"/>
      <c r="AT51" s="105"/>
      <c r="AU51" s="105"/>
      <c r="AV51" s="102"/>
      <c r="AW51" s="102"/>
      <c r="AX51" s="102"/>
      <c r="AY51" s="102"/>
    </row>
    <row r="52" spans="1:51" ht="13.5" customHeight="1">
      <c r="A52" s="102"/>
      <c r="B52" s="102"/>
      <c r="C52" s="105"/>
      <c r="D52" s="102"/>
      <c r="E52" s="102"/>
      <c r="F52" s="104"/>
      <c r="G52" s="105"/>
      <c r="H52" s="105"/>
      <c r="I52" s="105"/>
      <c r="J52" s="105"/>
      <c r="K52" s="102"/>
      <c r="L52" s="102"/>
      <c r="M52" s="102"/>
      <c r="N52" s="102"/>
      <c r="O52" s="102"/>
      <c r="P52" s="102"/>
      <c r="Q52" s="102"/>
      <c r="R52" s="102"/>
      <c r="S52" s="105"/>
      <c r="T52" s="102"/>
      <c r="U52" s="102"/>
      <c r="V52" s="106"/>
      <c r="W52" s="102"/>
      <c r="X52" s="102"/>
      <c r="Y52" s="102"/>
      <c r="Z52" s="102"/>
      <c r="AA52" s="102"/>
      <c r="AB52" s="102"/>
      <c r="AC52" s="102"/>
      <c r="AD52" s="102"/>
      <c r="AE52" s="102"/>
      <c r="AF52" s="102"/>
      <c r="AG52" s="102"/>
      <c r="AH52" s="102"/>
      <c r="AI52" s="102"/>
      <c r="AJ52" s="102"/>
      <c r="AK52" s="234" t="str">
        <f t="shared" si="32"/>
        <v>Bomber Dribblesnot</v>
      </c>
      <c r="AL52" s="234" t="str">
        <f>$E$3&amp;"6"</f>
        <v>Orc6</v>
      </c>
      <c r="AM52" s="102"/>
      <c r="AN52" s="102"/>
      <c r="AO52" s="102"/>
      <c r="AP52" s="102"/>
      <c r="AQ52" s="102"/>
      <c r="AR52" s="105"/>
      <c r="AS52" s="105"/>
      <c r="AT52" s="105"/>
      <c r="AU52" s="105"/>
      <c r="AV52" s="102"/>
      <c r="AW52" s="102"/>
      <c r="AX52" s="102"/>
      <c r="AY52" s="102"/>
    </row>
    <row r="53" spans="1:51" ht="13.5" customHeight="1">
      <c r="A53" s="102"/>
      <c r="B53" s="102"/>
      <c r="C53" s="105"/>
      <c r="D53" s="102"/>
      <c r="E53" s="102"/>
      <c r="F53" s="104"/>
      <c r="G53" s="105"/>
      <c r="H53" s="105"/>
      <c r="I53" s="105"/>
      <c r="J53" s="105"/>
      <c r="K53" s="102"/>
      <c r="L53" s="102"/>
      <c r="M53" s="102"/>
      <c r="N53" s="102"/>
      <c r="O53" s="102"/>
      <c r="P53" s="102"/>
      <c r="Q53" s="102"/>
      <c r="R53" s="102"/>
      <c r="S53" s="105"/>
      <c r="T53" s="102"/>
      <c r="U53" s="102"/>
      <c r="V53" s="106"/>
      <c r="W53" s="102"/>
      <c r="X53" s="102"/>
      <c r="Y53" s="102"/>
      <c r="Z53" s="102"/>
      <c r="AA53" s="102"/>
      <c r="AB53" s="102"/>
      <c r="AC53" s="102"/>
      <c r="AD53" s="102"/>
      <c r="AE53" s="102"/>
      <c r="AF53" s="102"/>
      <c r="AG53" s="102"/>
      <c r="AH53" s="102"/>
      <c r="AI53" s="102"/>
      <c r="AJ53" s="102"/>
      <c r="AK53" s="234" t="str">
        <f t="shared" si="32"/>
        <v>Morg 'n' Thorg</v>
      </c>
      <c r="AL53" s="234" t="str">
        <f>$E$3&amp;"5"</f>
        <v>Orc5</v>
      </c>
      <c r="AM53" s="102"/>
      <c r="AN53" s="102"/>
      <c r="AO53" s="102"/>
      <c r="AP53" s="102"/>
      <c r="AQ53" s="102"/>
      <c r="AR53" s="105"/>
      <c r="AS53" s="105"/>
      <c r="AT53" s="105"/>
      <c r="AU53" s="105"/>
      <c r="AV53" s="102"/>
      <c r="AW53" s="102"/>
      <c r="AX53" s="102"/>
      <c r="AY53" s="102"/>
    </row>
    <row r="54" spans="1:51" ht="13.5" customHeight="1">
      <c r="A54" s="102"/>
      <c r="B54" s="102"/>
      <c r="C54" s="105"/>
      <c r="D54" s="102"/>
      <c r="E54" s="102"/>
      <c r="F54" s="104"/>
      <c r="G54" s="105"/>
      <c r="H54" s="105"/>
      <c r="I54" s="105"/>
      <c r="J54" s="105"/>
      <c r="K54" s="102"/>
      <c r="L54" s="102"/>
      <c r="M54" s="102"/>
      <c r="N54" s="102"/>
      <c r="O54" s="102"/>
      <c r="P54" s="102"/>
      <c r="Q54" s="102"/>
      <c r="R54" s="102"/>
      <c r="S54" s="105"/>
      <c r="T54" s="102"/>
      <c r="U54" s="102"/>
      <c r="V54" s="106"/>
      <c r="W54" s="102"/>
      <c r="X54" s="102"/>
      <c r="Y54" s="102"/>
      <c r="Z54" s="102"/>
      <c r="AA54" s="102"/>
      <c r="AB54" s="102"/>
      <c r="AC54" s="102"/>
      <c r="AD54" s="102"/>
      <c r="AE54" s="102"/>
      <c r="AF54" s="102"/>
      <c r="AG54" s="102"/>
      <c r="AH54" s="102"/>
      <c r="AI54" s="102"/>
      <c r="AJ54" s="102"/>
      <c r="AK54" s="234" t="str">
        <f t="shared" si="32"/>
        <v>Ripper</v>
      </c>
      <c r="AL54" s="234" t="str">
        <f>$E$3&amp;"4"</f>
        <v>Orc4</v>
      </c>
      <c r="AM54" s="102"/>
      <c r="AN54" s="102"/>
      <c r="AO54" s="102"/>
      <c r="AP54" s="102"/>
      <c r="AQ54" s="102"/>
      <c r="AR54" s="105"/>
      <c r="AS54" s="105"/>
      <c r="AT54" s="105"/>
      <c r="AU54" s="105"/>
      <c r="AV54" s="102"/>
      <c r="AW54" s="102"/>
      <c r="AX54" s="102"/>
      <c r="AY54" s="102"/>
    </row>
    <row r="55" spans="1:51" ht="13.5" customHeight="1">
      <c r="A55" s="102"/>
      <c r="B55" s="102"/>
      <c r="C55" s="105"/>
      <c r="D55" s="102"/>
      <c r="E55" s="102"/>
      <c r="F55" s="104"/>
      <c r="G55" s="105"/>
      <c r="H55" s="105"/>
      <c r="I55" s="105"/>
      <c r="J55" s="105"/>
      <c r="K55" s="102"/>
      <c r="L55" s="102"/>
      <c r="M55" s="102"/>
      <c r="N55" s="102"/>
      <c r="O55" s="102"/>
      <c r="P55" s="102"/>
      <c r="Q55" s="102"/>
      <c r="R55" s="102"/>
      <c r="S55" s="105"/>
      <c r="T55" s="102"/>
      <c r="U55" s="102"/>
      <c r="V55" s="106"/>
      <c r="W55" s="102"/>
      <c r="X55" s="102"/>
      <c r="Y55" s="102"/>
      <c r="Z55" s="102"/>
      <c r="AA55" s="102"/>
      <c r="AB55" s="102"/>
      <c r="AC55" s="102"/>
      <c r="AD55" s="102"/>
      <c r="AE55" s="102"/>
      <c r="AF55" s="102"/>
      <c r="AG55" s="102"/>
      <c r="AH55" s="102"/>
      <c r="AI55" s="102"/>
      <c r="AJ55" s="102"/>
      <c r="AK55" s="234" t="str">
        <f t="shared" si="32"/>
        <v>Scrappa Sorehead</v>
      </c>
      <c r="AL55" s="234" t="str">
        <f>$E$3&amp;"3"</f>
        <v>Orc3</v>
      </c>
      <c r="AM55" s="102"/>
      <c r="AN55" s="102"/>
      <c r="AO55" s="102"/>
      <c r="AP55" s="102"/>
      <c r="AQ55" s="102"/>
      <c r="AR55" s="105"/>
      <c r="AS55" s="105"/>
      <c r="AT55" s="105"/>
      <c r="AU55" s="105"/>
      <c r="AV55" s="102"/>
      <c r="AW55" s="102"/>
      <c r="AX55" s="102"/>
      <c r="AY55" s="102"/>
    </row>
    <row r="56" spans="1:51" ht="13.5" customHeight="1">
      <c r="A56" s="102"/>
      <c r="B56" s="102"/>
      <c r="C56" s="105"/>
      <c r="D56" s="102"/>
      <c r="E56" s="102"/>
      <c r="F56" s="104"/>
      <c r="G56" s="105"/>
      <c r="H56" s="105"/>
      <c r="I56" s="105"/>
      <c r="J56" s="105"/>
      <c r="K56" s="102"/>
      <c r="L56" s="102"/>
      <c r="M56" s="102"/>
      <c r="N56" s="102"/>
      <c r="O56" s="102"/>
      <c r="P56" s="102"/>
      <c r="Q56" s="102"/>
      <c r="R56" s="102"/>
      <c r="S56" s="105"/>
      <c r="T56" s="102"/>
      <c r="U56" s="102"/>
      <c r="V56" s="106"/>
      <c r="W56" s="102"/>
      <c r="X56" s="102"/>
      <c r="Y56" s="102"/>
      <c r="Z56" s="102"/>
      <c r="AA56" s="102"/>
      <c r="AB56" s="102"/>
      <c r="AC56" s="102"/>
      <c r="AD56" s="102"/>
      <c r="AE56" s="102"/>
      <c r="AF56" s="102"/>
      <c r="AG56" s="102"/>
      <c r="AH56" s="102"/>
      <c r="AI56" s="102"/>
      <c r="AJ56" s="102"/>
      <c r="AK56" s="234" t="str">
        <f t="shared" si="32"/>
        <v>Ugroth Bolgrot</v>
      </c>
      <c r="AL56" s="234" t="str">
        <f>$E$3&amp;"2"</f>
        <v>Orc2</v>
      </c>
      <c r="AM56" s="102"/>
      <c r="AN56" s="102"/>
      <c r="AO56" s="102"/>
      <c r="AP56" s="102"/>
      <c r="AQ56" s="102"/>
      <c r="AR56" s="105"/>
      <c r="AS56" s="105"/>
      <c r="AT56" s="105"/>
      <c r="AU56" s="105"/>
      <c r="AV56" s="102"/>
      <c r="AW56" s="102"/>
      <c r="AX56" s="102"/>
      <c r="AY56" s="102"/>
    </row>
    <row r="57" spans="1:51" ht="13.5" customHeight="1">
      <c r="A57" s="102"/>
      <c r="B57" s="102"/>
      <c r="C57" s="105"/>
      <c r="D57" s="102"/>
      <c r="E57" s="102"/>
      <c r="F57" s="104"/>
      <c r="G57" s="105"/>
      <c r="H57" s="105"/>
      <c r="I57" s="105"/>
      <c r="J57" s="105"/>
      <c r="K57" s="102"/>
      <c r="L57" s="102"/>
      <c r="M57" s="102"/>
      <c r="N57" s="102"/>
      <c r="O57" s="102"/>
      <c r="P57" s="102"/>
      <c r="Q57" s="102"/>
      <c r="R57" s="102"/>
      <c r="S57" s="105"/>
      <c r="T57" s="102"/>
      <c r="U57" s="102"/>
      <c r="V57" s="106"/>
      <c r="W57" s="102"/>
      <c r="X57" s="102"/>
      <c r="Y57" s="102"/>
      <c r="Z57" s="102"/>
      <c r="AA57" s="102"/>
      <c r="AB57" s="102"/>
      <c r="AC57" s="102"/>
      <c r="AD57" s="102"/>
      <c r="AE57" s="102"/>
      <c r="AF57" s="102"/>
      <c r="AG57" s="102"/>
      <c r="AH57" s="102"/>
      <c r="AI57" s="102"/>
      <c r="AJ57" s="106" t="s">
        <v>224</v>
      </c>
      <c r="AK57" s="234" t="str">
        <f t="shared" si="32"/>
        <v>Varag Ghoul-Chewer</v>
      </c>
      <c r="AL57" s="234" t="str">
        <f t="shared" ref="AL57:AL58" si="33">$E$3&amp;"1"</f>
        <v>Orc1</v>
      </c>
      <c r="AM57" s="102"/>
      <c r="AN57" s="102"/>
      <c r="AO57" s="102"/>
      <c r="AP57" s="102"/>
      <c r="AQ57" s="102"/>
      <c r="AR57" s="105"/>
      <c r="AS57" s="105"/>
      <c r="AT57" s="105"/>
      <c r="AU57" s="105"/>
      <c r="AV57" s="102"/>
      <c r="AW57" s="102"/>
      <c r="AX57" s="102"/>
      <c r="AY57" s="102"/>
    </row>
    <row r="58" spans="1:51" ht="13.5" customHeight="1">
      <c r="A58" s="102"/>
      <c r="B58" s="102"/>
      <c r="C58" s="105"/>
      <c r="D58" s="102"/>
      <c r="E58" s="102"/>
      <c r="F58" s="104"/>
      <c r="G58" s="105"/>
      <c r="H58" s="105"/>
      <c r="I58" s="105"/>
      <c r="J58" s="105"/>
      <c r="K58" s="102"/>
      <c r="L58" s="102"/>
      <c r="M58" s="102"/>
      <c r="N58" s="102"/>
      <c r="O58" s="102"/>
      <c r="P58" s="102"/>
      <c r="Q58" s="102"/>
      <c r="R58" s="102"/>
      <c r="S58" s="105"/>
      <c r="T58" s="102"/>
      <c r="U58" s="102"/>
      <c r="V58" s="106"/>
      <c r="W58" s="102"/>
      <c r="X58" s="102"/>
      <c r="Y58" s="102"/>
      <c r="Z58" s="102"/>
      <c r="AA58" s="102"/>
      <c r="AB58" s="102"/>
      <c r="AC58" s="102"/>
      <c r="AD58" s="102"/>
      <c r="AE58" s="102"/>
      <c r="AF58" s="102"/>
      <c r="AG58" s="102"/>
      <c r="AH58" s="102"/>
      <c r="AI58" s="102"/>
      <c r="AJ58" s="234" t="str">
        <f t="shared" ref="AJ58:AJ67" si="34">VLOOKUP(AL58,DBPlayers,3,0)</f>
        <v>Lineman</v>
      </c>
      <c r="AK58" s="234" t="str">
        <f t="shared" ref="AK58:AK67" si="35">AJ58&amp;" "&amp;T_Merc</f>
        <v>Lineman Mercenary</v>
      </c>
      <c r="AL58" s="234" t="str">
        <f t="shared" si="33"/>
        <v>Orc1</v>
      </c>
      <c r="AM58" s="102"/>
      <c r="AN58" s="235"/>
      <c r="AO58" s="102"/>
      <c r="AP58" s="102"/>
      <c r="AQ58" s="102"/>
      <c r="AR58" s="105"/>
      <c r="AS58" s="105"/>
      <c r="AT58" s="105"/>
      <c r="AU58" s="105"/>
      <c r="AV58" s="102"/>
      <c r="AW58" s="102"/>
      <c r="AX58" s="102"/>
      <c r="AY58" s="102"/>
    </row>
    <row r="59" spans="1:51" ht="13.5" customHeight="1">
      <c r="A59" s="102"/>
      <c r="B59" s="102"/>
      <c r="C59" s="105"/>
      <c r="D59" s="102"/>
      <c r="E59" s="102"/>
      <c r="F59" s="104"/>
      <c r="G59" s="105"/>
      <c r="H59" s="105"/>
      <c r="I59" s="105"/>
      <c r="J59" s="105"/>
      <c r="K59" s="102"/>
      <c r="L59" s="102"/>
      <c r="M59" s="102"/>
      <c r="N59" s="102"/>
      <c r="O59" s="102"/>
      <c r="P59" s="102"/>
      <c r="Q59" s="102"/>
      <c r="R59" s="102"/>
      <c r="S59" s="105"/>
      <c r="T59" s="102"/>
      <c r="U59" s="102"/>
      <c r="V59" s="106"/>
      <c r="W59" s="102"/>
      <c r="X59" s="102"/>
      <c r="Y59" s="102"/>
      <c r="Z59" s="102"/>
      <c r="AA59" s="102"/>
      <c r="AB59" s="102"/>
      <c r="AC59" s="102"/>
      <c r="AD59" s="102"/>
      <c r="AE59" s="102"/>
      <c r="AF59" s="102"/>
      <c r="AG59" s="102"/>
      <c r="AH59" s="102"/>
      <c r="AI59" s="102"/>
      <c r="AJ59" s="234" t="str">
        <f t="shared" si="34"/>
        <v>Goblin</v>
      </c>
      <c r="AK59" s="234" t="str">
        <f t="shared" si="35"/>
        <v>Goblin Mercenary</v>
      </c>
      <c r="AL59" s="234" t="str">
        <f>$E$3&amp;"2"</f>
        <v>Orc2</v>
      </c>
      <c r="AM59" s="102"/>
      <c r="AN59" s="102"/>
      <c r="AO59" s="102"/>
      <c r="AP59" s="102"/>
      <c r="AQ59" s="102"/>
      <c r="AR59" s="105"/>
      <c r="AS59" s="105"/>
      <c r="AT59" s="105"/>
      <c r="AU59" s="105"/>
      <c r="AV59" s="102"/>
      <c r="AW59" s="102"/>
      <c r="AX59" s="102"/>
      <c r="AY59" s="102"/>
    </row>
    <row r="60" spans="1:51" ht="12.75" customHeight="1">
      <c r="A60" s="102"/>
      <c r="B60" s="102"/>
      <c r="C60" s="105"/>
      <c r="D60" s="102"/>
      <c r="E60" s="102"/>
      <c r="F60" s="104"/>
      <c r="G60" s="105"/>
      <c r="H60" s="105"/>
      <c r="I60" s="105"/>
      <c r="J60" s="105"/>
      <c r="K60" s="102"/>
      <c r="L60" s="102"/>
      <c r="M60" s="102"/>
      <c r="N60" s="102"/>
      <c r="O60" s="102"/>
      <c r="P60" s="102"/>
      <c r="Q60" s="102"/>
      <c r="R60" s="102"/>
      <c r="S60" s="105"/>
      <c r="T60" s="102"/>
      <c r="U60" s="102"/>
      <c r="V60" s="106"/>
      <c r="W60" s="102"/>
      <c r="X60" s="102"/>
      <c r="Y60" s="102"/>
      <c r="Z60" s="102"/>
      <c r="AA60" s="102"/>
      <c r="AB60" s="102"/>
      <c r="AC60" s="102"/>
      <c r="AD60" s="102"/>
      <c r="AE60" s="102"/>
      <c r="AF60" s="102"/>
      <c r="AG60" s="102"/>
      <c r="AH60" s="102"/>
      <c r="AI60" s="102"/>
      <c r="AJ60" s="234" t="str">
        <f t="shared" si="34"/>
        <v>Thrower</v>
      </c>
      <c r="AK60" s="234" t="str">
        <f t="shared" si="35"/>
        <v>Thrower Mercenary</v>
      </c>
      <c r="AL60" s="234" t="str">
        <f>$E$3&amp;"3"</f>
        <v>Orc3</v>
      </c>
      <c r="AM60" s="102"/>
      <c r="AN60" s="102"/>
      <c r="AO60" s="102"/>
      <c r="AP60" s="102"/>
      <c r="AQ60" s="102"/>
      <c r="AR60" s="105"/>
      <c r="AS60" s="105"/>
      <c r="AT60" s="105"/>
      <c r="AU60" s="105"/>
      <c r="AV60" s="102"/>
      <c r="AW60" s="102"/>
      <c r="AX60" s="102"/>
      <c r="AY60" s="102"/>
    </row>
    <row r="61" spans="1:51" ht="12.75" customHeight="1">
      <c r="A61" s="102"/>
      <c r="B61" s="102"/>
      <c r="C61" s="105"/>
      <c r="D61" s="102"/>
      <c r="E61" s="102"/>
      <c r="F61" s="104"/>
      <c r="G61" s="105"/>
      <c r="H61" s="105"/>
      <c r="I61" s="105"/>
      <c r="J61" s="105"/>
      <c r="K61" s="102"/>
      <c r="L61" s="102"/>
      <c r="M61" s="102"/>
      <c r="N61" s="102"/>
      <c r="O61" s="102"/>
      <c r="P61" s="102"/>
      <c r="Q61" s="102"/>
      <c r="R61" s="102"/>
      <c r="S61" s="105"/>
      <c r="T61" s="102"/>
      <c r="U61" s="102"/>
      <c r="V61" s="106"/>
      <c r="W61" s="102"/>
      <c r="X61" s="102"/>
      <c r="Y61" s="102"/>
      <c r="Z61" s="102"/>
      <c r="AA61" s="102"/>
      <c r="AB61" s="102"/>
      <c r="AC61" s="102"/>
      <c r="AD61" s="102"/>
      <c r="AE61" s="102"/>
      <c r="AF61" s="102"/>
      <c r="AG61" s="102"/>
      <c r="AH61" s="102"/>
      <c r="AI61" s="102"/>
      <c r="AJ61" s="234" t="str">
        <f t="shared" si="34"/>
        <v>Black Orc Blocker</v>
      </c>
      <c r="AK61" s="234" t="str">
        <f t="shared" si="35"/>
        <v>Black Orc Blocker Mercenary</v>
      </c>
      <c r="AL61" s="234" t="str">
        <f>$E$3&amp;"4"</f>
        <v>Orc4</v>
      </c>
      <c r="AM61" s="102"/>
      <c r="AN61" s="102"/>
      <c r="AO61" s="102"/>
      <c r="AP61" s="102"/>
      <c r="AQ61" s="102"/>
      <c r="AR61" s="105"/>
      <c r="AS61" s="105"/>
      <c r="AT61" s="105"/>
      <c r="AU61" s="105"/>
      <c r="AV61" s="102"/>
      <c r="AW61" s="102"/>
      <c r="AX61" s="102"/>
      <c r="AY61" s="102"/>
    </row>
    <row r="62" spans="1:51" ht="12.75" customHeight="1">
      <c r="A62" s="102"/>
      <c r="B62" s="102"/>
      <c r="C62" s="105"/>
      <c r="D62" s="102"/>
      <c r="E62" s="102"/>
      <c r="F62" s="104"/>
      <c r="G62" s="105"/>
      <c r="H62" s="105"/>
      <c r="I62" s="105"/>
      <c r="J62" s="105"/>
      <c r="K62" s="102"/>
      <c r="L62" s="102"/>
      <c r="M62" s="102"/>
      <c r="N62" s="102"/>
      <c r="O62" s="102"/>
      <c r="P62" s="102"/>
      <c r="Q62" s="102"/>
      <c r="R62" s="102"/>
      <c r="S62" s="105"/>
      <c r="T62" s="102"/>
      <c r="U62" s="102"/>
      <c r="V62" s="106"/>
      <c r="W62" s="102"/>
      <c r="X62" s="102"/>
      <c r="Y62" s="102"/>
      <c r="Z62" s="102"/>
      <c r="AA62" s="102"/>
      <c r="AB62" s="102"/>
      <c r="AC62" s="102"/>
      <c r="AD62" s="102"/>
      <c r="AE62" s="102"/>
      <c r="AF62" s="102"/>
      <c r="AG62" s="102"/>
      <c r="AH62" s="102"/>
      <c r="AI62" s="102"/>
      <c r="AJ62" s="234" t="str">
        <f t="shared" si="34"/>
        <v>Blitzer</v>
      </c>
      <c r="AK62" s="234" t="str">
        <f t="shared" si="35"/>
        <v>Blitzer Mercenary</v>
      </c>
      <c r="AL62" s="234" t="str">
        <f>$E$3&amp;"5"</f>
        <v>Orc5</v>
      </c>
      <c r="AM62" s="102"/>
      <c r="AN62" s="102"/>
      <c r="AO62" s="102"/>
      <c r="AP62" s="102"/>
      <c r="AQ62" s="102"/>
      <c r="AR62" s="105"/>
      <c r="AS62" s="105"/>
      <c r="AT62" s="105"/>
      <c r="AU62" s="105"/>
      <c r="AV62" s="102"/>
      <c r="AW62" s="102"/>
      <c r="AX62" s="102"/>
      <c r="AY62" s="102"/>
    </row>
    <row r="63" spans="1:51" ht="12.75" customHeight="1">
      <c r="A63" s="102"/>
      <c r="B63" s="102"/>
      <c r="C63" s="105"/>
      <c r="D63" s="102"/>
      <c r="E63" s="102"/>
      <c r="F63" s="104"/>
      <c r="G63" s="105"/>
      <c r="H63" s="105"/>
      <c r="I63" s="105"/>
      <c r="J63" s="105"/>
      <c r="K63" s="102"/>
      <c r="L63" s="102"/>
      <c r="M63" s="102"/>
      <c r="N63" s="102"/>
      <c r="O63" s="102"/>
      <c r="P63" s="102"/>
      <c r="Q63" s="102"/>
      <c r="R63" s="102"/>
      <c r="S63" s="105"/>
      <c r="T63" s="102"/>
      <c r="U63" s="102"/>
      <c r="V63" s="106"/>
      <c r="W63" s="102"/>
      <c r="X63" s="102"/>
      <c r="Y63" s="102"/>
      <c r="Z63" s="102"/>
      <c r="AA63" s="102"/>
      <c r="AB63" s="102"/>
      <c r="AC63" s="102"/>
      <c r="AD63" s="102"/>
      <c r="AE63" s="102"/>
      <c r="AF63" s="102"/>
      <c r="AG63" s="102"/>
      <c r="AH63" s="102"/>
      <c r="AI63" s="102"/>
      <c r="AJ63" s="234" t="str">
        <f t="shared" si="34"/>
        <v>Troll</v>
      </c>
      <c r="AK63" s="234" t="str">
        <f t="shared" si="35"/>
        <v>Troll Mercenary</v>
      </c>
      <c r="AL63" s="234" t="str">
        <f>$E$3&amp;"6"</f>
        <v>Orc6</v>
      </c>
      <c r="AM63" s="102"/>
      <c r="AN63" s="102"/>
      <c r="AO63" s="102"/>
      <c r="AP63" s="102"/>
      <c r="AQ63" s="102"/>
      <c r="AR63" s="105"/>
      <c r="AS63" s="105"/>
      <c r="AT63" s="105"/>
      <c r="AU63" s="105"/>
      <c r="AV63" s="102"/>
      <c r="AW63" s="102"/>
      <c r="AX63" s="102"/>
      <c r="AY63" s="102"/>
    </row>
    <row r="64" spans="1:51" ht="12.75" customHeight="1">
      <c r="A64" s="102"/>
      <c r="B64" s="102"/>
      <c r="C64" s="105"/>
      <c r="D64" s="102"/>
      <c r="E64" s="102"/>
      <c r="F64" s="104"/>
      <c r="G64" s="105"/>
      <c r="H64" s="105"/>
      <c r="I64" s="105"/>
      <c r="J64" s="105"/>
      <c r="K64" s="102"/>
      <c r="L64" s="102"/>
      <c r="M64" s="102"/>
      <c r="N64" s="102"/>
      <c r="O64" s="102"/>
      <c r="P64" s="102"/>
      <c r="Q64" s="102"/>
      <c r="R64" s="102"/>
      <c r="S64" s="105"/>
      <c r="T64" s="102"/>
      <c r="U64" s="102"/>
      <c r="V64" s="106"/>
      <c r="W64" s="102"/>
      <c r="X64" s="102"/>
      <c r="Y64" s="102"/>
      <c r="Z64" s="102"/>
      <c r="AA64" s="102"/>
      <c r="AB64" s="102"/>
      <c r="AC64" s="102"/>
      <c r="AD64" s="102"/>
      <c r="AE64" s="102"/>
      <c r="AF64" s="102"/>
      <c r="AG64" s="102"/>
      <c r="AH64" s="102"/>
      <c r="AI64" s="102"/>
      <c r="AJ64" s="234" t="e">
        <f t="shared" si="34"/>
        <v>#N/A</v>
      </c>
      <c r="AK64" s="234" t="e">
        <f t="shared" si="35"/>
        <v>#N/A</v>
      </c>
      <c r="AL64" s="234" t="str">
        <f>$E$3&amp;"7"</f>
        <v>Orc7</v>
      </c>
      <c r="AM64" s="102"/>
      <c r="AN64" s="102"/>
      <c r="AO64" s="102"/>
      <c r="AP64" s="102"/>
      <c r="AQ64" s="102"/>
      <c r="AR64" s="105"/>
      <c r="AS64" s="105"/>
      <c r="AT64" s="105"/>
      <c r="AU64" s="105"/>
      <c r="AV64" s="102"/>
      <c r="AW64" s="102"/>
      <c r="AX64" s="102"/>
      <c r="AY64" s="102"/>
    </row>
    <row r="65" spans="1:51" ht="12.75" customHeight="1">
      <c r="A65" s="102"/>
      <c r="B65" s="102"/>
      <c r="C65" s="105"/>
      <c r="D65" s="102"/>
      <c r="E65" s="102"/>
      <c r="F65" s="104"/>
      <c r="G65" s="105"/>
      <c r="H65" s="105"/>
      <c r="I65" s="105"/>
      <c r="J65" s="105"/>
      <c r="K65" s="102"/>
      <c r="L65" s="102"/>
      <c r="M65" s="102"/>
      <c r="N65" s="102"/>
      <c r="O65" s="102"/>
      <c r="P65" s="102"/>
      <c r="Q65" s="102"/>
      <c r="R65" s="102"/>
      <c r="S65" s="105"/>
      <c r="T65" s="102"/>
      <c r="U65" s="102"/>
      <c r="V65" s="106"/>
      <c r="W65" s="102"/>
      <c r="X65" s="102"/>
      <c r="Y65" s="102"/>
      <c r="Z65" s="102"/>
      <c r="AA65" s="102"/>
      <c r="AB65" s="102"/>
      <c r="AC65" s="102"/>
      <c r="AD65" s="102"/>
      <c r="AE65" s="102"/>
      <c r="AF65" s="102"/>
      <c r="AG65" s="102"/>
      <c r="AH65" s="102"/>
      <c r="AI65" s="102"/>
      <c r="AJ65" s="234" t="e">
        <f t="shared" si="34"/>
        <v>#N/A</v>
      </c>
      <c r="AK65" s="234" t="e">
        <f t="shared" si="35"/>
        <v>#N/A</v>
      </c>
      <c r="AL65" s="234" t="str">
        <f>$E$3&amp;"8"</f>
        <v>Orc8</v>
      </c>
      <c r="AM65" s="102"/>
      <c r="AN65" s="102"/>
      <c r="AO65" s="102"/>
      <c r="AP65" s="102"/>
      <c r="AQ65" s="102"/>
      <c r="AR65" s="105"/>
      <c r="AS65" s="105"/>
      <c r="AT65" s="105"/>
      <c r="AU65" s="105"/>
      <c r="AV65" s="102"/>
      <c r="AW65" s="102"/>
      <c r="AX65" s="102"/>
      <c r="AY65" s="102"/>
    </row>
    <row r="66" spans="1:51" ht="12.75" customHeight="1">
      <c r="A66" s="102"/>
      <c r="B66" s="102"/>
      <c r="C66" s="105"/>
      <c r="D66" s="102"/>
      <c r="E66" s="102"/>
      <c r="F66" s="104"/>
      <c r="G66" s="105"/>
      <c r="H66" s="105"/>
      <c r="I66" s="105"/>
      <c r="J66" s="105"/>
      <c r="K66" s="102"/>
      <c r="L66" s="102"/>
      <c r="M66" s="102"/>
      <c r="N66" s="102"/>
      <c r="O66" s="102"/>
      <c r="P66" s="102"/>
      <c r="Q66" s="102"/>
      <c r="R66" s="102"/>
      <c r="S66" s="105"/>
      <c r="T66" s="102"/>
      <c r="U66" s="102"/>
      <c r="V66" s="106"/>
      <c r="W66" s="102"/>
      <c r="X66" s="102"/>
      <c r="Y66" s="102"/>
      <c r="Z66" s="102"/>
      <c r="AA66" s="102"/>
      <c r="AB66" s="102"/>
      <c r="AC66" s="102"/>
      <c r="AD66" s="102"/>
      <c r="AE66" s="102"/>
      <c r="AF66" s="102"/>
      <c r="AG66" s="102"/>
      <c r="AH66" s="102"/>
      <c r="AI66" s="102"/>
      <c r="AJ66" s="234" t="e">
        <f t="shared" si="34"/>
        <v>#N/A</v>
      </c>
      <c r="AK66" s="234" t="e">
        <f t="shared" si="35"/>
        <v>#N/A</v>
      </c>
      <c r="AL66" s="234" t="str">
        <f>$E$3&amp;"9"</f>
        <v>Orc9</v>
      </c>
      <c r="AM66" s="102"/>
      <c r="AN66" s="102"/>
      <c r="AO66" s="102"/>
      <c r="AP66" s="102"/>
      <c r="AQ66" s="102"/>
      <c r="AR66" s="105"/>
      <c r="AS66" s="105"/>
      <c r="AT66" s="105"/>
      <c r="AU66" s="105"/>
      <c r="AV66" s="102"/>
      <c r="AW66" s="102"/>
      <c r="AX66" s="102"/>
      <c r="AY66" s="102"/>
    </row>
    <row r="67" spans="1:51" ht="12.75" customHeight="1">
      <c r="A67" s="102"/>
      <c r="B67" s="102"/>
      <c r="C67" s="105"/>
      <c r="D67" s="102"/>
      <c r="E67" s="102"/>
      <c r="F67" s="104"/>
      <c r="G67" s="105"/>
      <c r="H67" s="105"/>
      <c r="I67" s="105"/>
      <c r="J67" s="105"/>
      <c r="K67" s="102"/>
      <c r="L67" s="102"/>
      <c r="M67" s="102"/>
      <c r="N67" s="102"/>
      <c r="O67" s="102"/>
      <c r="P67" s="102"/>
      <c r="Q67" s="102"/>
      <c r="R67" s="102"/>
      <c r="S67" s="105"/>
      <c r="T67" s="102"/>
      <c r="U67" s="102"/>
      <c r="V67" s="106"/>
      <c r="W67" s="102"/>
      <c r="X67" s="102"/>
      <c r="Y67" s="102"/>
      <c r="Z67" s="102"/>
      <c r="AA67" s="102"/>
      <c r="AB67" s="102"/>
      <c r="AC67" s="102"/>
      <c r="AD67" s="102"/>
      <c r="AE67" s="102"/>
      <c r="AF67" s="102"/>
      <c r="AG67" s="102"/>
      <c r="AH67" s="102"/>
      <c r="AI67" s="102"/>
      <c r="AJ67" s="234" t="e">
        <f t="shared" si="34"/>
        <v>#N/A</v>
      </c>
      <c r="AK67" s="234" t="e">
        <f t="shared" si="35"/>
        <v>#N/A</v>
      </c>
      <c r="AL67" s="234" t="str">
        <f>$E$3&amp;"10"</f>
        <v>Orc10</v>
      </c>
      <c r="AM67" s="102"/>
      <c r="AN67" s="102"/>
      <c r="AO67" s="102"/>
      <c r="AP67" s="102"/>
      <c r="AQ67" s="102"/>
      <c r="AR67" s="105"/>
      <c r="AS67" s="105"/>
      <c r="AT67" s="105"/>
      <c r="AU67" s="105"/>
      <c r="AV67" s="102"/>
      <c r="AW67" s="102"/>
      <c r="AX67" s="102"/>
      <c r="AY67" s="102"/>
    </row>
    <row r="68" spans="1:51" ht="12.75" customHeight="1">
      <c r="A68" s="102"/>
      <c r="B68" s="102"/>
      <c r="C68" s="105"/>
      <c r="D68" s="102"/>
      <c r="E68" s="102"/>
      <c r="F68" s="104"/>
      <c r="G68" s="105"/>
      <c r="H68" s="105"/>
      <c r="I68" s="105"/>
      <c r="J68" s="105"/>
      <c r="K68" s="102"/>
      <c r="L68" s="102"/>
      <c r="M68" s="102"/>
      <c r="N68" s="102"/>
      <c r="O68" s="102"/>
      <c r="P68" s="102"/>
      <c r="Q68" s="102"/>
      <c r="R68" s="102"/>
      <c r="S68" s="105"/>
      <c r="T68" s="102"/>
      <c r="U68" s="102"/>
      <c r="V68" s="106"/>
      <c r="W68" s="102"/>
      <c r="X68" s="102"/>
      <c r="Y68" s="102"/>
      <c r="Z68" s="102"/>
      <c r="AA68" s="102"/>
      <c r="AB68" s="102"/>
      <c r="AC68" s="102"/>
      <c r="AD68" s="102"/>
      <c r="AE68" s="102"/>
      <c r="AF68" s="102"/>
      <c r="AG68" s="102"/>
      <c r="AH68" s="102"/>
      <c r="AI68" s="102"/>
      <c r="AJ68" s="102"/>
      <c r="AK68" s="102"/>
      <c r="AL68" s="102"/>
      <c r="AM68" s="102"/>
      <c r="AN68" s="102"/>
      <c r="AO68" s="102"/>
      <c r="AP68" s="102"/>
      <c r="AQ68" s="102"/>
      <c r="AR68" s="105"/>
      <c r="AS68" s="105"/>
      <c r="AT68" s="105"/>
      <c r="AU68" s="105"/>
      <c r="AV68" s="102"/>
      <c r="AW68" s="102"/>
      <c r="AX68" s="102"/>
      <c r="AY68" s="102"/>
    </row>
    <row r="69" spans="1:51" ht="12.75" customHeight="1">
      <c r="A69" s="102"/>
      <c r="B69" s="102"/>
      <c r="C69" s="105"/>
      <c r="D69" s="102"/>
      <c r="E69" s="102"/>
      <c r="F69" s="104"/>
      <c r="G69" s="105"/>
      <c r="H69" s="105"/>
      <c r="I69" s="105"/>
      <c r="J69" s="105"/>
      <c r="K69" s="102"/>
      <c r="L69" s="102"/>
      <c r="M69" s="102"/>
      <c r="N69" s="102"/>
      <c r="O69" s="102"/>
      <c r="P69" s="102"/>
      <c r="Q69" s="102"/>
      <c r="R69" s="102"/>
      <c r="S69" s="105"/>
      <c r="T69" s="102"/>
      <c r="U69" s="102"/>
      <c r="V69" s="106"/>
      <c r="W69" s="102"/>
      <c r="X69" s="102"/>
      <c r="Y69" s="102"/>
      <c r="Z69" s="102"/>
      <c r="AA69" s="102"/>
      <c r="AB69" s="102"/>
      <c r="AC69" s="102"/>
      <c r="AD69" s="102"/>
      <c r="AE69" s="102"/>
      <c r="AF69" s="102"/>
      <c r="AG69" s="102"/>
      <c r="AH69" s="102"/>
      <c r="AI69" s="102"/>
      <c r="AJ69" s="235" t="s">
        <v>225</v>
      </c>
      <c r="AK69" s="234">
        <f t="array" ref="AK69">SUM(IF(ISERROR($AK$58:$AK$67),0,1))</f>
        <v>6</v>
      </c>
      <c r="AL69" s="102"/>
      <c r="AM69" s="102"/>
      <c r="AN69" s="102"/>
      <c r="AO69" s="102"/>
      <c r="AP69" s="102"/>
      <c r="AQ69" s="102"/>
      <c r="AR69" s="105"/>
      <c r="AS69" s="105"/>
      <c r="AT69" s="105"/>
      <c r="AU69" s="105"/>
      <c r="AV69" s="102"/>
      <c r="AW69" s="102"/>
      <c r="AX69" s="102"/>
      <c r="AY69" s="102"/>
    </row>
    <row r="70" spans="1:51" ht="12.75" customHeight="1">
      <c r="A70" s="102"/>
      <c r="B70" s="102"/>
      <c r="C70" s="105"/>
      <c r="D70" s="102"/>
      <c r="E70" s="102"/>
      <c r="F70" s="104"/>
      <c r="G70" s="105"/>
      <c r="H70" s="105"/>
      <c r="I70" s="105"/>
      <c r="J70" s="105"/>
      <c r="K70" s="102"/>
      <c r="L70" s="102"/>
      <c r="M70" s="102"/>
      <c r="N70" s="102"/>
      <c r="O70" s="102"/>
      <c r="P70" s="102"/>
      <c r="Q70" s="102"/>
      <c r="R70" s="102"/>
      <c r="S70" s="105"/>
      <c r="T70" s="102"/>
      <c r="U70" s="102"/>
      <c r="V70" s="106"/>
      <c r="W70" s="102"/>
      <c r="X70" s="102"/>
      <c r="Y70" s="102"/>
      <c r="Z70" s="102"/>
      <c r="AA70" s="102"/>
      <c r="AB70" s="102"/>
      <c r="AC70" s="102"/>
      <c r="AD70" s="102"/>
      <c r="AE70" s="102"/>
      <c r="AF70" s="102"/>
      <c r="AG70" s="102"/>
      <c r="AH70" s="102"/>
      <c r="AI70" s="102"/>
      <c r="AJ70" s="235" t="s">
        <v>226</v>
      </c>
      <c r="AK70" s="234">
        <f t="array" ref="AK70">SUM(IF(ISERROR($AK$48:$AK$57),0,1))</f>
        <v>6</v>
      </c>
      <c r="AL70" s="102"/>
      <c r="AM70" s="102"/>
      <c r="AN70" s="102"/>
      <c r="AO70" s="102"/>
      <c r="AP70" s="102"/>
      <c r="AQ70" s="102"/>
      <c r="AR70" s="105"/>
      <c r="AS70" s="105"/>
      <c r="AT70" s="105"/>
      <c r="AU70" s="105"/>
      <c r="AV70" s="102"/>
      <c r="AW70" s="102"/>
      <c r="AX70" s="102"/>
      <c r="AY70" s="102"/>
    </row>
  </sheetData>
  <mergeCells count="58">
    <mergeCell ref="F41:I41"/>
    <mergeCell ref="F42:I42"/>
    <mergeCell ref="H39:I39"/>
    <mergeCell ref="H38:I38"/>
    <mergeCell ref="D41:E41"/>
    <mergeCell ref="H40:I40"/>
    <mergeCell ref="D40:E40"/>
    <mergeCell ref="O38:Q38"/>
    <mergeCell ref="M39:P39"/>
    <mergeCell ref="R42:S42"/>
    <mergeCell ref="R40:S40"/>
    <mergeCell ref="R41:S41"/>
    <mergeCell ref="D30:E30"/>
    <mergeCell ref="L3:M3"/>
    <mergeCell ref="K27:R27"/>
    <mergeCell ref="K26:R26"/>
    <mergeCell ref="K25:R25"/>
    <mergeCell ref="K28:R28"/>
    <mergeCell ref="K29:R29"/>
    <mergeCell ref="J3:K3"/>
    <mergeCell ref="N3:S3"/>
    <mergeCell ref="D24:E24"/>
    <mergeCell ref="V24:W24"/>
    <mergeCell ref="V25:W25"/>
    <mergeCell ref="E3:F3"/>
    <mergeCell ref="G3:I3"/>
    <mergeCell ref="O36:Q36"/>
    <mergeCell ref="O37:Q37"/>
    <mergeCell ref="AF3:AG3"/>
    <mergeCell ref="AR3:AU3"/>
    <mergeCell ref="V30:W30"/>
    <mergeCell ref="V26:W26"/>
    <mergeCell ref="K30:R30"/>
    <mergeCell ref="L31:P31"/>
    <mergeCell ref="L33:R33"/>
    <mergeCell ref="V27:W27"/>
    <mergeCell ref="V28:W28"/>
    <mergeCell ref="V29:W29"/>
    <mergeCell ref="O34:Q34"/>
    <mergeCell ref="O35:Q35"/>
    <mergeCell ref="U3:W3"/>
    <mergeCell ref="K24:R24"/>
    <mergeCell ref="D33:I33"/>
    <mergeCell ref="D39:E39"/>
    <mergeCell ref="D37:E37"/>
    <mergeCell ref="D38:E38"/>
    <mergeCell ref="D25:E25"/>
    <mergeCell ref="D27:E27"/>
    <mergeCell ref="D28:E28"/>
    <mergeCell ref="D26:E26"/>
    <mergeCell ref="D34:E34"/>
    <mergeCell ref="H36:I36"/>
    <mergeCell ref="H37:I37"/>
    <mergeCell ref="H34:I34"/>
    <mergeCell ref="H35:I35"/>
    <mergeCell ref="D36:E36"/>
    <mergeCell ref="D35:E35"/>
    <mergeCell ref="D29:E29"/>
  </mergeCells>
  <conditionalFormatting sqref="G6:J21">
    <cfRule type="cellIs" dxfId="18" priority="1" stopIfTrue="1" operator="greaterThan">
      <formula>AR6</formula>
    </cfRule>
  </conditionalFormatting>
  <conditionalFormatting sqref="G6:J21">
    <cfRule type="cellIs" dxfId="17" priority="2" stopIfTrue="1" operator="lessThan">
      <formula>AR6</formula>
    </cfRule>
  </conditionalFormatting>
  <dataValidations count="13">
    <dataValidation type="list" allowBlank="1" showErrorMessage="1" sqref="E3">
      <formula1>TeamList</formula1>
    </dataValidation>
    <dataValidation type="decimal" allowBlank="1" showInputMessage="1" showErrorMessage="1" prompt="Wrong Entry - Please enter only numbers between 0 and 2!" sqref="F34 F38">
      <formula1>0</formula1>
      <formula2>2</formula2>
    </dataValidation>
    <dataValidation type="list" allowBlank="1" showInputMessage="1" showErrorMessage="1" prompt="Wrong Entry - Please enter a value from the dropdown list!" sqref="E6:E21">
      <formula1>OFFSET($AJ$58:$AJ$67,0,0,$AK$69,1)</formula1>
    </dataValidation>
    <dataValidation type="list" allowBlank="1" showErrorMessage="1" sqref="D44">
      <formula1>#REF!</formula1>
    </dataValidation>
    <dataValidation type="list" allowBlank="1" showInputMessage="1" showErrorMessage="1" prompt="Wrong Entry - Please enter a value from the dropdown list!" sqref="L6:L21">
      <formula1>StatusDropdown</formula1>
    </dataValidation>
    <dataValidation type="list" allowBlank="1" showInputMessage="1" showErrorMessage="1" prompt="Wrong Entry - Please enter a value from the dropdown list!" sqref="D25:D30">
      <formula1>OFFSET($AK$48:$AK$67,(10-$AK$70),0,$AK$69+$AK$70,1)</formula1>
    </dataValidation>
    <dataValidation type="decimal" allowBlank="1" showInputMessage="1" showErrorMessage="1" prompt="Wrong Entry - Please enter only numbers between 0 and 3!" sqref="F35">
      <formula1>0</formula1>
      <formula2>3</formula2>
    </dataValidation>
    <dataValidation type="decimal" allowBlank="1" showInputMessage="1" showErrorMessage="1" prompt="Wrong Entry - Please enter only numbers!" sqref="M34:M37">
      <formula1>0</formula1>
      <formula2>99</formula2>
    </dataValidation>
    <dataValidation type="list" allowBlank="1" showErrorMessage="1" sqref="Y6:AD21 V25:V30 Y30">
      <formula1>OFFSET(DBSkills,0,0,ROWS(DBSkills),1)</formula1>
    </dataValidation>
    <dataValidation type="decimal" allowBlank="1" showInputMessage="1" showErrorMessage="1" prompt="Wrong Entry - Please enter only numbers!" sqref="M39 F41">
      <formula1>-10000000</formula1>
      <formula2>1000000</formula2>
    </dataValidation>
    <dataValidation type="decimal" allowBlank="1" showInputMessage="1" showErrorMessage="1" prompt="Wrong Entry - Please enter only numbers between 0 and 4!" sqref="F36">
      <formula1>0</formula1>
      <formula2>4</formula2>
    </dataValidation>
    <dataValidation type="decimal" allowBlank="1" showInputMessage="1" showErrorMessage="1" prompt="Wrong Entry - Please do only enter numbers!" sqref="M6:Q21">
      <formula1>0</formula1>
      <formula2>9999</formula2>
    </dataValidation>
    <dataValidation type="decimal" allowBlank="1" showInputMessage="1" showErrorMessage="1" prompt="Wrong Entry - Please enter only 0 or 1!" sqref="F37 M38 F39:F40">
      <formula1>0</formula1>
      <formula2>1</formula2>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Y70"/>
  <sheetViews>
    <sheetView workbookViewId="0"/>
  </sheetViews>
  <sheetFormatPr defaultColWidth="14.42578125" defaultRowHeight="15" customHeight="1"/>
  <cols>
    <col min="1" max="1" width="0.7109375" customWidth="1"/>
    <col min="2" max="2" width="0.5703125" customWidth="1"/>
    <col min="3" max="3" width="3.7109375" customWidth="1"/>
    <col min="4" max="4" width="15.7109375" customWidth="1"/>
    <col min="5" max="5" width="12.140625" customWidth="1"/>
    <col min="6" max="6" width="5.85546875" customWidth="1"/>
    <col min="7" max="7" width="3.140625" customWidth="1"/>
    <col min="8" max="10" width="3.42578125" customWidth="1"/>
    <col min="11" max="11" width="55.42578125" customWidth="1"/>
    <col min="12" max="12" width="5.85546875" customWidth="1"/>
    <col min="13" max="18" width="3.42578125" customWidth="1"/>
    <col min="19" max="19" width="8" customWidth="1"/>
    <col min="20" max="20" width="0.5703125" customWidth="1"/>
    <col min="21" max="22" width="7.140625" customWidth="1"/>
    <col min="23" max="23" width="7.42578125" customWidth="1"/>
    <col min="24" max="24" width="0.5703125" customWidth="1"/>
    <col min="25" max="30" width="12.42578125" customWidth="1"/>
    <col min="31" max="31" width="13.28515625" customWidth="1"/>
    <col min="32" max="32" width="17.42578125" customWidth="1"/>
    <col min="33" max="33" width="6.42578125" customWidth="1"/>
    <col min="34" max="34" width="24.140625" customWidth="1"/>
    <col min="35" max="35" width="10.140625" hidden="1" customWidth="1"/>
    <col min="36" max="43" width="11.42578125" hidden="1" customWidth="1"/>
    <col min="44" max="47" width="3.5703125" hidden="1" customWidth="1"/>
    <col min="48" max="51" width="11.42578125" hidden="1" customWidth="1"/>
  </cols>
  <sheetData>
    <row r="1" spans="1:51" ht="3.75" customHeight="1">
      <c r="A1" s="102"/>
      <c r="B1" s="102"/>
      <c r="C1" s="103"/>
      <c r="D1" s="102"/>
      <c r="E1" s="102"/>
      <c r="F1" s="104"/>
      <c r="G1" s="105"/>
      <c r="H1" s="105"/>
      <c r="I1" s="105"/>
      <c r="J1" s="105"/>
      <c r="K1" s="102"/>
      <c r="L1" s="102"/>
      <c r="M1" s="102"/>
      <c r="N1" s="102"/>
      <c r="O1" s="102"/>
      <c r="P1" s="102"/>
      <c r="Q1" s="102"/>
      <c r="R1" s="102"/>
      <c r="S1" s="105"/>
      <c r="T1" s="102"/>
      <c r="U1" s="102"/>
      <c r="V1" s="106"/>
      <c r="W1" s="102"/>
      <c r="X1" s="102"/>
      <c r="Y1" s="102"/>
      <c r="Z1" s="102"/>
      <c r="AA1" s="102"/>
      <c r="AB1" s="102"/>
      <c r="AC1" s="102"/>
      <c r="AD1" s="102"/>
      <c r="AE1" s="102"/>
      <c r="AF1" s="102"/>
      <c r="AG1" s="102"/>
      <c r="AH1" s="102"/>
      <c r="AI1" s="102"/>
      <c r="AJ1" s="102"/>
      <c r="AK1" s="102"/>
      <c r="AL1" s="102"/>
      <c r="AM1" s="102"/>
      <c r="AN1" s="102"/>
      <c r="AO1" s="102"/>
      <c r="AP1" s="102"/>
      <c r="AQ1" s="102"/>
      <c r="AR1" s="105"/>
      <c r="AS1" s="105"/>
      <c r="AT1" s="105"/>
      <c r="AU1" s="105"/>
      <c r="AV1" s="102"/>
      <c r="AW1" s="102"/>
      <c r="AX1" s="102"/>
      <c r="AY1" s="102"/>
    </row>
    <row r="2" spans="1:51" ht="3" customHeight="1">
      <c r="A2" s="102"/>
      <c r="B2" s="107"/>
      <c r="C2" s="108"/>
      <c r="D2" s="109"/>
      <c r="E2" s="109"/>
      <c r="F2" s="110"/>
      <c r="G2" s="108"/>
      <c r="H2" s="108"/>
      <c r="I2" s="108"/>
      <c r="J2" s="108"/>
      <c r="K2" s="109"/>
      <c r="L2" s="109"/>
      <c r="M2" s="109"/>
      <c r="N2" s="109"/>
      <c r="O2" s="109"/>
      <c r="P2" s="109"/>
      <c r="Q2" s="109"/>
      <c r="R2" s="109"/>
      <c r="S2" s="109"/>
      <c r="T2" s="111"/>
      <c r="U2" s="102"/>
      <c r="V2" s="112"/>
      <c r="W2" s="113"/>
      <c r="X2" s="113"/>
      <c r="Y2" s="102"/>
      <c r="Z2" s="102"/>
      <c r="AA2" s="102"/>
      <c r="AB2" s="102"/>
      <c r="AC2" s="102"/>
      <c r="AD2" s="102"/>
      <c r="AE2" s="102"/>
      <c r="AF2" s="102"/>
      <c r="AG2" s="102"/>
      <c r="AH2" s="102"/>
      <c r="AI2" s="102"/>
      <c r="AJ2" s="102"/>
      <c r="AK2" s="102"/>
      <c r="AL2" s="102"/>
      <c r="AM2" s="102"/>
      <c r="AN2" s="102"/>
      <c r="AO2" s="102"/>
      <c r="AP2" s="102"/>
      <c r="AQ2" s="102"/>
      <c r="AR2" s="105"/>
      <c r="AS2" s="105"/>
      <c r="AT2" s="105"/>
      <c r="AU2" s="105"/>
      <c r="AV2" s="102"/>
      <c r="AW2" s="102"/>
      <c r="AX2" s="102"/>
      <c r="AY2" s="102"/>
    </row>
    <row r="3" spans="1:51" ht="18" customHeight="1">
      <c r="A3" s="102"/>
      <c r="B3" s="114"/>
      <c r="C3" s="115"/>
      <c r="D3" s="116" t="s">
        <v>131</v>
      </c>
      <c r="E3" s="339" t="s">
        <v>263</v>
      </c>
      <c r="F3" s="340"/>
      <c r="G3" s="342" t="s">
        <v>133</v>
      </c>
      <c r="H3" s="316"/>
      <c r="I3" s="316"/>
      <c r="J3" s="339" t="s">
        <v>47</v>
      </c>
      <c r="K3" s="340"/>
      <c r="L3" s="342" t="s">
        <v>134</v>
      </c>
      <c r="M3" s="316"/>
      <c r="N3" s="339" t="s">
        <v>264</v>
      </c>
      <c r="O3" s="340"/>
      <c r="P3" s="340"/>
      <c r="Q3" s="340"/>
      <c r="R3" s="340"/>
      <c r="S3" s="340"/>
      <c r="T3" s="117"/>
      <c r="U3" s="338" t="s">
        <v>136</v>
      </c>
      <c r="V3" s="316"/>
      <c r="W3" s="316"/>
      <c r="X3" s="118"/>
      <c r="Y3" s="119" t="s">
        <v>137</v>
      </c>
      <c r="Z3" s="102"/>
      <c r="AA3" s="102"/>
      <c r="AB3" s="102"/>
      <c r="AC3" s="102"/>
      <c r="AD3" s="102"/>
      <c r="AE3" s="102"/>
      <c r="AF3" s="336" t="s">
        <v>138</v>
      </c>
      <c r="AG3" s="337"/>
      <c r="AH3" s="120"/>
      <c r="AI3" s="102"/>
      <c r="AJ3" s="102"/>
      <c r="AK3" s="102"/>
      <c r="AL3" s="102"/>
      <c r="AM3" s="102"/>
      <c r="AN3" s="102"/>
      <c r="AO3" s="102"/>
      <c r="AP3" s="102"/>
      <c r="AQ3" s="102"/>
      <c r="AR3" s="335" t="s">
        <v>139</v>
      </c>
      <c r="AS3" s="316"/>
      <c r="AT3" s="316"/>
      <c r="AU3" s="316"/>
      <c r="AV3" s="102"/>
      <c r="AW3" s="102"/>
      <c r="AX3" s="102"/>
      <c r="AY3" s="102"/>
    </row>
    <row r="4" spans="1:51" ht="3" customHeight="1">
      <c r="A4" s="102"/>
      <c r="B4" s="107"/>
      <c r="C4" s="108"/>
      <c r="D4" s="109"/>
      <c r="E4" s="109"/>
      <c r="F4" s="110"/>
      <c r="G4" s="108"/>
      <c r="H4" s="108"/>
      <c r="I4" s="108"/>
      <c r="J4" s="108"/>
      <c r="K4" s="109"/>
      <c r="L4" s="109"/>
      <c r="M4" s="109"/>
      <c r="N4" s="109"/>
      <c r="O4" s="109"/>
      <c r="P4" s="109"/>
      <c r="Q4" s="109"/>
      <c r="R4" s="109"/>
      <c r="S4" s="108"/>
      <c r="T4" s="111"/>
      <c r="U4" s="121"/>
      <c r="V4" s="122"/>
      <c r="W4" s="121"/>
      <c r="X4" s="121"/>
      <c r="Y4" s="121"/>
      <c r="Z4" s="121"/>
      <c r="AA4" s="121"/>
      <c r="AB4" s="121"/>
      <c r="AC4" s="121"/>
      <c r="AD4" s="121"/>
      <c r="AE4" s="121"/>
      <c r="AF4" s="121"/>
      <c r="AG4" s="121"/>
      <c r="AH4" s="120"/>
      <c r="AI4" s="102"/>
      <c r="AJ4" s="102"/>
      <c r="AK4" s="102"/>
      <c r="AL4" s="102"/>
      <c r="AM4" s="102"/>
      <c r="AN4" s="102"/>
      <c r="AO4" s="102"/>
      <c r="AP4" s="102"/>
      <c r="AQ4" s="102"/>
      <c r="AR4" s="105"/>
      <c r="AS4" s="105"/>
      <c r="AT4" s="105"/>
      <c r="AU4" s="105"/>
      <c r="AV4" s="102"/>
      <c r="AW4" s="102"/>
      <c r="AX4" s="102"/>
      <c r="AY4" s="102"/>
    </row>
    <row r="5" spans="1:51" ht="13.5" customHeight="1">
      <c r="A5" s="123"/>
      <c r="B5" s="124"/>
      <c r="C5" s="125" t="s">
        <v>140</v>
      </c>
      <c r="D5" s="126" t="s">
        <v>141</v>
      </c>
      <c r="E5" s="126" t="s">
        <v>126</v>
      </c>
      <c r="F5" s="127" t="s">
        <v>142</v>
      </c>
      <c r="G5" s="127" t="str">
        <f>T_MA</f>
        <v>MA</v>
      </c>
      <c r="H5" s="127" t="str">
        <f>T_ST</f>
        <v>ST</v>
      </c>
      <c r="I5" s="127" t="str">
        <f>T_AG</f>
        <v>AG</v>
      </c>
      <c r="J5" s="127" t="str">
        <f>T_AV</f>
        <v>AV</v>
      </c>
      <c r="K5" s="128" t="s">
        <v>143</v>
      </c>
      <c r="L5" s="125" t="s">
        <v>144</v>
      </c>
      <c r="M5" s="129" t="s">
        <v>120</v>
      </c>
      <c r="N5" s="130" t="s">
        <v>20</v>
      </c>
      <c r="O5" s="130" t="s">
        <v>121</v>
      </c>
      <c r="P5" s="130" t="s">
        <v>122</v>
      </c>
      <c r="Q5" s="130" t="s">
        <v>123</v>
      </c>
      <c r="R5" s="131" t="s">
        <v>124</v>
      </c>
      <c r="S5" s="132" t="s">
        <v>145</v>
      </c>
      <c r="T5" s="117"/>
      <c r="U5" s="133" t="s">
        <v>146</v>
      </c>
      <c r="V5" s="133" t="s">
        <v>147</v>
      </c>
      <c r="W5" s="134" t="s">
        <v>148</v>
      </c>
      <c r="X5" s="135"/>
      <c r="Y5" s="136" t="s">
        <v>149</v>
      </c>
      <c r="Z5" s="136" t="s">
        <v>150</v>
      </c>
      <c r="AA5" s="136" t="s">
        <v>151</v>
      </c>
      <c r="AB5" s="136" t="s">
        <v>152</v>
      </c>
      <c r="AC5" s="136" t="s">
        <v>153</v>
      </c>
      <c r="AD5" s="137" t="s">
        <v>154</v>
      </c>
      <c r="AE5" s="138" t="s">
        <v>155</v>
      </c>
      <c r="AF5" s="139" t="s">
        <v>156</v>
      </c>
      <c r="AG5" s="140" t="s">
        <v>157</v>
      </c>
      <c r="AH5" s="120"/>
      <c r="AI5" s="123"/>
      <c r="AJ5" s="141" t="s">
        <v>158</v>
      </c>
      <c r="AK5" s="141" t="s">
        <v>159</v>
      </c>
      <c r="AL5" s="123"/>
      <c r="AM5" s="123"/>
      <c r="AN5" s="123"/>
      <c r="AO5" s="123"/>
      <c r="AP5" s="123"/>
      <c r="AQ5" s="141" t="s">
        <v>160</v>
      </c>
      <c r="AR5" s="104" t="str">
        <f>T_MA</f>
        <v>MA</v>
      </c>
      <c r="AS5" s="104" t="str">
        <f>T_ST</f>
        <v>ST</v>
      </c>
      <c r="AT5" s="104" t="str">
        <f>T_AG</f>
        <v>AG</v>
      </c>
      <c r="AU5" s="104" t="str">
        <f>T_AV</f>
        <v>AV</v>
      </c>
      <c r="AV5" s="123"/>
      <c r="AW5" s="102"/>
      <c r="AX5" s="102"/>
      <c r="AY5" s="102"/>
    </row>
    <row r="6" spans="1:51" ht="13.5" customHeight="1">
      <c r="A6" s="102"/>
      <c r="B6" s="114"/>
      <c r="C6" s="142">
        <v>1</v>
      </c>
      <c r="D6" s="143" t="s">
        <v>265</v>
      </c>
      <c r="E6" s="143" t="s">
        <v>266</v>
      </c>
      <c r="F6" s="144" t="str">
        <f>IF($E6&lt;&gt;"",IF($AJ6&lt;&gt;"",IF(AND($L6=T_Journey,VLOOKUP($AJ6,DBPlayers,2,0)&lt;12),T_Error&amp;"7",IF("Journeymen not available"=0,T_Error&amp;"8",IF(COUNTIF($E$6:$E6,$E6)-$AQ6&gt;VLOOKUP($AJ6,DBPlayers,2,0),T_Error&amp;"2",IF(L6=T_MNG,0,COUNTIF($E$6:$E6,$E6)-$AQ6)&amp;"/"&amp;(VLOOKUP($AJ6,DBPlayers,2,0))))),T_Error&amp;"1"),"")</f>
        <v>1/16</v>
      </c>
      <c r="G6" s="145">
        <f t="shared" ref="G6:G21" si="0">IF(OR($E6="",LEFT($F6,LEN(T_Error))=T_Error),"",MAX(1,VLOOKUP($AJ6,DBPlayers,4,0)+COUNTIF($Y6:$AD6,T_MA&amp;"+")-IF(ISERROR(FIND(T_MA&amp;"-",$AE6)),0,IF(ISERROR(FIND(T_MA&amp;"-",$AE6,FIND(T_MA&amp;"-",$AE6)+LEN(T_MA)+1)),1,2))))</f>
        <v>6</v>
      </c>
      <c r="H6" s="145">
        <f t="shared" ref="H6:H21" si="1">IF(OR(($E6=""),(LEFT($F6,LEN(T_Error))=T_Error)),"",MAX(1,VLOOKUP($AJ6,DBPlayers,5,0)+COUNTIF($Y6:$AD6,T_ST&amp;"+")-IF(ISERROR(FIND(T_ST&amp;"-",$AE6)),0,IF(ISERROR(FIND(T_ST&amp;"-",$AE6,FIND(T_ST&amp;"-",$AE6)+LEN(T_ST)+1)),1,2))))</f>
        <v>3</v>
      </c>
      <c r="I6" s="145">
        <f t="shared" ref="I6:I21" si="2">IF(OR(($E6=""),(LEFT($F6,LEN(T_Error))=T_Error)),"",MAX(1,VLOOKUP($AJ6,DBPlayers,6,0)+COUNTIF($Y6:$AD6,T_AG&amp;"+")-IF(ISERROR(FIND(T_AG&amp;"-",$AE6)),0,IF(ISERROR(FIND(T_AG&amp;"-",$AE6,FIND(T_AG&amp;"-",$AE6)+LEN(T_AG)+1)),1,2))))</f>
        <v>3</v>
      </c>
      <c r="J6" s="145">
        <f t="shared" ref="J6:J21" si="3">IF(OR(($E6=""),(LEFT($F6,LEN(T_Error))=T_Error)),"",MAX(1,VLOOKUP($AJ6,DBPlayers,7,0)+COUNTIF($Y6:$AD6,T_AV&amp;"+")-IF(ISERROR(FIND(T_AV&amp;"-",$AE6)),0,IF(ISERROR(FIND(T_AV&amp;"-",$AE6,FIND(T_AV&amp;"-",$AE6)+LEN(T_AV)+1)),1,2))))</f>
        <v>7</v>
      </c>
      <c r="K6" s="146" t="str">
        <f t="shared" ref="K6:K21" ca="1" si="4">IF($E6="","",IF(LEFT($F6,LEN(T_Error))=T_Error,INDIRECT("T_Error"&amp;RIGHT($F6,1)),IF(VLOOKUP($AJ6,DBPlayers,8,0)&lt;&gt;0,IF($L6=T_Journey,T_Loner&amp;", ","")&amp;VLOOKUP($AJ6,DBPlayers,8,0)&amp;IF($W6&gt;0,", ",""),IF($L6=T_Journey,T_Loner,""))&amp;IF($W6&gt;0,IF(Y6&lt;&gt;"",Y6,T_MS),"")&amp;IF($W6&gt;1,", "&amp;IF(Z6&lt;&gt;"",Z6,T_MS),"")&amp;IF($W6&gt;2,", "&amp;IF(AA6&lt;&gt;"",AA6,T_MS),"")&amp;IF($W6&gt;3,", "&amp;IF(AB6&lt;&gt;"",AB6,T_MS),"")&amp;IF($W6&gt;4,", "&amp;IF(AC6&lt;&gt;"",AC6,T_MS),"")&amp;IF($W6&gt;5,", "&amp;IF(AD6&lt;&gt;"",AD6,T_MS),"")&amp;IF(AF6&lt;&gt;"",IF(OR($W6&gt;0,VLOOKUP($AJ6,DBPlayers,8,0)&lt;&gt;0),", ","")&amp;AF6,"")&amp;IF(AE6&lt;&gt;"",IF(OR($W6&gt;0,AF6&lt;&gt;"",VLOOKUP($AJ6,DBPlayers,8,0)&lt;&gt;0),", ","")&amp;AE6,"")))</f>
        <v>Dodge</v>
      </c>
      <c r="L6" s="147"/>
      <c r="M6" s="148"/>
      <c r="N6" s="149"/>
      <c r="O6" s="149"/>
      <c r="P6" s="149"/>
      <c r="Q6" s="149"/>
      <c r="R6" s="150">
        <f t="shared" ref="R6:R21" si="5">IF(OR(($E6=""),(LEFT($F6,LEN(T_Error))=T_Error)),"",M6*SPP_CP+N6*SPP_TD+O6*SPP_IN+P6*SPP_CS+Q6*SPP_VP)</f>
        <v>0</v>
      </c>
      <c r="S6" s="151">
        <f>IF(OR($E6="",LEFT($F6,LEN(T_Error))=T_Error),"",IF($L6=T_MNG,0,VLOOKUP($AJ6,DBPlayers,11,0)+SUM($AK6:$AP6)+AG6))</f>
        <v>50000</v>
      </c>
      <c r="T6" s="117"/>
      <c r="U6" s="152" t="str">
        <f t="shared" ref="U6:U21" si="6">IF(OR(($E6=""),(LEFT($F6,LEN(T_Error))=T_Error)),"",VLOOKUP($AJ6,DBPlayers,9,0))</f>
        <v>G</v>
      </c>
      <c r="V6" s="152" t="str">
        <f t="shared" ref="V6:V21" si="7">IF(OR(($E6=""),(LEFT($F6,LEN(T_Error))=T_Error)),"",VLOOKUP($AJ6,DBPlayers,10,0))</f>
        <v>A S P</v>
      </c>
      <c r="W6" s="153">
        <f t="shared" ref="W6:W21" si="8">IF(R6="","",IF($R6&gt;=SPP_6,6,IF($R6&gt;=SPP_5,5,IF($R6&gt;=SPP_4,4,IF($R6&gt;=SPP_3,3,IF($R6&gt;=SPP_2,2,IF($R6&gt;=SPP_1,1,0)))))))</f>
        <v>0</v>
      </c>
      <c r="X6" s="121"/>
      <c r="Y6" s="154"/>
      <c r="Z6" s="154"/>
      <c r="AA6" s="154"/>
      <c r="AB6" s="154"/>
      <c r="AC6" s="154"/>
      <c r="AD6" s="155"/>
      <c r="AE6" s="156"/>
      <c r="AF6" s="157"/>
      <c r="AG6" s="158"/>
      <c r="AH6" s="120"/>
      <c r="AI6" s="123">
        <v>1</v>
      </c>
      <c r="AJ6" s="159" t="str">
        <f t="shared" ref="AJ6:AJ21" si="9">IF(OR(E6="",ISERROR(VLOOKUP(E6,$AJ$58:$AL$67,3,0))),"",VLOOKUP(E6,$AJ$58:$AL$67,3,0))</f>
        <v>Amazon1</v>
      </c>
      <c r="AK6" s="159">
        <f>IF(Y6="",0,IF(ISERROR(FIND(VLOOKUP(Y6,DBSkills,2,0),$U6)),0,IMP_REGULAR)+IF(ISERROR(FIND(VLOOKUP(Y6,DBSkills,2,0),$V6)),0,IMP_DOUBLE)+IF(Y6=T_ST&amp;"+",IMP_ST,0)+IF(Y6=T_AG&amp;"+",IMP_AG,0)+IF(Y6=T_MA&amp;"+",IMP_MA,0)+IF(Y6=T_AV&amp;"+",IMP_MA,0))</f>
        <v>0</v>
      </c>
      <c r="AL6" s="159">
        <f t="shared" ref="AL6:AL21" si="10">IF(Z6="",0,IF(Z6=T_ST&amp;"+",50000,IF(Z6=T_AG&amp;"+",40000,IF(OR(Z6=T_MA&amp;"+",Z6=T_AV&amp;"+"),30000,IF(ISERROR(FIND(VLOOKUP(Z6,DBSkills,2,0),$V6)),20000,30000)))))</f>
        <v>0</v>
      </c>
      <c r="AM6" s="159">
        <f t="shared" ref="AM6:AM21" si="11">IF(AA6="",0,IF(AA6=T_ST&amp;"+",50000,IF(AA6=T_AG&amp;"+",40000,IF(OR(AA6=T_MA&amp;"+",AA6=T_AV&amp;"+"),30000,IF(ISERROR(FIND(VLOOKUP(AA6,DBSkills,2,0),$V6)),20000,30000)))))</f>
        <v>0</v>
      </c>
      <c r="AN6" s="159">
        <f t="shared" ref="AN6:AN21" si="12">IF(AB6="",0,IF(AB6=T_ST&amp;"+",50000,IF(AB6=T_AG&amp;"+",40000,IF(OR(AB6=T_MA&amp;"+",AB6=T_AV&amp;"+"),30000,IF(ISERROR(FIND(VLOOKUP(AB6,DBSkills,2,0),$V6)),20000,30000)))))</f>
        <v>0</v>
      </c>
      <c r="AO6" s="159">
        <f t="shared" ref="AO6:AO21" si="13">IF(AC6="",0,IF(AC6=T_ST&amp;"+",50000,IF(AC6=T_AG&amp;"+",40000,IF(OR(AC6=T_MA&amp;"+",AC6=T_AV&amp;"+"),30000,IF(ISERROR(FIND(VLOOKUP(AC6,DBSkills,2,0),$V6)),20000,30000)))))</f>
        <v>0</v>
      </c>
      <c r="AP6" s="159">
        <f t="shared" ref="AP6:AP21" si="14">IF(AD6="",0,IF(AD6=T_ST&amp;"+",50000,IF(AD6=T_AG&amp;"+",40000,IF(OR(AD6=T_MA&amp;"+",AD6=T_AV&amp;"+"),30000,IF(ISERROR(FIND(VLOOKUP(AD6,DBSkills,2,0),$V6)),20000,30000)))))</f>
        <v>0</v>
      </c>
      <c r="AQ6" s="159">
        <f t="array" ref="AQ6">IF(ISERROR($AJ6),0,IF($AJ6="","",SUM(IF($AJ6=$AJ$6:$AJ6,IF($L$6:$L6=T_MNG,1,0),0))))</f>
        <v>0</v>
      </c>
      <c r="AR6" s="160">
        <f t="shared" ref="AR6:AR21" si="15">IF(OR($E6="",LEFT($F6,LEN(T_Error))=T_Error),"",MAX(1,VLOOKUP($AJ6,DBPlayers,4,0)))</f>
        <v>6</v>
      </c>
      <c r="AS6" s="160">
        <f t="shared" ref="AS6:AS21" si="16">IF(OR(($E6=""),(LEFT($F6,LEN(T_Error))=T_Error)),"",MAX(1,VLOOKUP($AJ6,DBPlayers,5,0)))</f>
        <v>3</v>
      </c>
      <c r="AT6" s="160">
        <f t="shared" ref="AT6:AT21" si="17">IF(OR(($E6=""),(LEFT($F6,LEN(T_Error))=T_Error)),"",MAX(1,VLOOKUP($AJ6,DBPlayers,6,0)))</f>
        <v>3</v>
      </c>
      <c r="AU6" s="160">
        <f t="shared" ref="AU6:AU21" si="18">IF(OR(($E6=""),(LEFT($F6,LEN(T_Error))=T_Error)),"",MAX(1,VLOOKUP($AJ6,DBPlayers,7,0)))</f>
        <v>7</v>
      </c>
      <c r="AV6" s="102"/>
      <c r="AW6" s="102"/>
      <c r="AX6" s="102"/>
      <c r="AY6" s="102"/>
    </row>
    <row r="7" spans="1:51" ht="13.5" customHeight="1">
      <c r="A7" s="102"/>
      <c r="B7" s="114"/>
      <c r="C7" s="161">
        <v>2</v>
      </c>
      <c r="D7" s="162" t="s">
        <v>267</v>
      </c>
      <c r="E7" s="162" t="s">
        <v>266</v>
      </c>
      <c r="F7" s="163" t="str">
        <f>IF($E7&lt;&gt;"",IF($AJ7&lt;&gt;"",IF(AND($L7=T_Journey,VLOOKUP($AJ7,DBPlayers,2,0)&lt;12),T_Error&amp;"7",IF("Journeymen not available"=0,T_Error&amp;"8",IF(COUNTIF($E$6:$E7,$E7)-$AQ7&gt;VLOOKUP($AJ7,DBPlayers,2,0),T_Error&amp;"2",IF(L7=T_MNG,0,COUNTIF($E$6:$E7,$E7)-$AQ7)&amp;"/"&amp;(VLOOKUP($AJ7,DBPlayers,2,0))))),T_Error&amp;"1"),"")</f>
        <v>2/16</v>
      </c>
      <c r="G7" s="164">
        <f t="shared" si="0"/>
        <v>6</v>
      </c>
      <c r="H7" s="164">
        <f t="shared" si="1"/>
        <v>3</v>
      </c>
      <c r="I7" s="164">
        <f t="shared" si="2"/>
        <v>3</v>
      </c>
      <c r="J7" s="164">
        <f t="shared" si="3"/>
        <v>7</v>
      </c>
      <c r="K7" s="167" t="str">
        <f t="shared" ca="1" si="4"/>
        <v>Dodge</v>
      </c>
      <c r="L7" s="168"/>
      <c r="M7" s="169"/>
      <c r="N7" s="170"/>
      <c r="O7" s="170"/>
      <c r="P7" s="170">
        <v>1</v>
      </c>
      <c r="Q7" s="170"/>
      <c r="R7" s="171">
        <f t="shared" si="5"/>
        <v>2</v>
      </c>
      <c r="S7" s="172">
        <f t="shared" ref="S7:S21" si="19">IF(OR($E7="",LEFT($F7,LEN(T_Error))=T_Error),"",IF($L7=T_MNG,0,VLOOKUP($AJ7,DBPlayers,11,0)+SUM($AK7:$AP7)))</f>
        <v>50000</v>
      </c>
      <c r="T7" s="117"/>
      <c r="U7" s="152" t="str">
        <f t="shared" si="6"/>
        <v>G</v>
      </c>
      <c r="V7" s="152" t="str">
        <f t="shared" si="7"/>
        <v>A S P</v>
      </c>
      <c r="W7" s="153">
        <f t="shared" si="8"/>
        <v>0</v>
      </c>
      <c r="X7" s="121"/>
      <c r="Y7" s="154"/>
      <c r="Z7" s="154"/>
      <c r="AA7" s="154"/>
      <c r="AB7" s="154"/>
      <c r="AC7" s="154"/>
      <c r="AD7" s="155"/>
      <c r="AE7" s="156"/>
      <c r="AF7" s="173"/>
      <c r="AG7" s="174"/>
      <c r="AH7" s="120"/>
      <c r="AI7" s="123">
        <v>2</v>
      </c>
      <c r="AJ7" s="159" t="str">
        <f t="shared" si="9"/>
        <v>Amazon1</v>
      </c>
      <c r="AK7" s="159">
        <f t="shared" ref="AK7:AK21" si="20">IF(Y7="",0,IF(Y7=T_ST&amp;"+",50000,IF(Y7=T_AG&amp;"+",40000,IF(OR(Y7=T_MA&amp;"+",Y7=T_AV&amp;"+"),30000,IF(ISERROR(FIND(VLOOKUP(Y7,DBSkills,2,0),$V7)),20000,30000)))))</f>
        <v>0</v>
      </c>
      <c r="AL7" s="159">
        <f t="shared" si="10"/>
        <v>0</v>
      </c>
      <c r="AM7" s="159">
        <f t="shared" si="11"/>
        <v>0</v>
      </c>
      <c r="AN7" s="159">
        <f t="shared" si="12"/>
        <v>0</v>
      </c>
      <c r="AO7" s="159">
        <f t="shared" si="13"/>
        <v>0</v>
      </c>
      <c r="AP7" s="159">
        <f t="shared" si="14"/>
        <v>0</v>
      </c>
      <c r="AQ7" s="159">
        <f t="array" ref="AQ7">IF(ISERROR($AJ7),0,IF($AJ7="","",SUM(IF($AJ7=$AJ$6:$AJ7,IF($L$6:$L7=T_MNG,1,0),0))))</f>
        <v>0</v>
      </c>
      <c r="AR7" s="160">
        <f t="shared" si="15"/>
        <v>6</v>
      </c>
      <c r="AS7" s="160">
        <f t="shared" si="16"/>
        <v>3</v>
      </c>
      <c r="AT7" s="160">
        <f t="shared" si="17"/>
        <v>3</v>
      </c>
      <c r="AU7" s="160">
        <f t="shared" si="18"/>
        <v>7</v>
      </c>
      <c r="AV7" s="102"/>
      <c r="AW7" s="123"/>
      <c r="AX7" s="123"/>
      <c r="AY7" s="123"/>
    </row>
    <row r="8" spans="1:51" ht="13.5" customHeight="1">
      <c r="A8" s="102"/>
      <c r="B8" s="114"/>
      <c r="C8" s="161">
        <v>3</v>
      </c>
      <c r="D8" s="162" t="s">
        <v>271</v>
      </c>
      <c r="E8" s="162" t="s">
        <v>266</v>
      </c>
      <c r="F8" s="163" t="str">
        <f>IF($E8&lt;&gt;"",IF($AJ8&lt;&gt;"",IF(AND($L8=T_Journey,VLOOKUP($AJ8,DBPlayers,2,0)&lt;12),T_Error&amp;"7",IF("Journeymen not available"=0,T_Error&amp;"8",IF(COUNTIF($E$6:$E8,$E8)-$AQ8&gt;VLOOKUP($AJ8,DBPlayers,2,0),T_Error&amp;"2",IF(L8=T_MNG,0,COUNTIF($E$6:$E8,$E8)-$AQ8)&amp;"/"&amp;(VLOOKUP($AJ8,DBPlayers,2,0))))),T_Error&amp;"1"),"")</f>
        <v>3/16</v>
      </c>
      <c r="G8" s="164">
        <f t="shared" si="0"/>
        <v>6</v>
      </c>
      <c r="H8" s="164">
        <f t="shared" si="1"/>
        <v>3</v>
      </c>
      <c r="I8" s="164">
        <f t="shared" si="2"/>
        <v>3</v>
      </c>
      <c r="J8" s="164">
        <f t="shared" si="3"/>
        <v>7</v>
      </c>
      <c r="K8" s="167" t="str">
        <f t="shared" ca="1" si="4"/>
        <v>Dodge</v>
      </c>
      <c r="L8" s="168"/>
      <c r="M8" s="169"/>
      <c r="N8" s="170"/>
      <c r="O8" s="170"/>
      <c r="P8" s="170"/>
      <c r="Q8" s="170"/>
      <c r="R8" s="171">
        <f t="shared" si="5"/>
        <v>0</v>
      </c>
      <c r="S8" s="172">
        <f t="shared" si="19"/>
        <v>50000</v>
      </c>
      <c r="T8" s="117"/>
      <c r="U8" s="152" t="str">
        <f t="shared" si="6"/>
        <v>G</v>
      </c>
      <c r="V8" s="152" t="str">
        <f t="shared" si="7"/>
        <v>A S P</v>
      </c>
      <c r="W8" s="153">
        <f t="shared" si="8"/>
        <v>0</v>
      </c>
      <c r="X8" s="121"/>
      <c r="Y8" s="154"/>
      <c r="Z8" s="154"/>
      <c r="AA8" s="154"/>
      <c r="AB8" s="154"/>
      <c r="AC8" s="154"/>
      <c r="AD8" s="155"/>
      <c r="AE8" s="156"/>
      <c r="AF8" s="154"/>
      <c r="AG8" s="155"/>
      <c r="AH8" s="120"/>
      <c r="AI8" s="123">
        <v>3</v>
      </c>
      <c r="AJ8" s="159" t="str">
        <f t="shared" si="9"/>
        <v>Amazon1</v>
      </c>
      <c r="AK8" s="159">
        <f t="shared" si="20"/>
        <v>0</v>
      </c>
      <c r="AL8" s="159">
        <f t="shared" si="10"/>
        <v>0</v>
      </c>
      <c r="AM8" s="159">
        <f t="shared" si="11"/>
        <v>0</v>
      </c>
      <c r="AN8" s="159">
        <f t="shared" si="12"/>
        <v>0</v>
      </c>
      <c r="AO8" s="159">
        <f t="shared" si="13"/>
        <v>0</v>
      </c>
      <c r="AP8" s="159">
        <f t="shared" si="14"/>
        <v>0</v>
      </c>
      <c r="AQ8" s="159">
        <f t="array" ref="AQ8">IF(ISERROR($AJ8),0,IF($AJ8="","",SUM(IF($AJ8=$AJ$6:$AJ8,IF($L$6:$L8=T_MNG,1,0),0))))</f>
        <v>0</v>
      </c>
      <c r="AR8" s="160">
        <f t="shared" si="15"/>
        <v>6</v>
      </c>
      <c r="AS8" s="160">
        <f t="shared" si="16"/>
        <v>3</v>
      </c>
      <c r="AT8" s="160">
        <f t="shared" si="17"/>
        <v>3</v>
      </c>
      <c r="AU8" s="160">
        <f t="shared" si="18"/>
        <v>7</v>
      </c>
      <c r="AV8" s="102"/>
      <c r="AW8" s="102"/>
      <c r="AX8" s="102"/>
      <c r="AY8" s="102"/>
    </row>
    <row r="9" spans="1:51" ht="13.5" customHeight="1">
      <c r="A9" s="102"/>
      <c r="B9" s="114"/>
      <c r="C9" s="161">
        <v>4</v>
      </c>
      <c r="D9" s="162" t="s">
        <v>273</v>
      </c>
      <c r="E9" s="162" t="s">
        <v>266</v>
      </c>
      <c r="F9" s="163" t="str">
        <f>IF($E9&lt;&gt;"",IF($AJ9&lt;&gt;"",IF(AND($L9=T_Journey,VLOOKUP($AJ9,DBPlayers,2,0)&lt;12),T_Error&amp;"7",IF("Journeymen not available"=0,T_Error&amp;"8",IF(COUNTIF($E$6:$E9,$E9)-$AQ9&gt;VLOOKUP($AJ9,DBPlayers,2,0),T_Error&amp;"2",IF(L9=T_MNG,0,COUNTIF($E$6:$E9,$E9)-$AQ9)&amp;"/"&amp;(VLOOKUP($AJ9,DBPlayers,2,0))))),T_Error&amp;"1"),"")</f>
        <v>4/16</v>
      </c>
      <c r="G9" s="164">
        <f t="shared" si="0"/>
        <v>6</v>
      </c>
      <c r="H9" s="164">
        <f t="shared" si="1"/>
        <v>3</v>
      </c>
      <c r="I9" s="164">
        <f t="shared" si="2"/>
        <v>3</v>
      </c>
      <c r="J9" s="164">
        <f t="shared" si="3"/>
        <v>7</v>
      </c>
      <c r="K9" s="167" t="str">
        <f t="shared" ca="1" si="4"/>
        <v>Dodge</v>
      </c>
      <c r="L9" s="168"/>
      <c r="M9" s="169"/>
      <c r="N9" s="170"/>
      <c r="O9" s="170"/>
      <c r="P9" s="170"/>
      <c r="Q9" s="170"/>
      <c r="R9" s="171">
        <f t="shared" si="5"/>
        <v>0</v>
      </c>
      <c r="S9" s="172">
        <f t="shared" si="19"/>
        <v>50000</v>
      </c>
      <c r="T9" s="117"/>
      <c r="U9" s="152" t="str">
        <f t="shared" si="6"/>
        <v>G</v>
      </c>
      <c r="V9" s="152" t="str">
        <f t="shared" si="7"/>
        <v>A S P</v>
      </c>
      <c r="W9" s="153">
        <f t="shared" si="8"/>
        <v>0</v>
      </c>
      <c r="X9" s="121"/>
      <c r="Y9" s="154"/>
      <c r="Z9" s="154"/>
      <c r="AA9" s="154"/>
      <c r="AB9" s="154"/>
      <c r="AC9" s="154"/>
      <c r="AD9" s="155"/>
      <c r="AE9" s="156"/>
      <c r="AF9" s="154"/>
      <c r="AG9" s="155"/>
      <c r="AH9" s="120"/>
      <c r="AI9" s="123">
        <v>4</v>
      </c>
      <c r="AJ9" s="159" t="str">
        <f t="shared" si="9"/>
        <v>Amazon1</v>
      </c>
      <c r="AK9" s="159">
        <f t="shared" si="20"/>
        <v>0</v>
      </c>
      <c r="AL9" s="159">
        <f t="shared" si="10"/>
        <v>0</v>
      </c>
      <c r="AM9" s="159">
        <f t="shared" si="11"/>
        <v>0</v>
      </c>
      <c r="AN9" s="159">
        <f t="shared" si="12"/>
        <v>0</v>
      </c>
      <c r="AO9" s="159">
        <f t="shared" si="13"/>
        <v>0</v>
      </c>
      <c r="AP9" s="159">
        <f t="shared" si="14"/>
        <v>0</v>
      </c>
      <c r="AQ9" s="159">
        <f t="array" ref="AQ9">IF(ISERROR($AJ9),0,IF($AJ9="","",SUM(IF($AJ9=$AJ$6:$AJ9,IF($L$6:$L9=T_MNG,1,0),0))))</f>
        <v>0</v>
      </c>
      <c r="AR9" s="160">
        <f t="shared" si="15"/>
        <v>6</v>
      </c>
      <c r="AS9" s="160">
        <f t="shared" si="16"/>
        <v>3</v>
      </c>
      <c r="AT9" s="160">
        <f t="shared" si="17"/>
        <v>3</v>
      </c>
      <c r="AU9" s="160">
        <f t="shared" si="18"/>
        <v>7</v>
      </c>
      <c r="AV9" s="102"/>
      <c r="AW9" s="102"/>
      <c r="AX9" s="102"/>
      <c r="AY9" s="102"/>
    </row>
    <row r="10" spans="1:51" ht="13.5" customHeight="1">
      <c r="A10" s="102"/>
      <c r="B10" s="114"/>
      <c r="C10" s="161">
        <v>5</v>
      </c>
      <c r="D10" s="162"/>
      <c r="E10" s="162"/>
      <c r="F10" s="163" t="str">
        <f>IF($E10&lt;&gt;"",IF($AJ10&lt;&gt;"",IF(AND($L10=T_Journey,VLOOKUP($AJ10,DBPlayers,2,0)&lt;12),T_Error&amp;"7",IF("Journeymen not available"=0,T_Error&amp;"8",IF(COUNTIF($E$6:$E10,$E10)-$AQ10&gt;VLOOKUP($AJ10,DBPlayers,2,0),T_Error&amp;"2",IF(L10=T_MNG,0,COUNTIF($E$6:$E10,$E10)-$AQ10)&amp;"/"&amp;(VLOOKUP($AJ10,DBPlayers,2,0))))),T_Error&amp;"1"),"")</f>
        <v/>
      </c>
      <c r="G10" s="164" t="str">
        <f t="shared" si="0"/>
        <v/>
      </c>
      <c r="H10" s="164" t="str">
        <f t="shared" si="1"/>
        <v/>
      </c>
      <c r="I10" s="164" t="str">
        <f t="shared" si="2"/>
        <v/>
      </c>
      <c r="J10" s="164" t="str">
        <f t="shared" si="3"/>
        <v/>
      </c>
      <c r="K10" s="167" t="str">
        <f t="shared" ca="1" si="4"/>
        <v/>
      </c>
      <c r="L10" s="168"/>
      <c r="M10" s="169"/>
      <c r="N10" s="170"/>
      <c r="O10" s="170"/>
      <c r="P10" s="170"/>
      <c r="Q10" s="170"/>
      <c r="R10" s="171" t="str">
        <f t="shared" si="5"/>
        <v/>
      </c>
      <c r="S10" s="172" t="str">
        <f t="shared" si="19"/>
        <v/>
      </c>
      <c r="T10" s="117"/>
      <c r="U10" s="152" t="str">
        <f t="shared" si="6"/>
        <v/>
      </c>
      <c r="V10" s="152" t="str">
        <f t="shared" si="7"/>
        <v/>
      </c>
      <c r="W10" s="153" t="str">
        <f t="shared" si="8"/>
        <v/>
      </c>
      <c r="X10" s="121"/>
      <c r="Y10" s="154"/>
      <c r="Z10" s="154"/>
      <c r="AA10" s="154"/>
      <c r="AB10" s="154"/>
      <c r="AC10" s="154"/>
      <c r="AD10" s="155"/>
      <c r="AE10" s="156"/>
      <c r="AF10" s="154"/>
      <c r="AG10" s="155"/>
      <c r="AH10" s="120"/>
      <c r="AI10" s="123">
        <v>5</v>
      </c>
      <c r="AJ10" s="159" t="str">
        <f t="shared" si="9"/>
        <v/>
      </c>
      <c r="AK10" s="159">
        <f t="shared" si="20"/>
        <v>0</v>
      </c>
      <c r="AL10" s="159">
        <f t="shared" si="10"/>
        <v>0</v>
      </c>
      <c r="AM10" s="159">
        <f t="shared" si="11"/>
        <v>0</v>
      </c>
      <c r="AN10" s="159">
        <f t="shared" si="12"/>
        <v>0</v>
      </c>
      <c r="AO10" s="159">
        <f t="shared" si="13"/>
        <v>0</v>
      </c>
      <c r="AP10" s="159">
        <f t="shared" si="14"/>
        <v>0</v>
      </c>
      <c r="AQ10" s="159" t="str">
        <f t="array" ref="AQ10">IF(ISERROR($AJ10),0,IF($AJ10="","",SUM(IF($AJ10=$AJ$6:$AJ10,IF($L$6:$L10=T_MNG,1,0),0))))</f>
        <v/>
      </c>
      <c r="AR10" s="160" t="str">
        <f t="shared" si="15"/>
        <v/>
      </c>
      <c r="AS10" s="160" t="str">
        <f t="shared" si="16"/>
        <v/>
      </c>
      <c r="AT10" s="160" t="str">
        <f t="shared" si="17"/>
        <v/>
      </c>
      <c r="AU10" s="160" t="str">
        <f t="shared" si="18"/>
        <v/>
      </c>
      <c r="AV10" s="102"/>
      <c r="AW10" s="102"/>
      <c r="AX10" s="102"/>
      <c r="AY10" s="102"/>
    </row>
    <row r="11" spans="1:51" ht="13.5" customHeight="1">
      <c r="A11" s="102"/>
      <c r="B11" s="114"/>
      <c r="C11" s="161">
        <v>6</v>
      </c>
      <c r="D11" s="162"/>
      <c r="E11" s="162"/>
      <c r="F11" s="163" t="str">
        <f>IF($E11&lt;&gt;"",IF($AJ11&lt;&gt;"",IF(AND($L11=T_Journey,VLOOKUP($AJ11,DBPlayers,2,0)&lt;12),T_Error&amp;"7",IF("Journeymen not available"=0,T_Error&amp;"8",IF(COUNTIF($E$6:$E11,$E11)-$AQ11&gt;VLOOKUP($AJ11,DBPlayers,2,0),T_Error&amp;"2",IF(L11=T_MNG,0,COUNTIF($E$6:$E11,$E11)-$AQ11)&amp;"/"&amp;(VLOOKUP($AJ11,DBPlayers,2,0))))),T_Error&amp;"1"),"")</f>
        <v/>
      </c>
      <c r="G11" s="164" t="str">
        <f t="shared" si="0"/>
        <v/>
      </c>
      <c r="H11" s="164" t="str">
        <f t="shared" si="1"/>
        <v/>
      </c>
      <c r="I11" s="164" t="str">
        <f t="shared" si="2"/>
        <v/>
      </c>
      <c r="J11" s="164" t="str">
        <f t="shared" si="3"/>
        <v/>
      </c>
      <c r="K11" s="167" t="str">
        <f t="shared" ca="1" si="4"/>
        <v/>
      </c>
      <c r="L11" s="168"/>
      <c r="M11" s="169"/>
      <c r="N11" s="170"/>
      <c r="O11" s="170"/>
      <c r="P11" s="170"/>
      <c r="Q11" s="170"/>
      <c r="R11" s="171" t="str">
        <f t="shared" si="5"/>
        <v/>
      </c>
      <c r="S11" s="172" t="str">
        <f t="shared" si="19"/>
        <v/>
      </c>
      <c r="T11" s="117"/>
      <c r="U11" s="152" t="str">
        <f t="shared" si="6"/>
        <v/>
      </c>
      <c r="V11" s="152" t="str">
        <f t="shared" si="7"/>
        <v/>
      </c>
      <c r="W11" s="153" t="str">
        <f t="shared" si="8"/>
        <v/>
      </c>
      <c r="X11" s="121"/>
      <c r="Y11" s="154"/>
      <c r="Z11" s="154"/>
      <c r="AA11" s="154"/>
      <c r="AB11" s="154"/>
      <c r="AC11" s="154"/>
      <c r="AD11" s="155"/>
      <c r="AE11" s="156"/>
      <c r="AF11" s="154"/>
      <c r="AG11" s="155"/>
      <c r="AH11" s="120"/>
      <c r="AI11" s="123">
        <v>6</v>
      </c>
      <c r="AJ11" s="159" t="str">
        <f t="shared" si="9"/>
        <v/>
      </c>
      <c r="AK11" s="159">
        <f t="shared" si="20"/>
        <v>0</v>
      </c>
      <c r="AL11" s="159">
        <f t="shared" si="10"/>
        <v>0</v>
      </c>
      <c r="AM11" s="159">
        <f t="shared" si="11"/>
        <v>0</v>
      </c>
      <c r="AN11" s="159">
        <f t="shared" si="12"/>
        <v>0</v>
      </c>
      <c r="AO11" s="159">
        <f t="shared" si="13"/>
        <v>0</v>
      </c>
      <c r="AP11" s="159">
        <f t="shared" si="14"/>
        <v>0</v>
      </c>
      <c r="AQ11" s="159" t="str">
        <f t="array" ref="AQ11">IF(ISERROR($AJ11),0,IF($AJ11="","",SUM(IF($AJ11=$AJ$6:$AJ11,IF($L$6:$L11=T_MNG,1,0),0))))</f>
        <v/>
      </c>
      <c r="AR11" s="160" t="str">
        <f t="shared" si="15"/>
        <v/>
      </c>
      <c r="AS11" s="160" t="str">
        <f t="shared" si="16"/>
        <v/>
      </c>
      <c r="AT11" s="160" t="str">
        <f t="shared" si="17"/>
        <v/>
      </c>
      <c r="AU11" s="160" t="str">
        <f t="shared" si="18"/>
        <v/>
      </c>
      <c r="AV11" s="102"/>
      <c r="AW11" s="102"/>
      <c r="AX11" s="102"/>
      <c r="AY11" s="102"/>
    </row>
    <row r="12" spans="1:51" ht="13.5" customHeight="1">
      <c r="A12" s="102"/>
      <c r="B12" s="114"/>
      <c r="C12" s="161">
        <v>7</v>
      </c>
      <c r="D12" s="162"/>
      <c r="E12" s="162"/>
      <c r="F12" s="163" t="str">
        <f>IF($E12&lt;&gt;"",IF($AJ12&lt;&gt;"",IF(AND($L12=T_Journey,VLOOKUP($AJ12,DBPlayers,2,0)&lt;12),T_Error&amp;"7",IF("Journeymen not available"=0,T_Error&amp;"8",IF(COUNTIF($E$6:$E12,$E12)-$AQ12&gt;VLOOKUP($AJ12,DBPlayers,2,0),T_Error&amp;"2",IF(L12=T_MNG,0,COUNTIF($E$6:$E12,$E12)-$AQ12)&amp;"/"&amp;(VLOOKUP($AJ12,DBPlayers,2,0))))),T_Error&amp;"1"),"")</f>
        <v/>
      </c>
      <c r="G12" s="164" t="str">
        <f t="shared" si="0"/>
        <v/>
      </c>
      <c r="H12" s="164" t="str">
        <f t="shared" si="1"/>
        <v/>
      </c>
      <c r="I12" s="164" t="str">
        <f t="shared" si="2"/>
        <v/>
      </c>
      <c r="J12" s="164" t="str">
        <f t="shared" si="3"/>
        <v/>
      </c>
      <c r="K12" s="167" t="str">
        <f t="shared" ca="1" si="4"/>
        <v/>
      </c>
      <c r="L12" s="168"/>
      <c r="M12" s="169"/>
      <c r="N12" s="170"/>
      <c r="O12" s="170"/>
      <c r="P12" s="170"/>
      <c r="Q12" s="170"/>
      <c r="R12" s="171" t="str">
        <f t="shared" si="5"/>
        <v/>
      </c>
      <c r="S12" s="172" t="str">
        <f t="shared" si="19"/>
        <v/>
      </c>
      <c r="T12" s="117"/>
      <c r="U12" s="152" t="str">
        <f t="shared" si="6"/>
        <v/>
      </c>
      <c r="V12" s="152" t="str">
        <f t="shared" si="7"/>
        <v/>
      </c>
      <c r="W12" s="153" t="str">
        <f t="shared" si="8"/>
        <v/>
      </c>
      <c r="X12" s="121"/>
      <c r="Y12" s="154"/>
      <c r="Z12" s="154"/>
      <c r="AA12" s="154"/>
      <c r="AB12" s="154"/>
      <c r="AC12" s="154"/>
      <c r="AD12" s="155"/>
      <c r="AE12" s="156"/>
      <c r="AF12" s="154"/>
      <c r="AG12" s="155"/>
      <c r="AH12" s="120"/>
      <c r="AI12" s="123">
        <v>7</v>
      </c>
      <c r="AJ12" s="159" t="str">
        <f t="shared" si="9"/>
        <v/>
      </c>
      <c r="AK12" s="159">
        <f t="shared" si="20"/>
        <v>0</v>
      </c>
      <c r="AL12" s="159">
        <f t="shared" si="10"/>
        <v>0</v>
      </c>
      <c r="AM12" s="159">
        <f t="shared" si="11"/>
        <v>0</v>
      </c>
      <c r="AN12" s="159">
        <f t="shared" si="12"/>
        <v>0</v>
      </c>
      <c r="AO12" s="159">
        <f t="shared" si="13"/>
        <v>0</v>
      </c>
      <c r="AP12" s="159">
        <f t="shared" si="14"/>
        <v>0</v>
      </c>
      <c r="AQ12" s="159" t="str">
        <f t="array" ref="AQ12">IF(ISERROR($AJ12),0,IF($AJ12="","",SUM(IF($AJ12=$AJ$6:$AJ12,IF($L$6:$L12=T_MNG,1,0),0))))</f>
        <v/>
      </c>
      <c r="AR12" s="160" t="str">
        <f t="shared" si="15"/>
        <v/>
      </c>
      <c r="AS12" s="160" t="str">
        <f t="shared" si="16"/>
        <v/>
      </c>
      <c r="AT12" s="160" t="str">
        <f t="shared" si="17"/>
        <v/>
      </c>
      <c r="AU12" s="160" t="str">
        <f t="shared" si="18"/>
        <v/>
      </c>
      <c r="AV12" s="102"/>
      <c r="AW12" s="102"/>
      <c r="AX12" s="102"/>
      <c r="AY12" s="102"/>
    </row>
    <row r="13" spans="1:51" ht="13.5" customHeight="1">
      <c r="A13" s="102"/>
      <c r="B13" s="114"/>
      <c r="C13" s="161">
        <v>8</v>
      </c>
      <c r="D13" s="162"/>
      <c r="E13" s="162"/>
      <c r="F13" s="163" t="str">
        <f>IF($E13&lt;&gt;"",IF($AJ13&lt;&gt;"",IF(AND($L13=T_Journey,VLOOKUP($AJ13,DBPlayers,2,0)&lt;12),T_Error&amp;"7",IF("Journeymen not available"=0,T_Error&amp;"8",IF(COUNTIF($E$6:$E13,$E13)-$AQ13&gt;VLOOKUP($AJ13,DBPlayers,2,0),T_Error&amp;"2",IF(L13=T_MNG,0,COUNTIF($E$6:$E13,$E13)-$AQ13)&amp;"/"&amp;(VLOOKUP($AJ13,DBPlayers,2,0))))),T_Error&amp;"1"),"")</f>
        <v/>
      </c>
      <c r="G13" s="164" t="str">
        <f t="shared" si="0"/>
        <v/>
      </c>
      <c r="H13" s="164" t="str">
        <f t="shared" si="1"/>
        <v/>
      </c>
      <c r="I13" s="164" t="str">
        <f t="shared" si="2"/>
        <v/>
      </c>
      <c r="J13" s="164" t="str">
        <f t="shared" si="3"/>
        <v/>
      </c>
      <c r="K13" s="167" t="str">
        <f t="shared" ca="1" si="4"/>
        <v/>
      </c>
      <c r="L13" s="168"/>
      <c r="M13" s="169"/>
      <c r="N13" s="170"/>
      <c r="O13" s="170"/>
      <c r="P13" s="170"/>
      <c r="Q13" s="170"/>
      <c r="R13" s="171" t="str">
        <f t="shared" si="5"/>
        <v/>
      </c>
      <c r="S13" s="172" t="str">
        <f t="shared" si="19"/>
        <v/>
      </c>
      <c r="T13" s="117"/>
      <c r="U13" s="152" t="str">
        <f t="shared" si="6"/>
        <v/>
      </c>
      <c r="V13" s="152" t="str">
        <f t="shared" si="7"/>
        <v/>
      </c>
      <c r="W13" s="153" t="str">
        <f t="shared" si="8"/>
        <v/>
      </c>
      <c r="X13" s="121"/>
      <c r="Y13" s="154"/>
      <c r="Z13" s="154"/>
      <c r="AA13" s="154"/>
      <c r="AB13" s="154"/>
      <c r="AC13" s="154"/>
      <c r="AD13" s="155"/>
      <c r="AE13" s="156"/>
      <c r="AF13" s="154"/>
      <c r="AG13" s="155"/>
      <c r="AH13" s="120"/>
      <c r="AI13" s="123">
        <v>8</v>
      </c>
      <c r="AJ13" s="159" t="str">
        <f t="shared" si="9"/>
        <v/>
      </c>
      <c r="AK13" s="159">
        <f t="shared" si="20"/>
        <v>0</v>
      </c>
      <c r="AL13" s="159">
        <f t="shared" si="10"/>
        <v>0</v>
      </c>
      <c r="AM13" s="159">
        <f t="shared" si="11"/>
        <v>0</v>
      </c>
      <c r="AN13" s="159">
        <f t="shared" si="12"/>
        <v>0</v>
      </c>
      <c r="AO13" s="159">
        <f t="shared" si="13"/>
        <v>0</v>
      </c>
      <c r="AP13" s="159">
        <f t="shared" si="14"/>
        <v>0</v>
      </c>
      <c r="AQ13" s="159" t="str">
        <f t="array" ref="AQ13">IF(ISERROR($AJ13),0,IF($AJ13="","",SUM(IF($AJ13=$AJ$6:$AJ13,IF($L$6:$L13=T_MNG,1,0),0))))</f>
        <v/>
      </c>
      <c r="AR13" s="160" t="str">
        <f t="shared" si="15"/>
        <v/>
      </c>
      <c r="AS13" s="160" t="str">
        <f t="shared" si="16"/>
        <v/>
      </c>
      <c r="AT13" s="160" t="str">
        <f t="shared" si="17"/>
        <v/>
      </c>
      <c r="AU13" s="160" t="str">
        <f t="shared" si="18"/>
        <v/>
      </c>
      <c r="AV13" s="102"/>
      <c r="AW13" s="102"/>
      <c r="AX13" s="102"/>
      <c r="AY13" s="102"/>
    </row>
    <row r="14" spans="1:51" ht="13.5" customHeight="1">
      <c r="A14" s="102"/>
      <c r="B14" s="114"/>
      <c r="C14" s="161">
        <v>9</v>
      </c>
      <c r="D14" s="162" t="s">
        <v>280</v>
      </c>
      <c r="E14" s="162" t="s">
        <v>262</v>
      </c>
      <c r="F14" s="163" t="str">
        <f>IF($E14&lt;&gt;"",IF($AJ14&lt;&gt;"",IF(AND($L14=T_Journey,VLOOKUP($AJ14,DBPlayers,2,0)&lt;12),T_Error&amp;"7",IF("Journeymen not available"=0,T_Error&amp;"8",IF(COUNTIF($E$6:$E14,$E14)-$AQ14&gt;VLOOKUP($AJ14,DBPlayers,2,0),T_Error&amp;"2",IF(L14=T_MNG,0,COUNTIF($E$6:$E14,$E14)-$AQ14)&amp;"/"&amp;(VLOOKUP($AJ14,DBPlayers,2,0))))),T_Error&amp;"1"),"")</f>
        <v>1/2</v>
      </c>
      <c r="G14" s="164">
        <f t="shared" si="0"/>
        <v>6</v>
      </c>
      <c r="H14" s="164">
        <f t="shared" si="1"/>
        <v>3</v>
      </c>
      <c r="I14" s="164">
        <f t="shared" si="2"/>
        <v>3</v>
      </c>
      <c r="J14" s="164">
        <f t="shared" si="3"/>
        <v>7</v>
      </c>
      <c r="K14" s="167" t="str">
        <f t="shared" ca="1" si="4"/>
        <v>Dodge, Pass</v>
      </c>
      <c r="L14" s="168"/>
      <c r="M14" s="169"/>
      <c r="N14" s="170"/>
      <c r="O14" s="170"/>
      <c r="P14" s="170"/>
      <c r="Q14" s="170"/>
      <c r="R14" s="171">
        <f t="shared" si="5"/>
        <v>0</v>
      </c>
      <c r="S14" s="172">
        <f t="shared" si="19"/>
        <v>70000</v>
      </c>
      <c r="T14" s="117"/>
      <c r="U14" s="152" t="str">
        <f t="shared" si="6"/>
        <v xml:space="preserve">G P </v>
      </c>
      <c r="V14" s="152" t="str">
        <f t="shared" si="7"/>
        <v>A S</v>
      </c>
      <c r="W14" s="153">
        <f t="shared" si="8"/>
        <v>0</v>
      </c>
      <c r="X14" s="121"/>
      <c r="Y14" s="154"/>
      <c r="Z14" s="154"/>
      <c r="AA14" s="154"/>
      <c r="AB14" s="154"/>
      <c r="AC14" s="154"/>
      <c r="AD14" s="155"/>
      <c r="AE14" s="156"/>
      <c r="AF14" s="154"/>
      <c r="AG14" s="155"/>
      <c r="AH14" s="120"/>
      <c r="AI14" s="123">
        <v>9</v>
      </c>
      <c r="AJ14" s="159" t="str">
        <f t="shared" si="9"/>
        <v>Amazon2</v>
      </c>
      <c r="AK14" s="159">
        <f t="shared" si="20"/>
        <v>0</v>
      </c>
      <c r="AL14" s="159">
        <f t="shared" si="10"/>
        <v>0</v>
      </c>
      <c r="AM14" s="159">
        <f t="shared" si="11"/>
        <v>0</v>
      </c>
      <c r="AN14" s="159">
        <f t="shared" si="12"/>
        <v>0</v>
      </c>
      <c r="AO14" s="159">
        <f t="shared" si="13"/>
        <v>0</v>
      </c>
      <c r="AP14" s="159">
        <f t="shared" si="14"/>
        <v>0</v>
      </c>
      <c r="AQ14" s="159">
        <f t="array" ref="AQ14">IF(ISERROR($AJ14),0,IF($AJ14="","",SUM(IF($AJ14=$AJ$6:$AJ14,IF($L$6:$L14=T_MNG,1,0),0))))</f>
        <v>0</v>
      </c>
      <c r="AR14" s="160">
        <f t="shared" si="15"/>
        <v>6</v>
      </c>
      <c r="AS14" s="160">
        <f t="shared" si="16"/>
        <v>3</v>
      </c>
      <c r="AT14" s="160">
        <f t="shared" si="17"/>
        <v>3</v>
      </c>
      <c r="AU14" s="160">
        <f t="shared" si="18"/>
        <v>7</v>
      </c>
      <c r="AV14" s="102"/>
      <c r="AW14" s="102"/>
      <c r="AX14" s="102"/>
      <c r="AY14" s="102"/>
    </row>
    <row r="15" spans="1:51" ht="13.5" customHeight="1">
      <c r="A15" s="102"/>
      <c r="B15" s="114"/>
      <c r="C15" s="161">
        <v>10</v>
      </c>
      <c r="D15" s="162" t="s">
        <v>282</v>
      </c>
      <c r="E15" s="162" t="s">
        <v>262</v>
      </c>
      <c r="F15" s="163" t="str">
        <f>IF($E15&lt;&gt;"",IF($AJ15&lt;&gt;"",IF(AND($L15=T_Journey,VLOOKUP($AJ15,DBPlayers,2,0)&lt;12),T_Error&amp;"7",IF("Journeymen not available"=0,T_Error&amp;"8",IF(COUNTIF($E$6:$E15,$E15)-$AQ15&gt;VLOOKUP($AJ15,DBPlayers,2,0),T_Error&amp;"2",IF(L15=T_MNG,0,COUNTIF($E$6:$E15,$E15)-$AQ15)&amp;"/"&amp;(VLOOKUP($AJ15,DBPlayers,2,0))))),T_Error&amp;"1"),"")</f>
        <v>2/2</v>
      </c>
      <c r="G15" s="164">
        <f t="shared" si="0"/>
        <v>6</v>
      </c>
      <c r="H15" s="164">
        <f t="shared" si="1"/>
        <v>3</v>
      </c>
      <c r="I15" s="164">
        <f t="shared" si="2"/>
        <v>3</v>
      </c>
      <c r="J15" s="164">
        <f t="shared" si="3"/>
        <v>7</v>
      </c>
      <c r="K15" s="167" t="str">
        <f t="shared" ca="1" si="4"/>
        <v>Dodge, Pass</v>
      </c>
      <c r="L15" s="168"/>
      <c r="M15" s="169">
        <v>1</v>
      </c>
      <c r="N15" s="170"/>
      <c r="O15" s="170"/>
      <c r="P15" s="170"/>
      <c r="Q15" s="170"/>
      <c r="R15" s="171">
        <f t="shared" si="5"/>
        <v>1</v>
      </c>
      <c r="S15" s="172">
        <f t="shared" si="19"/>
        <v>70000</v>
      </c>
      <c r="T15" s="117"/>
      <c r="U15" s="152" t="str">
        <f t="shared" si="6"/>
        <v xml:space="preserve">G P </v>
      </c>
      <c r="V15" s="152" t="str">
        <f t="shared" si="7"/>
        <v>A S</v>
      </c>
      <c r="W15" s="153">
        <f t="shared" si="8"/>
        <v>0</v>
      </c>
      <c r="X15" s="121"/>
      <c r="Y15" s="154"/>
      <c r="Z15" s="154"/>
      <c r="AA15" s="154"/>
      <c r="AB15" s="154"/>
      <c r="AC15" s="154"/>
      <c r="AD15" s="155"/>
      <c r="AE15" s="156"/>
      <c r="AF15" s="154"/>
      <c r="AG15" s="155"/>
      <c r="AH15" s="120"/>
      <c r="AI15" s="123">
        <v>10</v>
      </c>
      <c r="AJ15" s="159" t="str">
        <f t="shared" si="9"/>
        <v>Amazon2</v>
      </c>
      <c r="AK15" s="159">
        <f t="shared" si="20"/>
        <v>0</v>
      </c>
      <c r="AL15" s="159">
        <f t="shared" si="10"/>
        <v>0</v>
      </c>
      <c r="AM15" s="159">
        <f t="shared" si="11"/>
        <v>0</v>
      </c>
      <c r="AN15" s="159">
        <f t="shared" si="12"/>
        <v>0</v>
      </c>
      <c r="AO15" s="159">
        <f t="shared" si="13"/>
        <v>0</v>
      </c>
      <c r="AP15" s="159">
        <f t="shared" si="14"/>
        <v>0</v>
      </c>
      <c r="AQ15" s="159">
        <f t="array" ref="AQ15">IF(ISERROR($AJ15),0,IF($AJ15="","",SUM(IF($AJ15=$AJ$6:$AJ15,IF($L$6:$L15=T_MNG,1,0),0))))</f>
        <v>0</v>
      </c>
      <c r="AR15" s="160">
        <f t="shared" si="15"/>
        <v>6</v>
      </c>
      <c r="AS15" s="160">
        <f t="shared" si="16"/>
        <v>3</v>
      </c>
      <c r="AT15" s="160">
        <f t="shared" si="17"/>
        <v>3</v>
      </c>
      <c r="AU15" s="160">
        <f t="shared" si="18"/>
        <v>7</v>
      </c>
      <c r="AV15" s="102"/>
      <c r="AW15" s="102"/>
      <c r="AX15" s="102"/>
      <c r="AY15" s="102"/>
    </row>
    <row r="16" spans="1:51" ht="13.5" customHeight="1">
      <c r="A16" s="102"/>
      <c r="B16" s="114"/>
      <c r="C16" s="161">
        <v>11</v>
      </c>
      <c r="D16" s="162" t="s">
        <v>283</v>
      </c>
      <c r="E16" s="162" t="s">
        <v>284</v>
      </c>
      <c r="F16" s="163" t="str">
        <f>IF($E16&lt;&gt;"",IF($AJ16&lt;&gt;"",IF(AND($L16=T_Journey,VLOOKUP($AJ16,DBPlayers,2,0)&lt;12),T_Error&amp;"7",IF("Journeymen not available"=0,T_Error&amp;"8",IF(COUNTIF($E$6:$E16,$E16)-$AQ16&gt;VLOOKUP($AJ16,DBPlayers,2,0),T_Error&amp;"2",IF(L16=T_MNG,0,COUNTIF($E$6:$E16,$E16)-$AQ16)&amp;"/"&amp;(VLOOKUP($AJ16,DBPlayers,2,0))))),T_Error&amp;"1"),"")</f>
        <v>1/2</v>
      </c>
      <c r="G16" s="164">
        <f t="shared" si="0"/>
        <v>6</v>
      </c>
      <c r="H16" s="164">
        <f t="shared" si="1"/>
        <v>3</v>
      </c>
      <c r="I16" s="164">
        <f t="shared" si="2"/>
        <v>3</v>
      </c>
      <c r="J16" s="164">
        <f t="shared" si="3"/>
        <v>7</v>
      </c>
      <c r="K16" s="167" t="str">
        <f t="shared" ca="1" si="4"/>
        <v>Dodge, Catch</v>
      </c>
      <c r="L16" s="168"/>
      <c r="M16" s="169"/>
      <c r="N16" s="170">
        <v>1</v>
      </c>
      <c r="O16" s="170"/>
      <c r="P16" s="170"/>
      <c r="Q16" s="170"/>
      <c r="R16" s="171">
        <f t="shared" si="5"/>
        <v>3</v>
      </c>
      <c r="S16" s="172">
        <f t="shared" si="19"/>
        <v>70000</v>
      </c>
      <c r="T16" s="117"/>
      <c r="U16" s="152" t="str">
        <f t="shared" si="6"/>
        <v>G A</v>
      </c>
      <c r="V16" s="152" t="str">
        <f t="shared" si="7"/>
        <v>S P</v>
      </c>
      <c r="W16" s="153">
        <f t="shared" si="8"/>
        <v>0</v>
      </c>
      <c r="X16" s="121"/>
      <c r="Y16" s="154"/>
      <c r="Z16" s="154"/>
      <c r="AA16" s="154"/>
      <c r="AB16" s="154"/>
      <c r="AC16" s="154"/>
      <c r="AD16" s="155"/>
      <c r="AE16" s="156"/>
      <c r="AF16" s="154"/>
      <c r="AG16" s="155"/>
      <c r="AH16" s="120"/>
      <c r="AI16" s="123">
        <v>11</v>
      </c>
      <c r="AJ16" s="159" t="str">
        <f t="shared" si="9"/>
        <v>Amazon3</v>
      </c>
      <c r="AK16" s="159">
        <f t="shared" si="20"/>
        <v>0</v>
      </c>
      <c r="AL16" s="159">
        <f t="shared" si="10"/>
        <v>0</v>
      </c>
      <c r="AM16" s="159">
        <f t="shared" si="11"/>
        <v>0</v>
      </c>
      <c r="AN16" s="159">
        <f t="shared" si="12"/>
        <v>0</v>
      </c>
      <c r="AO16" s="159">
        <f t="shared" si="13"/>
        <v>0</v>
      </c>
      <c r="AP16" s="159">
        <f t="shared" si="14"/>
        <v>0</v>
      </c>
      <c r="AQ16" s="159">
        <f t="array" ref="AQ16">IF(ISERROR($AJ16),0,IF($AJ16="","",SUM(IF($AJ16=$AJ$6:$AJ16,IF($L$6:$L16=T_MNG,1,0),0))))</f>
        <v>0</v>
      </c>
      <c r="AR16" s="160">
        <f t="shared" si="15"/>
        <v>6</v>
      </c>
      <c r="AS16" s="160">
        <f t="shared" si="16"/>
        <v>3</v>
      </c>
      <c r="AT16" s="160">
        <f t="shared" si="17"/>
        <v>3</v>
      </c>
      <c r="AU16" s="160">
        <f t="shared" si="18"/>
        <v>7</v>
      </c>
      <c r="AV16" s="102"/>
      <c r="AW16" s="102"/>
      <c r="AX16" s="102"/>
      <c r="AY16" s="102"/>
    </row>
    <row r="17" spans="1:51" ht="13.5" customHeight="1">
      <c r="A17" s="102"/>
      <c r="B17" s="114"/>
      <c r="C17" s="161">
        <v>12</v>
      </c>
      <c r="D17" s="162" t="s">
        <v>285</v>
      </c>
      <c r="E17" s="162" t="s">
        <v>284</v>
      </c>
      <c r="F17" s="163" t="str">
        <f>IF($E17&lt;&gt;"",IF($AJ17&lt;&gt;"",IF(AND($L17=T_Journey,VLOOKUP($AJ17,DBPlayers,2,0)&lt;12),T_Error&amp;"7",IF("Journeymen not available"=0,T_Error&amp;"8",IF(COUNTIF($E$6:$E17,$E17)-$AQ17&gt;VLOOKUP($AJ17,DBPlayers,2,0),T_Error&amp;"2",IF(L17=T_MNG,0,COUNTIF($E$6:$E17,$E17)-$AQ17)&amp;"/"&amp;(VLOOKUP($AJ17,DBPlayers,2,0))))),T_Error&amp;"1"),"")</f>
        <v>2/2</v>
      </c>
      <c r="G17" s="164">
        <f t="shared" si="0"/>
        <v>6</v>
      </c>
      <c r="H17" s="164">
        <f t="shared" si="1"/>
        <v>3</v>
      </c>
      <c r="I17" s="164">
        <f t="shared" si="2"/>
        <v>3</v>
      </c>
      <c r="J17" s="164">
        <f t="shared" si="3"/>
        <v>7</v>
      </c>
      <c r="K17" s="167" t="str">
        <f t="shared" ca="1" si="4"/>
        <v>Dodge, Catch</v>
      </c>
      <c r="L17" s="168"/>
      <c r="M17" s="169">
        <v>1</v>
      </c>
      <c r="N17" s="170"/>
      <c r="O17" s="170"/>
      <c r="P17" s="170"/>
      <c r="Q17" s="170"/>
      <c r="R17" s="171">
        <f t="shared" si="5"/>
        <v>1</v>
      </c>
      <c r="S17" s="172">
        <f t="shared" si="19"/>
        <v>70000</v>
      </c>
      <c r="T17" s="117"/>
      <c r="U17" s="152" t="str">
        <f t="shared" si="6"/>
        <v>G A</v>
      </c>
      <c r="V17" s="152" t="str">
        <f t="shared" si="7"/>
        <v>S P</v>
      </c>
      <c r="W17" s="153">
        <f t="shared" si="8"/>
        <v>0</v>
      </c>
      <c r="X17" s="121"/>
      <c r="Y17" s="154"/>
      <c r="Z17" s="154"/>
      <c r="AA17" s="154"/>
      <c r="AB17" s="154"/>
      <c r="AC17" s="154"/>
      <c r="AD17" s="155"/>
      <c r="AE17" s="156"/>
      <c r="AF17" s="154"/>
      <c r="AG17" s="155"/>
      <c r="AH17" s="120"/>
      <c r="AI17" s="123">
        <v>12</v>
      </c>
      <c r="AJ17" s="159" t="str">
        <f t="shared" si="9"/>
        <v>Amazon3</v>
      </c>
      <c r="AK17" s="159">
        <f t="shared" si="20"/>
        <v>0</v>
      </c>
      <c r="AL17" s="159">
        <f t="shared" si="10"/>
        <v>0</v>
      </c>
      <c r="AM17" s="159">
        <f t="shared" si="11"/>
        <v>0</v>
      </c>
      <c r="AN17" s="159">
        <f t="shared" si="12"/>
        <v>0</v>
      </c>
      <c r="AO17" s="159">
        <f t="shared" si="13"/>
        <v>0</v>
      </c>
      <c r="AP17" s="159">
        <f t="shared" si="14"/>
        <v>0</v>
      </c>
      <c r="AQ17" s="159">
        <f t="array" ref="AQ17">IF(ISERROR($AJ17),0,IF($AJ17="","",SUM(IF($AJ17=$AJ$6:$AJ17,IF($L$6:$L17=T_MNG,1,0),0))))</f>
        <v>0</v>
      </c>
      <c r="AR17" s="160">
        <f t="shared" si="15"/>
        <v>6</v>
      </c>
      <c r="AS17" s="160">
        <f t="shared" si="16"/>
        <v>3</v>
      </c>
      <c r="AT17" s="160">
        <f t="shared" si="17"/>
        <v>3</v>
      </c>
      <c r="AU17" s="160">
        <f t="shared" si="18"/>
        <v>7</v>
      </c>
      <c r="AV17" s="102"/>
      <c r="AW17" s="102"/>
      <c r="AX17" s="102"/>
      <c r="AY17" s="102"/>
    </row>
    <row r="18" spans="1:51" ht="13.5" customHeight="1">
      <c r="A18" s="102"/>
      <c r="B18" s="114"/>
      <c r="C18" s="161">
        <v>13</v>
      </c>
      <c r="D18" s="162" t="s">
        <v>286</v>
      </c>
      <c r="E18" s="162" t="s">
        <v>269</v>
      </c>
      <c r="F18" s="163" t="str">
        <f>IF($E18&lt;&gt;"",IF($AJ18&lt;&gt;"",IF(AND($L18=T_Journey,VLOOKUP($AJ18,DBPlayers,2,0)&lt;12),T_Error&amp;"7",IF("Journeymen not available"=0,T_Error&amp;"8",IF(COUNTIF($E$6:$E18,$E18)-$AQ18&gt;VLOOKUP($AJ18,DBPlayers,2,0),T_Error&amp;"2",IF(L18=T_MNG,0,COUNTIF($E$6:$E18,$E18)-$AQ18)&amp;"/"&amp;(VLOOKUP($AJ18,DBPlayers,2,0))))),T_Error&amp;"1"),"")</f>
        <v>1/4</v>
      </c>
      <c r="G18" s="164">
        <f t="shared" si="0"/>
        <v>6</v>
      </c>
      <c r="H18" s="164">
        <f t="shared" si="1"/>
        <v>3</v>
      </c>
      <c r="I18" s="164">
        <f t="shared" si="2"/>
        <v>3</v>
      </c>
      <c r="J18" s="164">
        <f t="shared" si="3"/>
        <v>7</v>
      </c>
      <c r="K18" s="167" t="str">
        <f t="shared" ca="1" si="4"/>
        <v>Dodge, Block</v>
      </c>
      <c r="L18" s="168"/>
      <c r="M18" s="169"/>
      <c r="N18" s="170"/>
      <c r="O18" s="170"/>
      <c r="P18" s="170">
        <v>1</v>
      </c>
      <c r="Q18" s="170"/>
      <c r="R18" s="171">
        <f t="shared" si="5"/>
        <v>2</v>
      </c>
      <c r="S18" s="172">
        <f t="shared" si="19"/>
        <v>90000</v>
      </c>
      <c r="T18" s="117"/>
      <c r="U18" s="152" t="str">
        <f t="shared" si="6"/>
        <v>G S</v>
      </c>
      <c r="V18" s="152" t="str">
        <f t="shared" si="7"/>
        <v>A P</v>
      </c>
      <c r="W18" s="153">
        <f t="shared" si="8"/>
        <v>0</v>
      </c>
      <c r="X18" s="121"/>
      <c r="Y18" s="154"/>
      <c r="Z18" s="154"/>
      <c r="AA18" s="154"/>
      <c r="AB18" s="154"/>
      <c r="AC18" s="154"/>
      <c r="AD18" s="155"/>
      <c r="AE18" s="156"/>
      <c r="AF18" s="154"/>
      <c r="AG18" s="155"/>
      <c r="AH18" s="120"/>
      <c r="AI18" s="123">
        <v>13</v>
      </c>
      <c r="AJ18" s="159" t="str">
        <f t="shared" si="9"/>
        <v>Amazon4</v>
      </c>
      <c r="AK18" s="159">
        <f t="shared" si="20"/>
        <v>0</v>
      </c>
      <c r="AL18" s="159">
        <f t="shared" si="10"/>
        <v>0</v>
      </c>
      <c r="AM18" s="159">
        <f t="shared" si="11"/>
        <v>0</v>
      </c>
      <c r="AN18" s="159">
        <f t="shared" si="12"/>
        <v>0</v>
      </c>
      <c r="AO18" s="159">
        <f t="shared" si="13"/>
        <v>0</v>
      </c>
      <c r="AP18" s="159">
        <f t="shared" si="14"/>
        <v>0</v>
      </c>
      <c r="AQ18" s="159">
        <f t="array" ref="AQ18">IF(ISERROR($AJ18),0,IF($AJ18="","",SUM(IF($AJ18=$AJ$6:$AJ18,IF($L$6:$L18=T_MNG,1,0),0))))</f>
        <v>0</v>
      </c>
      <c r="AR18" s="160">
        <f t="shared" si="15"/>
        <v>6</v>
      </c>
      <c r="AS18" s="160">
        <f t="shared" si="16"/>
        <v>3</v>
      </c>
      <c r="AT18" s="160">
        <f t="shared" si="17"/>
        <v>3</v>
      </c>
      <c r="AU18" s="160">
        <f t="shared" si="18"/>
        <v>7</v>
      </c>
      <c r="AV18" s="102"/>
      <c r="AW18" s="102"/>
      <c r="AX18" s="102"/>
      <c r="AY18" s="102"/>
    </row>
    <row r="19" spans="1:51" ht="13.5" customHeight="1">
      <c r="A19" s="102"/>
      <c r="B19" s="114"/>
      <c r="C19" s="161">
        <v>14</v>
      </c>
      <c r="D19" s="162" t="s">
        <v>287</v>
      </c>
      <c r="E19" s="162" t="s">
        <v>269</v>
      </c>
      <c r="F19" s="163" t="str">
        <f>IF($E19&lt;&gt;"",IF($AJ19&lt;&gt;"",IF(AND($L19=T_Journey,VLOOKUP($AJ19,DBPlayers,2,0)&lt;12),T_Error&amp;"7",IF("Journeymen not available"=0,T_Error&amp;"8",IF(COUNTIF($E$6:$E19,$E19)-$AQ19&gt;VLOOKUP($AJ19,DBPlayers,2,0),T_Error&amp;"2",IF(L19=T_MNG,0,COUNTIF($E$6:$E19,$E19)-$AQ19)&amp;"/"&amp;(VLOOKUP($AJ19,DBPlayers,2,0))))),T_Error&amp;"1"),"")</f>
        <v>2/4</v>
      </c>
      <c r="G19" s="164">
        <f t="shared" si="0"/>
        <v>6</v>
      </c>
      <c r="H19" s="164">
        <f t="shared" si="1"/>
        <v>3</v>
      </c>
      <c r="I19" s="164">
        <f t="shared" si="2"/>
        <v>3</v>
      </c>
      <c r="J19" s="164">
        <f t="shared" si="3"/>
        <v>7</v>
      </c>
      <c r="K19" s="167" t="str">
        <f t="shared" ca="1" si="4"/>
        <v>Dodge, Block</v>
      </c>
      <c r="L19" s="168"/>
      <c r="M19" s="169"/>
      <c r="N19" s="170"/>
      <c r="O19" s="170"/>
      <c r="P19" s="170">
        <v>1</v>
      </c>
      <c r="Q19" s="170"/>
      <c r="R19" s="171">
        <f t="shared" si="5"/>
        <v>2</v>
      </c>
      <c r="S19" s="172">
        <f t="shared" si="19"/>
        <v>90000</v>
      </c>
      <c r="T19" s="117"/>
      <c r="U19" s="152" t="str">
        <f t="shared" si="6"/>
        <v>G S</v>
      </c>
      <c r="V19" s="152" t="str">
        <f t="shared" si="7"/>
        <v>A P</v>
      </c>
      <c r="W19" s="153">
        <f t="shared" si="8"/>
        <v>0</v>
      </c>
      <c r="X19" s="121"/>
      <c r="Y19" s="154"/>
      <c r="Z19" s="154"/>
      <c r="AA19" s="154"/>
      <c r="AB19" s="154"/>
      <c r="AC19" s="154"/>
      <c r="AD19" s="155"/>
      <c r="AE19" s="156"/>
      <c r="AF19" s="154"/>
      <c r="AG19" s="155"/>
      <c r="AH19" s="120"/>
      <c r="AI19" s="123">
        <v>14</v>
      </c>
      <c r="AJ19" s="159" t="str">
        <f t="shared" si="9"/>
        <v>Amazon4</v>
      </c>
      <c r="AK19" s="159">
        <f t="shared" si="20"/>
        <v>0</v>
      </c>
      <c r="AL19" s="159">
        <f t="shared" si="10"/>
        <v>0</v>
      </c>
      <c r="AM19" s="159">
        <f t="shared" si="11"/>
        <v>0</v>
      </c>
      <c r="AN19" s="159">
        <f t="shared" si="12"/>
        <v>0</v>
      </c>
      <c r="AO19" s="159">
        <f t="shared" si="13"/>
        <v>0</v>
      </c>
      <c r="AP19" s="159">
        <f t="shared" si="14"/>
        <v>0</v>
      </c>
      <c r="AQ19" s="159">
        <f t="array" ref="AQ19">IF(ISERROR($AJ19),0,IF($AJ19="","",SUM(IF($AJ19=$AJ$6:$AJ19,IF($L$6:$L19=T_MNG,1,0),0))))</f>
        <v>0</v>
      </c>
      <c r="AR19" s="160">
        <f t="shared" si="15"/>
        <v>6</v>
      </c>
      <c r="AS19" s="160">
        <f t="shared" si="16"/>
        <v>3</v>
      </c>
      <c r="AT19" s="160">
        <f t="shared" si="17"/>
        <v>3</v>
      </c>
      <c r="AU19" s="160">
        <f t="shared" si="18"/>
        <v>7</v>
      </c>
      <c r="AV19" s="102"/>
      <c r="AW19" s="102"/>
      <c r="AX19" s="102"/>
      <c r="AY19" s="102"/>
    </row>
    <row r="20" spans="1:51" ht="13.5" customHeight="1">
      <c r="A20" s="102"/>
      <c r="B20" s="114"/>
      <c r="C20" s="161">
        <v>15</v>
      </c>
      <c r="D20" s="162" t="s">
        <v>289</v>
      </c>
      <c r="E20" s="162" t="s">
        <v>269</v>
      </c>
      <c r="F20" s="163" t="str">
        <f>IF($E20&lt;&gt;"",IF($AJ20&lt;&gt;"",IF(AND($L20=T_Journey,VLOOKUP($AJ20,DBPlayers,2,0)&lt;12),T_Error&amp;"7",IF("Journeymen not available"=0,T_Error&amp;"8",IF(COUNTIF($E$6:$E20,$E20)-$AQ20&gt;VLOOKUP($AJ20,DBPlayers,2,0),T_Error&amp;"2",IF(L20=T_MNG,0,COUNTIF($E$6:$E20,$E20)-$AQ20)&amp;"/"&amp;(VLOOKUP($AJ20,DBPlayers,2,0))))),T_Error&amp;"1"),"")</f>
        <v>3/4</v>
      </c>
      <c r="G20" s="164">
        <f t="shared" si="0"/>
        <v>6</v>
      </c>
      <c r="H20" s="164">
        <f t="shared" si="1"/>
        <v>3</v>
      </c>
      <c r="I20" s="164">
        <f t="shared" si="2"/>
        <v>3</v>
      </c>
      <c r="J20" s="164">
        <f t="shared" si="3"/>
        <v>7</v>
      </c>
      <c r="K20" s="167" t="str">
        <f t="shared" ca="1" si="4"/>
        <v>Dodge, Block, Guard</v>
      </c>
      <c r="L20" s="168"/>
      <c r="M20" s="169">
        <v>1</v>
      </c>
      <c r="N20" s="170"/>
      <c r="O20" s="170"/>
      <c r="P20" s="170"/>
      <c r="Q20" s="170">
        <v>1</v>
      </c>
      <c r="R20" s="171">
        <f t="shared" si="5"/>
        <v>6</v>
      </c>
      <c r="S20" s="172">
        <f t="shared" si="19"/>
        <v>110000</v>
      </c>
      <c r="T20" s="117"/>
      <c r="U20" s="152" t="str">
        <f t="shared" si="6"/>
        <v>G S</v>
      </c>
      <c r="V20" s="152" t="str">
        <f t="shared" si="7"/>
        <v>A P</v>
      </c>
      <c r="W20" s="153">
        <f t="shared" si="8"/>
        <v>1</v>
      </c>
      <c r="X20" s="121"/>
      <c r="Y20" s="154" t="s">
        <v>270</v>
      </c>
      <c r="Z20" s="154"/>
      <c r="AA20" s="154"/>
      <c r="AB20" s="154"/>
      <c r="AC20" s="154"/>
      <c r="AD20" s="155"/>
      <c r="AE20" s="156"/>
      <c r="AF20" s="154"/>
      <c r="AG20" s="155"/>
      <c r="AH20" s="120"/>
      <c r="AI20" s="123">
        <v>15</v>
      </c>
      <c r="AJ20" s="159" t="str">
        <f t="shared" si="9"/>
        <v>Amazon4</v>
      </c>
      <c r="AK20" s="159">
        <f t="shared" si="20"/>
        <v>20000</v>
      </c>
      <c r="AL20" s="159">
        <f t="shared" si="10"/>
        <v>0</v>
      </c>
      <c r="AM20" s="159">
        <f t="shared" si="11"/>
        <v>0</v>
      </c>
      <c r="AN20" s="159">
        <f t="shared" si="12"/>
        <v>0</v>
      </c>
      <c r="AO20" s="159">
        <f t="shared" si="13"/>
        <v>0</v>
      </c>
      <c r="AP20" s="159">
        <f t="shared" si="14"/>
        <v>0</v>
      </c>
      <c r="AQ20" s="159">
        <f t="array" ref="AQ20">IF(ISERROR($AJ20),0,IF($AJ20="","",SUM(IF($AJ20=$AJ$6:$AJ20,IF($L$6:$L20=T_MNG,1,0),0))))</f>
        <v>0</v>
      </c>
      <c r="AR20" s="160">
        <f t="shared" si="15"/>
        <v>6</v>
      </c>
      <c r="AS20" s="160">
        <f t="shared" si="16"/>
        <v>3</v>
      </c>
      <c r="AT20" s="160">
        <f t="shared" si="17"/>
        <v>3</v>
      </c>
      <c r="AU20" s="160">
        <f t="shared" si="18"/>
        <v>7</v>
      </c>
      <c r="AV20" s="102"/>
      <c r="AW20" s="102"/>
      <c r="AX20" s="102"/>
      <c r="AY20" s="102"/>
    </row>
    <row r="21" spans="1:51" ht="13.5" customHeight="1">
      <c r="A21" s="102"/>
      <c r="B21" s="114"/>
      <c r="C21" s="176">
        <v>16</v>
      </c>
      <c r="D21" s="175" t="s">
        <v>290</v>
      </c>
      <c r="E21" s="175" t="s">
        <v>269</v>
      </c>
      <c r="F21" s="177" t="str">
        <f>IF($E21&lt;&gt;"",IF($AJ21&lt;&gt;"",IF(AND($L21=T_Journey,VLOOKUP($AJ21,DBPlayers,2,0)&lt;12),T_Error&amp;"7",IF("Journeymen not available"=0,T_Error&amp;"8",IF(COUNTIF($E$6:$E21,$E21)-$AQ21&gt;VLOOKUP($AJ21,DBPlayers,2,0),T_Error&amp;"2",IF(L21=T_MNG,0,COUNTIF($E$6:$E21,$E21)-$AQ21)&amp;"/"&amp;(VLOOKUP($AJ21,DBPlayers,2,0))))),T_Error&amp;"1"),"")</f>
        <v>4/4</v>
      </c>
      <c r="G21" s="178">
        <f t="shared" si="0"/>
        <v>6</v>
      </c>
      <c r="H21" s="178">
        <f t="shared" si="1"/>
        <v>3</v>
      </c>
      <c r="I21" s="178">
        <f t="shared" si="2"/>
        <v>3</v>
      </c>
      <c r="J21" s="178">
        <f t="shared" si="3"/>
        <v>7</v>
      </c>
      <c r="K21" s="179" t="str">
        <f t="shared" ca="1" si="4"/>
        <v>Dodge, Block</v>
      </c>
      <c r="L21" s="180"/>
      <c r="M21" s="181"/>
      <c r="N21" s="182"/>
      <c r="O21" s="182"/>
      <c r="P21" s="182"/>
      <c r="Q21" s="182">
        <v>1</v>
      </c>
      <c r="R21" s="183">
        <f t="shared" si="5"/>
        <v>5</v>
      </c>
      <c r="S21" s="184">
        <f t="shared" si="19"/>
        <v>90000</v>
      </c>
      <c r="T21" s="117"/>
      <c r="U21" s="152" t="str">
        <f t="shared" si="6"/>
        <v>G S</v>
      </c>
      <c r="V21" s="152" t="str">
        <f t="shared" si="7"/>
        <v>A P</v>
      </c>
      <c r="W21" s="153">
        <f t="shared" si="8"/>
        <v>0</v>
      </c>
      <c r="X21" s="121"/>
      <c r="Y21" s="154"/>
      <c r="Z21" s="154"/>
      <c r="AA21" s="154"/>
      <c r="AB21" s="154"/>
      <c r="AC21" s="154"/>
      <c r="AD21" s="185"/>
      <c r="AE21" s="186"/>
      <c r="AF21" s="154"/>
      <c r="AG21" s="185"/>
      <c r="AH21" s="120"/>
      <c r="AI21" s="123">
        <v>16</v>
      </c>
      <c r="AJ21" s="159" t="str">
        <f t="shared" si="9"/>
        <v>Amazon4</v>
      </c>
      <c r="AK21" s="159">
        <f t="shared" si="20"/>
        <v>0</v>
      </c>
      <c r="AL21" s="159">
        <f t="shared" si="10"/>
        <v>0</v>
      </c>
      <c r="AM21" s="159">
        <f t="shared" si="11"/>
        <v>0</v>
      </c>
      <c r="AN21" s="159">
        <f t="shared" si="12"/>
        <v>0</v>
      </c>
      <c r="AO21" s="159">
        <f t="shared" si="13"/>
        <v>0</v>
      </c>
      <c r="AP21" s="159">
        <f t="shared" si="14"/>
        <v>0</v>
      </c>
      <c r="AQ21" s="159">
        <f t="array" ref="AQ21">IF(ISERROR($AJ21),0,IF($AJ21="","",SUM(IF($AJ21=$AJ$6:$AJ21,IF($L$6:$L21=T_MNG,1,0),0))))</f>
        <v>0</v>
      </c>
      <c r="AR21" s="160">
        <f t="shared" si="15"/>
        <v>6</v>
      </c>
      <c r="AS21" s="160">
        <f t="shared" si="16"/>
        <v>3</v>
      </c>
      <c r="AT21" s="160">
        <f t="shared" si="17"/>
        <v>3</v>
      </c>
      <c r="AU21" s="160">
        <f t="shared" si="18"/>
        <v>7</v>
      </c>
      <c r="AV21" s="102"/>
      <c r="AW21" s="102"/>
      <c r="AX21" s="102"/>
      <c r="AY21" s="102"/>
    </row>
    <row r="22" spans="1:51" ht="18" customHeight="1">
      <c r="A22" s="102"/>
      <c r="B22" s="114"/>
      <c r="C22" s="187"/>
      <c r="D22" s="188"/>
      <c r="E22" s="189" t="s">
        <v>186</v>
      </c>
      <c r="F22" s="190" t="str">
        <f>COUNTIF(S6:S21,"&gt;0")&amp;"/16"</f>
        <v>12/16</v>
      </c>
      <c r="G22" s="191"/>
      <c r="H22" s="192" t="str">
        <f>IF(AND(AQ22&gt;0,AQ22+AM22&gt;11),T_Error8,IF(AM22&lt;11,AQ22&amp;" / "&amp;11-AM22&amp;" "&amp;T_AllowedJourney,""))</f>
        <v/>
      </c>
      <c r="I22" s="190"/>
      <c r="J22" s="190"/>
      <c r="K22" s="193"/>
      <c r="L22" s="189" t="s">
        <v>187</v>
      </c>
      <c r="M22" s="190">
        <f t="shared" ref="M22:Q22" si="21">SUMIF($R$6:$R$21,"&gt;=0",M$6:M$21)</f>
        <v>3</v>
      </c>
      <c r="N22" s="190">
        <f t="shared" si="21"/>
        <v>1</v>
      </c>
      <c r="O22" s="190">
        <f t="shared" si="21"/>
        <v>0</v>
      </c>
      <c r="P22" s="190">
        <f t="shared" si="21"/>
        <v>3</v>
      </c>
      <c r="Q22" s="190">
        <f t="shared" si="21"/>
        <v>2</v>
      </c>
      <c r="R22" s="190">
        <f t="shared" ref="R22:S22" si="22">SUM(R6:R21)</f>
        <v>22</v>
      </c>
      <c r="S22" s="194">
        <f t="shared" si="22"/>
        <v>860000</v>
      </c>
      <c r="T22" s="117"/>
      <c r="U22" s="195"/>
      <c r="V22" s="196"/>
      <c r="W22" s="197"/>
      <c r="X22" s="198"/>
      <c r="Y22" s="198"/>
      <c r="Z22" s="198"/>
      <c r="AA22" s="198"/>
      <c r="AB22" s="198"/>
      <c r="AC22" s="198"/>
      <c r="AD22" s="198"/>
      <c r="AE22" s="198"/>
      <c r="AF22" s="198"/>
      <c r="AG22" s="198"/>
      <c r="AH22" s="102"/>
      <c r="AI22" s="123"/>
      <c r="AJ22" s="102"/>
      <c r="AK22" s="102"/>
      <c r="AL22" s="199" t="s">
        <v>188</v>
      </c>
      <c r="AM22" s="200">
        <f>COUNTIF($S$6:$S$21,"&gt;0")-$AQ$22</f>
        <v>12</v>
      </c>
      <c r="AN22" s="123"/>
      <c r="AO22" s="123"/>
      <c r="AP22" s="199" t="s">
        <v>189</v>
      </c>
      <c r="AQ22" s="159">
        <f t="array" ref="AQ22">SUM(IF(L6:L21=T_Journey,IF(S6:S21&lt;&gt;"",1,0),0))</f>
        <v>0</v>
      </c>
      <c r="AR22" s="105"/>
      <c r="AS22" s="105"/>
      <c r="AT22" s="105"/>
      <c r="AU22" s="105"/>
      <c r="AV22" s="102"/>
      <c r="AW22" s="102"/>
      <c r="AX22" s="102"/>
      <c r="AY22" s="102"/>
    </row>
    <row r="23" spans="1:51" ht="3" customHeight="1">
      <c r="A23" s="102"/>
      <c r="B23" s="107"/>
      <c r="C23" s="108"/>
      <c r="D23" s="109"/>
      <c r="E23" s="109"/>
      <c r="F23" s="110"/>
      <c r="G23" s="108"/>
      <c r="H23" s="108"/>
      <c r="I23" s="108"/>
      <c r="J23" s="108"/>
      <c r="K23" s="109"/>
      <c r="L23" s="109"/>
      <c r="M23" s="109"/>
      <c r="N23" s="109"/>
      <c r="O23" s="109"/>
      <c r="P23" s="109"/>
      <c r="Q23" s="109"/>
      <c r="R23" s="109"/>
      <c r="S23" s="201"/>
      <c r="T23" s="111"/>
      <c r="U23" s="121"/>
      <c r="V23" s="202"/>
      <c r="W23" s="121"/>
      <c r="X23" s="121"/>
      <c r="Y23" s="102"/>
      <c r="Z23" s="113"/>
      <c r="AA23" s="113"/>
      <c r="AB23" s="102"/>
      <c r="AC23" s="102"/>
      <c r="AD23" s="102"/>
      <c r="AE23" s="102"/>
      <c r="AF23" s="102"/>
      <c r="AG23" s="102"/>
      <c r="AH23" s="102"/>
      <c r="AI23" s="123"/>
      <c r="AJ23" s="123"/>
      <c r="AK23" s="123"/>
      <c r="AL23" s="123"/>
      <c r="AM23" s="123"/>
      <c r="AN23" s="123"/>
      <c r="AO23" s="123"/>
      <c r="AP23" s="123"/>
      <c r="AQ23" s="123"/>
      <c r="AR23" s="105"/>
      <c r="AS23" s="105"/>
      <c r="AT23" s="105"/>
      <c r="AU23" s="105"/>
      <c r="AV23" s="102"/>
      <c r="AW23" s="102"/>
      <c r="AX23" s="102"/>
      <c r="AY23" s="102"/>
    </row>
    <row r="24" spans="1:51" ht="13.5" customHeight="1">
      <c r="A24" s="102"/>
      <c r="B24" s="114"/>
      <c r="C24" s="203"/>
      <c r="D24" s="351" t="s">
        <v>190</v>
      </c>
      <c r="E24" s="316"/>
      <c r="F24" s="127" t="s">
        <v>142</v>
      </c>
      <c r="G24" s="127" t="str">
        <f>T_MA</f>
        <v>MA</v>
      </c>
      <c r="H24" s="127" t="str">
        <f>T_ST</f>
        <v>ST</v>
      </c>
      <c r="I24" s="127" t="str">
        <f>T_AG</f>
        <v>AG</v>
      </c>
      <c r="J24" s="127" t="str">
        <f>T_AV</f>
        <v>AV</v>
      </c>
      <c r="K24" s="348" t="s">
        <v>191</v>
      </c>
      <c r="L24" s="316"/>
      <c r="M24" s="316"/>
      <c r="N24" s="316"/>
      <c r="O24" s="316"/>
      <c r="P24" s="316"/>
      <c r="Q24" s="316"/>
      <c r="R24" s="316"/>
      <c r="S24" s="204"/>
      <c r="T24" s="117"/>
      <c r="U24" s="133" t="s">
        <v>146</v>
      </c>
      <c r="V24" s="341" t="s">
        <v>192</v>
      </c>
      <c r="W24" s="316"/>
      <c r="X24" s="121"/>
      <c r="Y24" s="113"/>
      <c r="Z24" s="102"/>
      <c r="AA24" s="102"/>
      <c r="AB24" s="102"/>
      <c r="AC24" s="102"/>
      <c r="AD24" s="102"/>
      <c r="AE24" s="102"/>
      <c r="AF24" s="102"/>
      <c r="AG24" s="102"/>
      <c r="AH24" s="102"/>
      <c r="AI24" s="123"/>
      <c r="AJ24" s="123"/>
      <c r="AK24" s="123"/>
      <c r="AL24" s="123"/>
      <c r="AM24" s="123"/>
      <c r="AN24" s="123"/>
      <c r="AO24" s="123"/>
      <c r="AP24" s="141"/>
      <c r="AQ24" s="141" t="s">
        <v>160</v>
      </c>
      <c r="AR24" s="105"/>
      <c r="AS24" s="105"/>
      <c r="AT24" s="105"/>
      <c r="AU24" s="105"/>
      <c r="AV24" s="102"/>
      <c r="AW24" s="102"/>
      <c r="AX24" s="102"/>
      <c r="AY24" s="102"/>
    </row>
    <row r="25" spans="1:51" ht="13.5" customHeight="1">
      <c r="A25" s="102"/>
      <c r="B25" s="114"/>
      <c r="C25" s="115"/>
      <c r="D25" s="346"/>
      <c r="E25" s="316"/>
      <c r="F25" s="205" t="str">
        <f>IF($D25="","",IF($AJ25="",T_Error&amp;"1",IF(COUNTIF($D$25:$D25,"&lt;&gt;")&gt;$R$31,T_Error&amp;"3",IF(ISERROR(FIND(T_Merc,$D25)),IF(COUNTIF($D$25:$D25,D25)&gt;1,T_Error&amp;"4",IF(COUNTIF($AJ$25:$AJ25,"=Star")&gt;2,T_Error&amp;"5",IF(AND($D25=Brick,$F$31&lt;&gt;"1/1"),T_Error&amp;"6","1/1"))),IF(COUNTIF($AJ$6:$AJ25,$AJ25)-$AQ25&gt;VLOOKUP($AJ25,DBPlayers,2,0)+VLOOKUP($AJ25,$AL$58:$AM$67,2,0),T_Error&amp;"2",COUNTIF($AJ$6:$AJ25,$AJ25)-$AQ25&amp;"/"&amp;(VLOOKUP($AJ25,DBPlayers,2,0)))))))</f>
        <v/>
      </c>
      <c r="G25" s="205" t="str">
        <f t="shared" ref="G25:G30" si="23">IF(OR(LEFT($F25,LEN(T_Error))=T_Error,$D25=""),"",IF(ISERROR(FIND(T_Merc,$D25)),VLOOKUP($D25,DBStars,2,0),VLOOKUP($AJ25,DBPlayers,4,0)))</f>
        <v/>
      </c>
      <c r="H25" s="205" t="str">
        <f t="shared" ref="H25:H30" si="24">IF(OR(LEFT($F25,LEN(T_Error))=T_Error,$D25=""),"",IF(ISERROR(FIND(T_Merc,$D25)),VLOOKUP($D25,DBStars,3,0),VLOOKUP($AJ25,DBPlayers,5,0)))</f>
        <v/>
      </c>
      <c r="I25" s="205" t="str">
        <f t="shared" ref="I25:I30" si="25">IF(OR(LEFT($F25,LEN(T_Error))=T_Error,$D25=""),"",IF(ISERROR(FIND(T_Merc,$D25)),VLOOKUP($D25,DBStars,4,0),VLOOKUP($AJ25,DBPlayers,6,0)))</f>
        <v/>
      </c>
      <c r="J25" s="205" t="str">
        <f t="shared" ref="J25:J30" si="26">IF(OR(LEFT($F25,LEN(T_Error))=T_Error,$D25=""),"",IF(ISERROR(FIND(T_Merc,$D25)),VLOOKUP($D25,DBStars,5,0),VLOOKUP($AJ25,DBPlayers,7,0)))</f>
        <v/>
      </c>
      <c r="K25" s="347" t="str">
        <f t="shared" ref="K25:K30" ca="1" si="27">IF($D25="","",IF(LEFT($F25,LEN(T_Error))=T_Error,INDIRECT("T_Error"&amp;RIGHT($F25,1)),IF(ISERROR(FIND(T_Merc,$D25)),VLOOKUP($D25,DBStars,6,0),T_Loner&amp;", "&amp;VLOOKUP($AJ25,DBPlayers,8,0)&amp;IF($V25="","",", "&amp;$V25))))</f>
        <v/>
      </c>
      <c r="L25" s="316"/>
      <c r="M25" s="316"/>
      <c r="N25" s="316"/>
      <c r="O25" s="316"/>
      <c r="P25" s="316"/>
      <c r="Q25" s="316"/>
      <c r="R25" s="316"/>
      <c r="S25" s="206" t="str">
        <f t="shared" ref="S25:S30" si="28">IF(OR(LEFT($F25,LEN(T_Error))=T_Error,$D25=""),"",IF(ISERROR(FIND(T_Merc,$D25)),VLOOKUP($D25,DBStars,7,0),VLOOKUP($AJ25,DBPlayers,11,0)+30000+IF(V25&lt;&gt;"",50000,0)))</f>
        <v/>
      </c>
      <c r="T25" s="117"/>
      <c r="U25" s="207" t="str">
        <f t="shared" ref="U25:U30" si="29">IF(OR(LEFT($F25,LEN(T_Error))=T_Error,$D25=""),"",IF(ISERROR(FIND("Mercenary",$D25)),"none",VLOOKUP($AJ25,DBPlayers,9,0)))</f>
        <v/>
      </c>
      <c r="V25" s="334"/>
      <c r="W25" s="316"/>
      <c r="X25" s="121"/>
      <c r="Y25" s="102"/>
      <c r="Z25" s="102"/>
      <c r="AA25" s="102"/>
      <c r="AB25" s="102"/>
      <c r="AC25" s="102"/>
      <c r="AD25" s="102"/>
      <c r="AE25" s="102"/>
      <c r="AF25" s="102"/>
      <c r="AG25" s="102"/>
      <c r="AH25" s="102"/>
      <c r="AI25" s="199" t="s">
        <v>193</v>
      </c>
      <c r="AJ25" s="159" t="str">
        <f t="shared" ref="AJ25:AJ30" si="30">IF(ISERROR(VLOOKUP(MID($D25,1,LEN($D25)-LEN(" Mercenary")),$AJ$58:$AL$67,3,0)),IF(ISERROR(VLOOKUP(D25,AK48:AK57,1,0)),"","Star"),VLOOKUP(MID($D25,1,LEN($D25)-LEN(" Mercenary")),$AJ$58:$AL$67,3,0))</f>
        <v/>
      </c>
      <c r="AK25" s="123"/>
      <c r="AL25" s="123"/>
      <c r="AM25" s="123"/>
      <c r="AN25" s="123"/>
      <c r="AO25" s="123"/>
      <c r="AP25" s="123"/>
      <c r="AQ25" s="159" t="str">
        <f t="array" ref="AQ25">IF($AJ25&lt;&gt;"",SUM(IF($AJ25=$AJ$6:$AJ25,IF($L$6:$L25=T_MNG,1,0),0)),"")</f>
        <v/>
      </c>
      <c r="AR25" s="105"/>
      <c r="AS25" s="105"/>
      <c r="AT25" s="105"/>
      <c r="AU25" s="105"/>
      <c r="AV25" s="102"/>
      <c r="AW25" s="102"/>
      <c r="AX25" s="102"/>
      <c r="AY25" s="102"/>
    </row>
    <row r="26" spans="1:51" ht="13.5" customHeight="1">
      <c r="A26" s="102"/>
      <c r="B26" s="114"/>
      <c r="C26" s="208"/>
      <c r="D26" s="346"/>
      <c r="E26" s="316"/>
      <c r="F26" s="205" t="str">
        <f>IF($D26="","",IF($AJ26="",T_Error&amp;"1",IF(COUNTIF($D$25:$D26,"&lt;&gt;")&gt;$R$31,T_Error&amp;"3",IF(ISERROR(FIND(T_Merc,$D26)),IF(COUNTIF($D$25:$D26,D26)&gt;1,T_Error&amp;"4",IF(COUNTIF($AJ$25:$AJ26,"=Star")&gt;2,T_Error&amp;"5",IF(AND($D26=Brick,$F$31&lt;&gt;"1/1"),T_Error&amp;"6","1/1"))),IF(COUNTIF($AJ$6:$AJ26,$AJ26)-$AQ26&gt;VLOOKUP($AJ26,DBPlayers,2,0)+VLOOKUP($AJ26,$AL$58:$AM$67,2,0),T_Error&amp;"2",COUNTIF($AJ$6:$AJ26,$AJ26)-$AQ26&amp;"/"&amp;(VLOOKUP($AJ26,DBPlayers,2,0)))))))</f>
        <v/>
      </c>
      <c r="G26" s="205" t="str">
        <f t="shared" si="23"/>
        <v/>
      </c>
      <c r="H26" s="205" t="str">
        <f t="shared" si="24"/>
        <v/>
      </c>
      <c r="I26" s="205" t="str">
        <f t="shared" si="25"/>
        <v/>
      </c>
      <c r="J26" s="205" t="str">
        <f t="shared" si="26"/>
        <v/>
      </c>
      <c r="K26" s="347" t="str">
        <f t="shared" ca="1" si="27"/>
        <v/>
      </c>
      <c r="L26" s="316"/>
      <c r="M26" s="316"/>
      <c r="N26" s="316"/>
      <c r="O26" s="316"/>
      <c r="P26" s="316"/>
      <c r="Q26" s="316"/>
      <c r="R26" s="316"/>
      <c r="S26" s="206" t="str">
        <f t="shared" si="28"/>
        <v/>
      </c>
      <c r="T26" s="117"/>
      <c r="U26" s="207" t="str">
        <f t="shared" si="29"/>
        <v/>
      </c>
      <c r="V26" s="334"/>
      <c r="W26" s="316"/>
      <c r="X26" s="121"/>
      <c r="Y26" s="102"/>
      <c r="Z26" s="102"/>
      <c r="AA26" s="102"/>
      <c r="AB26" s="102"/>
      <c r="AC26" s="102"/>
      <c r="AD26" s="102"/>
      <c r="AE26" s="102"/>
      <c r="AF26" s="102"/>
      <c r="AG26" s="102"/>
      <c r="AH26" s="102"/>
      <c r="AI26" s="199" t="s">
        <v>194</v>
      </c>
      <c r="AJ26" s="159" t="str">
        <f t="shared" si="30"/>
        <v/>
      </c>
      <c r="AK26" s="123"/>
      <c r="AL26" s="123"/>
      <c r="AM26" s="123"/>
      <c r="AN26" s="123"/>
      <c r="AO26" s="123"/>
      <c r="AP26" s="123"/>
      <c r="AQ26" s="159" t="str">
        <f t="array" ref="AQ26">IF($AJ26&lt;&gt;"",SUM(IF($AJ26=$AJ$6:$AJ26,IF($L$6:$L26=T_MNG,1,0),0)),"")</f>
        <v/>
      </c>
      <c r="AR26" s="105"/>
      <c r="AS26" s="105"/>
      <c r="AT26" s="105"/>
      <c r="AU26" s="105"/>
      <c r="AV26" s="102"/>
      <c r="AW26" s="102"/>
      <c r="AX26" s="102"/>
      <c r="AY26" s="102"/>
    </row>
    <row r="27" spans="1:51" ht="13.5" customHeight="1">
      <c r="A27" s="102"/>
      <c r="B27" s="114"/>
      <c r="C27" s="208"/>
      <c r="D27" s="346"/>
      <c r="E27" s="316"/>
      <c r="F27" s="205" t="str">
        <f>IF($D27="","",IF($AJ27="",T_Error&amp;"1",IF(COUNTIF($D$25:$D27,"&lt;&gt;")&gt;$R$31,T_Error&amp;"3",IF(ISERROR(FIND(T_Merc,$D27)),IF(COUNTIF($D$25:$D27,D27)&gt;1,T_Error&amp;"4",IF(COUNTIF($AJ$25:$AJ27,"=Star")&gt;2,T_Error&amp;"5",IF(AND($D27=Brick,$F$31&lt;&gt;"1/1"),T_Error&amp;"6","1/1"))),IF(COUNTIF($AJ$6:$AJ27,$AJ27)-$AQ27&gt;VLOOKUP($AJ27,DBPlayers,2,0)+VLOOKUP($AJ27,$AL$58:$AM$67,2,0),T_Error&amp;"2",COUNTIF($AJ$6:$AJ27,$AJ27)-$AQ27&amp;"/"&amp;(VLOOKUP($AJ27,DBPlayers,2,0)))))))</f>
        <v/>
      </c>
      <c r="G27" s="205" t="str">
        <f t="shared" si="23"/>
        <v/>
      </c>
      <c r="H27" s="205" t="str">
        <f t="shared" si="24"/>
        <v/>
      </c>
      <c r="I27" s="205" t="str">
        <f t="shared" si="25"/>
        <v/>
      </c>
      <c r="J27" s="205" t="str">
        <f t="shared" si="26"/>
        <v/>
      </c>
      <c r="K27" s="347" t="str">
        <f t="shared" ca="1" si="27"/>
        <v/>
      </c>
      <c r="L27" s="316"/>
      <c r="M27" s="316"/>
      <c r="N27" s="316"/>
      <c r="O27" s="316"/>
      <c r="P27" s="316"/>
      <c r="Q27" s="316"/>
      <c r="R27" s="316"/>
      <c r="S27" s="206" t="str">
        <f t="shared" si="28"/>
        <v/>
      </c>
      <c r="T27" s="117"/>
      <c r="U27" s="207" t="str">
        <f t="shared" si="29"/>
        <v/>
      </c>
      <c r="V27" s="334"/>
      <c r="W27" s="316"/>
      <c r="X27" s="121"/>
      <c r="Y27" s="102"/>
      <c r="Z27" s="102"/>
      <c r="AA27" s="102"/>
      <c r="AB27" s="102"/>
      <c r="AC27" s="102"/>
      <c r="AD27" s="102"/>
      <c r="AE27" s="102"/>
      <c r="AF27" s="102"/>
      <c r="AG27" s="102"/>
      <c r="AH27" s="102"/>
      <c r="AI27" s="199" t="s">
        <v>195</v>
      </c>
      <c r="AJ27" s="159" t="str">
        <f t="shared" si="30"/>
        <v/>
      </c>
      <c r="AK27" s="123"/>
      <c r="AL27" s="123"/>
      <c r="AM27" s="123"/>
      <c r="AN27" s="123"/>
      <c r="AO27" s="123"/>
      <c r="AP27" s="123"/>
      <c r="AQ27" s="159" t="str">
        <f t="array" ref="AQ27">IF($AJ27&lt;&gt;"",SUM(IF($AJ27=$AJ$6:$AJ27,IF($L$6:$L27=T_MNG,1,0),0)),"")</f>
        <v/>
      </c>
      <c r="AR27" s="105"/>
      <c r="AS27" s="105"/>
      <c r="AT27" s="105"/>
      <c r="AU27" s="105"/>
      <c r="AV27" s="102"/>
      <c r="AW27" s="102"/>
      <c r="AX27" s="102"/>
      <c r="AY27" s="102"/>
    </row>
    <row r="28" spans="1:51" ht="13.5" customHeight="1">
      <c r="A28" s="102"/>
      <c r="B28" s="114"/>
      <c r="C28" s="187"/>
      <c r="D28" s="346"/>
      <c r="E28" s="316"/>
      <c r="F28" s="205" t="str">
        <f>IF($D28="","",IF($AJ28="",T_Error&amp;"1",IF(COUNTIF($D$25:$D28,"&lt;&gt;")&gt;$R$31,T_Error&amp;"3",IF(ISERROR(FIND(T_Merc,$D28)),IF(COUNTIF($D$25:$D28,D28)&gt;1,T_Error&amp;"4",IF(COUNTIF($AJ$25:$AJ28,"=Star")&gt;2,T_Error&amp;"5",IF(AND($D28=Brick,$F$31&lt;&gt;"1/1"),T_Error&amp;"6","1/1"))),IF(COUNTIF($AJ$6:$AJ28,$AJ28)-$AQ28&gt;VLOOKUP($AJ28,DBPlayers,2,0)+VLOOKUP($AJ28,$AL$58:$AM$67,2,0),T_Error&amp;"2",COUNTIF($AJ$6:$AJ28,$AJ28)-$AQ28&amp;"/"&amp;(VLOOKUP($AJ28,DBPlayers,2,0)))))))</f>
        <v/>
      </c>
      <c r="G28" s="205" t="str">
        <f t="shared" si="23"/>
        <v/>
      </c>
      <c r="H28" s="205" t="str">
        <f t="shared" si="24"/>
        <v/>
      </c>
      <c r="I28" s="205" t="str">
        <f t="shared" si="25"/>
        <v/>
      </c>
      <c r="J28" s="205" t="str">
        <f t="shared" si="26"/>
        <v/>
      </c>
      <c r="K28" s="347" t="str">
        <f t="shared" ca="1" si="27"/>
        <v/>
      </c>
      <c r="L28" s="316"/>
      <c r="M28" s="316"/>
      <c r="N28" s="316"/>
      <c r="O28" s="316"/>
      <c r="P28" s="316"/>
      <c r="Q28" s="316"/>
      <c r="R28" s="316"/>
      <c r="S28" s="206" t="str">
        <f t="shared" si="28"/>
        <v/>
      </c>
      <c r="T28" s="117"/>
      <c r="U28" s="207" t="str">
        <f t="shared" si="29"/>
        <v/>
      </c>
      <c r="V28" s="334"/>
      <c r="W28" s="316"/>
      <c r="X28" s="121"/>
      <c r="Y28" s="102"/>
      <c r="Z28" s="102"/>
      <c r="AA28" s="102"/>
      <c r="AB28" s="102"/>
      <c r="AC28" s="102"/>
      <c r="AD28" s="102"/>
      <c r="AE28" s="102"/>
      <c r="AF28" s="102"/>
      <c r="AG28" s="102"/>
      <c r="AH28" s="102"/>
      <c r="AI28" s="199" t="s">
        <v>196</v>
      </c>
      <c r="AJ28" s="159" t="str">
        <f t="shared" si="30"/>
        <v/>
      </c>
      <c r="AK28" s="123"/>
      <c r="AL28" s="123"/>
      <c r="AM28" s="123"/>
      <c r="AN28" s="123"/>
      <c r="AO28" s="123"/>
      <c r="AP28" s="123"/>
      <c r="AQ28" s="159" t="str">
        <f t="array" ref="AQ28">IF($AJ28&lt;&gt;"",SUM(IF($AJ28=$AJ$6:$AJ28,IF($L$6:$L28=T_MNG,1,0),0)),"")</f>
        <v/>
      </c>
      <c r="AR28" s="105"/>
      <c r="AS28" s="105"/>
      <c r="AT28" s="105"/>
      <c r="AU28" s="105"/>
      <c r="AV28" s="102"/>
      <c r="AW28" s="102"/>
      <c r="AX28" s="102"/>
      <c r="AY28" s="102"/>
    </row>
    <row r="29" spans="1:51" ht="13.5" customHeight="1">
      <c r="A29" s="102"/>
      <c r="B29" s="114"/>
      <c r="C29" s="190"/>
      <c r="D29" s="346"/>
      <c r="E29" s="316"/>
      <c r="F29" s="205" t="str">
        <f>IF($D29="","",IF($AJ29="",T_Error&amp;"1",IF(COUNTIF($D$25:$D29,"&lt;&gt;")&gt;$R$31,T_Error&amp;"3",IF(ISERROR(FIND(T_Merc,$D29)),IF(COUNTIF($D$25:$D29,D29)&gt;1,T_Error&amp;"4",IF(COUNTIF($AJ$25:$AJ29,"=Star")&gt;2,T_Error&amp;"5",IF(AND($D29=Brick,$F$31&lt;&gt;"1/1"),T_Error&amp;"6","1/1"))),IF(COUNTIF($AJ$6:$AJ29,$AJ29)-$AQ29&gt;VLOOKUP($AJ29,DBPlayers,2,0)+VLOOKUP($AJ29,$AL$58:$AM$67,2,0),T_Error&amp;"2",COUNTIF($AJ$6:$AJ29,$AJ29)-$AQ29&amp;"/"&amp;(VLOOKUP($AJ29,DBPlayers,2,0)))))))</f>
        <v/>
      </c>
      <c r="G29" s="205" t="str">
        <f t="shared" si="23"/>
        <v/>
      </c>
      <c r="H29" s="205" t="str">
        <f t="shared" si="24"/>
        <v/>
      </c>
      <c r="I29" s="205" t="str">
        <f t="shared" si="25"/>
        <v/>
      </c>
      <c r="J29" s="205" t="str">
        <f t="shared" si="26"/>
        <v/>
      </c>
      <c r="K29" s="347" t="str">
        <f t="shared" ca="1" si="27"/>
        <v/>
      </c>
      <c r="L29" s="316"/>
      <c r="M29" s="316"/>
      <c r="N29" s="316"/>
      <c r="O29" s="316"/>
      <c r="P29" s="316"/>
      <c r="Q29" s="316"/>
      <c r="R29" s="316"/>
      <c r="S29" s="206" t="str">
        <f t="shared" si="28"/>
        <v/>
      </c>
      <c r="T29" s="117"/>
      <c r="U29" s="207" t="str">
        <f t="shared" si="29"/>
        <v/>
      </c>
      <c r="V29" s="334"/>
      <c r="W29" s="316"/>
      <c r="X29" s="121"/>
      <c r="Y29" s="102"/>
      <c r="Z29" s="102"/>
      <c r="AA29" s="102"/>
      <c r="AB29" s="102"/>
      <c r="AC29" s="102"/>
      <c r="AD29" s="102"/>
      <c r="AE29" s="102"/>
      <c r="AF29" s="102"/>
      <c r="AG29" s="102"/>
      <c r="AH29" s="102"/>
      <c r="AI29" s="199" t="s">
        <v>197</v>
      </c>
      <c r="AJ29" s="159" t="str">
        <f t="shared" si="30"/>
        <v/>
      </c>
      <c r="AK29" s="123"/>
      <c r="AL29" s="123"/>
      <c r="AM29" s="123"/>
      <c r="AN29" s="123"/>
      <c r="AO29" s="123"/>
      <c r="AP29" s="123"/>
      <c r="AQ29" s="159" t="str">
        <f t="array" ref="AQ29">IF($AJ29&lt;&gt;"",SUM(IF($AJ29=$AJ$6:$AJ29,IF($L$6:$L29=T_MNG,1,0),0)),"")</f>
        <v/>
      </c>
      <c r="AR29" s="105"/>
      <c r="AS29" s="105"/>
      <c r="AT29" s="105"/>
      <c r="AU29" s="105"/>
      <c r="AV29" s="102"/>
      <c r="AW29" s="102"/>
      <c r="AX29" s="102"/>
      <c r="AY29" s="102"/>
    </row>
    <row r="30" spans="1:51" ht="13.5" customHeight="1">
      <c r="A30" s="102"/>
      <c r="B30" s="114"/>
      <c r="C30" s="190"/>
      <c r="D30" s="346"/>
      <c r="E30" s="316"/>
      <c r="F30" s="205" t="str">
        <f>IF($D30="","",IF($AJ30="",T_Error&amp;"1",IF(COUNTIF($D$25:$D30,"&lt;&gt;")&gt;$R$31,T_Error&amp;"3",IF(ISERROR(FIND(T_Merc,$D30)),IF(COUNTIF($D$25:$D30,D30)&gt;1,T_Error&amp;"4",IF(COUNTIF($AJ$25:$AJ30,"=Star")&gt;2,T_Error&amp;"5",IF(AND($D30=Brick,$F$31&lt;&gt;"1/1"),T_Error&amp;"6","1/1"))),IF(COUNTIF($AJ$6:$AJ30,$AJ30)-$AQ30&gt;VLOOKUP($AJ30,DBPlayers,2,0)+VLOOKUP($AJ30,$AL$58:$AM$67,2,0),T_Error&amp;"2",COUNTIF($AJ$6:$AJ30,$AJ30)-$AQ30&amp;"/"&amp;(VLOOKUP($AJ30,DBPlayers,2,0)))))))</f>
        <v/>
      </c>
      <c r="G30" s="205" t="str">
        <f t="shared" si="23"/>
        <v/>
      </c>
      <c r="H30" s="205" t="str">
        <f t="shared" si="24"/>
        <v/>
      </c>
      <c r="I30" s="205" t="str">
        <f t="shared" si="25"/>
        <v/>
      </c>
      <c r="J30" s="205" t="str">
        <f t="shared" si="26"/>
        <v/>
      </c>
      <c r="K30" s="347" t="str">
        <f t="shared" ca="1" si="27"/>
        <v/>
      </c>
      <c r="L30" s="316"/>
      <c r="M30" s="316"/>
      <c r="N30" s="316"/>
      <c r="O30" s="316"/>
      <c r="P30" s="316"/>
      <c r="Q30" s="316"/>
      <c r="R30" s="316"/>
      <c r="S30" s="206" t="str">
        <f t="shared" si="28"/>
        <v/>
      </c>
      <c r="T30" s="117"/>
      <c r="U30" s="207" t="str">
        <f t="shared" si="29"/>
        <v/>
      </c>
      <c r="V30" s="334"/>
      <c r="W30" s="316"/>
      <c r="X30" s="121"/>
      <c r="Y30" s="209"/>
      <c r="Z30" s="102"/>
      <c r="AA30" s="102"/>
      <c r="AB30" s="102"/>
      <c r="AC30" s="102"/>
      <c r="AD30" s="102"/>
      <c r="AE30" s="102"/>
      <c r="AF30" s="102"/>
      <c r="AG30" s="102"/>
      <c r="AH30" s="102"/>
      <c r="AI30" s="199" t="s">
        <v>198</v>
      </c>
      <c r="AJ30" s="159" t="str">
        <f t="shared" si="30"/>
        <v/>
      </c>
      <c r="AK30" s="123"/>
      <c r="AL30" s="123"/>
      <c r="AM30" s="123"/>
      <c r="AN30" s="123"/>
      <c r="AO30" s="123"/>
      <c r="AP30" s="123"/>
      <c r="AQ30" s="159" t="str">
        <f t="array" ref="AQ30">IF($AJ30&lt;&gt;"",SUM(IF($AJ30=$AJ$6:$AJ30,IF($L$6:$L30=T_MNG,1,0),0)),"")</f>
        <v/>
      </c>
      <c r="AR30" s="105"/>
      <c r="AS30" s="105"/>
      <c r="AT30" s="105"/>
      <c r="AU30" s="105"/>
      <c r="AV30" s="102"/>
      <c r="AW30" s="102"/>
      <c r="AX30" s="102"/>
      <c r="AY30" s="102"/>
    </row>
    <row r="31" spans="1:51" ht="13.5" customHeight="1">
      <c r="A31" s="102"/>
      <c r="B31" s="114"/>
      <c r="C31" s="190"/>
      <c r="D31" s="210"/>
      <c r="E31" s="210"/>
      <c r="F31" s="205" t="str">
        <f>IF($D31="","",IF(COUNTIF($D$25:$D31,"&lt;&gt;")&gt;$R$31,T_Error&amp;"3",IF(COUNTIF($AJ$25:$AJ30,"=Star")&gt;2,T_Error&amp;"5","1/1")))</f>
        <v/>
      </c>
      <c r="G31" s="205" t="str">
        <f>IF(OR(LEFT($F31,LEN(T_Error))=T_Error,$D31=""),"",VLOOKUP($D31,DBStars,2,0))</f>
        <v/>
      </c>
      <c r="H31" s="205" t="str">
        <f>IF(OR(LEFT($F31,LEN(T_Error))=T_Error,$D31=""),"",VLOOKUP($D31,DBStars,3,0))</f>
        <v/>
      </c>
      <c r="I31" s="205" t="str">
        <f>IF(OR(LEFT($F31,LEN(T_Error))=T_Error,$D31=""),"",VLOOKUP($D31,DBStars,4,0))</f>
        <v/>
      </c>
      <c r="J31" s="205" t="str">
        <f>IF(OR(LEFT($F31,LEN(T_Error))=T_Error,$D31=""),"",VLOOKUP($D31,DBStars,5,0))</f>
        <v/>
      </c>
      <c r="K31" s="193" t="str">
        <f ca="1">IF($D31="","",IF(LEFT($F31,LEN(T_Error))=T_Error,INDIRECT("T_"&amp;$F31),VLOOKUP($D31,DBStars,6,0)))</f>
        <v/>
      </c>
      <c r="L31" s="343" t="s">
        <v>199</v>
      </c>
      <c r="M31" s="316"/>
      <c r="N31" s="316"/>
      <c r="O31" s="316"/>
      <c r="P31" s="316"/>
      <c r="Q31" s="189" t="str">
        <f>COUNTIF(J25:J31,"&gt;0")&amp;" /"</f>
        <v>0 /</v>
      </c>
      <c r="R31" s="211">
        <f>16-COUNTIF(S6:S21,"&gt;0")</f>
        <v>4</v>
      </c>
      <c r="S31" s="206"/>
      <c r="T31" s="117"/>
      <c r="U31" s="207" t="str">
        <f>IF($D31="","",IF(ISERROR(FIND("Mercenary",$D31)),"",VLOOKUP($AJ31,DBPlayers,9,0)))</f>
        <v/>
      </c>
      <c r="V31" s="154"/>
      <c r="W31" s="154"/>
      <c r="X31" s="121"/>
      <c r="Y31" s="102"/>
      <c r="Z31" s="102"/>
      <c r="AA31" s="102"/>
      <c r="AB31" s="102"/>
      <c r="AC31" s="102"/>
      <c r="AD31" s="102"/>
      <c r="AE31" s="102"/>
      <c r="AF31" s="102"/>
      <c r="AG31" s="102"/>
      <c r="AH31" s="102"/>
      <c r="AI31" s="102"/>
      <c r="AJ31" s="102"/>
      <c r="AK31" s="102"/>
      <c r="AL31" s="102"/>
      <c r="AM31" s="102"/>
      <c r="AN31" s="102"/>
      <c r="AO31" s="102"/>
      <c r="AP31" s="102"/>
      <c r="AQ31" s="102"/>
      <c r="AR31" s="105"/>
      <c r="AS31" s="105"/>
      <c r="AT31" s="105"/>
      <c r="AU31" s="105"/>
      <c r="AV31" s="102"/>
      <c r="AW31" s="102"/>
      <c r="AX31" s="102"/>
      <c r="AY31" s="102"/>
    </row>
    <row r="32" spans="1:51" ht="3" customHeight="1">
      <c r="A32" s="102"/>
      <c r="B32" s="107"/>
      <c r="C32" s="108"/>
      <c r="D32" s="109"/>
      <c r="E32" s="109"/>
      <c r="F32" s="110"/>
      <c r="G32" s="108"/>
      <c r="H32" s="108"/>
      <c r="I32" s="108"/>
      <c r="J32" s="108"/>
      <c r="K32" s="109"/>
      <c r="L32" s="109"/>
      <c r="M32" s="109"/>
      <c r="N32" s="109"/>
      <c r="O32" s="109"/>
      <c r="P32" s="109"/>
      <c r="Q32" s="109"/>
      <c r="R32" s="109"/>
      <c r="S32" s="201"/>
      <c r="T32" s="111"/>
      <c r="U32" s="121"/>
      <c r="V32" s="121"/>
      <c r="W32" s="121"/>
      <c r="X32" s="121"/>
      <c r="Y32" s="102"/>
      <c r="Z32" s="102"/>
      <c r="AA32" s="102"/>
      <c r="AB32" s="102"/>
      <c r="AC32" s="102"/>
      <c r="AD32" s="102"/>
      <c r="AE32" s="102"/>
      <c r="AF32" s="102"/>
      <c r="AG32" s="102"/>
      <c r="AH32" s="102"/>
      <c r="AI32" s="102"/>
      <c r="AJ32" s="102"/>
      <c r="AK32" s="102"/>
      <c r="AL32" s="102"/>
      <c r="AM32" s="102"/>
      <c r="AN32" s="102"/>
      <c r="AO32" s="102"/>
      <c r="AP32" s="102"/>
      <c r="AQ32" s="102"/>
      <c r="AR32" s="105"/>
      <c r="AS32" s="105"/>
      <c r="AT32" s="105"/>
      <c r="AU32" s="105"/>
      <c r="AV32" s="102"/>
      <c r="AW32" s="102"/>
      <c r="AX32" s="102"/>
      <c r="AY32" s="102"/>
    </row>
    <row r="33" spans="1:51" ht="13.5" customHeight="1">
      <c r="A33" s="102"/>
      <c r="B33" s="114"/>
      <c r="C33" s="115"/>
      <c r="D33" s="345" t="s">
        <v>297</v>
      </c>
      <c r="E33" s="316"/>
      <c r="F33" s="316"/>
      <c r="G33" s="316"/>
      <c r="H33" s="316"/>
      <c r="I33" s="316"/>
      <c r="J33" s="115"/>
      <c r="K33" s="212"/>
      <c r="L33" s="345" t="s">
        <v>201</v>
      </c>
      <c r="M33" s="316"/>
      <c r="N33" s="316"/>
      <c r="O33" s="316"/>
      <c r="P33" s="316"/>
      <c r="Q33" s="316"/>
      <c r="R33" s="316"/>
      <c r="S33" s="213"/>
      <c r="T33" s="117"/>
      <c r="U33" s="102"/>
      <c r="V33" s="106"/>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5"/>
      <c r="AS33" s="105"/>
      <c r="AT33" s="105"/>
      <c r="AU33" s="105"/>
      <c r="AV33" s="102"/>
      <c r="AW33" s="102"/>
      <c r="AX33" s="102"/>
      <c r="AY33" s="102"/>
    </row>
    <row r="34" spans="1:51" ht="13.5" customHeight="1">
      <c r="A34" s="102"/>
      <c r="B34" s="114"/>
      <c r="C34" s="191"/>
      <c r="D34" s="343" t="s">
        <v>202</v>
      </c>
      <c r="E34" s="316"/>
      <c r="F34" s="116">
        <v>0</v>
      </c>
      <c r="G34" s="189" t="s">
        <v>203</v>
      </c>
      <c r="H34" s="344">
        <v>50000</v>
      </c>
      <c r="I34" s="316"/>
      <c r="J34" s="190"/>
      <c r="K34" s="191"/>
      <c r="L34" s="189" t="s">
        <v>204</v>
      </c>
      <c r="M34" s="187">
        <v>4</v>
      </c>
      <c r="N34" s="189" t="s">
        <v>203</v>
      </c>
      <c r="O34" s="352">
        <f>IF(ISERROR(VLOOKUP($E$3,Database!$B$6:$C$30,2,0)),0,VLOOKUP($E$3,Database!$B$6:$C$30,2,0))</f>
        <v>50000</v>
      </c>
      <c r="P34" s="316"/>
      <c r="Q34" s="316"/>
      <c r="R34" s="191" t="s">
        <v>205</v>
      </c>
      <c r="S34" s="194">
        <f>M34*O34</f>
        <v>200000</v>
      </c>
      <c r="T34" s="117"/>
      <c r="U34" s="214"/>
      <c r="V34" s="106"/>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5"/>
      <c r="AS34" s="105"/>
      <c r="AT34" s="105"/>
      <c r="AU34" s="105"/>
      <c r="AV34" s="102"/>
      <c r="AW34" s="102"/>
      <c r="AX34" s="102"/>
      <c r="AY34" s="102"/>
    </row>
    <row r="35" spans="1:51" ht="13.5" customHeight="1">
      <c r="A35" s="102"/>
      <c r="B35" s="114"/>
      <c r="C35" s="191"/>
      <c r="D35" s="343" t="s">
        <v>206</v>
      </c>
      <c r="E35" s="316"/>
      <c r="F35" s="116">
        <v>0</v>
      </c>
      <c r="G35" s="189" t="s">
        <v>203</v>
      </c>
      <c r="H35" s="344">
        <f>IF($E$3=Goblin,50000,100000)</f>
        <v>100000</v>
      </c>
      <c r="I35" s="316"/>
      <c r="J35" s="190"/>
      <c r="K35" s="191"/>
      <c r="L35" s="189" t="s">
        <v>207</v>
      </c>
      <c r="M35" s="187">
        <v>0</v>
      </c>
      <c r="N35" s="189" t="s">
        <v>203</v>
      </c>
      <c r="O35" s="352">
        <v>10000</v>
      </c>
      <c r="P35" s="316"/>
      <c r="Q35" s="316"/>
      <c r="R35" s="191" t="s">
        <v>205</v>
      </c>
      <c r="S35" s="194">
        <f t="shared" ref="S35:S38" si="31">O35*M35</f>
        <v>0</v>
      </c>
      <c r="T35" s="117"/>
      <c r="U35" s="11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5"/>
      <c r="AS35" s="105"/>
      <c r="AT35" s="105"/>
      <c r="AU35" s="105"/>
      <c r="AV35" s="102"/>
      <c r="AW35" s="102"/>
      <c r="AX35" s="102"/>
      <c r="AY35" s="102"/>
    </row>
    <row r="36" spans="1:51" ht="13.5" customHeight="1">
      <c r="A36" s="102"/>
      <c r="B36" s="114"/>
      <c r="C36" s="191"/>
      <c r="D36" s="343" t="s">
        <v>208</v>
      </c>
      <c r="E36" s="316"/>
      <c r="F36" s="116">
        <v>0</v>
      </c>
      <c r="G36" s="189" t="s">
        <v>203</v>
      </c>
      <c r="H36" s="344">
        <v>100000</v>
      </c>
      <c r="I36" s="316"/>
      <c r="J36" s="190"/>
      <c r="K36" s="191"/>
      <c r="L36" s="189" t="s">
        <v>209</v>
      </c>
      <c r="M36" s="187">
        <v>0</v>
      </c>
      <c r="N36" s="189" t="s">
        <v>203</v>
      </c>
      <c r="O36" s="352">
        <v>10000</v>
      </c>
      <c r="P36" s="316"/>
      <c r="Q36" s="316"/>
      <c r="R36" s="191" t="s">
        <v>205</v>
      </c>
      <c r="S36" s="194">
        <f t="shared" si="31"/>
        <v>0</v>
      </c>
      <c r="T36" s="117"/>
      <c r="U36" s="214"/>
      <c r="V36" s="106"/>
      <c r="W36" s="102"/>
      <c r="X36" s="102"/>
      <c r="Y36" s="113"/>
      <c r="Z36" s="113"/>
      <c r="AA36" s="113"/>
      <c r="AB36" s="102"/>
      <c r="AC36" s="102"/>
      <c r="AD36" s="102"/>
      <c r="AE36" s="102"/>
      <c r="AF36" s="102"/>
      <c r="AG36" s="102"/>
      <c r="AH36" s="102"/>
      <c r="AI36" s="102"/>
      <c r="AJ36" s="102"/>
      <c r="AK36" s="102"/>
      <c r="AL36" s="102"/>
      <c r="AM36" s="102"/>
      <c r="AN36" s="102"/>
      <c r="AO36" s="102"/>
      <c r="AP36" s="102"/>
      <c r="AQ36" s="102"/>
      <c r="AR36" s="105"/>
      <c r="AS36" s="105"/>
      <c r="AT36" s="105"/>
      <c r="AU36" s="105"/>
      <c r="AV36" s="102"/>
      <c r="AW36" s="102"/>
      <c r="AX36" s="102"/>
      <c r="AY36" s="102"/>
    </row>
    <row r="37" spans="1:51" ht="13.5" customHeight="1">
      <c r="A37" s="102"/>
      <c r="B37" s="114"/>
      <c r="C37" s="191"/>
      <c r="D37" s="343" t="s">
        <v>210</v>
      </c>
      <c r="E37" s="316"/>
      <c r="F37" s="116">
        <v>0</v>
      </c>
      <c r="G37" s="189" t="s">
        <v>203</v>
      </c>
      <c r="H37" s="344">
        <f>IF($E$3=Halfling,100000,300000)</f>
        <v>300000</v>
      </c>
      <c r="I37" s="316"/>
      <c r="J37" s="190"/>
      <c r="K37" s="191"/>
      <c r="L37" s="189" t="s">
        <v>211</v>
      </c>
      <c r="M37" s="187">
        <v>0</v>
      </c>
      <c r="N37" s="189" t="s">
        <v>203</v>
      </c>
      <c r="O37" s="352">
        <v>10000</v>
      </c>
      <c r="P37" s="316"/>
      <c r="Q37" s="316"/>
      <c r="R37" s="191" t="s">
        <v>205</v>
      </c>
      <c r="S37" s="194">
        <f t="shared" si="31"/>
        <v>0</v>
      </c>
      <c r="T37" s="117"/>
      <c r="U37" s="214"/>
      <c r="V37" s="215"/>
      <c r="W37" s="113"/>
      <c r="X37" s="113"/>
      <c r="Y37" s="216"/>
      <c r="Z37" s="113"/>
      <c r="AA37" s="217"/>
      <c r="AB37" s="102"/>
      <c r="AC37" s="102"/>
      <c r="AD37" s="102"/>
      <c r="AE37" s="102"/>
      <c r="AF37" s="102"/>
      <c r="AG37" s="102"/>
      <c r="AH37" s="102"/>
      <c r="AI37" s="102"/>
      <c r="AJ37" s="102"/>
      <c r="AK37" s="102"/>
      <c r="AL37" s="102"/>
      <c r="AM37" s="102"/>
      <c r="AN37" s="102"/>
      <c r="AO37" s="102"/>
      <c r="AP37" s="102"/>
      <c r="AQ37" s="102"/>
      <c r="AR37" s="105"/>
      <c r="AS37" s="105"/>
      <c r="AT37" s="105"/>
      <c r="AU37" s="105"/>
      <c r="AV37" s="102"/>
      <c r="AW37" s="102"/>
      <c r="AX37" s="102"/>
      <c r="AY37" s="102"/>
    </row>
    <row r="38" spans="1:51" ht="13.5" customHeight="1">
      <c r="A38" s="102"/>
      <c r="B38" s="114"/>
      <c r="C38" s="191"/>
      <c r="D38" s="343" t="s">
        <v>212</v>
      </c>
      <c r="E38" s="316"/>
      <c r="F38" s="116">
        <v>0</v>
      </c>
      <c r="G38" s="189" t="s">
        <v>203</v>
      </c>
      <c r="H38" s="344">
        <v>100000</v>
      </c>
      <c r="I38" s="316"/>
      <c r="J38" s="190"/>
      <c r="K38" s="191"/>
      <c r="L38" s="189" t="s">
        <v>213</v>
      </c>
      <c r="M38" s="187">
        <v>1</v>
      </c>
      <c r="N38" s="189" t="s">
        <v>203</v>
      </c>
      <c r="O38" s="352">
        <v>50000</v>
      </c>
      <c r="P38" s="316"/>
      <c r="Q38" s="316"/>
      <c r="R38" s="191" t="s">
        <v>205</v>
      </c>
      <c r="S38" s="194">
        <f t="shared" si="31"/>
        <v>50000</v>
      </c>
      <c r="T38" s="117"/>
      <c r="U38" s="214"/>
      <c r="V38" s="112"/>
      <c r="W38" s="113"/>
      <c r="X38" s="113"/>
      <c r="Y38" s="113"/>
      <c r="Z38" s="113"/>
      <c r="AA38" s="113"/>
      <c r="AB38" s="102"/>
      <c r="AC38" s="102"/>
      <c r="AD38" s="102"/>
      <c r="AE38" s="102"/>
      <c r="AF38" s="102"/>
      <c r="AG38" s="102"/>
      <c r="AH38" s="102"/>
      <c r="AI38" s="102"/>
      <c r="AJ38" s="102"/>
      <c r="AK38" s="102"/>
      <c r="AL38" s="102"/>
      <c r="AM38" s="102"/>
      <c r="AN38" s="102"/>
      <c r="AO38" s="102"/>
      <c r="AP38" s="102"/>
      <c r="AQ38" s="102"/>
      <c r="AR38" s="105"/>
      <c r="AS38" s="105"/>
      <c r="AT38" s="105"/>
      <c r="AU38" s="105"/>
      <c r="AV38" s="102"/>
      <c r="AW38" s="102"/>
      <c r="AX38" s="102"/>
      <c r="AY38" s="102"/>
    </row>
    <row r="39" spans="1:51" ht="13.5" customHeight="1">
      <c r="A39" s="102"/>
      <c r="B39" s="114"/>
      <c r="C39" s="191"/>
      <c r="D39" s="343" t="s">
        <v>214</v>
      </c>
      <c r="E39" s="316"/>
      <c r="F39" s="116">
        <v>0</v>
      </c>
      <c r="G39" s="189" t="s">
        <v>203</v>
      </c>
      <c r="H39" s="344">
        <v>150000</v>
      </c>
      <c r="I39" s="316"/>
      <c r="J39" s="190"/>
      <c r="K39" s="212"/>
      <c r="L39" s="189" t="s">
        <v>215</v>
      </c>
      <c r="M39" s="353">
        <v>20000</v>
      </c>
      <c r="N39" s="316"/>
      <c r="O39" s="316"/>
      <c r="P39" s="316"/>
      <c r="Q39" s="212"/>
      <c r="R39" s="212"/>
      <c r="S39" s="115"/>
      <c r="T39" s="117"/>
      <c r="U39" s="214"/>
      <c r="V39" s="215"/>
      <c r="W39" s="113"/>
      <c r="X39" s="113"/>
      <c r="Y39" s="113"/>
      <c r="Z39" s="113"/>
      <c r="AA39" s="113"/>
      <c r="AB39" s="102"/>
      <c r="AC39" s="102"/>
      <c r="AD39" s="102"/>
      <c r="AE39" s="102"/>
      <c r="AF39" s="102"/>
      <c r="AG39" s="102"/>
      <c r="AH39" s="102"/>
      <c r="AI39" s="102"/>
      <c r="AJ39" s="102"/>
      <c r="AK39" s="102"/>
      <c r="AL39" s="102"/>
      <c r="AM39" s="102"/>
      <c r="AN39" s="102"/>
      <c r="AO39" s="102"/>
      <c r="AP39" s="102"/>
      <c r="AQ39" s="102"/>
      <c r="AR39" s="105"/>
      <c r="AS39" s="105"/>
      <c r="AT39" s="105"/>
      <c r="AU39" s="105"/>
      <c r="AV39" s="102"/>
      <c r="AW39" s="102"/>
      <c r="AX39" s="102"/>
      <c r="AY39" s="102"/>
    </row>
    <row r="40" spans="1:51" ht="13.5" customHeight="1">
      <c r="A40" s="102"/>
      <c r="B40" s="114"/>
      <c r="C40" s="191"/>
      <c r="D40" s="343" t="s">
        <v>216</v>
      </c>
      <c r="E40" s="316"/>
      <c r="F40" s="116">
        <v>0</v>
      </c>
      <c r="G40" s="189" t="s">
        <v>203</v>
      </c>
      <c r="H40" s="344">
        <v>100000</v>
      </c>
      <c r="I40" s="316"/>
      <c r="J40" s="190"/>
      <c r="K40" s="212"/>
      <c r="L40" s="189"/>
      <c r="M40" s="115"/>
      <c r="N40" s="218"/>
      <c r="O40" s="218"/>
      <c r="P40" s="218"/>
      <c r="Q40" s="132" t="s">
        <v>217</v>
      </c>
      <c r="R40" s="350">
        <f>SUM(S6:S21,S34:S38)</f>
        <v>1110000</v>
      </c>
      <c r="S40" s="316"/>
      <c r="T40" s="117"/>
      <c r="U40" s="214"/>
      <c r="V40" s="215"/>
      <c r="W40" s="113"/>
      <c r="X40" s="113"/>
      <c r="Y40" s="113"/>
      <c r="Z40" s="113"/>
      <c r="AA40" s="113"/>
      <c r="AB40" s="102"/>
      <c r="AC40" s="102"/>
      <c r="AD40" s="102"/>
      <c r="AE40" s="102"/>
      <c r="AF40" s="102"/>
      <c r="AG40" s="102"/>
      <c r="AH40" s="102"/>
      <c r="AI40" s="102"/>
      <c r="AJ40" s="102"/>
      <c r="AK40" s="102"/>
      <c r="AL40" s="102"/>
      <c r="AM40" s="102"/>
      <c r="AN40" s="102"/>
      <c r="AO40" s="102"/>
      <c r="AP40" s="102"/>
      <c r="AQ40" s="102"/>
      <c r="AR40" s="105"/>
      <c r="AS40" s="105"/>
      <c r="AT40" s="105"/>
      <c r="AU40" s="105"/>
      <c r="AV40" s="102"/>
      <c r="AW40" s="102"/>
      <c r="AX40" s="102"/>
      <c r="AY40" s="102"/>
    </row>
    <row r="41" spans="1:51" ht="13.5" customHeight="1">
      <c r="A41" s="102"/>
      <c r="B41" s="114"/>
      <c r="C41" s="212"/>
      <c r="D41" s="343" t="s">
        <v>218</v>
      </c>
      <c r="E41" s="316"/>
      <c r="F41" s="349">
        <v>0</v>
      </c>
      <c r="G41" s="316"/>
      <c r="H41" s="316"/>
      <c r="I41" s="316"/>
      <c r="J41" s="212"/>
      <c r="K41" s="212"/>
      <c r="L41" s="212"/>
      <c r="M41" s="212"/>
      <c r="N41" s="191"/>
      <c r="O41" s="191"/>
      <c r="P41" s="191"/>
      <c r="Q41" s="132" t="s">
        <v>219</v>
      </c>
      <c r="R41" s="350">
        <f>SUMPRODUCT(F34:F40,H34:H40)+F41+F42</f>
        <v>0</v>
      </c>
      <c r="S41" s="316"/>
      <c r="T41" s="117"/>
      <c r="U41" s="214"/>
      <c r="V41" s="215"/>
      <c r="W41" s="113"/>
      <c r="X41" s="113"/>
      <c r="Y41" s="113"/>
      <c r="Z41" s="113"/>
      <c r="AA41" s="113"/>
      <c r="AB41" s="102"/>
      <c r="AC41" s="102"/>
      <c r="AD41" s="102"/>
      <c r="AE41" s="102"/>
      <c r="AF41" s="102"/>
      <c r="AG41" s="102"/>
      <c r="AH41" s="102"/>
      <c r="AI41" s="102"/>
      <c r="AJ41" s="102"/>
      <c r="AK41" s="102"/>
      <c r="AL41" s="102"/>
      <c r="AM41" s="102"/>
      <c r="AN41" s="102"/>
      <c r="AO41" s="102"/>
      <c r="AP41" s="102"/>
      <c r="AQ41" s="102"/>
      <c r="AR41" s="105"/>
      <c r="AS41" s="105"/>
      <c r="AT41" s="105"/>
      <c r="AU41" s="105"/>
      <c r="AV41" s="102"/>
      <c r="AW41" s="102"/>
      <c r="AX41" s="102"/>
      <c r="AY41" s="102"/>
    </row>
    <row r="42" spans="1:51" ht="13.5" customHeight="1">
      <c r="A42" s="102"/>
      <c r="B42" s="114"/>
      <c r="C42" s="191"/>
      <c r="D42" s="189"/>
      <c r="E42" s="189" t="s">
        <v>220</v>
      </c>
      <c r="F42" s="344">
        <f>SUM(S25:S30)</f>
        <v>0</v>
      </c>
      <c r="G42" s="316"/>
      <c r="H42" s="316"/>
      <c r="I42" s="316"/>
      <c r="J42" s="191"/>
      <c r="K42" s="191"/>
      <c r="L42" s="212"/>
      <c r="M42" s="212"/>
      <c r="N42" s="191"/>
      <c r="O42" s="191"/>
      <c r="P42" s="191"/>
      <c r="Q42" s="132" t="s">
        <v>221</v>
      </c>
      <c r="R42" s="350">
        <f>R40+R41</f>
        <v>1110000</v>
      </c>
      <c r="S42" s="316"/>
      <c r="T42" s="117"/>
      <c r="U42" s="214"/>
      <c r="V42" s="215"/>
      <c r="W42" s="113"/>
      <c r="X42" s="113"/>
      <c r="Y42" s="113"/>
      <c r="Z42" s="113"/>
      <c r="AA42" s="113"/>
      <c r="AB42" s="102"/>
      <c r="AC42" s="102"/>
      <c r="AD42" s="102"/>
      <c r="AE42" s="102"/>
      <c r="AF42" s="102"/>
      <c r="AG42" s="102"/>
      <c r="AH42" s="102"/>
      <c r="AI42" s="102"/>
      <c r="AJ42" s="102"/>
      <c r="AK42" s="102"/>
      <c r="AL42" s="102"/>
      <c r="AM42" s="102"/>
      <c r="AN42" s="102"/>
      <c r="AO42" s="102"/>
      <c r="AP42" s="102"/>
      <c r="AQ42" s="102"/>
      <c r="AR42" s="105"/>
      <c r="AS42" s="105"/>
      <c r="AT42" s="105"/>
      <c r="AU42" s="105"/>
      <c r="AV42" s="102"/>
      <c r="AW42" s="102"/>
      <c r="AX42" s="102"/>
      <c r="AY42" s="102"/>
    </row>
    <row r="43" spans="1:51" ht="3" customHeight="1">
      <c r="A43" s="102"/>
      <c r="B43" s="219"/>
      <c r="C43" s="220"/>
      <c r="D43" s="221"/>
      <c r="E43" s="221"/>
      <c r="F43" s="222"/>
      <c r="G43" s="220"/>
      <c r="H43" s="220"/>
      <c r="I43" s="220"/>
      <c r="J43" s="220"/>
      <c r="K43" s="221"/>
      <c r="L43" s="221"/>
      <c r="M43" s="221"/>
      <c r="N43" s="221"/>
      <c r="O43" s="221"/>
      <c r="P43" s="221"/>
      <c r="Q43" s="221"/>
      <c r="R43" s="221"/>
      <c r="S43" s="220"/>
      <c r="T43" s="223"/>
      <c r="U43" s="214"/>
      <c r="V43" s="215"/>
      <c r="W43" s="113"/>
      <c r="X43" s="113"/>
      <c r="Y43" s="113"/>
      <c r="Z43" s="113"/>
      <c r="AA43" s="113"/>
      <c r="AB43" s="102"/>
      <c r="AC43" s="102"/>
      <c r="AD43" s="102"/>
      <c r="AE43" s="102"/>
      <c r="AF43" s="102"/>
      <c r="AG43" s="102"/>
      <c r="AH43" s="102"/>
      <c r="AI43" s="102"/>
      <c r="AJ43" s="102"/>
      <c r="AK43" s="102"/>
      <c r="AL43" s="102"/>
      <c r="AM43" s="102"/>
      <c r="AN43" s="102"/>
      <c r="AO43" s="102"/>
      <c r="AP43" s="102"/>
      <c r="AQ43" s="102"/>
      <c r="AR43" s="105"/>
      <c r="AS43" s="105"/>
      <c r="AT43" s="105"/>
      <c r="AU43" s="105"/>
      <c r="AV43" s="102"/>
      <c r="AW43" s="102"/>
      <c r="AX43" s="102"/>
      <c r="AY43" s="102"/>
    </row>
    <row r="44" spans="1:51" ht="13.5" customHeight="1">
      <c r="A44" s="102"/>
      <c r="B44" s="102"/>
      <c r="C44" s="102"/>
      <c r="D44" s="102"/>
      <c r="E44" s="102"/>
      <c r="F44" s="102"/>
      <c r="G44" s="102"/>
      <c r="H44" s="102"/>
      <c r="I44" s="102"/>
      <c r="J44" s="102"/>
      <c r="K44" s="102"/>
      <c r="L44" s="102"/>
      <c r="M44" s="102"/>
      <c r="N44" s="102"/>
      <c r="O44" s="102"/>
      <c r="P44" s="102"/>
      <c r="Q44" s="102"/>
      <c r="R44" s="102"/>
      <c r="S44" s="105"/>
      <c r="T44" s="102"/>
      <c r="U44" s="102"/>
      <c r="V44" s="215"/>
      <c r="W44" s="113"/>
      <c r="X44" s="113"/>
      <c r="Y44" s="113"/>
      <c r="Z44" s="113"/>
      <c r="AA44" s="113"/>
      <c r="AB44" s="102"/>
      <c r="AC44" s="102"/>
      <c r="AD44" s="102"/>
      <c r="AE44" s="102"/>
      <c r="AF44" s="102"/>
      <c r="AG44" s="102"/>
      <c r="AH44" s="102"/>
      <c r="AI44" s="102"/>
      <c r="AJ44" s="102"/>
      <c r="AK44" s="102"/>
      <c r="AL44" s="102"/>
      <c r="AM44" s="102"/>
      <c r="AN44" s="102"/>
      <c r="AO44" s="102"/>
      <c r="AP44" s="102"/>
      <c r="AQ44" s="102"/>
      <c r="AR44" s="105"/>
      <c r="AS44" s="105"/>
      <c r="AT44" s="105"/>
      <c r="AU44" s="105"/>
      <c r="AV44" s="102"/>
      <c r="AW44" s="102"/>
      <c r="AX44" s="102"/>
      <c r="AY44" s="102"/>
    </row>
    <row r="45" spans="1:51" ht="13.5" customHeight="1">
      <c r="A45" s="102"/>
      <c r="B45" s="102"/>
      <c r="C45" s="105"/>
      <c r="D45" s="102"/>
      <c r="E45" s="102"/>
      <c r="F45" s="104"/>
      <c r="G45" s="105"/>
      <c r="H45" s="105"/>
      <c r="I45" s="105"/>
      <c r="J45" s="105"/>
      <c r="K45" s="102"/>
      <c r="L45" s="102"/>
      <c r="M45" s="102"/>
      <c r="N45" s="102"/>
      <c r="O45" s="102"/>
      <c r="P45" s="102"/>
      <c r="Q45" s="102"/>
      <c r="R45" s="102"/>
      <c r="S45" s="105"/>
      <c r="T45" s="102"/>
      <c r="U45" s="102"/>
      <c r="V45" s="106"/>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5"/>
      <c r="AS45" s="105"/>
      <c r="AT45" s="105"/>
      <c r="AU45" s="105"/>
      <c r="AV45" s="102"/>
      <c r="AW45" s="102"/>
      <c r="AX45" s="102"/>
      <c r="AY45" s="102"/>
    </row>
    <row r="46" spans="1:51" ht="13.5" customHeight="1">
      <c r="A46" s="102"/>
      <c r="B46" s="102"/>
      <c r="C46" s="105"/>
      <c r="D46" s="102"/>
      <c r="E46" s="102"/>
      <c r="F46" s="104"/>
      <c r="G46" s="105"/>
      <c r="H46" s="105"/>
      <c r="I46" s="105"/>
      <c r="J46" s="105"/>
      <c r="K46" s="102"/>
      <c r="L46" s="102"/>
      <c r="M46" s="102"/>
      <c r="N46" s="102"/>
      <c r="O46" s="102"/>
      <c r="P46" s="102"/>
      <c r="Q46" s="102"/>
      <c r="R46" s="102"/>
      <c r="S46" s="105"/>
      <c r="T46" s="102"/>
      <c r="U46" s="102"/>
      <c r="V46" s="106"/>
      <c r="W46" s="102"/>
      <c r="X46" s="102"/>
      <c r="Y46" s="102"/>
      <c r="Z46" s="102"/>
      <c r="AA46" s="102"/>
      <c r="AB46" s="102"/>
      <c r="AC46" s="102"/>
      <c r="AD46" s="102"/>
      <c r="AE46" s="102"/>
      <c r="AF46" s="102"/>
      <c r="AG46" s="102"/>
      <c r="AH46" s="102"/>
      <c r="AI46" s="102"/>
      <c r="AJ46" s="102"/>
      <c r="AK46" s="106"/>
      <c r="AL46" s="102"/>
      <c r="AM46" s="102"/>
      <c r="AN46" s="102"/>
      <c r="AO46" s="102"/>
      <c r="AP46" s="102"/>
      <c r="AQ46" s="102"/>
      <c r="AR46" s="105"/>
      <c r="AS46" s="105"/>
      <c r="AT46" s="105"/>
      <c r="AU46" s="105"/>
      <c r="AV46" s="102"/>
      <c r="AW46" s="102"/>
      <c r="AX46" s="102"/>
      <c r="AY46" s="102"/>
    </row>
    <row r="47" spans="1:51" ht="13.5" customHeight="1">
      <c r="A47" s="102"/>
      <c r="B47" s="102"/>
      <c r="C47" s="105"/>
      <c r="D47" s="102"/>
      <c r="E47" s="102"/>
      <c r="F47" s="104"/>
      <c r="G47" s="105"/>
      <c r="H47" s="105"/>
      <c r="I47" s="105"/>
      <c r="J47" s="105"/>
      <c r="K47" s="102"/>
      <c r="L47" s="102"/>
      <c r="M47" s="102"/>
      <c r="N47" s="102"/>
      <c r="O47" s="102"/>
      <c r="P47" s="102"/>
      <c r="Q47" s="102"/>
      <c r="R47" s="102"/>
      <c r="S47" s="105"/>
      <c r="T47" s="102"/>
      <c r="U47" s="102"/>
      <c r="V47" s="106"/>
      <c r="W47" s="102"/>
      <c r="X47" s="102"/>
      <c r="Y47" s="102"/>
      <c r="Z47" s="102"/>
      <c r="AA47" s="102"/>
      <c r="AB47" s="102"/>
      <c r="AC47" s="102"/>
      <c r="AD47" s="102"/>
      <c r="AE47" s="102"/>
      <c r="AF47" s="102"/>
      <c r="AG47" s="102"/>
      <c r="AH47" s="102"/>
      <c r="AI47" s="102"/>
      <c r="AJ47" s="102"/>
      <c r="AK47" s="106" t="s">
        <v>222</v>
      </c>
      <c r="AL47" s="102" t="s">
        <v>223</v>
      </c>
      <c r="AM47" s="102"/>
      <c r="AN47" s="102"/>
      <c r="AO47" s="102"/>
      <c r="AP47" s="102"/>
      <c r="AQ47" s="102"/>
      <c r="AR47" s="105"/>
      <c r="AS47" s="105"/>
      <c r="AT47" s="105"/>
      <c r="AU47" s="105"/>
      <c r="AV47" s="102"/>
      <c r="AW47" s="102"/>
      <c r="AX47" s="102"/>
      <c r="AY47" s="102"/>
    </row>
    <row r="48" spans="1:51" ht="13.5" customHeight="1">
      <c r="A48" s="102"/>
      <c r="B48" s="102"/>
      <c r="C48" s="105"/>
      <c r="D48" s="102"/>
      <c r="E48" s="102"/>
      <c r="F48" s="104"/>
      <c r="G48" s="105"/>
      <c r="H48" s="105"/>
      <c r="I48" s="105"/>
      <c r="J48" s="105"/>
      <c r="K48" s="102"/>
      <c r="L48" s="102"/>
      <c r="M48" s="102"/>
      <c r="N48" s="102"/>
      <c r="O48" s="102"/>
      <c r="P48" s="102"/>
      <c r="Q48" s="102"/>
      <c r="R48" s="102"/>
      <c r="S48" s="105"/>
      <c r="T48" s="102"/>
      <c r="U48" s="102"/>
      <c r="V48" s="106"/>
      <c r="W48" s="102"/>
      <c r="X48" s="102"/>
      <c r="Y48" s="102"/>
      <c r="Z48" s="102"/>
      <c r="AA48" s="102"/>
      <c r="AB48" s="102"/>
      <c r="AC48" s="102"/>
      <c r="AD48" s="102"/>
      <c r="AE48" s="102"/>
      <c r="AF48" s="102"/>
      <c r="AG48" s="102"/>
      <c r="AH48" s="102"/>
      <c r="AI48" s="102"/>
      <c r="AJ48" s="102"/>
      <c r="AK48" s="234" t="e">
        <f t="shared" ref="AK48:AK57" si="32">VLOOKUP(AL48,DBTeamStars,2,0)</f>
        <v>#N/A</v>
      </c>
      <c r="AL48" s="234" t="str">
        <f>$E$3&amp;"10"</f>
        <v>Amazon10</v>
      </c>
      <c r="AM48" s="102"/>
      <c r="AN48" s="102"/>
      <c r="AO48" s="102"/>
      <c r="AP48" s="102"/>
      <c r="AQ48" s="102"/>
      <c r="AR48" s="105"/>
      <c r="AS48" s="105"/>
      <c r="AT48" s="105"/>
      <c r="AU48" s="105"/>
      <c r="AV48" s="102"/>
      <c r="AW48" s="102"/>
      <c r="AX48" s="102"/>
      <c r="AY48" s="102"/>
    </row>
    <row r="49" spans="1:51" ht="13.5" customHeight="1">
      <c r="A49" s="102"/>
      <c r="B49" s="102"/>
      <c r="C49" s="105"/>
      <c r="D49" s="102"/>
      <c r="E49" s="102"/>
      <c r="F49" s="104"/>
      <c r="G49" s="105"/>
      <c r="H49" s="105"/>
      <c r="I49" s="105"/>
      <c r="J49" s="105"/>
      <c r="K49" s="102"/>
      <c r="L49" s="102"/>
      <c r="M49" s="102"/>
      <c r="N49" s="102"/>
      <c r="O49" s="102"/>
      <c r="P49" s="102"/>
      <c r="Q49" s="102"/>
      <c r="R49" s="102"/>
      <c r="S49" s="105"/>
      <c r="T49" s="102"/>
      <c r="U49" s="102"/>
      <c r="V49" s="106"/>
      <c r="W49" s="102"/>
      <c r="X49" s="102"/>
      <c r="Y49" s="102"/>
      <c r="Z49" s="102"/>
      <c r="AA49" s="102"/>
      <c r="AB49" s="102"/>
      <c r="AC49" s="102"/>
      <c r="AD49" s="102"/>
      <c r="AE49" s="102"/>
      <c r="AF49" s="102"/>
      <c r="AG49" s="102"/>
      <c r="AH49" s="102"/>
      <c r="AI49" s="102"/>
      <c r="AJ49" s="102"/>
      <c r="AK49" s="234" t="e">
        <f t="shared" si="32"/>
        <v>#N/A</v>
      </c>
      <c r="AL49" s="234" t="str">
        <f>$E$3&amp;"9"</f>
        <v>Amazon9</v>
      </c>
      <c r="AM49" s="102"/>
      <c r="AN49" s="102"/>
      <c r="AO49" s="102"/>
      <c r="AP49" s="102"/>
      <c r="AQ49" s="102"/>
      <c r="AR49" s="105"/>
      <c r="AS49" s="105"/>
      <c r="AT49" s="105"/>
      <c r="AU49" s="105"/>
      <c r="AV49" s="102"/>
      <c r="AW49" s="102"/>
      <c r="AX49" s="102"/>
      <c r="AY49" s="102"/>
    </row>
    <row r="50" spans="1:51" ht="13.5" customHeight="1">
      <c r="A50" s="102"/>
      <c r="B50" s="102"/>
      <c r="C50" s="105"/>
      <c r="D50" s="102"/>
      <c r="E50" s="102"/>
      <c r="F50" s="104"/>
      <c r="G50" s="105"/>
      <c r="H50" s="105"/>
      <c r="I50" s="105"/>
      <c r="J50" s="105"/>
      <c r="K50" s="102"/>
      <c r="L50" s="102"/>
      <c r="M50" s="102"/>
      <c r="N50" s="102"/>
      <c r="O50" s="102"/>
      <c r="P50" s="102"/>
      <c r="Q50" s="102"/>
      <c r="R50" s="102"/>
      <c r="S50" s="105"/>
      <c r="T50" s="102"/>
      <c r="U50" s="102"/>
      <c r="V50" s="106"/>
      <c r="W50" s="102"/>
      <c r="X50" s="102"/>
      <c r="Y50" s="102"/>
      <c r="Z50" s="102"/>
      <c r="AA50" s="102"/>
      <c r="AB50" s="102"/>
      <c r="AC50" s="102"/>
      <c r="AD50" s="102"/>
      <c r="AE50" s="102"/>
      <c r="AF50" s="102"/>
      <c r="AG50" s="102"/>
      <c r="AH50" s="102"/>
      <c r="AI50" s="102"/>
      <c r="AJ50" s="102"/>
      <c r="AK50" s="234" t="e">
        <f t="shared" si="32"/>
        <v>#N/A</v>
      </c>
      <c r="AL50" s="234" t="str">
        <f>$E$3&amp;"8"</f>
        <v>Amazon8</v>
      </c>
      <c r="AM50" s="102"/>
      <c r="AN50" s="102"/>
      <c r="AO50" s="102"/>
      <c r="AP50" s="102"/>
      <c r="AQ50" s="102"/>
      <c r="AR50" s="105"/>
      <c r="AS50" s="105"/>
      <c r="AT50" s="105"/>
      <c r="AU50" s="105"/>
      <c r="AV50" s="102"/>
      <c r="AW50" s="102"/>
      <c r="AX50" s="102"/>
      <c r="AY50" s="102"/>
    </row>
    <row r="51" spans="1:51" ht="13.5" customHeight="1">
      <c r="A51" s="102"/>
      <c r="B51" s="102"/>
      <c r="C51" s="105"/>
      <c r="D51" s="102"/>
      <c r="E51" s="102"/>
      <c r="F51" s="104"/>
      <c r="G51" s="105"/>
      <c r="H51" s="105"/>
      <c r="I51" s="105"/>
      <c r="J51" s="105"/>
      <c r="K51" s="102"/>
      <c r="L51" s="102"/>
      <c r="M51" s="102"/>
      <c r="N51" s="102"/>
      <c r="O51" s="102"/>
      <c r="P51" s="102"/>
      <c r="Q51" s="102"/>
      <c r="R51" s="102"/>
      <c r="S51" s="105"/>
      <c r="T51" s="102"/>
      <c r="U51" s="102"/>
      <c r="V51" s="106"/>
      <c r="W51" s="102"/>
      <c r="X51" s="102"/>
      <c r="Y51" s="102"/>
      <c r="Z51" s="102"/>
      <c r="AA51" s="102"/>
      <c r="AB51" s="102"/>
      <c r="AC51" s="102"/>
      <c r="AD51" s="102"/>
      <c r="AE51" s="102"/>
      <c r="AF51" s="102"/>
      <c r="AG51" s="102"/>
      <c r="AH51" s="102"/>
      <c r="AI51" s="102"/>
      <c r="AJ51" s="102"/>
      <c r="AK51" s="234" t="e">
        <f t="shared" si="32"/>
        <v>#N/A</v>
      </c>
      <c r="AL51" s="234" t="str">
        <f>$E$3&amp;"7"</f>
        <v>Amazon7</v>
      </c>
      <c r="AM51" s="102"/>
      <c r="AN51" s="102"/>
      <c r="AO51" s="102"/>
      <c r="AP51" s="102"/>
      <c r="AQ51" s="102"/>
      <c r="AR51" s="105"/>
      <c r="AS51" s="105"/>
      <c r="AT51" s="105"/>
      <c r="AU51" s="105"/>
      <c r="AV51" s="102"/>
      <c r="AW51" s="102"/>
      <c r="AX51" s="102"/>
      <c r="AY51" s="102"/>
    </row>
    <row r="52" spans="1:51" ht="13.5" customHeight="1">
      <c r="A52" s="102"/>
      <c r="B52" s="102"/>
      <c r="C52" s="105"/>
      <c r="D52" s="102"/>
      <c r="E52" s="102"/>
      <c r="F52" s="104"/>
      <c r="G52" s="105"/>
      <c r="H52" s="105"/>
      <c r="I52" s="105"/>
      <c r="J52" s="105"/>
      <c r="K52" s="102"/>
      <c r="L52" s="102"/>
      <c r="M52" s="102"/>
      <c r="N52" s="102"/>
      <c r="O52" s="102"/>
      <c r="P52" s="102"/>
      <c r="Q52" s="102"/>
      <c r="R52" s="102"/>
      <c r="S52" s="105"/>
      <c r="T52" s="102"/>
      <c r="U52" s="102"/>
      <c r="V52" s="106"/>
      <c r="W52" s="102"/>
      <c r="X52" s="102"/>
      <c r="Y52" s="102"/>
      <c r="Z52" s="102"/>
      <c r="AA52" s="102"/>
      <c r="AB52" s="102"/>
      <c r="AC52" s="102"/>
      <c r="AD52" s="102"/>
      <c r="AE52" s="102"/>
      <c r="AF52" s="102"/>
      <c r="AG52" s="102"/>
      <c r="AH52" s="102"/>
      <c r="AI52" s="102"/>
      <c r="AJ52" s="102"/>
      <c r="AK52" s="234" t="str">
        <f t="shared" si="32"/>
        <v>Willow Rosebark</v>
      </c>
      <c r="AL52" s="234" t="str">
        <f>$E$3&amp;"6"</f>
        <v>Amazon6</v>
      </c>
      <c r="AM52" s="102"/>
      <c r="AN52" s="102"/>
      <c r="AO52" s="102"/>
      <c r="AP52" s="102"/>
      <c r="AQ52" s="102"/>
      <c r="AR52" s="105"/>
      <c r="AS52" s="105"/>
      <c r="AT52" s="105"/>
      <c r="AU52" s="105"/>
      <c r="AV52" s="102"/>
      <c r="AW52" s="102"/>
      <c r="AX52" s="102"/>
      <c r="AY52" s="102"/>
    </row>
    <row r="53" spans="1:51" ht="13.5" customHeight="1">
      <c r="A53" s="102"/>
      <c r="B53" s="102"/>
      <c r="C53" s="105"/>
      <c r="D53" s="102"/>
      <c r="E53" s="102"/>
      <c r="F53" s="104"/>
      <c r="G53" s="105"/>
      <c r="H53" s="105"/>
      <c r="I53" s="105"/>
      <c r="J53" s="105"/>
      <c r="K53" s="102"/>
      <c r="L53" s="102"/>
      <c r="M53" s="102"/>
      <c r="N53" s="102"/>
      <c r="O53" s="102"/>
      <c r="P53" s="102"/>
      <c r="Q53" s="102"/>
      <c r="R53" s="102"/>
      <c r="S53" s="105"/>
      <c r="T53" s="102"/>
      <c r="U53" s="102"/>
      <c r="V53" s="106"/>
      <c r="W53" s="102"/>
      <c r="X53" s="102"/>
      <c r="Y53" s="102"/>
      <c r="Z53" s="102"/>
      <c r="AA53" s="102"/>
      <c r="AB53" s="102"/>
      <c r="AC53" s="102"/>
      <c r="AD53" s="102"/>
      <c r="AE53" s="102"/>
      <c r="AF53" s="102"/>
      <c r="AG53" s="102"/>
      <c r="AH53" s="102"/>
      <c r="AI53" s="102"/>
      <c r="AJ53" s="102"/>
      <c r="AK53" s="234" t="str">
        <f t="shared" si="32"/>
        <v>Roxanna Darknail</v>
      </c>
      <c r="AL53" s="234" t="str">
        <f>$E$3&amp;"5"</f>
        <v>Amazon5</v>
      </c>
      <c r="AM53" s="102"/>
      <c r="AN53" s="102"/>
      <c r="AO53" s="102"/>
      <c r="AP53" s="102"/>
      <c r="AQ53" s="102"/>
      <c r="AR53" s="105"/>
      <c r="AS53" s="105"/>
      <c r="AT53" s="105"/>
      <c r="AU53" s="105"/>
      <c r="AV53" s="102"/>
      <c r="AW53" s="102"/>
      <c r="AX53" s="102"/>
      <c r="AY53" s="102"/>
    </row>
    <row r="54" spans="1:51" ht="13.5" customHeight="1">
      <c r="A54" s="102"/>
      <c r="B54" s="102"/>
      <c r="C54" s="105"/>
      <c r="D54" s="102"/>
      <c r="E54" s="102"/>
      <c r="F54" s="104"/>
      <c r="G54" s="105"/>
      <c r="H54" s="105"/>
      <c r="I54" s="105"/>
      <c r="J54" s="105"/>
      <c r="K54" s="102"/>
      <c r="L54" s="102"/>
      <c r="M54" s="102"/>
      <c r="N54" s="102"/>
      <c r="O54" s="102"/>
      <c r="P54" s="102"/>
      <c r="Q54" s="102"/>
      <c r="R54" s="102"/>
      <c r="S54" s="105"/>
      <c r="T54" s="102"/>
      <c r="U54" s="102"/>
      <c r="V54" s="106"/>
      <c r="W54" s="102"/>
      <c r="X54" s="102"/>
      <c r="Y54" s="102"/>
      <c r="Z54" s="102"/>
      <c r="AA54" s="102"/>
      <c r="AB54" s="102"/>
      <c r="AC54" s="102"/>
      <c r="AD54" s="102"/>
      <c r="AE54" s="102"/>
      <c r="AF54" s="102"/>
      <c r="AG54" s="102"/>
      <c r="AH54" s="102"/>
      <c r="AI54" s="102"/>
      <c r="AJ54" s="102"/>
      <c r="AK54" s="234" t="str">
        <f t="shared" si="32"/>
        <v>Bertha Bigfist</v>
      </c>
      <c r="AL54" s="234" t="str">
        <f>$E$3&amp;"4"</f>
        <v>Amazon4</v>
      </c>
      <c r="AM54" s="102"/>
      <c r="AN54" s="102"/>
      <c r="AO54" s="102"/>
      <c r="AP54" s="102"/>
      <c r="AQ54" s="102"/>
      <c r="AR54" s="105"/>
      <c r="AS54" s="105"/>
      <c r="AT54" s="105"/>
      <c r="AU54" s="105"/>
      <c r="AV54" s="102"/>
      <c r="AW54" s="102"/>
      <c r="AX54" s="102"/>
      <c r="AY54" s="102"/>
    </row>
    <row r="55" spans="1:51" ht="13.5" customHeight="1">
      <c r="A55" s="102"/>
      <c r="B55" s="102"/>
      <c r="C55" s="105"/>
      <c r="D55" s="102"/>
      <c r="E55" s="102"/>
      <c r="F55" s="104"/>
      <c r="G55" s="105"/>
      <c r="H55" s="105"/>
      <c r="I55" s="105"/>
      <c r="J55" s="105"/>
      <c r="K55" s="102"/>
      <c r="L55" s="102"/>
      <c r="M55" s="102"/>
      <c r="N55" s="102"/>
      <c r="O55" s="102"/>
      <c r="P55" s="102"/>
      <c r="Q55" s="102"/>
      <c r="R55" s="102"/>
      <c r="S55" s="105"/>
      <c r="T55" s="102"/>
      <c r="U55" s="102"/>
      <c r="V55" s="106"/>
      <c r="W55" s="102"/>
      <c r="X55" s="102"/>
      <c r="Y55" s="102"/>
      <c r="Z55" s="102"/>
      <c r="AA55" s="102"/>
      <c r="AB55" s="102"/>
      <c r="AC55" s="102"/>
      <c r="AD55" s="102"/>
      <c r="AE55" s="102"/>
      <c r="AF55" s="102"/>
      <c r="AG55" s="102"/>
      <c r="AH55" s="102"/>
      <c r="AI55" s="102"/>
      <c r="AJ55" s="102"/>
      <c r="AK55" s="234" t="str">
        <f t="shared" si="32"/>
        <v>Helmut Wulff</v>
      </c>
      <c r="AL55" s="234" t="str">
        <f>$E$3&amp;"3"</f>
        <v>Amazon3</v>
      </c>
      <c r="AM55" s="102"/>
      <c r="AN55" s="102"/>
      <c r="AO55" s="102"/>
      <c r="AP55" s="102"/>
      <c r="AQ55" s="102"/>
      <c r="AR55" s="105"/>
      <c r="AS55" s="105"/>
      <c r="AT55" s="105"/>
      <c r="AU55" s="105"/>
      <c r="AV55" s="102"/>
      <c r="AW55" s="102"/>
      <c r="AX55" s="102"/>
      <c r="AY55" s="102"/>
    </row>
    <row r="56" spans="1:51" ht="13.5" customHeight="1">
      <c r="A56" s="102"/>
      <c r="B56" s="102"/>
      <c r="C56" s="105"/>
      <c r="D56" s="102"/>
      <c r="E56" s="102"/>
      <c r="F56" s="104"/>
      <c r="G56" s="105"/>
      <c r="H56" s="105"/>
      <c r="I56" s="105"/>
      <c r="J56" s="105"/>
      <c r="K56" s="102"/>
      <c r="L56" s="102"/>
      <c r="M56" s="102"/>
      <c r="N56" s="102"/>
      <c r="O56" s="102"/>
      <c r="P56" s="102"/>
      <c r="Q56" s="102"/>
      <c r="R56" s="102"/>
      <c r="S56" s="105"/>
      <c r="T56" s="102"/>
      <c r="U56" s="102"/>
      <c r="V56" s="106"/>
      <c r="W56" s="102"/>
      <c r="X56" s="102"/>
      <c r="Y56" s="102"/>
      <c r="Z56" s="102"/>
      <c r="AA56" s="102"/>
      <c r="AB56" s="102"/>
      <c r="AC56" s="102"/>
      <c r="AD56" s="102"/>
      <c r="AE56" s="102"/>
      <c r="AF56" s="102"/>
      <c r="AG56" s="102"/>
      <c r="AH56" s="102"/>
      <c r="AI56" s="102"/>
      <c r="AJ56" s="102"/>
      <c r="AK56" s="234" t="str">
        <f t="shared" si="32"/>
        <v>Morg 'n' Thorg</v>
      </c>
      <c r="AL56" s="234" t="str">
        <f>$E$3&amp;"2"</f>
        <v>Amazon2</v>
      </c>
      <c r="AM56" s="102"/>
      <c r="AN56" s="102"/>
      <c r="AO56" s="102"/>
      <c r="AP56" s="102"/>
      <c r="AQ56" s="102"/>
      <c r="AR56" s="105"/>
      <c r="AS56" s="105"/>
      <c r="AT56" s="105"/>
      <c r="AU56" s="105"/>
      <c r="AV56" s="102"/>
      <c r="AW56" s="102"/>
      <c r="AX56" s="102"/>
      <c r="AY56" s="102"/>
    </row>
    <row r="57" spans="1:51" ht="13.5" customHeight="1">
      <c r="A57" s="102"/>
      <c r="B57" s="102"/>
      <c r="C57" s="105"/>
      <c r="D57" s="102"/>
      <c r="E57" s="102"/>
      <c r="F57" s="104"/>
      <c r="G57" s="105"/>
      <c r="H57" s="105"/>
      <c r="I57" s="105"/>
      <c r="J57" s="105"/>
      <c r="K57" s="102"/>
      <c r="L57" s="102"/>
      <c r="M57" s="102"/>
      <c r="N57" s="102"/>
      <c r="O57" s="102"/>
      <c r="P57" s="102"/>
      <c r="Q57" s="102"/>
      <c r="R57" s="102"/>
      <c r="S57" s="105"/>
      <c r="T57" s="102"/>
      <c r="U57" s="102"/>
      <c r="V57" s="106"/>
      <c r="W57" s="102"/>
      <c r="X57" s="102"/>
      <c r="Y57" s="102"/>
      <c r="Z57" s="102"/>
      <c r="AA57" s="102"/>
      <c r="AB57" s="102"/>
      <c r="AC57" s="102"/>
      <c r="AD57" s="102"/>
      <c r="AE57" s="102"/>
      <c r="AF57" s="102"/>
      <c r="AG57" s="102"/>
      <c r="AH57" s="102"/>
      <c r="AI57" s="102"/>
      <c r="AJ57" s="106" t="s">
        <v>224</v>
      </c>
      <c r="AK57" s="234" t="str">
        <f t="shared" si="32"/>
        <v>Zara the Slayer</v>
      </c>
      <c r="AL57" s="234" t="str">
        <f t="shared" ref="AL57:AL58" si="33">$E$3&amp;"1"</f>
        <v>Amazon1</v>
      </c>
      <c r="AM57" s="102"/>
      <c r="AN57" s="102"/>
      <c r="AO57" s="102"/>
      <c r="AP57" s="102"/>
      <c r="AQ57" s="102"/>
      <c r="AR57" s="105"/>
      <c r="AS57" s="105"/>
      <c r="AT57" s="105"/>
      <c r="AU57" s="105"/>
      <c r="AV57" s="102"/>
      <c r="AW57" s="102"/>
      <c r="AX57" s="102"/>
      <c r="AY57" s="102"/>
    </row>
    <row r="58" spans="1:51" ht="13.5" customHeight="1">
      <c r="A58" s="102"/>
      <c r="B58" s="102"/>
      <c r="C58" s="105"/>
      <c r="D58" s="102"/>
      <c r="E58" s="102"/>
      <c r="F58" s="104"/>
      <c r="G58" s="105"/>
      <c r="H58" s="105"/>
      <c r="I58" s="105"/>
      <c r="J58" s="105"/>
      <c r="K58" s="102"/>
      <c r="L58" s="102"/>
      <c r="M58" s="102"/>
      <c r="N58" s="102"/>
      <c r="O58" s="102"/>
      <c r="P58" s="102"/>
      <c r="Q58" s="102"/>
      <c r="R58" s="102"/>
      <c r="S58" s="105"/>
      <c r="T58" s="102"/>
      <c r="U58" s="102"/>
      <c r="V58" s="106"/>
      <c r="W58" s="102"/>
      <c r="X58" s="102"/>
      <c r="Y58" s="102"/>
      <c r="Z58" s="102"/>
      <c r="AA58" s="102"/>
      <c r="AB58" s="102"/>
      <c r="AC58" s="102"/>
      <c r="AD58" s="102"/>
      <c r="AE58" s="102"/>
      <c r="AF58" s="102"/>
      <c r="AG58" s="102"/>
      <c r="AH58" s="102"/>
      <c r="AI58" s="102"/>
      <c r="AJ58" s="234" t="str">
        <f t="shared" ref="AJ58:AJ67" si="34">VLOOKUP(AL58,DBPlayers,3,0)</f>
        <v>Linewoman</v>
      </c>
      <c r="AK58" s="234" t="str">
        <f t="shared" ref="AK58:AK67" si="35">AJ58&amp;" "&amp;T_Merc</f>
        <v>Linewoman Mercenary</v>
      </c>
      <c r="AL58" s="234" t="str">
        <f t="shared" si="33"/>
        <v>Amazon1</v>
      </c>
      <c r="AM58" s="102"/>
      <c r="AN58" s="235"/>
      <c r="AO58" s="102"/>
      <c r="AP58" s="102"/>
      <c r="AQ58" s="102"/>
      <c r="AR58" s="105"/>
      <c r="AS58" s="105"/>
      <c r="AT58" s="105"/>
      <c r="AU58" s="105"/>
      <c r="AV58" s="102"/>
      <c r="AW58" s="102"/>
      <c r="AX58" s="102"/>
      <c r="AY58" s="102"/>
    </row>
    <row r="59" spans="1:51" ht="13.5" customHeight="1">
      <c r="A59" s="102"/>
      <c r="B59" s="102"/>
      <c r="C59" s="105"/>
      <c r="D59" s="102"/>
      <c r="E59" s="102"/>
      <c r="F59" s="104"/>
      <c r="G59" s="105"/>
      <c r="H59" s="105"/>
      <c r="I59" s="105"/>
      <c r="J59" s="105"/>
      <c r="K59" s="102"/>
      <c r="L59" s="102"/>
      <c r="M59" s="102"/>
      <c r="N59" s="102"/>
      <c r="O59" s="102"/>
      <c r="P59" s="102"/>
      <c r="Q59" s="102"/>
      <c r="R59" s="102"/>
      <c r="S59" s="105"/>
      <c r="T59" s="102"/>
      <c r="U59" s="102"/>
      <c r="V59" s="106"/>
      <c r="W59" s="102"/>
      <c r="X59" s="102"/>
      <c r="Y59" s="102"/>
      <c r="Z59" s="102"/>
      <c r="AA59" s="102"/>
      <c r="AB59" s="102"/>
      <c r="AC59" s="102"/>
      <c r="AD59" s="102"/>
      <c r="AE59" s="102"/>
      <c r="AF59" s="102"/>
      <c r="AG59" s="102"/>
      <c r="AH59" s="102"/>
      <c r="AI59" s="102"/>
      <c r="AJ59" s="234" t="str">
        <f t="shared" si="34"/>
        <v>Thrower</v>
      </c>
      <c r="AK59" s="234" t="str">
        <f t="shared" si="35"/>
        <v>Thrower Mercenary</v>
      </c>
      <c r="AL59" s="234" t="str">
        <f>$E$3&amp;"2"</f>
        <v>Amazon2</v>
      </c>
      <c r="AM59" s="102"/>
      <c r="AN59" s="102"/>
      <c r="AO59" s="102"/>
      <c r="AP59" s="102"/>
      <c r="AQ59" s="102"/>
      <c r="AR59" s="105"/>
      <c r="AS59" s="105"/>
      <c r="AT59" s="105"/>
      <c r="AU59" s="105"/>
      <c r="AV59" s="102"/>
      <c r="AW59" s="102"/>
      <c r="AX59" s="102"/>
      <c r="AY59" s="102"/>
    </row>
    <row r="60" spans="1:51" ht="12.75" customHeight="1">
      <c r="A60" s="102"/>
      <c r="B60" s="102"/>
      <c r="C60" s="105"/>
      <c r="D60" s="102"/>
      <c r="E60" s="102"/>
      <c r="F60" s="104"/>
      <c r="G60" s="105"/>
      <c r="H60" s="105"/>
      <c r="I60" s="105"/>
      <c r="J60" s="105"/>
      <c r="K60" s="102"/>
      <c r="L60" s="102"/>
      <c r="M60" s="102"/>
      <c r="N60" s="102"/>
      <c r="O60" s="102"/>
      <c r="P60" s="102"/>
      <c r="Q60" s="102"/>
      <c r="R60" s="102"/>
      <c r="S60" s="105"/>
      <c r="T60" s="102"/>
      <c r="U60" s="102"/>
      <c r="V60" s="106"/>
      <c r="W60" s="102"/>
      <c r="X60" s="102"/>
      <c r="Y60" s="102"/>
      <c r="Z60" s="102"/>
      <c r="AA60" s="102"/>
      <c r="AB60" s="102"/>
      <c r="AC60" s="102"/>
      <c r="AD60" s="102"/>
      <c r="AE60" s="102"/>
      <c r="AF60" s="102"/>
      <c r="AG60" s="102"/>
      <c r="AH60" s="102"/>
      <c r="AI60" s="102"/>
      <c r="AJ60" s="234" t="str">
        <f t="shared" si="34"/>
        <v>Catcher</v>
      </c>
      <c r="AK60" s="234" t="str">
        <f t="shared" si="35"/>
        <v>Catcher Mercenary</v>
      </c>
      <c r="AL60" s="234" t="str">
        <f>$E$3&amp;"3"</f>
        <v>Amazon3</v>
      </c>
      <c r="AM60" s="102"/>
      <c r="AN60" s="102"/>
      <c r="AO60" s="102"/>
      <c r="AP60" s="102"/>
      <c r="AQ60" s="102"/>
      <c r="AR60" s="105"/>
      <c r="AS60" s="105"/>
      <c r="AT60" s="105"/>
      <c r="AU60" s="105"/>
      <c r="AV60" s="102"/>
      <c r="AW60" s="102"/>
      <c r="AX60" s="102"/>
      <c r="AY60" s="102"/>
    </row>
    <row r="61" spans="1:51" ht="12.75" customHeight="1">
      <c r="A61" s="102"/>
      <c r="B61" s="102"/>
      <c r="C61" s="105"/>
      <c r="D61" s="102"/>
      <c r="E61" s="102"/>
      <c r="F61" s="104"/>
      <c r="G61" s="105"/>
      <c r="H61" s="105"/>
      <c r="I61" s="105"/>
      <c r="J61" s="105"/>
      <c r="K61" s="102"/>
      <c r="L61" s="102"/>
      <c r="M61" s="102"/>
      <c r="N61" s="102"/>
      <c r="O61" s="102"/>
      <c r="P61" s="102"/>
      <c r="Q61" s="102"/>
      <c r="R61" s="102"/>
      <c r="S61" s="105"/>
      <c r="T61" s="102"/>
      <c r="U61" s="102"/>
      <c r="V61" s="106"/>
      <c r="W61" s="102"/>
      <c r="X61" s="102"/>
      <c r="Y61" s="102"/>
      <c r="Z61" s="102"/>
      <c r="AA61" s="102"/>
      <c r="AB61" s="102"/>
      <c r="AC61" s="102"/>
      <c r="AD61" s="102"/>
      <c r="AE61" s="102"/>
      <c r="AF61" s="102"/>
      <c r="AG61" s="102"/>
      <c r="AH61" s="102"/>
      <c r="AI61" s="102"/>
      <c r="AJ61" s="234" t="str">
        <f t="shared" si="34"/>
        <v>Blitzer</v>
      </c>
      <c r="AK61" s="234" t="str">
        <f t="shared" si="35"/>
        <v>Blitzer Mercenary</v>
      </c>
      <c r="AL61" s="234" t="str">
        <f>$E$3&amp;"4"</f>
        <v>Amazon4</v>
      </c>
      <c r="AM61" s="102"/>
      <c r="AN61" s="102"/>
      <c r="AO61" s="102"/>
      <c r="AP61" s="102"/>
      <c r="AQ61" s="102"/>
      <c r="AR61" s="105"/>
      <c r="AS61" s="105"/>
      <c r="AT61" s="105"/>
      <c r="AU61" s="105"/>
      <c r="AV61" s="102"/>
      <c r="AW61" s="102"/>
      <c r="AX61" s="102"/>
      <c r="AY61" s="102"/>
    </row>
    <row r="62" spans="1:51" ht="12.75" customHeight="1">
      <c r="A62" s="102"/>
      <c r="B62" s="102"/>
      <c r="C62" s="105"/>
      <c r="D62" s="102"/>
      <c r="E62" s="102"/>
      <c r="F62" s="104"/>
      <c r="G62" s="105"/>
      <c r="H62" s="105"/>
      <c r="I62" s="105"/>
      <c r="J62" s="105"/>
      <c r="K62" s="102"/>
      <c r="L62" s="102"/>
      <c r="M62" s="102"/>
      <c r="N62" s="102"/>
      <c r="O62" s="102"/>
      <c r="P62" s="102"/>
      <c r="Q62" s="102"/>
      <c r="R62" s="102"/>
      <c r="S62" s="105"/>
      <c r="T62" s="102"/>
      <c r="U62" s="102"/>
      <c r="V62" s="106"/>
      <c r="W62" s="102"/>
      <c r="X62" s="102"/>
      <c r="Y62" s="102"/>
      <c r="Z62" s="102"/>
      <c r="AA62" s="102"/>
      <c r="AB62" s="102"/>
      <c r="AC62" s="102"/>
      <c r="AD62" s="102"/>
      <c r="AE62" s="102"/>
      <c r="AF62" s="102"/>
      <c r="AG62" s="102"/>
      <c r="AH62" s="102"/>
      <c r="AI62" s="102"/>
      <c r="AJ62" s="234" t="e">
        <f t="shared" si="34"/>
        <v>#N/A</v>
      </c>
      <c r="AK62" s="234" t="e">
        <f t="shared" si="35"/>
        <v>#N/A</v>
      </c>
      <c r="AL62" s="234" t="str">
        <f>$E$3&amp;"5"</f>
        <v>Amazon5</v>
      </c>
      <c r="AM62" s="102"/>
      <c r="AN62" s="102"/>
      <c r="AO62" s="102"/>
      <c r="AP62" s="102"/>
      <c r="AQ62" s="102"/>
      <c r="AR62" s="105"/>
      <c r="AS62" s="105"/>
      <c r="AT62" s="105"/>
      <c r="AU62" s="105"/>
      <c r="AV62" s="102"/>
      <c r="AW62" s="102"/>
      <c r="AX62" s="102"/>
      <c r="AY62" s="102"/>
    </row>
    <row r="63" spans="1:51" ht="12.75" customHeight="1">
      <c r="A63" s="102"/>
      <c r="B63" s="102"/>
      <c r="C63" s="105"/>
      <c r="D63" s="102"/>
      <c r="E63" s="102"/>
      <c r="F63" s="104"/>
      <c r="G63" s="105"/>
      <c r="H63" s="105"/>
      <c r="I63" s="105"/>
      <c r="J63" s="105"/>
      <c r="K63" s="102"/>
      <c r="L63" s="102"/>
      <c r="M63" s="102"/>
      <c r="N63" s="102"/>
      <c r="O63" s="102"/>
      <c r="P63" s="102"/>
      <c r="Q63" s="102"/>
      <c r="R63" s="102"/>
      <c r="S63" s="105"/>
      <c r="T63" s="102"/>
      <c r="U63" s="102"/>
      <c r="V63" s="106"/>
      <c r="W63" s="102"/>
      <c r="X63" s="102"/>
      <c r="Y63" s="102"/>
      <c r="Z63" s="102"/>
      <c r="AA63" s="102"/>
      <c r="AB63" s="102"/>
      <c r="AC63" s="102"/>
      <c r="AD63" s="102"/>
      <c r="AE63" s="102"/>
      <c r="AF63" s="102"/>
      <c r="AG63" s="102"/>
      <c r="AH63" s="102"/>
      <c r="AI63" s="102"/>
      <c r="AJ63" s="234" t="e">
        <f t="shared" si="34"/>
        <v>#N/A</v>
      </c>
      <c r="AK63" s="234" t="e">
        <f t="shared" si="35"/>
        <v>#N/A</v>
      </c>
      <c r="AL63" s="234" t="str">
        <f>$E$3&amp;"6"</f>
        <v>Amazon6</v>
      </c>
      <c r="AM63" s="102"/>
      <c r="AN63" s="102"/>
      <c r="AO63" s="102"/>
      <c r="AP63" s="102"/>
      <c r="AQ63" s="102"/>
      <c r="AR63" s="105"/>
      <c r="AS63" s="105"/>
      <c r="AT63" s="105"/>
      <c r="AU63" s="105"/>
      <c r="AV63" s="102"/>
      <c r="AW63" s="102"/>
      <c r="AX63" s="102"/>
      <c r="AY63" s="102"/>
    </row>
    <row r="64" spans="1:51" ht="12.75" customHeight="1">
      <c r="A64" s="102"/>
      <c r="B64" s="102"/>
      <c r="C64" s="105"/>
      <c r="D64" s="102"/>
      <c r="E64" s="102"/>
      <c r="F64" s="104"/>
      <c r="G64" s="105"/>
      <c r="H64" s="105"/>
      <c r="I64" s="105"/>
      <c r="J64" s="105"/>
      <c r="K64" s="102"/>
      <c r="L64" s="102"/>
      <c r="M64" s="102"/>
      <c r="N64" s="102"/>
      <c r="O64" s="102"/>
      <c r="P64" s="102"/>
      <c r="Q64" s="102"/>
      <c r="R64" s="102"/>
      <c r="S64" s="105"/>
      <c r="T64" s="102"/>
      <c r="U64" s="102"/>
      <c r="V64" s="106"/>
      <c r="W64" s="102"/>
      <c r="X64" s="102"/>
      <c r="Y64" s="102"/>
      <c r="Z64" s="102"/>
      <c r="AA64" s="102"/>
      <c r="AB64" s="102"/>
      <c r="AC64" s="102"/>
      <c r="AD64" s="102"/>
      <c r="AE64" s="102"/>
      <c r="AF64" s="102"/>
      <c r="AG64" s="102"/>
      <c r="AH64" s="102"/>
      <c r="AI64" s="102"/>
      <c r="AJ64" s="234" t="e">
        <f t="shared" si="34"/>
        <v>#N/A</v>
      </c>
      <c r="AK64" s="234" t="e">
        <f t="shared" si="35"/>
        <v>#N/A</v>
      </c>
      <c r="AL64" s="234" t="str">
        <f>$E$3&amp;"7"</f>
        <v>Amazon7</v>
      </c>
      <c r="AM64" s="102"/>
      <c r="AN64" s="102"/>
      <c r="AO64" s="102"/>
      <c r="AP64" s="102"/>
      <c r="AQ64" s="102"/>
      <c r="AR64" s="105"/>
      <c r="AS64" s="105"/>
      <c r="AT64" s="105"/>
      <c r="AU64" s="105"/>
      <c r="AV64" s="102"/>
      <c r="AW64" s="102"/>
      <c r="AX64" s="102"/>
      <c r="AY64" s="102"/>
    </row>
    <row r="65" spans="1:51" ht="12.75" customHeight="1">
      <c r="A65" s="102"/>
      <c r="B65" s="102"/>
      <c r="C65" s="105"/>
      <c r="D65" s="102"/>
      <c r="E65" s="102"/>
      <c r="F65" s="104"/>
      <c r="G65" s="105"/>
      <c r="H65" s="105"/>
      <c r="I65" s="105"/>
      <c r="J65" s="105"/>
      <c r="K65" s="102"/>
      <c r="L65" s="102"/>
      <c r="M65" s="102"/>
      <c r="N65" s="102"/>
      <c r="O65" s="102"/>
      <c r="P65" s="102"/>
      <c r="Q65" s="102"/>
      <c r="R65" s="102"/>
      <c r="S65" s="105"/>
      <c r="T65" s="102"/>
      <c r="U65" s="102"/>
      <c r="V65" s="106"/>
      <c r="W65" s="102"/>
      <c r="X65" s="102"/>
      <c r="Y65" s="102"/>
      <c r="Z65" s="102"/>
      <c r="AA65" s="102"/>
      <c r="AB65" s="102"/>
      <c r="AC65" s="102"/>
      <c r="AD65" s="102"/>
      <c r="AE65" s="102"/>
      <c r="AF65" s="102"/>
      <c r="AG65" s="102"/>
      <c r="AH65" s="102"/>
      <c r="AI65" s="102"/>
      <c r="AJ65" s="234" t="e">
        <f t="shared" si="34"/>
        <v>#N/A</v>
      </c>
      <c r="AK65" s="234" t="e">
        <f t="shared" si="35"/>
        <v>#N/A</v>
      </c>
      <c r="AL65" s="234" t="str">
        <f>$E$3&amp;"8"</f>
        <v>Amazon8</v>
      </c>
      <c r="AM65" s="102"/>
      <c r="AN65" s="102"/>
      <c r="AO65" s="102"/>
      <c r="AP65" s="102"/>
      <c r="AQ65" s="102"/>
      <c r="AR65" s="105"/>
      <c r="AS65" s="105"/>
      <c r="AT65" s="105"/>
      <c r="AU65" s="105"/>
      <c r="AV65" s="102"/>
      <c r="AW65" s="102"/>
      <c r="AX65" s="102"/>
      <c r="AY65" s="102"/>
    </row>
    <row r="66" spans="1:51" ht="12.75" customHeight="1">
      <c r="A66" s="102"/>
      <c r="B66" s="102"/>
      <c r="C66" s="105"/>
      <c r="D66" s="102"/>
      <c r="E66" s="102"/>
      <c r="F66" s="104"/>
      <c r="G66" s="105"/>
      <c r="H66" s="105"/>
      <c r="I66" s="105"/>
      <c r="J66" s="105"/>
      <c r="K66" s="102"/>
      <c r="L66" s="102"/>
      <c r="M66" s="102"/>
      <c r="N66" s="102"/>
      <c r="O66" s="102"/>
      <c r="P66" s="102"/>
      <c r="Q66" s="102"/>
      <c r="R66" s="102"/>
      <c r="S66" s="105"/>
      <c r="T66" s="102"/>
      <c r="U66" s="102"/>
      <c r="V66" s="106"/>
      <c r="W66" s="102"/>
      <c r="X66" s="102"/>
      <c r="Y66" s="102"/>
      <c r="Z66" s="102"/>
      <c r="AA66" s="102"/>
      <c r="AB66" s="102"/>
      <c r="AC66" s="102"/>
      <c r="AD66" s="102"/>
      <c r="AE66" s="102"/>
      <c r="AF66" s="102"/>
      <c r="AG66" s="102"/>
      <c r="AH66" s="102"/>
      <c r="AI66" s="102"/>
      <c r="AJ66" s="234" t="e">
        <f t="shared" si="34"/>
        <v>#N/A</v>
      </c>
      <c r="AK66" s="234" t="e">
        <f t="shared" si="35"/>
        <v>#N/A</v>
      </c>
      <c r="AL66" s="234" t="str">
        <f>$E$3&amp;"9"</f>
        <v>Amazon9</v>
      </c>
      <c r="AM66" s="102"/>
      <c r="AN66" s="102"/>
      <c r="AO66" s="102"/>
      <c r="AP66" s="102"/>
      <c r="AQ66" s="102"/>
      <c r="AR66" s="105"/>
      <c r="AS66" s="105"/>
      <c r="AT66" s="105"/>
      <c r="AU66" s="105"/>
      <c r="AV66" s="102"/>
      <c r="AW66" s="102"/>
      <c r="AX66" s="102"/>
      <c r="AY66" s="102"/>
    </row>
    <row r="67" spans="1:51" ht="12.75" customHeight="1">
      <c r="A67" s="102"/>
      <c r="B67" s="102"/>
      <c r="C67" s="105"/>
      <c r="D67" s="102"/>
      <c r="E67" s="102"/>
      <c r="F67" s="104"/>
      <c r="G67" s="105"/>
      <c r="H67" s="105"/>
      <c r="I67" s="105"/>
      <c r="J67" s="105"/>
      <c r="K67" s="102"/>
      <c r="L67" s="102"/>
      <c r="M67" s="102"/>
      <c r="N67" s="102"/>
      <c r="O67" s="102"/>
      <c r="P67" s="102"/>
      <c r="Q67" s="102"/>
      <c r="R67" s="102"/>
      <c r="S67" s="105"/>
      <c r="T67" s="102"/>
      <c r="U67" s="102"/>
      <c r="V67" s="106"/>
      <c r="W67" s="102"/>
      <c r="X67" s="102"/>
      <c r="Y67" s="102"/>
      <c r="Z67" s="102"/>
      <c r="AA67" s="102"/>
      <c r="AB67" s="102"/>
      <c r="AC67" s="102"/>
      <c r="AD67" s="102"/>
      <c r="AE67" s="102"/>
      <c r="AF67" s="102"/>
      <c r="AG67" s="102"/>
      <c r="AH67" s="102"/>
      <c r="AI67" s="102"/>
      <c r="AJ67" s="234" t="e">
        <f t="shared" si="34"/>
        <v>#N/A</v>
      </c>
      <c r="AK67" s="234" t="e">
        <f t="shared" si="35"/>
        <v>#N/A</v>
      </c>
      <c r="AL67" s="234" t="str">
        <f>$E$3&amp;"10"</f>
        <v>Amazon10</v>
      </c>
      <c r="AM67" s="102"/>
      <c r="AN67" s="102"/>
      <c r="AO67" s="102"/>
      <c r="AP67" s="102"/>
      <c r="AQ67" s="102"/>
      <c r="AR67" s="105"/>
      <c r="AS67" s="105"/>
      <c r="AT67" s="105"/>
      <c r="AU67" s="105"/>
      <c r="AV67" s="102"/>
      <c r="AW67" s="102"/>
      <c r="AX67" s="102"/>
      <c r="AY67" s="102"/>
    </row>
    <row r="68" spans="1:51" ht="12.75" customHeight="1">
      <c r="A68" s="102"/>
      <c r="B68" s="102"/>
      <c r="C68" s="105"/>
      <c r="D68" s="102"/>
      <c r="E68" s="102"/>
      <c r="F68" s="104"/>
      <c r="G68" s="105"/>
      <c r="H68" s="105"/>
      <c r="I68" s="105"/>
      <c r="J68" s="105"/>
      <c r="K68" s="102"/>
      <c r="L68" s="102"/>
      <c r="M68" s="102"/>
      <c r="N68" s="102"/>
      <c r="O68" s="102"/>
      <c r="P68" s="102"/>
      <c r="Q68" s="102"/>
      <c r="R68" s="102"/>
      <c r="S68" s="105"/>
      <c r="T68" s="102"/>
      <c r="U68" s="102"/>
      <c r="V68" s="106"/>
      <c r="W68" s="102"/>
      <c r="X68" s="102"/>
      <c r="Y68" s="102"/>
      <c r="Z68" s="102"/>
      <c r="AA68" s="102"/>
      <c r="AB68" s="102"/>
      <c r="AC68" s="102"/>
      <c r="AD68" s="102"/>
      <c r="AE68" s="102"/>
      <c r="AF68" s="102"/>
      <c r="AG68" s="102"/>
      <c r="AH68" s="102"/>
      <c r="AI68" s="102"/>
      <c r="AJ68" s="102"/>
      <c r="AK68" s="102"/>
      <c r="AL68" s="102"/>
      <c r="AM68" s="102"/>
      <c r="AN68" s="102"/>
      <c r="AO68" s="102"/>
      <c r="AP68" s="102"/>
      <c r="AQ68" s="102"/>
      <c r="AR68" s="105"/>
      <c r="AS68" s="105"/>
      <c r="AT68" s="105"/>
      <c r="AU68" s="105"/>
      <c r="AV68" s="102"/>
      <c r="AW68" s="102"/>
      <c r="AX68" s="102"/>
      <c r="AY68" s="102"/>
    </row>
    <row r="69" spans="1:51" ht="12.75" customHeight="1">
      <c r="A69" s="102"/>
      <c r="B69" s="102"/>
      <c r="C69" s="105"/>
      <c r="D69" s="102"/>
      <c r="E69" s="102"/>
      <c r="F69" s="104"/>
      <c r="G69" s="105"/>
      <c r="H69" s="105"/>
      <c r="I69" s="105"/>
      <c r="J69" s="105"/>
      <c r="K69" s="102"/>
      <c r="L69" s="102"/>
      <c r="M69" s="102"/>
      <c r="N69" s="102"/>
      <c r="O69" s="102"/>
      <c r="P69" s="102"/>
      <c r="Q69" s="102"/>
      <c r="R69" s="102"/>
      <c r="S69" s="105"/>
      <c r="T69" s="102"/>
      <c r="U69" s="102"/>
      <c r="V69" s="106"/>
      <c r="W69" s="102"/>
      <c r="X69" s="102"/>
      <c r="Y69" s="102"/>
      <c r="Z69" s="102"/>
      <c r="AA69" s="102"/>
      <c r="AB69" s="102"/>
      <c r="AC69" s="102"/>
      <c r="AD69" s="102"/>
      <c r="AE69" s="102"/>
      <c r="AF69" s="102"/>
      <c r="AG69" s="102"/>
      <c r="AH69" s="102"/>
      <c r="AI69" s="102"/>
      <c r="AJ69" s="235" t="s">
        <v>225</v>
      </c>
      <c r="AK69" s="234">
        <f t="array" ref="AK69">SUM(IF(ISERROR($AK$58:$AK$67),0,1))</f>
        <v>4</v>
      </c>
      <c r="AL69" s="102"/>
      <c r="AM69" s="102"/>
      <c r="AN69" s="102"/>
      <c r="AO69" s="102"/>
      <c r="AP69" s="102"/>
      <c r="AQ69" s="102"/>
      <c r="AR69" s="105"/>
      <c r="AS69" s="105"/>
      <c r="AT69" s="105"/>
      <c r="AU69" s="105"/>
      <c r="AV69" s="102"/>
      <c r="AW69" s="102"/>
      <c r="AX69" s="102"/>
      <c r="AY69" s="102"/>
    </row>
    <row r="70" spans="1:51" ht="12.75" customHeight="1">
      <c r="A70" s="102"/>
      <c r="B70" s="102"/>
      <c r="C70" s="105"/>
      <c r="D70" s="102"/>
      <c r="E70" s="102"/>
      <c r="F70" s="104"/>
      <c r="G70" s="105"/>
      <c r="H70" s="105"/>
      <c r="I70" s="105"/>
      <c r="J70" s="105"/>
      <c r="K70" s="102"/>
      <c r="L70" s="102"/>
      <c r="M70" s="102"/>
      <c r="N70" s="102"/>
      <c r="O70" s="102"/>
      <c r="P70" s="102"/>
      <c r="Q70" s="102"/>
      <c r="R70" s="102"/>
      <c r="S70" s="105"/>
      <c r="T70" s="102"/>
      <c r="U70" s="102"/>
      <c r="V70" s="106"/>
      <c r="W70" s="102"/>
      <c r="X70" s="102"/>
      <c r="Y70" s="102"/>
      <c r="Z70" s="102"/>
      <c r="AA70" s="102"/>
      <c r="AB70" s="102"/>
      <c r="AC70" s="102"/>
      <c r="AD70" s="102"/>
      <c r="AE70" s="102"/>
      <c r="AF70" s="102"/>
      <c r="AG70" s="102"/>
      <c r="AH70" s="102"/>
      <c r="AI70" s="102"/>
      <c r="AJ70" s="235" t="s">
        <v>226</v>
      </c>
      <c r="AK70" s="234">
        <f t="array" ref="AK70">SUM(IF(ISERROR($AK$48:$AK$57),0,1))</f>
        <v>6</v>
      </c>
      <c r="AL70" s="102"/>
      <c r="AM70" s="102"/>
      <c r="AN70" s="102"/>
      <c r="AO70" s="102"/>
      <c r="AP70" s="102"/>
      <c r="AQ70" s="102"/>
      <c r="AR70" s="105"/>
      <c r="AS70" s="105"/>
      <c r="AT70" s="105"/>
      <c r="AU70" s="105"/>
      <c r="AV70" s="102"/>
      <c r="AW70" s="102"/>
      <c r="AX70" s="102"/>
      <c r="AY70" s="102"/>
    </row>
  </sheetData>
  <mergeCells count="58">
    <mergeCell ref="F41:I41"/>
    <mergeCell ref="F42:I42"/>
    <mergeCell ref="H39:I39"/>
    <mergeCell ref="H38:I38"/>
    <mergeCell ref="D41:E41"/>
    <mergeCell ref="H40:I40"/>
    <mergeCell ref="D40:E40"/>
    <mergeCell ref="O38:Q38"/>
    <mergeCell ref="M39:P39"/>
    <mergeCell ref="R42:S42"/>
    <mergeCell ref="R40:S40"/>
    <mergeCell ref="R41:S41"/>
    <mergeCell ref="D30:E30"/>
    <mergeCell ref="L3:M3"/>
    <mergeCell ref="K27:R27"/>
    <mergeCell ref="K26:R26"/>
    <mergeCell ref="K25:R25"/>
    <mergeCell ref="K28:R28"/>
    <mergeCell ref="K29:R29"/>
    <mergeCell ref="J3:K3"/>
    <mergeCell ref="N3:S3"/>
    <mergeCell ref="D24:E24"/>
    <mergeCell ref="V24:W24"/>
    <mergeCell ref="V25:W25"/>
    <mergeCell ref="E3:F3"/>
    <mergeCell ref="G3:I3"/>
    <mergeCell ref="O36:Q36"/>
    <mergeCell ref="O37:Q37"/>
    <mergeCell ref="AF3:AG3"/>
    <mergeCell ref="AR3:AU3"/>
    <mergeCell ref="V30:W30"/>
    <mergeCell ref="V26:W26"/>
    <mergeCell ref="K30:R30"/>
    <mergeCell ref="L31:P31"/>
    <mergeCell ref="L33:R33"/>
    <mergeCell ref="V27:W27"/>
    <mergeCell ref="V28:W28"/>
    <mergeCell ref="V29:W29"/>
    <mergeCell ref="O34:Q34"/>
    <mergeCell ref="O35:Q35"/>
    <mergeCell ref="U3:W3"/>
    <mergeCell ref="K24:R24"/>
    <mergeCell ref="D33:I33"/>
    <mergeCell ref="D39:E39"/>
    <mergeCell ref="D37:E37"/>
    <mergeCell ref="D38:E38"/>
    <mergeCell ref="D25:E25"/>
    <mergeCell ref="D27:E27"/>
    <mergeCell ref="D28:E28"/>
    <mergeCell ref="D26:E26"/>
    <mergeCell ref="D34:E34"/>
    <mergeCell ref="H36:I36"/>
    <mergeCell ref="H37:I37"/>
    <mergeCell ref="H34:I34"/>
    <mergeCell ref="H35:I35"/>
    <mergeCell ref="D36:E36"/>
    <mergeCell ref="D35:E35"/>
    <mergeCell ref="D29:E29"/>
  </mergeCells>
  <conditionalFormatting sqref="G6:J21">
    <cfRule type="cellIs" dxfId="16" priority="1" stopIfTrue="1" operator="greaterThan">
      <formula>AR6</formula>
    </cfRule>
  </conditionalFormatting>
  <conditionalFormatting sqref="G6:J21">
    <cfRule type="cellIs" dxfId="15" priority="2" stopIfTrue="1" operator="lessThan">
      <formula>AR6</formula>
    </cfRule>
  </conditionalFormatting>
  <dataValidations count="13">
    <dataValidation type="list" allowBlank="1" showErrorMessage="1" sqref="E3">
      <formula1>TeamList</formula1>
    </dataValidation>
    <dataValidation type="decimal" allowBlank="1" showInputMessage="1" showErrorMessage="1" prompt="Wrong Entry - Please enter only numbers between 0 and 2!" sqref="F34 F38">
      <formula1>0</formula1>
      <formula2>2</formula2>
    </dataValidation>
    <dataValidation type="list" allowBlank="1" showInputMessage="1" showErrorMessage="1" prompt="Wrong Entry - Please enter a value from the dropdown list!" sqref="E6:E21">
      <formula1>OFFSET($AJ$58:$AJ$67,0,0,$AK$69,1)</formula1>
    </dataValidation>
    <dataValidation type="list" allowBlank="1" showErrorMessage="1" sqref="D44">
      <formula1>#REF!</formula1>
    </dataValidation>
    <dataValidation type="list" allowBlank="1" showInputMessage="1" showErrorMessage="1" prompt="Wrong Entry - Please enter a value from the dropdown list!" sqref="L6:L21">
      <formula1>StatusDropdown</formula1>
    </dataValidation>
    <dataValidation type="list" allowBlank="1" showInputMessage="1" showErrorMessage="1" prompt="Wrong Entry - Please enter a value from the dropdown list!" sqref="D25:D30">
      <formula1>OFFSET($AK$48:$AK$67,(10-$AK$70),0,$AK$69+$AK$70,1)</formula1>
    </dataValidation>
    <dataValidation type="decimal" allowBlank="1" showInputMessage="1" showErrorMessage="1" prompt="Wrong Entry - Please enter only numbers between 0 and 3!" sqref="F35">
      <formula1>0</formula1>
      <formula2>3</formula2>
    </dataValidation>
    <dataValidation type="decimal" allowBlank="1" showInputMessage="1" showErrorMessage="1" prompt="Wrong Entry - Please enter only numbers!" sqref="M34:M37">
      <formula1>0</formula1>
      <formula2>99</formula2>
    </dataValidation>
    <dataValidation type="list" allowBlank="1" showErrorMessage="1" sqref="Y6:AD21 V25:V30 Y30">
      <formula1>OFFSET(DBSkills,0,0,ROWS(DBSkills),1)</formula1>
    </dataValidation>
    <dataValidation type="decimal" allowBlank="1" showInputMessage="1" showErrorMessage="1" prompt="Wrong Entry - Please enter only numbers!" sqref="M39 F41">
      <formula1>-10000000</formula1>
      <formula2>1000000</formula2>
    </dataValidation>
    <dataValidation type="decimal" allowBlank="1" showInputMessage="1" showErrorMessage="1" prompt="Wrong Entry - Please enter only numbers between 0 and 4!" sqref="F36">
      <formula1>0</formula1>
      <formula2>4</formula2>
    </dataValidation>
    <dataValidation type="decimal" allowBlank="1" showInputMessage="1" showErrorMessage="1" prompt="Wrong Entry - Please do only enter numbers!" sqref="M6:Q21">
      <formula1>0</formula1>
      <formula2>9999</formula2>
    </dataValidation>
    <dataValidation type="decimal" allowBlank="1" showInputMessage="1" showErrorMessage="1" prompt="Wrong Entry - Please enter only 0 or 1!" sqref="F37 M38 F39:F40">
      <formula1>0</formula1>
      <formula2>1</formula2>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Y70"/>
  <sheetViews>
    <sheetView workbookViewId="0">
      <selection activeCell="E18" sqref="E18"/>
    </sheetView>
  </sheetViews>
  <sheetFormatPr defaultColWidth="14.42578125" defaultRowHeight="15" customHeight="1"/>
  <cols>
    <col min="1" max="1" width="0.7109375" customWidth="1"/>
    <col min="2" max="2" width="0.5703125" customWidth="1"/>
    <col min="3" max="3" width="3.7109375" customWidth="1"/>
    <col min="4" max="4" width="15.7109375" customWidth="1"/>
    <col min="5" max="5" width="12.140625" customWidth="1"/>
    <col min="6" max="6" width="5.85546875" customWidth="1"/>
    <col min="7" max="7" width="3.140625" customWidth="1"/>
    <col min="8" max="10" width="3.42578125" customWidth="1"/>
    <col min="11" max="11" width="55.42578125" customWidth="1"/>
    <col min="12" max="12" width="5.85546875" customWidth="1"/>
    <col min="13" max="18" width="3.42578125" customWidth="1"/>
    <col min="19" max="19" width="8" customWidth="1"/>
    <col min="20" max="20" width="0.5703125" customWidth="1"/>
    <col min="21" max="22" width="7.140625" customWidth="1"/>
    <col min="23" max="23" width="7.42578125" customWidth="1"/>
    <col min="24" max="24" width="0.5703125" customWidth="1"/>
    <col min="25" max="30" width="12.42578125" customWidth="1"/>
    <col min="31" max="31" width="13.28515625" customWidth="1"/>
    <col min="32" max="32" width="17.42578125" customWidth="1"/>
    <col min="33" max="33" width="6.42578125" customWidth="1"/>
    <col min="34" max="34" width="24.140625" customWidth="1"/>
    <col min="35" max="35" width="10.140625" hidden="1" customWidth="1"/>
    <col min="36" max="43" width="11.42578125" hidden="1" customWidth="1"/>
    <col min="44" max="47" width="3.5703125" hidden="1" customWidth="1"/>
    <col min="48" max="51" width="11.42578125" hidden="1" customWidth="1"/>
  </cols>
  <sheetData>
    <row r="1" spans="1:51" ht="3.75" customHeight="1">
      <c r="A1" s="102"/>
      <c r="B1" s="102"/>
      <c r="C1" s="103"/>
      <c r="D1" s="102"/>
      <c r="E1" s="102"/>
      <c r="F1" s="104"/>
      <c r="G1" s="105"/>
      <c r="H1" s="105"/>
      <c r="I1" s="105"/>
      <c r="J1" s="105"/>
      <c r="K1" s="102"/>
      <c r="L1" s="102"/>
      <c r="M1" s="102"/>
      <c r="N1" s="102"/>
      <c r="O1" s="102"/>
      <c r="P1" s="102"/>
      <c r="Q1" s="102"/>
      <c r="R1" s="102"/>
      <c r="S1" s="105"/>
      <c r="T1" s="102"/>
      <c r="U1" s="102"/>
      <c r="V1" s="106"/>
      <c r="W1" s="102"/>
      <c r="X1" s="102"/>
      <c r="Y1" s="102"/>
      <c r="Z1" s="102"/>
      <c r="AA1" s="102"/>
      <c r="AB1" s="102"/>
      <c r="AC1" s="102"/>
      <c r="AD1" s="102"/>
      <c r="AE1" s="102"/>
      <c r="AF1" s="102"/>
      <c r="AG1" s="102"/>
      <c r="AH1" s="102"/>
      <c r="AI1" s="102"/>
      <c r="AJ1" s="102"/>
      <c r="AK1" s="102"/>
      <c r="AL1" s="102"/>
      <c r="AM1" s="102"/>
      <c r="AN1" s="102"/>
      <c r="AO1" s="102"/>
      <c r="AP1" s="102"/>
      <c r="AQ1" s="102"/>
      <c r="AR1" s="105"/>
      <c r="AS1" s="105"/>
      <c r="AT1" s="105"/>
      <c r="AU1" s="105"/>
      <c r="AV1" s="102"/>
      <c r="AW1" s="102"/>
      <c r="AX1" s="102"/>
      <c r="AY1" s="102"/>
    </row>
    <row r="2" spans="1:51" ht="3" customHeight="1">
      <c r="A2" s="102"/>
      <c r="B2" s="107"/>
      <c r="C2" s="108"/>
      <c r="D2" s="109"/>
      <c r="E2" s="109"/>
      <c r="F2" s="110"/>
      <c r="G2" s="108"/>
      <c r="H2" s="108"/>
      <c r="I2" s="108"/>
      <c r="J2" s="108"/>
      <c r="K2" s="109"/>
      <c r="L2" s="109"/>
      <c r="M2" s="109"/>
      <c r="N2" s="109"/>
      <c r="O2" s="109"/>
      <c r="P2" s="109"/>
      <c r="Q2" s="109"/>
      <c r="R2" s="109"/>
      <c r="S2" s="109"/>
      <c r="T2" s="111"/>
      <c r="U2" s="102"/>
      <c r="V2" s="112"/>
      <c r="W2" s="113"/>
      <c r="X2" s="113"/>
      <c r="Y2" s="102"/>
      <c r="Z2" s="102"/>
      <c r="AA2" s="102"/>
      <c r="AB2" s="102"/>
      <c r="AC2" s="102"/>
      <c r="AD2" s="102"/>
      <c r="AE2" s="102"/>
      <c r="AF2" s="102"/>
      <c r="AG2" s="102"/>
      <c r="AH2" s="102"/>
      <c r="AI2" s="102"/>
      <c r="AJ2" s="102"/>
      <c r="AK2" s="102"/>
      <c r="AL2" s="102"/>
      <c r="AM2" s="102"/>
      <c r="AN2" s="102"/>
      <c r="AO2" s="102"/>
      <c r="AP2" s="102"/>
      <c r="AQ2" s="102"/>
      <c r="AR2" s="105"/>
      <c r="AS2" s="105"/>
      <c r="AT2" s="105"/>
      <c r="AU2" s="105"/>
      <c r="AV2" s="102"/>
      <c r="AW2" s="102"/>
      <c r="AX2" s="102"/>
      <c r="AY2" s="102"/>
    </row>
    <row r="3" spans="1:51" ht="18" customHeight="1">
      <c r="A3" s="102"/>
      <c r="B3" s="114"/>
      <c r="C3" s="115"/>
      <c r="D3" s="116" t="s">
        <v>131</v>
      </c>
      <c r="E3" s="339" t="s">
        <v>255</v>
      </c>
      <c r="F3" s="340"/>
      <c r="G3" s="342" t="s">
        <v>133</v>
      </c>
      <c r="H3" s="316"/>
      <c r="I3" s="316"/>
      <c r="J3" s="339" t="s">
        <v>44</v>
      </c>
      <c r="K3" s="340"/>
      <c r="L3" s="342" t="s">
        <v>134</v>
      </c>
      <c r="M3" s="316"/>
      <c r="N3" s="339" t="s">
        <v>291</v>
      </c>
      <c r="O3" s="340"/>
      <c r="P3" s="340"/>
      <c r="Q3" s="340"/>
      <c r="R3" s="340"/>
      <c r="S3" s="340"/>
      <c r="T3" s="117"/>
      <c r="U3" s="338" t="s">
        <v>136</v>
      </c>
      <c r="V3" s="316"/>
      <c r="W3" s="316"/>
      <c r="X3" s="118"/>
      <c r="Y3" s="119" t="s">
        <v>137</v>
      </c>
      <c r="Z3" s="102"/>
      <c r="AA3" s="102"/>
      <c r="AB3" s="102"/>
      <c r="AC3" s="102"/>
      <c r="AD3" s="102"/>
      <c r="AE3" s="102"/>
      <c r="AF3" s="336" t="s">
        <v>138</v>
      </c>
      <c r="AG3" s="337"/>
      <c r="AH3" s="120"/>
      <c r="AI3" s="102"/>
      <c r="AJ3" s="102"/>
      <c r="AK3" s="102"/>
      <c r="AL3" s="102"/>
      <c r="AM3" s="102"/>
      <c r="AN3" s="102"/>
      <c r="AO3" s="102"/>
      <c r="AP3" s="102"/>
      <c r="AQ3" s="102"/>
      <c r="AR3" s="335" t="s">
        <v>139</v>
      </c>
      <c r="AS3" s="316"/>
      <c r="AT3" s="316"/>
      <c r="AU3" s="316"/>
      <c r="AV3" s="102"/>
      <c r="AW3" s="102"/>
      <c r="AX3" s="102"/>
      <c r="AY3" s="102"/>
    </row>
    <row r="4" spans="1:51" ht="3" customHeight="1">
      <c r="A4" s="102"/>
      <c r="B4" s="107"/>
      <c r="C4" s="108"/>
      <c r="D4" s="109"/>
      <c r="E4" s="109"/>
      <c r="F4" s="110"/>
      <c r="G4" s="108"/>
      <c r="H4" s="108"/>
      <c r="I4" s="108"/>
      <c r="J4" s="108"/>
      <c r="K4" s="109"/>
      <c r="L4" s="109"/>
      <c r="M4" s="109"/>
      <c r="N4" s="109"/>
      <c r="O4" s="109"/>
      <c r="P4" s="109"/>
      <c r="Q4" s="109"/>
      <c r="R4" s="109"/>
      <c r="S4" s="108"/>
      <c r="T4" s="111"/>
      <c r="U4" s="121"/>
      <c r="V4" s="122"/>
      <c r="W4" s="121"/>
      <c r="X4" s="121"/>
      <c r="Y4" s="121"/>
      <c r="Z4" s="121"/>
      <c r="AA4" s="121"/>
      <c r="AB4" s="121"/>
      <c r="AC4" s="121"/>
      <c r="AD4" s="121"/>
      <c r="AE4" s="121"/>
      <c r="AF4" s="121"/>
      <c r="AG4" s="121"/>
      <c r="AH4" s="120"/>
      <c r="AI4" s="102"/>
      <c r="AJ4" s="102"/>
      <c r="AK4" s="102"/>
      <c r="AL4" s="102"/>
      <c r="AM4" s="102"/>
      <c r="AN4" s="102"/>
      <c r="AO4" s="102"/>
      <c r="AP4" s="102"/>
      <c r="AQ4" s="102"/>
      <c r="AR4" s="105"/>
      <c r="AS4" s="105"/>
      <c r="AT4" s="105"/>
      <c r="AU4" s="105"/>
      <c r="AV4" s="102"/>
      <c r="AW4" s="102"/>
      <c r="AX4" s="102"/>
      <c r="AY4" s="102"/>
    </row>
    <row r="5" spans="1:51" ht="13.5" customHeight="1">
      <c r="A5" s="123"/>
      <c r="B5" s="124"/>
      <c r="C5" s="125" t="s">
        <v>140</v>
      </c>
      <c r="D5" s="126" t="s">
        <v>141</v>
      </c>
      <c r="E5" s="126" t="s">
        <v>126</v>
      </c>
      <c r="F5" s="127" t="s">
        <v>142</v>
      </c>
      <c r="G5" s="127" t="str">
        <f>T_MA</f>
        <v>MA</v>
      </c>
      <c r="H5" s="127" t="str">
        <f>T_ST</f>
        <v>ST</v>
      </c>
      <c r="I5" s="127" t="str">
        <f>T_AG</f>
        <v>AG</v>
      </c>
      <c r="J5" s="127" t="str">
        <f>T_AV</f>
        <v>AV</v>
      </c>
      <c r="K5" s="128" t="s">
        <v>143</v>
      </c>
      <c r="L5" s="125" t="s">
        <v>144</v>
      </c>
      <c r="M5" s="129" t="s">
        <v>120</v>
      </c>
      <c r="N5" s="130" t="s">
        <v>20</v>
      </c>
      <c r="O5" s="130" t="s">
        <v>121</v>
      </c>
      <c r="P5" s="130" t="s">
        <v>122</v>
      </c>
      <c r="Q5" s="130" t="s">
        <v>123</v>
      </c>
      <c r="R5" s="131" t="s">
        <v>124</v>
      </c>
      <c r="S5" s="132" t="s">
        <v>145</v>
      </c>
      <c r="T5" s="117"/>
      <c r="U5" s="133" t="s">
        <v>146</v>
      </c>
      <c r="V5" s="133" t="s">
        <v>147</v>
      </c>
      <c r="W5" s="134" t="s">
        <v>148</v>
      </c>
      <c r="X5" s="135"/>
      <c r="Y5" s="136" t="s">
        <v>149</v>
      </c>
      <c r="Z5" s="136" t="s">
        <v>150</v>
      </c>
      <c r="AA5" s="136" t="s">
        <v>151</v>
      </c>
      <c r="AB5" s="136" t="s">
        <v>152</v>
      </c>
      <c r="AC5" s="136" t="s">
        <v>153</v>
      </c>
      <c r="AD5" s="137" t="s">
        <v>154</v>
      </c>
      <c r="AE5" s="138" t="s">
        <v>155</v>
      </c>
      <c r="AF5" s="139" t="s">
        <v>156</v>
      </c>
      <c r="AG5" s="140" t="s">
        <v>157</v>
      </c>
      <c r="AH5" s="120"/>
      <c r="AI5" s="123"/>
      <c r="AJ5" s="141" t="s">
        <v>158</v>
      </c>
      <c r="AK5" s="141" t="s">
        <v>159</v>
      </c>
      <c r="AL5" s="123"/>
      <c r="AM5" s="123"/>
      <c r="AN5" s="123"/>
      <c r="AO5" s="123"/>
      <c r="AP5" s="123"/>
      <c r="AQ5" s="141" t="s">
        <v>160</v>
      </c>
      <c r="AR5" s="104" t="str">
        <f>T_MA</f>
        <v>MA</v>
      </c>
      <c r="AS5" s="104" t="str">
        <f>T_ST</f>
        <v>ST</v>
      </c>
      <c r="AT5" s="104" t="str">
        <f>T_AG</f>
        <v>AG</v>
      </c>
      <c r="AU5" s="104" t="str">
        <f>T_AV</f>
        <v>AV</v>
      </c>
      <c r="AV5" s="123"/>
      <c r="AW5" s="102"/>
      <c r="AX5" s="102"/>
      <c r="AY5" s="102"/>
    </row>
    <row r="6" spans="1:51" ht="13.5" customHeight="1">
      <c r="A6" s="102"/>
      <c r="B6" s="114"/>
      <c r="C6" s="142">
        <v>1</v>
      </c>
      <c r="D6" s="143" t="s">
        <v>292</v>
      </c>
      <c r="E6" s="143" t="s">
        <v>262</v>
      </c>
      <c r="F6" s="144" t="str">
        <f>IF($E6&lt;&gt;"",IF($AJ6&lt;&gt;"",IF(AND($L6=T_Journey,VLOOKUP($AJ6,DBPlayers,2,0)&lt;12),T_Error&amp;"7",IF("Journeymen not available"=0,T_Error&amp;"8",IF(COUNTIF($E$6:$E6,$E6)-$AQ6&gt;VLOOKUP($AJ6,DBPlayers,2,0),T_Error&amp;"2",IF(L6=T_MNG,0,COUNTIF($E$6:$E6,$E6)-$AQ6)&amp;"/"&amp;(VLOOKUP($AJ6,DBPlayers,2,0))))),T_Error&amp;"1"),"")</f>
        <v>1/2</v>
      </c>
      <c r="G6" s="145">
        <f t="shared" ref="G6:G21" si="0">IF(OR($E6="",LEFT($F6,LEN(T_Error))=T_Error),"",MAX(1,VLOOKUP($AJ6,DBPlayers,4,0)+COUNTIF($Y6:$AD6,T_MA&amp;"+")-IF(ISERROR(FIND(T_MA&amp;"-",$AE6)),0,IF(ISERROR(FIND(T_MA&amp;"-",$AE6,FIND(T_MA&amp;"-",$AE6)+LEN(T_MA)+1)),1,2))))</f>
        <v>5</v>
      </c>
      <c r="H6" s="145">
        <f t="shared" ref="H6:H21" si="1">IF(OR(($E6=""),(LEFT($F6,LEN(T_Error))=T_Error)),"",MAX(1,VLOOKUP($AJ6,DBPlayers,5,0)+COUNTIF($Y6:$AD6,T_ST&amp;"+")-IF(ISERROR(FIND(T_ST&amp;"-",$AE6)),0,IF(ISERROR(FIND(T_ST&amp;"-",$AE6,FIND(T_ST&amp;"-",$AE6)+LEN(T_ST)+1)),1,2))))</f>
        <v>3</v>
      </c>
      <c r="I6" s="145">
        <f t="shared" ref="I6:I21" si="2">IF(OR(($E6=""),(LEFT($F6,LEN(T_Error))=T_Error)),"",MAX(1,VLOOKUP($AJ6,DBPlayers,6,0)+COUNTIF($Y6:$AD6,T_AG&amp;"+")-IF(ISERROR(FIND(T_AG&amp;"-",$AE6)),0,IF(ISERROR(FIND(T_AG&amp;"-",$AE6,FIND(T_AG&amp;"-",$AE6)+LEN(T_AG)+1)),1,2))))</f>
        <v>3</v>
      </c>
      <c r="J6" s="145">
        <f t="shared" ref="J6:J21" si="3">IF(OR(($E6=""),(LEFT($F6,LEN(T_Error))=T_Error)),"",MAX(1,VLOOKUP($AJ6,DBPlayers,7,0)+COUNTIF($Y6:$AD6,T_AV&amp;"+")-IF(ISERROR(FIND(T_AV&amp;"-",$AE6)),0,IF(ISERROR(FIND(T_AV&amp;"-",$AE6,FIND(T_AV&amp;"-",$AE6)+LEN(T_AV)+1)),1,2))))</f>
        <v>8</v>
      </c>
      <c r="K6" s="146" t="str">
        <f t="shared" ref="K6:K21" ca="1" si="4">IF($E6="","",IF(LEFT($F6,LEN(T_Error))=T_Error,INDIRECT("T_Error"&amp;RIGHT($F6,1)),IF(VLOOKUP($AJ6,DBPlayers,8,0)&lt;&gt;0,IF($L6=T_Journey,T_Loner&amp;", ","")&amp;VLOOKUP($AJ6,DBPlayers,8,0)&amp;IF($W6&gt;0,", ",""),IF($L6=T_Journey,T_Loner,""))&amp;IF($W6&gt;0,IF(Y6&lt;&gt;"",Y6,T_MS),"")&amp;IF($W6&gt;1,", "&amp;IF(Z6&lt;&gt;"",Z6,T_MS),"")&amp;IF($W6&gt;2,", "&amp;IF(AA6&lt;&gt;"",AA6,T_MS),"")&amp;IF($W6&gt;3,", "&amp;IF(AB6&lt;&gt;"",AB6,T_MS),"")&amp;IF($W6&gt;4,", "&amp;IF(AC6&lt;&gt;"",AC6,T_MS),"")&amp;IF($W6&gt;5,", "&amp;IF(AD6&lt;&gt;"",AD6,T_MS),"")&amp;IF(AF6&lt;&gt;"",IF(OR($W6&gt;0,VLOOKUP($AJ6,DBPlayers,8,0)&lt;&gt;0),", ","")&amp;AF6,"")&amp;IF(AE6&lt;&gt;"",IF(OR($W6&gt;0,AF6&lt;&gt;"",VLOOKUP($AJ6,DBPlayers,8,0)&lt;&gt;0),", ","")&amp;AE6,"")))</f>
        <v>Pass, Sure Hands, Block, Dodge</v>
      </c>
      <c r="L6" s="147"/>
      <c r="M6" s="148">
        <v>6</v>
      </c>
      <c r="N6" s="149">
        <v>1</v>
      </c>
      <c r="O6" s="149"/>
      <c r="P6" s="149"/>
      <c r="Q6" s="149">
        <v>2</v>
      </c>
      <c r="R6" s="150">
        <f t="shared" ref="R6:R21" si="5">IF(OR(($E6=""),(LEFT($F6,LEN(T_Error))=T_Error)),"",M6*SPP_CP+N6*SPP_TD+O6*SPP_IN+P6*SPP_CS+Q6*SPP_VP)</f>
        <v>19</v>
      </c>
      <c r="S6" s="151">
        <f>IF(OR($E6="",LEFT($F6,LEN(T_Error))=T_Error),"",IF($L6=T_MNG,0,VLOOKUP($AJ6,DBPlayers,11,0)+SUM($AK6:$AP6)+AG6))</f>
        <v>120000</v>
      </c>
      <c r="T6" s="117"/>
      <c r="U6" s="152" t="str">
        <f t="shared" ref="U6:U21" si="6">IF(OR(($E6=""),(LEFT($F6,LEN(T_Error))=T_Error)),"",VLOOKUP($AJ6,DBPlayers,9,0))</f>
        <v xml:space="preserve">G P </v>
      </c>
      <c r="V6" s="152" t="str">
        <f t="shared" ref="V6:V21" si="7">IF(OR(($E6=""),(LEFT($F6,LEN(T_Error))=T_Error)),"",VLOOKUP($AJ6,DBPlayers,10,0))</f>
        <v>A S</v>
      </c>
      <c r="W6" s="153">
        <f t="shared" ref="W6:W21" si="8">IF(R6="","",IF($R6&gt;=SPP_6,6,IF($R6&gt;=SPP_5,5,IF($R6&gt;=SPP_4,4,IF($R6&gt;=SPP_3,3,IF($R6&gt;=SPP_2,2,IF($R6&gt;=SPP_1,1,0)))))))</f>
        <v>2</v>
      </c>
      <c r="X6" s="121"/>
      <c r="Y6" s="154" t="s">
        <v>162</v>
      </c>
      <c r="Z6" s="154" t="s">
        <v>165</v>
      </c>
      <c r="AA6" s="154"/>
      <c r="AB6" s="154"/>
      <c r="AC6" s="154"/>
      <c r="AD6" s="155"/>
      <c r="AE6" s="156"/>
      <c r="AF6" s="157"/>
      <c r="AG6" s="158"/>
      <c r="AH6" s="120"/>
      <c r="AI6" s="123">
        <v>1</v>
      </c>
      <c r="AJ6" s="159" t="str">
        <f t="shared" ref="AJ6:AJ21" si="9">IF(OR(E6="",ISERROR(VLOOKUP(E6,$AJ$58:$AL$67,3,0))),"",VLOOKUP(E6,$AJ$58:$AL$67,3,0))</f>
        <v>Orc3</v>
      </c>
      <c r="AK6" s="159">
        <f>IF(Y6="",0,IF(ISERROR(FIND(VLOOKUP(Y6,DBSkills,2,0),$U6)),0,IMP_REGULAR)+IF(ISERROR(FIND(VLOOKUP(Y6,DBSkills,2,0),$V6)),0,IMP_DOUBLE)+IF(Y6=T_ST&amp;"+",IMP_ST,0)+IF(Y6=T_AG&amp;"+",IMP_AG,0)+IF(Y6=T_MA&amp;"+",IMP_MA,0)+IF(Y6=T_AV&amp;"+",IMP_MA,0))</f>
        <v>20000</v>
      </c>
      <c r="AL6" s="159">
        <f t="shared" ref="AL6:AL21" si="10">IF(Z6="",0,IF(Z6=T_ST&amp;"+",50000,IF(Z6=T_AG&amp;"+",40000,IF(OR(Z6=T_MA&amp;"+",Z6=T_AV&amp;"+"),30000,IF(ISERROR(FIND(VLOOKUP(Z6,DBSkills,2,0),$V6)),20000,30000)))))</f>
        <v>30000</v>
      </c>
      <c r="AM6" s="159">
        <f t="shared" ref="AM6:AM21" si="11">IF(AA6="",0,IF(AA6=T_ST&amp;"+",50000,IF(AA6=T_AG&amp;"+",40000,IF(OR(AA6=T_MA&amp;"+",AA6=T_AV&amp;"+"),30000,IF(ISERROR(FIND(VLOOKUP(AA6,DBSkills,2,0),$V6)),20000,30000)))))</f>
        <v>0</v>
      </c>
      <c r="AN6" s="159">
        <f t="shared" ref="AN6:AN21" si="12">IF(AB6="",0,IF(AB6=T_ST&amp;"+",50000,IF(AB6=T_AG&amp;"+",40000,IF(OR(AB6=T_MA&amp;"+",AB6=T_AV&amp;"+"),30000,IF(ISERROR(FIND(VLOOKUP(AB6,DBSkills,2,0),$V6)),20000,30000)))))</f>
        <v>0</v>
      </c>
      <c r="AO6" s="159">
        <f t="shared" ref="AO6:AO21" si="13">IF(AC6="",0,IF(AC6=T_ST&amp;"+",50000,IF(AC6=T_AG&amp;"+",40000,IF(OR(AC6=T_MA&amp;"+",AC6=T_AV&amp;"+"),30000,IF(ISERROR(FIND(VLOOKUP(AC6,DBSkills,2,0),$V6)),20000,30000)))))</f>
        <v>0</v>
      </c>
      <c r="AP6" s="159">
        <f t="shared" ref="AP6:AP21" si="14">IF(AD6="",0,IF(AD6=T_ST&amp;"+",50000,IF(AD6=T_AG&amp;"+",40000,IF(OR(AD6=T_MA&amp;"+",AD6=T_AV&amp;"+"),30000,IF(ISERROR(FIND(VLOOKUP(AD6,DBSkills,2,0),$V6)),20000,30000)))))</f>
        <v>0</v>
      </c>
      <c r="AQ6" s="159">
        <f t="array" ref="AQ6">IF(ISERROR($AJ6),0,IF($AJ6="","",SUM(IF($AJ6=$AJ$6:$AJ6,IF($L$6:$L6=T_MNG,1,0),0))))</f>
        <v>0</v>
      </c>
      <c r="AR6" s="160">
        <f t="shared" ref="AR6:AR21" si="15">IF(OR($E6="",LEFT($F6,LEN(T_Error))=T_Error),"",MAX(1,VLOOKUP($AJ6,DBPlayers,4,0)))</f>
        <v>5</v>
      </c>
      <c r="AS6" s="160">
        <f t="shared" ref="AS6:AS21" si="16">IF(OR(($E6=""),(LEFT($F6,LEN(T_Error))=T_Error)),"",MAX(1,VLOOKUP($AJ6,DBPlayers,5,0)))</f>
        <v>3</v>
      </c>
      <c r="AT6" s="160">
        <f t="shared" ref="AT6:AT21" si="17">IF(OR(($E6=""),(LEFT($F6,LEN(T_Error))=T_Error)),"",MAX(1,VLOOKUP($AJ6,DBPlayers,6,0)))</f>
        <v>3</v>
      </c>
      <c r="AU6" s="160">
        <f t="shared" ref="AU6:AU21" si="18">IF(OR(($E6=""),(LEFT($F6,LEN(T_Error))=T_Error)),"",MAX(1,VLOOKUP($AJ6,DBPlayers,7,0)))</f>
        <v>8</v>
      </c>
      <c r="AV6" s="102"/>
      <c r="AW6" s="102"/>
      <c r="AX6" s="102"/>
      <c r="AY6" s="102"/>
    </row>
    <row r="7" spans="1:51" ht="13.5" customHeight="1">
      <c r="A7" s="102"/>
      <c r="B7" s="114"/>
      <c r="C7" s="161">
        <v>2</v>
      </c>
      <c r="D7" s="162" t="s">
        <v>293</v>
      </c>
      <c r="E7" s="162" t="s">
        <v>277</v>
      </c>
      <c r="F7" s="163" t="str">
        <f>IF($E7&lt;&gt;"",IF($AJ7&lt;&gt;"",IF(AND($L7=T_Journey,VLOOKUP($AJ7,DBPlayers,2,0)&lt;12),T_Error&amp;"7",IF("Journeymen not available"=0,T_Error&amp;"8",IF(COUNTIF($E$6:$E7,$E7)-$AQ7&gt;VLOOKUP($AJ7,DBPlayers,2,0),T_Error&amp;"2",IF(L7=T_MNG,0,COUNTIF($E$6:$E7,$E7)-$AQ7)&amp;"/"&amp;(VLOOKUP($AJ7,DBPlayers,2,0))))),T_Error&amp;"1"),"")</f>
        <v>1/4</v>
      </c>
      <c r="G7" s="164">
        <f t="shared" si="0"/>
        <v>4</v>
      </c>
      <c r="H7" s="164">
        <f t="shared" si="1"/>
        <v>4</v>
      </c>
      <c r="I7" s="164">
        <f t="shared" si="2"/>
        <v>2</v>
      </c>
      <c r="J7" s="164">
        <f t="shared" si="3"/>
        <v>9</v>
      </c>
      <c r="K7" s="167" t="str">
        <f t="shared" ca="1" si="4"/>
        <v>Block, Mighty Blow</v>
      </c>
      <c r="L7" s="168"/>
      <c r="M7" s="169"/>
      <c r="N7" s="170"/>
      <c r="O7" s="170"/>
      <c r="P7" s="170">
        <v>8</v>
      </c>
      <c r="Q7" s="170">
        <v>2</v>
      </c>
      <c r="R7" s="171">
        <f t="shared" si="5"/>
        <v>26</v>
      </c>
      <c r="S7" s="172">
        <f t="shared" ref="S7:S21" si="19">IF(OR($E7="",LEFT($F7,LEN(T_Error))=T_Error),"",IF($L7=T_MNG,0,VLOOKUP($AJ7,DBPlayers,11,0)+SUM($AK7:$AP7)))</f>
        <v>120000</v>
      </c>
      <c r="T7" s="117"/>
      <c r="U7" s="152" t="str">
        <f t="shared" si="6"/>
        <v>G S</v>
      </c>
      <c r="V7" s="152" t="str">
        <f t="shared" si="7"/>
        <v>A P</v>
      </c>
      <c r="W7" s="153">
        <f t="shared" si="8"/>
        <v>2</v>
      </c>
      <c r="X7" s="121"/>
      <c r="Y7" s="154" t="s">
        <v>162</v>
      </c>
      <c r="Z7" s="154" t="s">
        <v>294</v>
      </c>
      <c r="AA7" s="154"/>
      <c r="AB7" s="154"/>
      <c r="AC7" s="154"/>
      <c r="AD7" s="155"/>
      <c r="AE7" s="156"/>
      <c r="AF7" s="173"/>
      <c r="AG7" s="174"/>
      <c r="AH7" s="120"/>
      <c r="AI7" s="123">
        <v>2</v>
      </c>
      <c r="AJ7" s="159" t="str">
        <f t="shared" si="9"/>
        <v>Orc4</v>
      </c>
      <c r="AK7" s="159">
        <f t="shared" ref="AK7:AK21" si="20">IF(Y7="",0,IF(Y7=T_ST&amp;"+",50000,IF(Y7=T_AG&amp;"+",40000,IF(OR(Y7=T_MA&amp;"+",Y7=T_AV&amp;"+"),30000,IF(ISERROR(FIND(VLOOKUP(Y7,DBSkills,2,0),$V7)),20000,30000)))))</f>
        <v>20000</v>
      </c>
      <c r="AL7" s="159">
        <f t="shared" si="10"/>
        <v>20000</v>
      </c>
      <c r="AM7" s="159">
        <f t="shared" si="11"/>
        <v>0</v>
      </c>
      <c r="AN7" s="159">
        <f t="shared" si="12"/>
        <v>0</v>
      </c>
      <c r="AO7" s="159">
        <f t="shared" si="13"/>
        <v>0</v>
      </c>
      <c r="AP7" s="159">
        <f t="shared" si="14"/>
        <v>0</v>
      </c>
      <c r="AQ7" s="159">
        <f t="array" ref="AQ7">IF(ISERROR($AJ7),0,IF($AJ7="","",SUM(IF($AJ7=$AJ$6:$AJ7,IF($L$6:$L7=T_MNG,1,0),0))))</f>
        <v>0</v>
      </c>
      <c r="AR7" s="160">
        <f t="shared" si="15"/>
        <v>4</v>
      </c>
      <c r="AS7" s="160">
        <f t="shared" si="16"/>
        <v>4</v>
      </c>
      <c r="AT7" s="160">
        <f t="shared" si="17"/>
        <v>2</v>
      </c>
      <c r="AU7" s="160">
        <f t="shared" si="18"/>
        <v>9</v>
      </c>
      <c r="AV7" s="102"/>
      <c r="AW7" s="123"/>
      <c r="AX7" s="123"/>
      <c r="AY7" s="123"/>
    </row>
    <row r="8" spans="1:51" ht="13.5" customHeight="1">
      <c r="A8" s="102"/>
      <c r="B8" s="114"/>
      <c r="C8" s="161">
        <v>3</v>
      </c>
      <c r="D8" s="162" t="s">
        <v>295</v>
      </c>
      <c r="E8" s="162" t="s">
        <v>277</v>
      </c>
      <c r="F8" s="163" t="str">
        <f>IF($E8&lt;&gt;"",IF($AJ8&lt;&gt;"",IF(AND($L8=T_Journey,VLOOKUP($AJ8,DBPlayers,2,0)&lt;12),T_Error&amp;"7",IF("Journeymen not available"=0,T_Error&amp;"8",IF(COUNTIF($E$6:$E8,$E8)-$AQ8&gt;VLOOKUP($AJ8,DBPlayers,2,0),T_Error&amp;"2",IF(L8=T_MNG,0,COUNTIF($E$6:$E8,$E8)-$AQ8)&amp;"/"&amp;(VLOOKUP($AJ8,DBPlayers,2,0))))),T_Error&amp;"1"),"")</f>
        <v>2/4</v>
      </c>
      <c r="G8" s="164">
        <f t="shared" si="0"/>
        <v>4</v>
      </c>
      <c r="H8" s="164">
        <f t="shared" si="1"/>
        <v>4</v>
      </c>
      <c r="I8" s="164">
        <f t="shared" si="2"/>
        <v>2</v>
      </c>
      <c r="J8" s="164">
        <f t="shared" si="3"/>
        <v>9</v>
      </c>
      <c r="K8" s="167" t="str">
        <f t="shared" ca="1" si="4"/>
        <v>Block</v>
      </c>
      <c r="L8" s="168"/>
      <c r="M8" s="169"/>
      <c r="N8" s="170"/>
      <c r="O8" s="170"/>
      <c r="P8" s="170">
        <v>4</v>
      </c>
      <c r="Q8" s="170"/>
      <c r="R8" s="171">
        <f t="shared" si="5"/>
        <v>8</v>
      </c>
      <c r="S8" s="172">
        <f t="shared" si="19"/>
        <v>100000</v>
      </c>
      <c r="T8" s="117"/>
      <c r="U8" s="152" t="str">
        <f t="shared" si="6"/>
        <v>G S</v>
      </c>
      <c r="V8" s="152" t="str">
        <f t="shared" si="7"/>
        <v>A P</v>
      </c>
      <c r="W8" s="153">
        <f t="shared" si="8"/>
        <v>1</v>
      </c>
      <c r="X8" s="121"/>
      <c r="Y8" s="154" t="s">
        <v>162</v>
      </c>
      <c r="Z8" s="154"/>
      <c r="AA8" s="154"/>
      <c r="AB8" s="154"/>
      <c r="AC8" s="154"/>
      <c r="AD8" s="155"/>
      <c r="AE8" s="156"/>
      <c r="AF8" s="154"/>
      <c r="AG8" s="155"/>
      <c r="AH8" s="120"/>
      <c r="AI8" s="123">
        <v>3</v>
      </c>
      <c r="AJ8" s="159" t="str">
        <f t="shared" si="9"/>
        <v>Orc4</v>
      </c>
      <c r="AK8" s="159">
        <f t="shared" si="20"/>
        <v>20000</v>
      </c>
      <c r="AL8" s="159">
        <f t="shared" si="10"/>
        <v>0</v>
      </c>
      <c r="AM8" s="159">
        <f t="shared" si="11"/>
        <v>0</v>
      </c>
      <c r="AN8" s="159">
        <f t="shared" si="12"/>
        <v>0</v>
      </c>
      <c r="AO8" s="159">
        <f t="shared" si="13"/>
        <v>0</v>
      </c>
      <c r="AP8" s="159">
        <f t="shared" si="14"/>
        <v>0</v>
      </c>
      <c r="AQ8" s="159">
        <f t="array" ref="AQ8">IF(ISERROR($AJ8),0,IF($AJ8="","",SUM(IF($AJ8=$AJ$6:$AJ8,IF($L$6:$L8=T_MNG,1,0),0))))</f>
        <v>0</v>
      </c>
      <c r="AR8" s="160">
        <f t="shared" si="15"/>
        <v>4</v>
      </c>
      <c r="AS8" s="160">
        <f t="shared" si="16"/>
        <v>4</v>
      </c>
      <c r="AT8" s="160">
        <f t="shared" si="17"/>
        <v>2</v>
      </c>
      <c r="AU8" s="160">
        <f t="shared" si="18"/>
        <v>9</v>
      </c>
      <c r="AV8" s="102"/>
      <c r="AW8" s="102"/>
      <c r="AX8" s="102"/>
      <c r="AY8" s="102"/>
    </row>
    <row r="9" spans="1:51" ht="13.5" customHeight="1">
      <c r="A9" s="102"/>
      <c r="B9" s="114"/>
      <c r="C9" s="161">
        <v>4</v>
      </c>
      <c r="D9" s="162" t="s">
        <v>296</v>
      </c>
      <c r="E9" s="162" t="s">
        <v>277</v>
      </c>
      <c r="F9" s="163" t="str">
        <f>IF($E9&lt;&gt;"",IF($AJ9&lt;&gt;"",IF(AND($L9=T_Journey,VLOOKUP($AJ9,DBPlayers,2,0)&lt;12),T_Error&amp;"7",IF("Journeymen not available"=0,T_Error&amp;"8",IF(COUNTIF($E$6:$E9,$E9)-$AQ9&gt;VLOOKUP($AJ9,DBPlayers,2,0),T_Error&amp;"2",IF(L9=T_MNG,0,COUNTIF($E$6:$E9,$E9)-$AQ9)&amp;"/"&amp;(VLOOKUP($AJ9,DBPlayers,2,0))))),T_Error&amp;"1"),"")</f>
        <v>3/4</v>
      </c>
      <c r="G9" s="164">
        <f t="shared" si="0"/>
        <v>4</v>
      </c>
      <c r="H9" s="164">
        <f t="shared" si="1"/>
        <v>4</v>
      </c>
      <c r="I9" s="164">
        <f t="shared" si="2"/>
        <v>2</v>
      </c>
      <c r="J9" s="164">
        <f t="shared" si="3"/>
        <v>9</v>
      </c>
      <c r="K9" s="167" t="str">
        <f t="shared" ca="1" si="4"/>
        <v>Block, Mighty Blow</v>
      </c>
      <c r="L9" s="168"/>
      <c r="M9" s="169"/>
      <c r="N9" s="170"/>
      <c r="O9" s="170"/>
      <c r="P9" s="170">
        <v>1</v>
      </c>
      <c r="Q9" s="170">
        <v>3</v>
      </c>
      <c r="R9" s="171">
        <f t="shared" si="5"/>
        <v>17</v>
      </c>
      <c r="S9" s="172">
        <f t="shared" si="19"/>
        <v>120000</v>
      </c>
      <c r="T9" s="117"/>
      <c r="U9" s="152" t="str">
        <f t="shared" si="6"/>
        <v>G S</v>
      </c>
      <c r="V9" s="152" t="str">
        <f t="shared" si="7"/>
        <v>A P</v>
      </c>
      <c r="W9" s="153">
        <f t="shared" si="8"/>
        <v>2</v>
      </c>
      <c r="X9" s="121"/>
      <c r="Y9" s="154" t="s">
        <v>162</v>
      </c>
      <c r="Z9" s="154" t="s">
        <v>294</v>
      </c>
      <c r="AA9" s="154"/>
      <c r="AB9" s="154"/>
      <c r="AC9" s="154"/>
      <c r="AD9" s="155"/>
      <c r="AE9" s="156"/>
      <c r="AF9" s="154"/>
      <c r="AG9" s="155"/>
      <c r="AH9" s="120"/>
      <c r="AI9" s="123">
        <v>4</v>
      </c>
      <c r="AJ9" s="159" t="str">
        <f t="shared" si="9"/>
        <v>Orc4</v>
      </c>
      <c r="AK9" s="159">
        <f t="shared" si="20"/>
        <v>20000</v>
      </c>
      <c r="AL9" s="159">
        <f t="shared" si="10"/>
        <v>20000</v>
      </c>
      <c r="AM9" s="159">
        <f t="shared" si="11"/>
        <v>0</v>
      </c>
      <c r="AN9" s="159">
        <f t="shared" si="12"/>
        <v>0</v>
      </c>
      <c r="AO9" s="159">
        <f t="shared" si="13"/>
        <v>0</v>
      </c>
      <c r="AP9" s="159">
        <f t="shared" si="14"/>
        <v>0</v>
      </c>
      <c r="AQ9" s="159">
        <f t="array" ref="AQ9">IF(ISERROR($AJ9),0,IF($AJ9="","",SUM(IF($AJ9=$AJ$6:$AJ9,IF($L$6:$L9=T_MNG,1,0),0))))</f>
        <v>0</v>
      </c>
      <c r="AR9" s="160">
        <f t="shared" si="15"/>
        <v>4</v>
      </c>
      <c r="AS9" s="160">
        <f t="shared" si="16"/>
        <v>4</v>
      </c>
      <c r="AT9" s="160">
        <f t="shared" si="17"/>
        <v>2</v>
      </c>
      <c r="AU9" s="160">
        <f t="shared" si="18"/>
        <v>9</v>
      </c>
      <c r="AV9" s="102"/>
      <c r="AW9" s="102"/>
      <c r="AX9" s="102"/>
      <c r="AY9" s="102"/>
    </row>
    <row r="10" spans="1:51" ht="13.5" customHeight="1">
      <c r="A10" s="102"/>
      <c r="B10" s="114"/>
      <c r="C10" s="161">
        <v>5</v>
      </c>
      <c r="D10" s="162" t="s">
        <v>298</v>
      </c>
      <c r="E10" s="162" t="s">
        <v>277</v>
      </c>
      <c r="F10" s="163" t="str">
        <f>IF($E10&lt;&gt;"",IF($AJ10&lt;&gt;"",IF(AND($L10=T_Journey,VLOOKUP($AJ10,DBPlayers,2,0)&lt;12),T_Error&amp;"7",IF("Journeymen not available"=0,T_Error&amp;"8",IF(COUNTIF($E$6:$E10,$E10)-$AQ10&gt;VLOOKUP($AJ10,DBPlayers,2,0),T_Error&amp;"2",IF(L10=T_MNG,0,COUNTIF($E$6:$E10,$E10)-$AQ10)&amp;"/"&amp;(VLOOKUP($AJ10,DBPlayers,2,0))))),T_Error&amp;"1"),"")</f>
        <v>4/4</v>
      </c>
      <c r="G10" s="164">
        <f t="shared" si="0"/>
        <v>4</v>
      </c>
      <c r="H10" s="164">
        <f t="shared" si="1"/>
        <v>4</v>
      </c>
      <c r="I10" s="164">
        <f t="shared" si="2"/>
        <v>2</v>
      </c>
      <c r="J10" s="164">
        <f t="shared" si="3"/>
        <v>9</v>
      </c>
      <c r="K10" s="167" t="str">
        <f t="shared" ca="1" si="4"/>
        <v/>
      </c>
      <c r="L10" s="168"/>
      <c r="M10" s="169"/>
      <c r="N10" s="170"/>
      <c r="O10" s="170"/>
      <c r="P10" s="170">
        <v>1</v>
      </c>
      <c r="Q10" s="170"/>
      <c r="R10" s="171">
        <f t="shared" si="5"/>
        <v>2</v>
      </c>
      <c r="S10" s="172">
        <f t="shared" si="19"/>
        <v>80000</v>
      </c>
      <c r="T10" s="117"/>
      <c r="U10" s="152" t="str">
        <f t="shared" si="6"/>
        <v>G S</v>
      </c>
      <c r="V10" s="152" t="str">
        <f t="shared" si="7"/>
        <v>A P</v>
      </c>
      <c r="W10" s="153">
        <f t="shared" si="8"/>
        <v>0</v>
      </c>
      <c r="X10" s="121"/>
      <c r="Y10" s="154"/>
      <c r="Z10" s="154"/>
      <c r="AA10" s="154"/>
      <c r="AB10" s="154"/>
      <c r="AC10" s="154"/>
      <c r="AD10" s="155"/>
      <c r="AE10" s="156"/>
      <c r="AF10" s="154"/>
      <c r="AG10" s="155"/>
      <c r="AH10" s="120"/>
      <c r="AI10" s="123">
        <v>5</v>
      </c>
      <c r="AJ10" s="159" t="str">
        <f t="shared" si="9"/>
        <v>Orc4</v>
      </c>
      <c r="AK10" s="159">
        <f t="shared" si="20"/>
        <v>0</v>
      </c>
      <c r="AL10" s="159">
        <f t="shared" si="10"/>
        <v>0</v>
      </c>
      <c r="AM10" s="159">
        <f t="shared" si="11"/>
        <v>0</v>
      </c>
      <c r="AN10" s="159">
        <f t="shared" si="12"/>
        <v>0</v>
      </c>
      <c r="AO10" s="159">
        <f t="shared" si="13"/>
        <v>0</v>
      </c>
      <c r="AP10" s="159">
        <f t="shared" si="14"/>
        <v>0</v>
      </c>
      <c r="AQ10" s="159">
        <f t="array" ref="AQ10">IF(ISERROR($AJ10),0,IF($AJ10="","",SUM(IF($AJ10=$AJ$6:$AJ10,IF($L$6:$L10=T_MNG,1,0),0))))</f>
        <v>0</v>
      </c>
      <c r="AR10" s="160">
        <f t="shared" si="15"/>
        <v>4</v>
      </c>
      <c r="AS10" s="160">
        <f t="shared" si="16"/>
        <v>4</v>
      </c>
      <c r="AT10" s="160">
        <f t="shared" si="17"/>
        <v>2</v>
      </c>
      <c r="AU10" s="160">
        <f t="shared" si="18"/>
        <v>9</v>
      </c>
      <c r="AV10" s="102"/>
      <c r="AW10" s="102"/>
      <c r="AX10" s="102"/>
      <c r="AY10" s="102"/>
    </row>
    <row r="11" spans="1:51" ht="13.5" customHeight="1">
      <c r="A11" s="102"/>
      <c r="B11" s="114"/>
      <c r="C11" s="161">
        <v>6</v>
      </c>
      <c r="D11" s="162" t="s">
        <v>299</v>
      </c>
      <c r="E11" s="162" t="s">
        <v>269</v>
      </c>
      <c r="F11" s="163" t="str">
        <f>IF($E11&lt;&gt;"",IF($AJ11&lt;&gt;"",IF(AND($L11=T_Journey,VLOOKUP($AJ11,DBPlayers,2,0)&lt;12),T_Error&amp;"7",IF("Journeymen not available"=0,T_Error&amp;"8",IF(COUNTIF($E$6:$E11,$E11)-$AQ11&gt;VLOOKUP($AJ11,DBPlayers,2,0),T_Error&amp;"2",IF(L11=T_MNG,0,COUNTIF($E$6:$E11,$E11)-$AQ11)&amp;"/"&amp;(VLOOKUP($AJ11,DBPlayers,2,0))))),T_Error&amp;"1"),"")</f>
        <v>1/4</v>
      </c>
      <c r="G11" s="164">
        <f t="shared" si="0"/>
        <v>6</v>
      </c>
      <c r="H11" s="164">
        <f t="shared" si="1"/>
        <v>3</v>
      </c>
      <c r="I11" s="164">
        <f t="shared" si="2"/>
        <v>3</v>
      </c>
      <c r="J11" s="164">
        <f t="shared" si="3"/>
        <v>9</v>
      </c>
      <c r="K11" s="167" t="str">
        <f t="shared" ca="1" si="4"/>
        <v>Block, Mighty Blow</v>
      </c>
      <c r="L11" s="168"/>
      <c r="M11" s="169">
        <v>1</v>
      </c>
      <c r="N11" s="170">
        <v>1</v>
      </c>
      <c r="O11" s="170">
        <v>1</v>
      </c>
      <c r="P11" s="170"/>
      <c r="Q11" s="170"/>
      <c r="R11" s="171">
        <f t="shared" si="5"/>
        <v>6</v>
      </c>
      <c r="S11" s="172">
        <f t="shared" si="19"/>
        <v>100000</v>
      </c>
      <c r="T11" s="117"/>
      <c r="U11" s="152" t="str">
        <f t="shared" si="6"/>
        <v>G S</v>
      </c>
      <c r="V11" s="152" t="str">
        <f t="shared" si="7"/>
        <v>A P</v>
      </c>
      <c r="W11" s="153">
        <f t="shared" si="8"/>
        <v>1</v>
      </c>
      <c r="X11" s="121"/>
      <c r="Y11" s="154" t="s">
        <v>294</v>
      </c>
      <c r="Z11" s="154"/>
      <c r="AA11" s="154"/>
      <c r="AB11" s="154"/>
      <c r="AC11" s="154"/>
      <c r="AD11" s="155"/>
      <c r="AE11" s="156"/>
      <c r="AF11" s="154"/>
      <c r="AG11" s="155"/>
      <c r="AH11" s="120"/>
      <c r="AI11" s="123">
        <v>6</v>
      </c>
      <c r="AJ11" s="159" t="str">
        <f t="shared" si="9"/>
        <v>Orc5</v>
      </c>
      <c r="AK11" s="159">
        <f t="shared" si="20"/>
        <v>20000</v>
      </c>
      <c r="AL11" s="159">
        <f t="shared" si="10"/>
        <v>0</v>
      </c>
      <c r="AM11" s="159">
        <f t="shared" si="11"/>
        <v>0</v>
      </c>
      <c r="AN11" s="159">
        <f t="shared" si="12"/>
        <v>0</v>
      </c>
      <c r="AO11" s="159">
        <f t="shared" si="13"/>
        <v>0</v>
      </c>
      <c r="AP11" s="159">
        <f t="shared" si="14"/>
        <v>0</v>
      </c>
      <c r="AQ11" s="159">
        <f t="array" ref="AQ11">IF(ISERROR($AJ11),0,IF($AJ11="","",SUM(IF($AJ11=$AJ$6:$AJ11,IF($L$6:$L11=T_MNG,1,0),0))))</f>
        <v>0</v>
      </c>
      <c r="AR11" s="160">
        <f t="shared" si="15"/>
        <v>6</v>
      </c>
      <c r="AS11" s="160">
        <f t="shared" si="16"/>
        <v>3</v>
      </c>
      <c r="AT11" s="160">
        <f t="shared" si="17"/>
        <v>3</v>
      </c>
      <c r="AU11" s="160">
        <f t="shared" si="18"/>
        <v>9</v>
      </c>
      <c r="AV11" s="102"/>
      <c r="AW11" s="102"/>
      <c r="AX11" s="102"/>
      <c r="AY11" s="102"/>
    </row>
    <row r="12" spans="1:51" ht="13.5" customHeight="1">
      <c r="A12" s="102"/>
      <c r="B12" s="114"/>
      <c r="C12" s="161">
        <v>7</v>
      </c>
      <c r="D12" s="162" t="s">
        <v>303</v>
      </c>
      <c r="E12" s="162" t="s">
        <v>269</v>
      </c>
      <c r="F12" s="163" t="str">
        <f>IF($E12&lt;&gt;"",IF($AJ12&lt;&gt;"",IF(AND($L12=T_Journey,VLOOKUP($AJ12,DBPlayers,2,0)&lt;12),T_Error&amp;"7",IF("Journeymen not available"=0,T_Error&amp;"8",IF(COUNTIF($E$6:$E12,$E12)-$AQ12&gt;VLOOKUP($AJ12,DBPlayers,2,0),T_Error&amp;"2",IF(L12=T_MNG,0,COUNTIF($E$6:$E12,$E12)-$AQ12)&amp;"/"&amp;(VLOOKUP($AJ12,DBPlayers,2,0))))),T_Error&amp;"1"),"")</f>
        <v>2/4</v>
      </c>
      <c r="G12" s="164">
        <f t="shared" si="0"/>
        <v>6</v>
      </c>
      <c r="H12" s="164">
        <f t="shared" si="1"/>
        <v>3</v>
      </c>
      <c r="I12" s="164">
        <f t="shared" si="2"/>
        <v>3</v>
      </c>
      <c r="J12" s="164">
        <f t="shared" si="3"/>
        <v>9</v>
      </c>
      <c r="K12" s="167" t="str">
        <f t="shared" ca="1" si="4"/>
        <v>Block, Guard</v>
      </c>
      <c r="L12" s="168"/>
      <c r="M12" s="169"/>
      <c r="N12" s="170"/>
      <c r="O12" s="170"/>
      <c r="P12" s="170">
        <v>1</v>
      </c>
      <c r="Q12" s="170">
        <v>1</v>
      </c>
      <c r="R12" s="171">
        <f t="shared" si="5"/>
        <v>7</v>
      </c>
      <c r="S12" s="172">
        <f t="shared" si="19"/>
        <v>100000</v>
      </c>
      <c r="T12" s="117"/>
      <c r="U12" s="152" t="str">
        <f t="shared" si="6"/>
        <v>G S</v>
      </c>
      <c r="V12" s="152" t="str">
        <f t="shared" si="7"/>
        <v>A P</v>
      </c>
      <c r="W12" s="153">
        <f t="shared" si="8"/>
        <v>1</v>
      </c>
      <c r="X12" s="121"/>
      <c r="Y12" s="154" t="s">
        <v>270</v>
      </c>
      <c r="Z12" s="154"/>
      <c r="AA12" s="154"/>
      <c r="AB12" s="154"/>
      <c r="AC12" s="154"/>
      <c r="AD12" s="155"/>
      <c r="AE12" s="156"/>
      <c r="AF12" s="154"/>
      <c r="AG12" s="155"/>
      <c r="AH12" s="120"/>
      <c r="AI12" s="123">
        <v>7</v>
      </c>
      <c r="AJ12" s="159" t="str">
        <f t="shared" si="9"/>
        <v>Orc5</v>
      </c>
      <c r="AK12" s="159">
        <f t="shared" si="20"/>
        <v>20000</v>
      </c>
      <c r="AL12" s="159">
        <f t="shared" si="10"/>
        <v>0</v>
      </c>
      <c r="AM12" s="159">
        <f t="shared" si="11"/>
        <v>0</v>
      </c>
      <c r="AN12" s="159">
        <f t="shared" si="12"/>
        <v>0</v>
      </c>
      <c r="AO12" s="159">
        <f t="shared" si="13"/>
        <v>0</v>
      </c>
      <c r="AP12" s="159">
        <f t="shared" si="14"/>
        <v>0</v>
      </c>
      <c r="AQ12" s="159">
        <f t="array" ref="AQ12">IF(ISERROR($AJ12),0,IF($AJ12="","",SUM(IF($AJ12=$AJ$6:$AJ12,IF($L$6:$L12=T_MNG,1,0),0))))</f>
        <v>0</v>
      </c>
      <c r="AR12" s="160">
        <f t="shared" si="15"/>
        <v>6</v>
      </c>
      <c r="AS12" s="160">
        <f t="shared" si="16"/>
        <v>3</v>
      </c>
      <c r="AT12" s="160">
        <f t="shared" si="17"/>
        <v>3</v>
      </c>
      <c r="AU12" s="160">
        <f t="shared" si="18"/>
        <v>9</v>
      </c>
      <c r="AV12" s="102"/>
      <c r="AW12" s="102"/>
      <c r="AX12" s="102"/>
      <c r="AY12" s="102"/>
    </row>
    <row r="13" spans="1:51" ht="13.5" customHeight="1">
      <c r="A13" s="102"/>
      <c r="B13" s="114"/>
      <c r="C13" s="161">
        <v>8</v>
      </c>
      <c r="D13" s="162" t="s">
        <v>306</v>
      </c>
      <c r="E13" s="162" t="s">
        <v>269</v>
      </c>
      <c r="F13" s="163" t="str">
        <f>IF($E13&lt;&gt;"",IF($AJ13&lt;&gt;"",IF(AND($L13=T_Journey,VLOOKUP($AJ13,DBPlayers,2,0)&lt;12),T_Error&amp;"7",IF("Journeymen not available"=0,T_Error&amp;"8",IF(COUNTIF($E$6:$E13,$E13)-$AQ13&gt;VLOOKUP($AJ13,DBPlayers,2,0),T_Error&amp;"2",IF(L13=T_MNG,0,COUNTIF($E$6:$E13,$E13)-$AQ13)&amp;"/"&amp;(VLOOKUP($AJ13,DBPlayers,2,0))))),T_Error&amp;"1"),"")</f>
        <v>3/4</v>
      </c>
      <c r="G13" s="164">
        <f t="shared" si="0"/>
        <v>6</v>
      </c>
      <c r="H13" s="164">
        <f t="shared" si="1"/>
        <v>3</v>
      </c>
      <c r="I13" s="164">
        <f t="shared" si="2"/>
        <v>3</v>
      </c>
      <c r="J13" s="164">
        <f t="shared" si="3"/>
        <v>9</v>
      </c>
      <c r="K13" s="167" t="str">
        <f t="shared" ca="1" si="4"/>
        <v>Block, Guard</v>
      </c>
      <c r="L13" s="168"/>
      <c r="M13" s="169"/>
      <c r="N13" s="170">
        <v>2</v>
      </c>
      <c r="O13" s="170"/>
      <c r="P13" s="170">
        <v>1</v>
      </c>
      <c r="Q13" s="170"/>
      <c r="R13" s="171">
        <f t="shared" si="5"/>
        <v>8</v>
      </c>
      <c r="S13" s="172">
        <f t="shared" si="19"/>
        <v>100000</v>
      </c>
      <c r="T13" s="117"/>
      <c r="U13" s="152" t="str">
        <f t="shared" si="6"/>
        <v>G S</v>
      </c>
      <c r="V13" s="152" t="str">
        <f t="shared" si="7"/>
        <v>A P</v>
      </c>
      <c r="W13" s="153">
        <f t="shared" si="8"/>
        <v>1</v>
      </c>
      <c r="X13" s="121"/>
      <c r="Y13" s="154" t="s">
        <v>270</v>
      </c>
      <c r="Z13" s="154"/>
      <c r="AA13" s="154"/>
      <c r="AB13" s="154"/>
      <c r="AC13" s="154"/>
      <c r="AD13" s="155"/>
      <c r="AE13" s="156"/>
      <c r="AF13" s="154"/>
      <c r="AG13" s="155"/>
      <c r="AH13" s="120"/>
      <c r="AI13" s="123">
        <v>8</v>
      </c>
      <c r="AJ13" s="159" t="str">
        <f t="shared" si="9"/>
        <v>Orc5</v>
      </c>
      <c r="AK13" s="159">
        <f t="shared" si="20"/>
        <v>20000</v>
      </c>
      <c r="AL13" s="159">
        <f t="shared" si="10"/>
        <v>0</v>
      </c>
      <c r="AM13" s="159">
        <f t="shared" si="11"/>
        <v>0</v>
      </c>
      <c r="AN13" s="159">
        <f t="shared" si="12"/>
        <v>0</v>
      </c>
      <c r="AO13" s="159">
        <f t="shared" si="13"/>
        <v>0</v>
      </c>
      <c r="AP13" s="159">
        <f t="shared" si="14"/>
        <v>0</v>
      </c>
      <c r="AQ13" s="159">
        <f t="array" ref="AQ13">IF(ISERROR($AJ13),0,IF($AJ13="","",SUM(IF($AJ13=$AJ$6:$AJ13,IF($L$6:$L13=T_MNG,1,0),0))))</f>
        <v>0</v>
      </c>
      <c r="AR13" s="160">
        <f t="shared" si="15"/>
        <v>6</v>
      </c>
      <c r="AS13" s="160">
        <f t="shared" si="16"/>
        <v>3</v>
      </c>
      <c r="AT13" s="160">
        <f t="shared" si="17"/>
        <v>3</v>
      </c>
      <c r="AU13" s="160">
        <f t="shared" si="18"/>
        <v>9</v>
      </c>
      <c r="AV13" s="102"/>
      <c r="AW13" s="102"/>
      <c r="AX13" s="102"/>
      <c r="AY13" s="102"/>
    </row>
    <row r="14" spans="1:51" ht="13.5" customHeight="1">
      <c r="A14" s="102"/>
      <c r="B14" s="114"/>
      <c r="C14" s="161">
        <v>9</v>
      </c>
      <c r="D14" s="162" t="s">
        <v>308</v>
      </c>
      <c r="E14" s="162" t="s">
        <v>269</v>
      </c>
      <c r="F14" s="163" t="str">
        <f>IF($E14&lt;&gt;"",IF($AJ14&lt;&gt;"",IF(AND($L14=T_Journey,VLOOKUP($AJ14,DBPlayers,2,0)&lt;12),T_Error&amp;"7",IF("Journeymen not available"=0,T_Error&amp;"8",IF(COUNTIF($E$6:$E14,$E14)-$AQ14&gt;VLOOKUP($AJ14,DBPlayers,2,0),T_Error&amp;"2",IF(L14=T_MNG,0,COUNTIF($E$6:$E14,$E14)-$AQ14)&amp;"/"&amp;(VLOOKUP($AJ14,DBPlayers,2,0))))),T_Error&amp;"1"),"")</f>
        <v>4/4</v>
      </c>
      <c r="G14" s="164">
        <f t="shared" si="0"/>
        <v>6</v>
      </c>
      <c r="H14" s="164">
        <f t="shared" si="1"/>
        <v>3</v>
      </c>
      <c r="I14" s="164">
        <f t="shared" si="2"/>
        <v>3</v>
      </c>
      <c r="J14" s="164">
        <f t="shared" si="3"/>
        <v>9</v>
      </c>
      <c r="K14" s="167" t="str">
        <f t="shared" ca="1" si="4"/>
        <v>Block</v>
      </c>
      <c r="L14" s="168"/>
      <c r="M14" s="169"/>
      <c r="N14" s="170"/>
      <c r="O14" s="170"/>
      <c r="P14" s="170"/>
      <c r="Q14" s="170"/>
      <c r="R14" s="171">
        <f t="shared" si="5"/>
        <v>0</v>
      </c>
      <c r="S14" s="172">
        <f t="shared" si="19"/>
        <v>80000</v>
      </c>
      <c r="T14" s="117"/>
      <c r="U14" s="152" t="str">
        <f t="shared" si="6"/>
        <v>G S</v>
      </c>
      <c r="V14" s="152" t="str">
        <f t="shared" si="7"/>
        <v>A P</v>
      </c>
      <c r="W14" s="153">
        <f t="shared" si="8"/>
        <v>0</v>
      </c>
      <c r="X14" s="121"/>
      <c r="Y14" s="154"/>
      <c r="Z14" s="154"/>
      <c r="AA14" s="154"/>
      <c r="AB14" s="154"/>
      <c r="AC14" s="154"/>
      <c r="AD14" s="155"/>
      <c r="AE14" s="156"/>
      <c r="AF14" s="154"/>
      <c r="AG14" s="155"/>
      <c r="AH14" s="120"/>
      <c r="AI14" s="123">
        <v>9</v>
      </c>
      <c r="AJ14" s="159" t="str">
        <f t="shared" si="9"/>
        <v>Orc5</v>
      </c>
      <c r="AK14" s="159">
        <f t="shared" si="20"/>
        <v>0</v>
      </c>
      <c r="AL14" s="159">
        <f t="shared" si="10"/>
        <v>0</v>
      </c>
      <c r="AM14" s="159">
        <f t="shared" si="11"/>
        <v>0</v>
      </c>
      <c r="AN14" s="159">
        <f t="shared" si="12"/>
        <v>0</v>
      </c>
      <c r="AO14" s="159">
        <f t="shared" si="13"/>
        <v>0</v>
      </c>
      <c r="AP14" s="159">
        <f t="shared" si="14"/>
        <v>0</v>
      </c>
      <c r="AQ14" s="159">
        <f t="array" ref="AQ14">IF(ISERROR($AJ14),0,IF($AJ14="","",SUM(IF($AJ14=$AJ$6:$AJ14,IF($L$6:$L14=T_MNG,1,0),0))))</f>
        <v>0</v>
      </c>
      <c r="AR14" s="160">
        <f t="shared" si="15"/>
        <v>6</v>
      </c>
      <c r="AS14" s="160">
        <f t="shared" si="16"/>
        <v>3</v>
      </c>
      <c r="AT14" s="160">
        <f t="shared" si="17"/>
        <v>3</v>
      </c>
      <c r="AU14" s="160">
        <f t="shared" si="18"/>
        <v>9</v>
      </c>
      <c r="AV14" s="102"/>
      <c r="AW14" s="102"/>
      <c r="AX14" s="102"/>
      <c r="AY14" s="102"/>
    </row>
    <row r="15" spans="1:51" ht="13.5" customHeight="1">
      <c r="A15" s="102"/>
      <c r="B15" s="114"/>
      <c r="C15" s="161">
        <v>10</v>
      </c>
      <c r="D15" s="162" t="s">
        <v>310</v>
      </c>
      <c r="E15" s="162" t="s">
        <v>311</v>
      </c>
      <c r="F15" s="163" t="str">
        <f>IF($E15&lt;&gt;"",IF($AJ15&lt;&gt;"",IF(AND($L15=T_Journey,VLOOKUP($AJ15,DBPlayers,2,0)&lt;12),T_Error&amp;"7",IF("Journeymen not available"=0,T_Error&amp;"8",IF(COUNTIF($E$6:$E15,$E15)-$AQ15&gt;VLOOKUP($AJ15,DBPlayers,2,0),T_Error&amp;"2",IF(L15=T_MNG,0,COUNTIF($E$6:$E15,$E15)-$AQ15)&amp;"/"&amp;(VLOOKUP($AJ15,DBPlayers,2,0))))),T_Error&amp;"1"),"")</f>
        <v>1/4</v>
      </c>
      <c r="G15" s="164">
        <f t="shared" si="0"/>
        <v>6</v>
      </c>
      <c r="H15" s="164">
        <f t="shared" si="1"/>
        <v>2</v>
      </c>
      <c r="I15" s="164">
        <f t="shared" si="2"/>
        <v>3</v>
      </c>
      <c r="J15" s="164">
        <f t="shared" si="3"/>
        <v>7</v>
      </c>
      <c r="K15" s="167" t="str">
        <f t="shared" ca="1" si="4"/>
        <v>Dodge, Stunty, Right Stuff</v>
      </c>
      <c r="L15" s="168"/>
      <c r="M15" s="169"/>
      <c r="N15" s="170"/>
      <c r="O15" s="170"/>
      <c r="P15" s="170"/>
      <c r="Q15" s="170"/>
      <c r="R15" s="171">
        <f t="shared" si="5"/>
        <v>0</v>
      </c>
      <c r="S15" s="172">
        <f t="shared" si="19"/>
        <v>40000</v>
      </c>
      <c r="T15" s="117"/>
      <c r="U15" s="152" t="str">
        <f t="shared" si="6"/>
        <v>A</v>
      </c>
      <c r="V15" s="152" t="str">
        <f t="shared" si="7"/>
        <v>G S P</v>
      </c>
      <c r="W15" s="153">
        <f t="shared" si="8"/>
        <v>0</v>
      </c>
      <c r="X15" s="121"/>
      <c r="Y15" s="154"/>
      <c r="Z15" s="154"/>
      <c r="AA15" s="154"/>
      <c r="AB15" s="154"/>
      <c r="AC15" s="154"/>
      <c r="AD15" s="155"/>
      <c r="AE15" s="156"/>
      <c r="AF15" s="154"/>
      <c r="AG15" s="155"/>
      <c r="AH15" s="120"/>
      <c r="AI15" s="123">
        <v>10</v>
      </c>
      <c r="AJ15" s="159" t="str">
        <f t="shared" si="9"/>
        <v>Orc2</v>
      </c>
      <c r="AK15" s="159">
        <f t="shared" si="20"/>
        <v>0</v>
      </c>
      <c r="AL15" s="159">
        <f t="shared" si="10"/>
        <v>0</v>
      </c>
      <c r="AM15" s="159">
        <f t="shared" si="11"/>
        <v>0</v>
      </c>
      <c r="AN15" s="159">
        <f t="shared" si="12"/>
        <v>0</v>
      </c>
      <c r="AO15" s="159">
        <f t="shared" si="13"/>
        <v>0</v>
      </c>
      <c r="AP15" s="159">
        <f t="shared" si="14"/>
        <v>0</v>
      </c>
      <c r="AQ15" s="159">
        <f t="array" ref="AQ15">IF(ISERROR($AJ15),0,IF($AJ15="","",SUM(IF($AJ15=$AJ$6:$AJ15,IF($L$6:$L15=T_MNG,1,0),0))))</f>
        <v>0</v>
      </c>
      <c r="AR15" s="160">
        <f t="shared" si="15"/>
        <v>6</v>
      </c>
      <c r="AS15" s="160">
        <f t="shared" si="16"/>
        <v>2</v>
      </c>
      <c r="AT15" s="160">
        <f t="shared" si="17"/>
        <v>3</v>
      </c>
      <c r="AU15" s="160">
        <f t="shared" si="18"/>
        <v>7</v>
      </c>
      <c r="AV15" s="102"/>
      <c r="AW15" s="102"/>
      <c r="AX15" s="102"/>
      <c r="AY15" s="102"/>
    </row>
    <row r="16" spans="1:51" ht="13.5" customHeight="1">
      <c r="A16" s="102"/>
      <c r="B16" s="114"/>
      <c r="C16" s="161">
        <v>11</v>
      </c>
      <c r="D16" s="162" t="s">
        <v>313</v>
      </c>
      <c r="E16" s="162" t="s">
        <v>777</v>
      </c>
      <c r="F16" s="163" t="str">
        <f>IF($E16&lt;&gt;"",IF($AJ16&lt;&gt;"",IF(AND($L16=T_Journey,VLOOKUP($AJ16,DBPlayers,2,0)&lt;12),T_Error&amp;"7",IF("Journeymen not available"=0,T_Error&amp;"8",IF(COUNTIF($E$6:$E16,$E16)-$AQ16&gt;VLOOKUP($AJ16,DBPlayers,2,0),T_Error&amp;"2",IF(L16=T_MNG,0,COUNTIF($E$6:$E16,$E16)-$AQ16)&amp;"/"&amp;(VLOOKUP($AJ16,DBPlayers,2,0))))),T_Error&amp;"1"),"")</f>
        <v>1/16</v>
      </c>
      <c r="G16" s="164">
        <f t="shared" si="0"/>
        <v>5</v>
      </c>
      <c r="H16" s="164">
        <f t="shared" si="1"/>
        <v>3</v>
      </c>
      <c r="I16" s="164">
        <f t="shared" si="2"/>
        <v>3</v>
      </c>
      <c r="J16" s="164">
        <f t="shared" si="3"/>
        <v>9</v>
      </c>
      <c r="K16" s="167" t="str">
        <f t="shared" ca="1" si="4"/>
        <v/>
      </c>
      <c r="L16" s="168"/>
      <c r="M16" s="169"/>
      <c r="N16" s="170"/>
      <c r="O16" s="170"/>
      <c r="P16" s="170"/>
      <c r="Q16" s="170"/>
      <c r="R16" s="171">
        <f t="shared" si="5"/>
        <v>0</v>
      </c>
      <c r="S16" s="172">
        <f t="shared" si="19"/>
        <v>50000</v>
      </c>
      <c r="T16" s="117"/>
      <c r="U16" s="152" t="str">
        <f t="shared" si="6"/>
        <v>G</v>
      </c>
      <c r="V16" s="152" t="str">
        <f t="shared" si="7"/>
        <v>A S P</v>
      </c>
      <c r="W16" s="153">
        <f t="shared" si="8"/>
        <v>0</v>
      </c>
      <c r="X16" s="121"/>
      <c r="Y16" s="154"/>
      <c r="Z16" s="154"/>
      <c r="AA16" s="154"/>
      <c r="AB16" s="154"/>
      <c r="AC16" s="154"/>
      <c r="AD16" s="155"/>
      <c r="AE16" s="156"/>
      <c r="AF16" s="154"/>
      <c r="AG16" s="155"/>
      <c r="AH16" s="120"/>
      <c r="AI16" s="123">
        <v>11</v>
      </c>
      <c r="AJ16" s="159" t="str">
        <f t="shared" si="9"/>
        <v>Orc1</v>
      </c>
      <c r="AK16" s="159">
        <f t="shared" si="20"/>
        <v>0</v>
      </c>
      <c r="AL16" s="159">
        <f t="shared" si="10"/>
        <v>0</v>
      </c>
      <c r="AM16" s="159">
        <f t="shared" si="11"/>
        <v>0</v>
      </c>
      <c r="AN16" s="159">
        <f t="shared" si="12"/>
        <v>0</v>
      </c>
      <c r="AO16" s="159">
        <f t="shared" si="13"/>
        <v>0</v>
      </c>
      <c r="AP16" s="159">
        <f t="shared" si="14"/>
        <v>0</v>
      </c>
      <c r="AQ16" s="159">
        <f t="array" ref="AQ16">IF(ISERROR($AJ16),0,IF($AJ16="","",SUM(IF($AJ16=$AJ$6:$AJ16,IF($L$6:$L16=T_MNG,1,0),0))))</f>
        <v>0</v>
      </c>
      <c r="AR16" s="160">
        <f t="shared" si="15"/>
        <v>5</v>
      </c>
      <c r="AS16" s="160">
        <f t="shared" si="16"/>
        <v>3</v>
      </c>
      <c r="AT16" s="160">
        <f t="shared" si="17"/>
        <v>3</v>
      </c>
      <c r="AU16" s="160">
        <f t="shared" si="18"/>
        <v>9</v>
      </c>
      <c r="AV16" s="102"/>
      <c r="AW16" s="102"/>
      <c r="AX16" s="102"/>
      <c r="AY16" s="102"/>
    </row>
    <row r="17" spans="1:51" ht="13.5" customHeight="1">
      <c r="A17" s="102"/>
      <c r="B17" s="114"/>
      <c r="C17" s="161">
        <v>12</v>
      </c>
      <c r="D17" s="162"/>
      <c r="E17" s="162"/>
      <c r="F17" s="163" t="str">
        <f>IF($E17&lt;&gt;"",IF($AJ17&lt;&gt;"",IF(AND($L17=T_Journey,VLOOKUP($AJ17,DBPlayers,2,0)&lt;12),T_Error&amp;"7",IF("Journeymen not available"=0,T_Error&amp;"8",IF(COUNTIF($E$6:$E17,$E17)-$AQ17&gt;VLOOKUP($AJ17,DBPlayers,2,0),T_Error&amp;"2",IF(L17=T_MNG,0,COUNTIF($E$6:$E17,$E17)-$AQ17)&amp;"/"&amp;(VLOOKUP($AJ17,DBPlayers,2,0))))),T_Error&amp;"1"),"")</f>
        <v/>
      </c>
      <c r="G17" s="164" t="str">
        <f t="shared" si="0"/>
        <v/>
      </c>
      <c r="H17" s="164" t="str">
        <f t="shared" si="1"/>
        <v/>
      </c>
      <c r="I17" s="164" t="str">
        <f t="shared" si="2"/>
        <v/>
      </c>
      <c r="J17" s="164" t="str">
        <f t="shared" si="3"/>
        <v/>
      </c>
      <c r="K17" s="167" t="str">
        <f t="shared" ca="1" si="4"/>
        <v/>
      </c>
      <c r="L17" s="168"/>
      <c r="M17" s="169"/>
      <c r="N17" s="170"/>
      <c r="O17" s="170"/>
      <c r="P17" s="170"/>
      <c r="Q17" s="170"/>
      <c r="R17" s="171" t="str">
        <f t="shared" si="5"/>
        <v/>
      </c>
      <c r="S17" s="172" t="str">
        <f t="shared" si="19"/>
        <v/>
      </c>
      <c r="T17" s="117"/>
      <c r="U17" s="152" t="str">
        <f t="shared" si="6"/>
        <v/>
      </c>
      <c r="V17" s="152" t="str">
        <f t="shared" si="7"/>
        <v/>
      </c>
      <c r="W17" s="153" t="str">
        <f t="shared" si="8"/>
        <v/>
      </c>
      <c r="X17" s="121"/>
      <c r="Y17" s="154"/>
      <c r="Z17" s="154"/>
      <c r="AA17" s="154"/>
      <c r="AB17" s="154"/>
      <c r="AC17" s="154"/>
      <c r="AD17" s="155"/>
      <c r="AE17" s="156"/>
      <c r="AF17" s="154"/>
      <c r="AG17" s="155"/>
      <c r="AH17" s="120"/>
      <c r="AI17" s="123">
        <v>12</v>
      </c>
      <c r="AJ17" s="159" t="str">
        <f t="shared" si="9"/>
        <v/>
      </c>
      <c r="AK17" s="159">
        <f t="shared" si="20"/>
        <v>0</v>
      </c>
      <c r="AL17" s="159">
        <f t="shared" si="10"/>
        <v>0</v>
      </c>
      <c r="AM17" s="159">
        <f t="shared" si="11"/>
        <v>0</v>
      </c>
      <c r="AN17" s="159">
        <f t="shared" si="12"/>
        <v>0</v>
      </c>
      <c r="AO17" s="159">
        <f t="shared" si="13"/>
        <v>0</v>
      </c>
      <c r="AP17" s="159">
        <f t="shared" si="14"/>
        <v>0</v>
      </c>
      <c r="AQ17" s="159" t="str">
        <f t="array" ref="AQ17">IF(ISERROR($AJ17),0,IF($AJ17="","",SUM(IF($AJ17=$AJ$6:$AJ17,IF($L$6:$L17=T_MNG,1,0),0))))</f>
        <v/>
      </c>
      <c r="AR17" s="160" t="str">
        <f t="shared" si="15"/>
        <v/>
      </c>
      <c r="AS17" s="160" t="str">
        <f t="shared" si="16"/>
        <v/>
      </c>
      <c r="AT17" s="160" t="str">
        <f t="shared" si="17"/>
        <v/>
      </c>
      <c r="AU17" s="160" t="str">
        <f t="shared" si="18"/>
        <v/>
      </c>
      <c r="AV17" s="102"/>
      <c r="AW17" s="102"/>
      <c r="AX17" s="102"/>
      <c r="AY17" s="102"/>
    </row>
    <row r="18" spans="1:51" ht="13.5" customHeight="1">
      <c r="A18" s="102"/>
      <c r="B18" s="114"/>
      <c r="C18" s="161">
        <v>13</v>
      </c>
      <c r="D18" s="162"/>
      <c r="E18" s="162"/>
      <c r="F18" s="163" t="str">
        <f>IF($E18&lt;&gt;"",IF($AJ18&lt;&gt;"",IF(AND($L18=T_Journey,VLOOKUP($AJ18,DBPlayers,2,0)&lt;12),T_Error&amp;"7",IF("Journeymen not available"=0,T_Error&amp;"8",IF(COUNTIF($E$6:$E18,$E18)-$AQ18&gt;VLOOKUP($AJ18,DBPlayers,2,0),T_Error&amp;"2",IF(L18=T_MNG,0,COUNTIF($E$6:$E18,$E18)-$AQ18)&amp;"/"&amp;(VLOOKUP($AJ18,DBPlayers,2,0))))),T_Error&amp;"1"),"")</f>
        <v/>
      </c>
      <c r="G18" s="164" t="str">
        <f t="shared" si="0"/>
        <v/>
      </c>
      <c r="H18" s="164" t="str">
        <f t="shared" si="1"/>
        <v/>
      </c>
      <c r="I18" s="164" t="str">
        <f t="shared" si="2"/>
        <v/>
      </c>
      <c r="J18" s="164" t="str">
        <f t="shared" si="3"/>
        <v/>
      </c>
      <c r="K18" s="167" t="str">
        <f t="shared" ca="1" si="4"/>
        <v/>
      </c>
      <c r="L18" s="168"/>
      <c r="M18" s="169"/>
      <c r="N18" s="170"/>
      <c r="O18" s="170"/>
      <c r="P18" s="170"/>
      <c r="Q18" s="170"/>
      <c r="R18" s="171" t="str">
        <f t="shared" si="5"/>
        <v/>
      </c>
      <c r="S18" s="172" t="str">
        <f t="shared" si="19"/>
        <v/>
      </c>
      <c r="T18" s="117"/>
      <c r="U18" s="152" t="str">
        <f t="shared" si="6"/>
        <v/>
      </c>
      <c r="V18" s="152" t="str">
        <f t="shared" si="7"/>
        <v/>
      </c>
      <c r="W18" s="153" t="str">
        <f t="shared" si="8"/>
        <v/>
      </c>
      <c r="X18" s="121"/>
      <c r="Y18" s="154"/>
      <c r="Z18" s="154"/>
      <c r="AA18" s="154"/>
      <c r="AB18" s="154"/>
      <c r="AC18" s="154"/>
      <c r="AD18" s="155"/>
      <c r="AE18" s="156"/>
      <c r="AF18" s="154"/>
      <c r="AG18" s="155"/>
      <c r="AH18" s="120"/>
      <c r="AI18" s="123">
        <v>13</v>
      </c>
      <c r="AJ18" s="159" t="str">
        <f t="shared" si="9"/>
        <v/>
      </c>
      <c r="AK18" s="159">
        <f t="shared" si="20"/>
        <v>0</v>
      </c>
      <c r="AL18" s="159">
        <f t="shared" si="10"/>
        <v>0</v>
      </c>
      <c r="AM18" s="159">
        <f t="shared" si="11"/>
        <v>0</v>
      </c>
      <c r="AN18" s="159">
        <f t="shared" si="12"/>
        <v>0</v>
      </c>
      <c r="AO18" s="159">
        <f t="shared" si="13"/>
        <v>0</v>
      </c>
      <c r="AP18" s="159">
        <f t="shared" si="14"/>
        <v>0</v>
      </c>
      <c r="AQ18" s="159" t="str">
        <f t="array" ref="AQ18">IF(ISERROR($AJ18),0,IF($AJ18="","",SUM(IF($AJ18=$AJ$6:$AJ18,IF($L$6:$L18=T_MNG,1,0),0))))</f>
        <v/>
      </c>
      <c r="AR18" s="160" t="str">
        <f t="shared" si="15"/>
        <v/>
      </c>
      <c r="AS18" s="160" t="str">
        <f t="shared" si="16"/>
        <v/>
      </c>
      <c r="AT18" s="160" t="str">
        <f t="shared" si="17"/>
        <v/>
      </c>
      <c r="AU18" s="160" t="str">
        <f t="shared" si="18"/>
        <v/>
      </c>
      <c r="AV18" s="102"/>
      <c r="AW18" s="102"/>
      <c r="AX18" s="102"/>
      <c r="AY18" s="102"/>
    </row>
    <row r="19" spans="1:51" ht="13.5" customHeight="1">
      <c r="A19" s="102"/>
      <c r="B19" s="114"/>
      <c r="C19" s="161">
        <v>14</v>
      </c>
      <c r="D19" s="162"/>
      <c r="E19" s="162"/>
      <c r="F19" s="163" t="str">
        <f>IF($E19&lt;&gt;"",IF($AJ19&lt;&gt;"",IF(AND($L19=T_Journey,VLOOKUP($AJ19,DBPlayers,2,0)&lt;12),T_Error&amp;"7",IF("Journeymen not available"=0,T_Error&amp;"8",IF(COUNTIF($E$6:$E19,$E19)-$AQ19&gt;VLOOKUP($AJ19,DBPlayers,2,0),T_Error&amp;"2",IF(L19=T_MNG,0,COUNTIF($E$6:$E19,$E19)-$AQ19)&amp;"/"&amp;(VLOOKUP($AJ19,DBPlayers,2,0))))),T_Error&amp;"1"),"")</f>
        <v/>
      </c>
      <c r="G19" s="164" t="str">
        <f t="shared" si="0"/>
        <v/>
      </c>
      <c r="H19" s="164" t="str">
        <f t="shared" si="1"/>
        <v/>
      </c>
      <c r="I19" s="164" t="str">
        <f t="shared" si="2"/>
        <v/>
      </c>
      <c r="J19" s="164" t="str">
        <f t="shared" si="3"/>
        <v/>
      </c>
      <c r="K19" s="167" t="str">
        <f t="shared" ca="1" si="4"/>
        <v/>
      </c>
      <c r="L19" s="168"/>
      <c r="M19" s="169"/>
      <c r="N19" s="170"/>
      <c r="O19" s="170"/>
      <c r="P19" s="170"/>
      <c r="Q19" s="170"/>
      <c r="R19" s="171" t="str">
        <f t="shared" si="5"/>
        <v/>
      </c>
      <c r="S19" s="172" t="str">
        <f t="shared" si="19"/>
        <v/>
      </c>
      <c r="T19" s="117"/>
      <c r="U19" s="152" t="str">
        <f t="shared" si="6"/>
        <v/>
      </c>
      <c r="V19" s="152" t="str">
        <f t="shared" si="7"/>
        <v/>
      </c>
      <c r="W19" s="153" t="str">
        <f t="shared" si="8"/>
        <v/>
      </c>
      <c r="X19" s="121"/>
      <c r="Y19" s="154"/>
      <c r="Z19" s="154"/>
      <c r="AA19" s="154"/>
      <c r="AB19" s="154"/>
      <c r="AC19" s="154"/>
      <c r="AD19" s="155"/>
      <c r="AE19" s="156"/>
      <c r="AF19" s="154"/>
      <c r="AG19" s="155"/>
      <c r="AH19" s="120"/>
      <c r="AI19" s="123">
        <v>14</v>
      </c>
      <c r="AJ19" s="159" t="str">
        <f t="shared" si="9"/>
        <v/>
      </c>
      <c r="AK19" s="159">
        <f t="shared" si="20"/>
        <v>0</v>
      </c>
      <c r="AL19" s="159">
        <f t="shared" si="10"/>
        <v>0</v>
      </c>
      <c r="AM19" s="159">
        <f t="shared" si="11"/>
        <v>0</v>
      </c>
      <c r="AN19" s="159">
        <f t="shared" si="12"/>
        <v>0</v>
      </c>
      <c r="AO19" s="159">
        <f t="shared" si="13"/>
        <v>0</v>
      </c>
      <c r="AP19" s="159">
        <f t="shared" si="14"/>
        <v>0</v>
      </c>
      <c r="AQ19" s="159" t="str">
        <f t="array" ref="AQ19">IF(ISERROR($AJ19),0,IF($AJ19="","",SUM(IF($AJ19=$AJ$6:$AJ19,IF($L$6:$L19=T_MNG,1,0),0))))</f>
        <v/>
      </c>
      <c r="AR19" s="160" t="str">
        <f t="shared" si="15"/>
        <v/>
      </c>
      <c r="AS19" s="160" t="str">
        <f t="shared" si="16"/>
        <v/>
      </c>
      <c r="AT19" s="160" t="str">
        <f t="shared" si="17"/>
        <v/>
      </c>
      <c r="AU19" s="160" t="str">
        <f t="shared" si="18"/>
        <v/>
      </c>
      <c r="AV19" s="102"/>
      <c r="AW19" s="102"/>
      <c r="AX19" s="102"/>
      <c r="AY19" s="102"/>
    </row>
    <row r="20" spans="1:51" ht="13.5" customHeight="1">
      <c r="A20" s="102"/>
      <c r="B20" s="114"/>
      <c r="C20" s="161">
        <v>15</v>
      </c>
      <c r="D20" s="162"/>
      <c r="E20" s="162"/>
      <c r="F20" s="163" t="str">
        <f>IF($E20&lt;&gt;"",IF($AJ20&lt;&gt;"",IF(AND($L20=T_Journey,VLOOKUP($AJ20,DBPlayers,2,0)&lt;12),T_Error&amp;"7",IF("Journeymen not available"=0,T_Error&amp;"8",IF(COUNTIF($E$6:$E20,$E20)-$AQ20&gt;VLOOKUP($AJ20,DBPlayers,2,0),T_Error&amp;"2",IF(L20=T_MNG,0,COUNTIF($E$6:$E20,$E20)-$AQ20)&amp;"/"&amp;(VLOOKUP($AJ20,DBPlayers,2,0))))),T_Error&amp;"1"),"")</f>
        <v/>
      </c>
      <c r="G20" s="164" t="str">
        <f t="shared" si="0"/>
        <v/>
      </c>
      <c r="H20" s="164" t="str">
        <f t="shared" si="1"/>
        <v/>
      </c>
      <c r="I20" s="164" t="str">
        <f t="shared" si="2"/>
        <v/>
      </c>
      <c r="J20" s="164" t="str">
        <f t="shared" si="3"/>
        <v/>
      </c>
      <c r="K20" s="167" t="str">
        <f t="shared" ca="1" si="4"/>
        <v/>
      </c>
      <c r="L20" s="168"/>
      <c r="M20" s="169"/>
      <c r="N20" s="170"/>
      <c r="O20" s="170"/>
      <c r="P20" s="170"/>
      <c r="Q20" s="170"/>
      <c r="R20" s="171" t="str">
        <f t="shared" si="5"/>
        <v/>
      </c>
      <c r="S20" s="172" t="str">
        <f t="shared" si="19"/>
        <v/>
      </c>
      <c r="T20" s="117"/>
      <c r="U20" s="152" t="str">
        <f t="shared" si="6"/>
        <v/>
      </c>
      <c r="V20" s="152" t="str">
        <f t="shared" si="7"/>
        <v/>
      </c>
      <c r="W20" s="153" t="str">
        <f t="shared" si="8"/>
        <v/>
      </c>
      <c r="X20" s="121"/>
      <c r="Y20" s="154"/>
      <c r="Z20" s="154"/>
      <c r="AA20" s="154"/>
      <c r="AB20" s="154"/>
      <c r="AC20" s="154"/>
      <c r="AD20" s="155"/>
      <c r="AE20" s="156"/>
      <c r="AF20" s="154"/>
      <c r="AG20" s="155"/>
      <c r="AH20" s="120"/>
      <c r="AI20" s="123">
        <v>15</v>
      </c>
      <c r="AJ20" s="159" t="str">
        <f t="shared" si="9"/>
        <v/>
      </c>
      <c r="AK20" s="159">
        <f t="shared" si="20"/>
        <v>0</v>
      </c>
      <c r="AL20" s="159">
        <f t="shared" si="10"/>
        <v>0</v>
      </c>
      <c r="AM20" s="159">
        <f t="shared" si="11"/>
        <v>0</v>
      </c>
      <c r="AN20" s="159">
        <f t="shared" si="12"/>
        <v>0</v>
      </c>
      <c r="AO20" s="159">
        <f t="shared" si="13"/>
        <v>0</v>
      </c>
      <c r="AP20" s="159">
        <f t="shared" si="14"/>
        <v>0</v>
      </c>
      <c r="AQ20" s="159" t="str">
        <f t="array" ref="AQ20">IF(ISERROR($AJ20),0,IF($AJ20="","",SUM(IF($AJ20=$AJ$6:$AJ20,IF($L$6:$L20=T_MNG,1,0),0))))</f>
        <v/>
      </c>
      <c r="AR20" s="160" t="str">
        <f t="shared" si="15"/>
        <v/>
      </c>
      <c r="AS20" s="160" t="str">
        <f t="shared" si="16"/>
        <v/>
      </c>
      <c r="AT20" s="160" t="str">
        <f t="shared" si="17"/>
        <v/>
      </c>
      <c r="AU20" s="160" t="str">
        <f t="shared" si="18"/>
        <v/>
      </c>
      <c r="AV20" s="102"/>
      <c r="AW20" s="102"/>
      <c r="AX20" s="102"/>
      <c r="AY20" s="102"/>
    </row>
    <row r="21" spans="1:51" ht="13.5" customHeight="1">
      <c r="A21" s="102"/>
      <c r="B21" s="114"/>
      <c r="C21" s="176">
        <v>16</v>
      </c>
      <c r="D21" s="175" t="s">
        <v>321</v>
      </c>
      <c r="E21" s="175" t="s">
        <v>322</v>
      </c>
      <c r="F21" s="177" t="str">
        <f>IF($E21&lt;&gt;"",IF($AJ21&lt;&gt;"",IF(AND($L21=T_Journey,VLOOKUP($AJ21,DBPlayers,2,0)&lt;12),T_Error&amp;"7",IF("Journeymen not available"=0,T_Error&amp;"8",IF(COUNTIF($E$6:$E21,$E21)-$AQ21&gt;VLOOKUP($AJ21,DBPlayers,2,0),T_Error&amp;"2",IF(L21=T_MNG,0,COUNTIF($E$6:$E21,$E21)-$AQ21)&amp;"/"&amp;(VLOOKUP($AJ21,DBPlayers,2,0))))),T_Error&amp;"1"),"")</f>
        <v>1/1</v>
      </c>
      <c r="G21" s="178">
        <f t="shared" si="0"/>
        <v>4</v>
      </c>
      <c r="H21" s="178">
        <f t="shared" si="1"/>
        <v>5</v>
      </c>
      <c r="I21" s="178">
        <f t="shared" si="2"/>
        <v>1</v>
      </c>
      <c r="J21" s="178">
        <f t="shared" si="3"/>
        <v>9</v>
      </c>
      <c r="K21" s="179" t="str">
        <f t="shared" ca="1" si="4"/>
        <v>Loner, Mighty Blow, Regeneration, Really Stupid, Always Hungry, Throw Teammate</v>
      </c>
      <c r="L21" s="180"/>
      <c r="M21" s="181"/>
      <c r="N21" s="182"/>
      <c r="O21" s="182"/>
      <c r="P21" s="182"/>
      <c r="Q21" s="182"/>
      <c r="R21" s="183">
        <f t="shared" si="5"/>
        <v>0</v>
      </c>
      <c r="S21" s="184">
        <f t="shared" si="19"/>
        <v>110000</v>
      </c>
      <c r="T21" s="117"/>
      <c r="U21" s="152" t="str">
        <f t="shared" si="6"/>
        <v>S</v>
      </c>
      <c r="V21" s="152" t="str">
        <f t="shared" si="7"/>
        <v>G A P</v>
      </c>
      <c r="W21" s="153">
        <f t="shared" si="8"/>
        <v>0</v>
      </c>
      <c r="X21" s="121"/>
      <c r="Y21" s="154"/>
      <c r="Z21" s="154"/>
      <c r="AA21" s="154"/>
      <c r="AB21" s="154"/>
      <c r="AC21" s="154"/>
      <c r="AD21" s="185"/>
      <c r="AE21" s="186"/>
      <c r="AF21" s="154"/>
      <c r="AG21" s="185"/>
      <c r="AH21" s="120"/>
      <c r="AI21" s="123">
        <v>16</v>
      </c>
      <c r="AJ21" s="159" t="str">
        <f t="shared" si="9"/>
        <v>Orc6</v>
      </c>
      <c r="AK21" s="159">
        <f t="shared" si="20"/>
        <v>0</v>
      </c>
      <c r="AL21" s="159">
        <f t="shared" si="10"/>
        <v>0</v>
      </c>
      <c r="AM21" s="159">
        <f t="shared" si="11"/>
        <v>0</v>
      </c>
      <c r="AN21" s="159">
        <f t="shared" si="12"/>
        <v>0</v>
      </c>
      <c r="AO21" s="159">
        <f t="shared" si="13"/>
        <v>0</v>
      </c>
      <c r="AP21" s="159">
        <f t="shared" si="14"/>
        <v>0</v>
      </c>
      <c r="AQ21" s="159">
        <f t="array" ref="AQ21">IF(ISERROR($AJ21),0,IF($AJ21="","",SUM(IF($AJ21=$AJ$6:$AJ21,IF($L$6:$L21=T_MNG,1,0),0))))</f>
        <v>0</v>
      </c>
      <c r="AR21" s="160">
        <f t="shared" si="15"/>
        <v>4</v>
      </c>
      <c r="AS21" s="160">
        <f t="shared" si="16"/>
        <v>5</v>
      </c>
      <c r="AT21" s="160">
        <f t="shared" si="17"/>
        <v>1</v>
      </c>
      <c r="AU21" s="160">
        <f t="shared" si="18"/>
        <v>9</v>
      </c>
      <c r="AV21" s="102"/>
      <c r="AW21" s="102"/>
      <c r="AX21" s="102"/>
      <c r="AY21" s="102"/>
    </row>
    <row r="22" spans="1:51" ht="18" customHeight="1">
      <c r="A22" s="102"/>
      <c r="B22" s="114"/>
      <c r="C22" s="187"/>
      <c r="D22" s="188"/>
      <c r="E22" s="189" t="s">
        <v>186</v>
      </c>
      <c r="F22" s="190" t="str">
        <f>COUNTIF(S6:S21,"&gt;0")&amp;"/16"</f>
        <v>12/16</v>
      </c>
      <c r="G22" s="191"/>
      <c r="H22" s="192" t="str">
        <f>IF(AND(AQ22&gt;0,AQ22+AM22&gt;11),T_Error8,IF(AM22&lt;11,AQ22&amp;" / "&amp;11-AM22&amp;" "&amp;T_AllowedJourney,""))</f>
        <v/>
      </c>
      <c r="I22" s="190"/>
      <c r="J22" s="190"/>
      <c r="K22" s="193"/>
      <c r="L22" s="189" t="s">
        <v>187</v>
      </c>
      <c r="M22" s="190">
        <f t="shared" ref="M22:Q22" si="21">SUMIF($R$6:$R$21,"&gt;=0",M$6:M$21)</f>
        <v>7</v>
      </c>
      <c r="N22" s="190">
        <f t="shared" si="21"/>
        <v>4</v>
      </c>
      <c r="O22" s="190">
        <f t="shared" si="21"/>
        <v>1</v>
      </c>
      <c r="P22" s="190">
        <f t="shared" si="21"/>
        <v>16</v>
      </c>
      <c r="Q22" s="190">
        <f t="shared" si="21"/>
        <v>8</v>
      </c>
      <c r="R22" s="190">
        <f t="shared" ref="R22:S22" si="22">SUM(R6:R21)</f>
        <v>93</v>
      </c>
      <c r="S22" s="194">
        <f t="shared" si="22"/>
        <v>1120000</v>
      </c>
      <c r="T22" s="117"/>
      <c r="U22" s="195"/>
      <c r="V22" s="196"/>
      <c r="W22" s="197"/>
      <c r="X22" s="198"/>
      <c r="Y22" s="198"/>
      <c r="Z22" s="198"/>
      <c r="AA22" s="198"/>
      <c r="AB22" s="198"/>
      <c r="AC22" s="198"/>
      <c r="AD22" s="198"/>
      <c r="AE22" s="198"/>
      <c r="AF22" s="198"/>
      <c r="AG22" s="198"/>
      <c r="AH22" s="102"/>
      <c r="AI22" s="123"/>
      <c r="AJ22" s="102"/>
      <c r="AK22" s="102"/>
      <c r="AL22" s="199" t="s">
        <v>188</v>
      </c>
      <c r="AM22" s="200">
        <f>COUNTIF($S$6:$S$21,"&gt;0")-$AQ$22</f>
        <v>12</v>
      </c>
      <c r="AN22" s="123"/>
      <c r="AO22" s="123"/>
      <c r="AP22" s="199" t="s">
        <v>189</v>
      </c>
      <c r="AQ22" s="159">
        <f t="array" ref="AQ22">SUM(IF(L6:L21=T_Journey,IF(S6:S21&lt;&gt;"",1,0),0))</f>
        <v>0</v>
      </c>
      <c r="AR22" s="105"/>
      <c r="AS22" s="105"/>
      <c r="AT22" s="105"/>
      <c r="AU22" s="105"/>
      <c r="AV22" s="102"/>
      <c r="AW22" s="102"/>
      <c r="AX22" s="102"/>
      <c r="AY22" s="102"/>
    </row>
    <row r="23" spans="1:51" ht="3" customHeight="1">
      <c r="A23" s="102"/>
      <c r="B23" s="107"/>
      <c r="C23" s="108"/>
      <c r="D23" s="109"/>
      <c r="E23" s="109"/>
      <c r="F23" s="110"/>
      <c r="G23" s="108"/>
      <c r="H23" s="108"/>
      <c r="I23" s="108"/>
      <c r="J23" s="108"/>
      <c r="K23" s="109"/>
      <c r="L23" s="109"/>
      <c r="M23" s="109"/>
      <c r="N23" s="109"/>
      <c r="O23" s="109"/>
      <c r="P23" s="109"/>
      <c r="Q23" s="109"/>
      <c r="R23" s="109"/>
      <c r="S23" s="201"/>
      <c r="T23" s="111"/>
      <c r="U23" s="121"/>
      <c r="V23" s="202"/>
      <c r="W23" s="121"/>
      <c r="X23" s="121"/>
      <c r="Y23" s="102"/>
      <c r="Z23" s="113"/>
      <c r="AA23" s="113"/>
      <c r="AB23" s="102"/>
      <c r="AC23" s="102"/>
      <c r="AD23" s="102"/>
      <c r="AE23" s="102"/>
      <c r="AF23" s="102"/>
      <c r="AG23" s="102"/>
      <c r="AH23" s="102"/>
      <c r="AI23" s="123"/>
      <c r="AJ23" s="123"/>
      <c r="AK23" s="123"/>
      <c r="AL23" s="123"/>
      <c r="AM23" s="123"/>
      <c r="AN23" s="123"/>
      <c r="AO23" s="123"/>
      <c r="AP23" s="123"/>
      <c r="AQ23" s="123"/>
      <c r="AR23" s="105"/>
      <c r="AS23" s="105"/>
      <c r="AT23" s="105"/>
      <c r="AU23" s="105"/>
      <c r="AV23" s="102"/>
      <c r="AW23" s="102"/>
      <c r="AX23" s="102"/>
      <c r="AY23" s="102"/>
    </row>
    <row r="24" spans="1:51" ht="13.5" customHeight="1">
      <c r="A24" s="102"/>
      <c r="B24" s="114"/>
      <c r="C24" s="203"/>
      <c r="D24" s="351" t="s">
        <v>190</v>
      </c>
      <c r="E24" s="316"/>
      <c r="F24" s="127" t="s">
        <v>142</v>
      </c>
      <c r="G24" s="127" t="str">
        <f>T_MA</f>
        <v>MA</v>
      </c>
      <c r="H24" s="127" t="str">
        <f>T_ST</f>
        <v>ST</v>
      </c>
      <c r="I24" s="127" t="str">
        <f>T_AG</f>
        <v>AG</v>
      </c>
      <c r="J24" s="127" t="str">
        <f>T_AV</f>
        <v>AV</v>
      </c>
      <c r="K24" s="348" t="s">
        <v>191</v>
      </c>
      <c r="L24" s="316"/>
      <c r="M24" s="316"/>
      <c r="N24" s="316"/>
      <c r="O24" s="316"/>
      <c r="P24" s="316"/>
      <c r="Q24" s="316"/>
      <c r="R24" s="316"/>
      <c r="S24" s="204"/>
      <c r="T24" s="117"/>
      <c r="U24" s="133" t="s">
        <v>146</v>
      </c>
      <c r="V24" s="341" t="s">
        <v>192</v>
      </c>
      <c r="W24" s="316"/>
      <c r="X24" s="121"/>
      <c r="Y24" s="113"/>
      <c r="Z24" s="102"/>
      <c r="AA24" s="102"/>
      <c r="AB24" s="102"/>
      <c r="AC24" s="102"/>
      <c r="AD24" s="102"/>
      <c r="AE24" s="102"/>
      <c r="AF24" s="102"/>
      <c r="AG24" s="102"/>
      <c r="AH24" s="102"/>
      <c r="AI24" s="123"/>
      <c r="AJ24" s="123"/>
      <c r="AK24" s="123"/>
      <c r="AL24" s="123"/>
      <c r="AM24" s="123"/>
      <c r="AN24" s="123"/>
      <c r="AO24" s="123"/>
      <c r="AP24" s="141"/>
      <c r="AQ24" s="141" t="s">
        <v>160</v>
      </c>
      <c r="AR24" s="105"/>
      <c r="AS24" s="105"/>
      <c r="AT24" s="105"/>
      <c r="AU24" s="105"/>
      <c r="AV24" s="102"/>
      <c r="AW24" s="102"/>
      <c r="AX24" s="102"/>
      <c r="AY24" s="102"/>
    </row>
    <row r="25" spans="1:51" ht="13.5" customHeight="1">
      <c r="A25" s="102"/>
      <c r="B25" s="114"/>
      <c r="C25" s="115"/>
      <c r="D25" s="346"/>
      <c r="E25" s="316"/>
      <c r="F25" s="205" t="str">
        <f>IF($D25="","",IF($AJ25="",T_Error&amp;"1",IF(COUNTIF($D$25:$D25,"&lt;&gt;")&gt;$R$31,T_Error&amp;"3",IF(ISERROR(FIND(T_Merc,$D25)),IF(COUNTIF($D$25:$D25,D25)&gt;1,T_Error&amp;"4",IF(COUNTIF($AJ$25:$AJ25,"=Star")&gt;2,T_Error&amp;"5",IF(AND($D25=Brick,$F$31&lt;&gt;"1/1"),T_Error&amp;"6","1/1"))),IF(COUNTIF($AJ$6:$AJ25,$AJ25)-$AQ25&gt;VLOOKUP($AJ25,DBPlayers,2,0)+VLOOKUP($AJ25,$AL$58:$AM$67,2,0),T_Error&amp;"2",COUNTIF($AJ$6:$AJ25,$AJ25)-$AQ25&amp;"/"&amp;(VLOOKUP($AJ25,DBPlayers,2,0)))))))</f>
        <v/>
      </c>
      <c r="G25" s="205" t="str">
        <f t="shared" ref="G25:G30" si="23">IF(OR(LEFT($F25,LEN(T_Error))=T_Error,$D25=""),"",IF(ISERROR(FIND(T_Merc,$D25)),VLOOKUP($D25,DBStars,2,0),VLOOKUP($AJ25,DBPlayers,4,0)))</f>
        <v/>
      </c>
      <c r="H25" s="205" t="str">
        <f t="shared" ref="H25:H30" si="24">IF(OR(LEFT($F25,LEN(T_Error))=T_Error,$D25=""),"",IF(ISERROR(FIND(T_Merc,$D25)),VLOOKUP($D25,DBStars,3,0),VLOOKUP($AJ25,DBPlayers,5,0)))</f>
        <v/>
      </c>
      <c r="I25" s="205" t="str">
        <f t="shared" ref="I25:I30" si="25">IF(OR(LEFT($F25,LEN(T_Error))=T_Error,$D25=""),"",IF(ISERROR(FIND(T_Merc,$D25)),VLOOKUP($D25,DBStars,4,0),VLOOKUP($AJ25,DBPlayers,6,0)))</f>
        <v/>
      </c>
      <c r="J25" s="205" t="str">
        <f t="shared" ref="J25:J30" si="26">IF(OR(LEFT($F25,LEN(T_Error))=T_Error,$D25=""),"",IF(ISERROR(FIND(T_Merc,$D25)),VLOOKUP($D25,DBStars,5,0),VLOOKUP($AJ25,DBPlayers,7,0)))</f>
        <v/>
      </c>
      <c r="K25" s="347" t="str">
        <f t="shared" ref="K25:K30" ca="1" si="27">IF($D25="","",IF(LEFT($F25,LEN(T_Error))=T_Error,INDIRECT("T_Error"&amp;RIGHT($F25,1)),IF(ISERROR(FIND(T_Merc,$D25)),VLOOKUP($D25,DBStars,6,0),T_Loner&amp;", "&amp;VLOOKUP($AJ25,DBPlayers,8,0)&amp;IF($V25="","",", "&amp;$V25))))</f>
        <v/>
      </c>
      <c r="L25" s="316"/>
      <c r="M25" s="316"/>
      <c r="N25" s="316"/>
      <c r="O25" s="316"/>
      <c r="P25" s="316"/>
      <c r="Q25" s="316"/>
      <c r="R25" s="316"/>
      <c r="S25" s="206" t="str">
        <f t="shared" ref="S25:S30" si="28">IF(OR(LEFT($F25,LEN(T_Error))=T_Error,$D25=""),"",IF(ISERROR(FIND(T_Merc,$D25)),VLOOKUP($D25,DBStars,7,0),VLOOKUP($AJ25,DBPlayers,11,0)+30000+IF(V25&lt;&gt;"",50000,0)))</f>
        <v/>
      </c>
      <c r="T25" s="117"/>
      <c r="U25" s="207" t="str">
        <f t="shared" ref="U25:U30" si="29">IF(OR(LEFT($F25,LEN(T_Error))=T_Error,$D25=""),"",IF(ISERROR(FIND("Mercenary",$D25)),"none",VLOOKUP($AJ25,DBPlayers,9,0)))</f>
        <v/>
      </c>
      <c r="V25" s="334"/>
      <c r="W25" s="316"/>
      <c r="X25" s="121"/>
      <c r="Y25" s="102"/>
      <c r="Z25" s="102"/>
      <c r="AA25" s="102"/>
      <c r="AB25" s="102"/>
      <c r="AC25" s="102"/>
      <c r="AD25" s="102"/>
      <c r="AE25" s="102"/>
      <c r="AF25" s="102"/>
      <c r="AG25" s="102"/>
      <c r="AH25" s="102"/>
      <c r="AI25" s="199" t="s">
        <v>193</v>
      </c>
      <c r="AJ25" s="159" t="str">
        <f t="shared" ref="AJ25:AJ30" si="30">IF(ISERROR(VLOOKUP(MID($D25,1,LEN($D25)-LEN(" Mercenary")),$AJ$58:$AL$67,3,0)),IF(ISERROR(VLOOKUP(D25,AK48:AK57,1,0)),"","Star"),VLOOKUP(MID($D25,1,LEN($D25)-LEN(" Mercenary")),$AJ$58:$AL$67,3,0))</f>
        <v/>
      </c>
      <c r="AK25" s="123"/>
      <c r="AL25" s="123"/>
      <c r="AM25" s="123"/>
      <c r="AN25" s="123"/>
      <c r="AO25" s="123"/>
      <c r="AP25" s="123"/>
      <c r="AQ25" s="159" t="str">
        <f t="array" ref="AQ25">IF($AJ25&lt;&gt;"",SUM(IF($AJ25=$AJ$6:$AJ25,IF($L$6:$L25=T_MNG,1,0),0)),"")</f>
        <v/>
      </c>
      <c r="AR25" s="105"/>
      <c r="AS25" s="105"/>
      <c r="AT25" s="105"/>
      <c r="AU25" s="105"/>
      <c r="AV25" s="102"/>
      <c r="AW25" s="102"/>
      <c r="AX25" s="102"/>
      <c r="AY25" s="102"/>
    </row>
    <row r="26" spans="1:51" ht="13.5" customHeight="1">
      <c r="A26" s="102"/>
      <c r="B26" s="114"/>
      <c r="C26" s="208"/>
      <c r="D26" s="346"/>
      <c r="E26" s="316"/>
      <c r="F26" s="205" t="str">
        <f>IF($D26="","",IF($AJ26="",T_Error&amp;"1",IF(COUNTIF($D$25:$D26,"&lt;&gt;")&gt;$R$31,T_Error&amp;"3",IF(ISERROR(FIND(T_Merc,$D26)),IF(COUNTIF($D$25:$D26,D26)&gt;1,T_Error&amp;"4",IF(COUNTIF($AJ$25:$AJ26,"=Star")&gt;2,T_Error&amp;"5",IF(AND($D26=Brick,$F$31&lt;&gt;"1/1"),T_Error&amp;"6","1/1"))),IF(COUNTIF($AJ$6:$AJ26,$AJ26)-$AQ26&gt;VLOOKUP($AJ26,DBPlayers,2,0)+VLOOKUP($AJ26,$AL$58:$AM$67,2,0),T_Error&amp;"2",COUNTIF($AJ$6:$AJ26,$AJ26)-$AQ26&amp;"/"&amp;(VLOOKUP($AJ26,DBPlayers,2,0)))))))</f>
        <v/>
      </c>
      <c r="G26" s="205" t="str">
        <f t="shared" si="23"/>
        <v/>
      </c>
      <c r="H26" s="205" t="str">
        <f t="shared" si="24"/>
        <v/>
      </c>
      <c r="I26" s="205" t="str">
        <f t="shared" si="25"/>
        <v/>
      </c>
      <c r="J26" s="205" t="str">
        <f t="shared" si="26"/>
        <v/>
      </c>
      <c r="K26" s="347" t="str">
        <f t="shared" ca="1" si="27"/>
        <v/>
      </c>
      <c r="L26" s="316"/>
      <c r="M26" s="316"/>
      <c r="N26" s="316"/>
      <c r="O26" s="316"/>
      <c r="P26" s="316"/>
      <c r="Q26" s="316"/>
      <c r="R26" s="316"/>
      <c r="S26" s="206" t="str">
        <f t="shared" si="28"/>
        <v/>
      </c>
      <c r="T26" s="117"/>
      <c r="U26" s="207" t="str">
        <f t="shared" si="29"/>
        <v/>
      </c>
      <c r="V26" s="334"/>
      <c r="W26" s="316"/>
      <c r="X26" s="121"/>
      <c r="Y26" s="102"/>
      <c r="Z26" s="102"/>
      <c r="AA26" s="102"/>
      <c r="AB26" s="102"/>
      <c r="AC26" s="102"/>
      <c r="AD26" s="102"/>
      <c r="AE26" s="102"/>
      <c r="AF26" s="102"/>
      <c r="AG26" s="102"/>
      <c r="AH26" s="102"/>
      <c r="AI26" s="199" t="s">
        <v>194</v>
      </c>
      <c r="AJ26" s="159" t="str">
        <f t="shared" si="30"/>
        <v/>
      </c>
      <c r="AK26" s="123"/>
      <c r="AL26" s="123"/>
      <c r="AM26" s="123"/>
      <c r="AN26" s="123"/>
      <c r="AO26" s="123"/>
      <c r="AP26" s="123"/>
      <c r="AQ26" s="159" t="str">
        <f t="array" ref="AQ26">IF($AJ26&lt;&gt;"",SUM(IF($AJ26=$AJ$6:$AJ26,IF($L$6:$L26=T_MNG,1,0),0)),"")</f>
        <v/>
      </c>
      <c r="AR26" s="105"/>
      <c r="AS26" s="105"/>
      <c r="AT26" s="105"/>
      <c r="AU26" s="105"/>
      <c r="AV26" s="102"/>
      <c r="AW26" s="102"/>
      <c r="AX26" s="102"/>
      <c r="AY26" s="102"/>
    </row>
    <row r="27" spans="1:51" ht="13.5" customHeight="1">
      <c r="A27" s="102"/>
      <c r="B27" s="114"/>
      <c r="C27" s="208"/>
      <c r="D27" s="346"/>
      <c r="E27" s="316"/>
      <c r="F27" s="205" t="str">
        <f>IF($D27="","",IF($AJ27="",T_Error&amp;"1",IF(COUNTIF($D$25:$D27,"&lt;&gt;")&gt;$R$31,T_Error&amp;"3",IF(ISERROR(FIND(T_Merc,$D27)),IF(COUNTIF($D$25:$D27,D27)&gt;1,T_Error&amp;"4",IF(COUNTIF($AJ$25:$AJ27,"=Star")&gt;2,T_Error&amp;"5",IF(AND($D27=Brick,$F$31&lt;&gt;"1/1"),T_Error&amp;"6","1/1"))),IF(COUNTIF($AJ$6:$AJ27,$AJ27)-$AQ27&gt;VLOOKUP($AJ27,DBPlayers,2,0)+VLOOKUP($AJ27,$AL$58:$AM$67,2,0),T_Error&amp;"2",COUNTIF($AJ$6:$AJ27,$AJ27)-$AQ27&amp;"/"&amp;(VLOOKUP($AJ27,DBPlayers,2,0)))))))</f>
        <v/>
      </c>
      <c r="G27" s="205" t="str">
        <f t="shared" si="23"/>
        <v/>
      </c>
      <c r="H27" s="205" t="str">
        <f t="shared" si="24"/>
        <v/>
      </c>
      <c r="I27" s="205" t="str">
        <f t="shared" si="25"/>
        <v/>
      </c>
      <c r="J27" s="205" t="str">
        <f t="shared" si="26"/>
        <v/>
      </c>
      <c r="K27" s="347" t="str">
        <f t="shared" ca="1" si="27"/>
        <v/>
      </c>
      <c r="L27" s="316"/>
      <c r="M27" s="316"/>
      <c r="N27" s="316"/>
      <c r="O27" s="316"/>
      <c r="P27" s="316"/>
      <c r="Q27" s="316"/>
      <c r="R27" s="316"/>
      <c r="S27" s="206" t="str">
        <f t="shared" si="28"/>
        <v/>
      </c>
      <c r="T27" s="117"/>
      <c r="U27" s="207" t="str">
        <f t="shared" si="29"/>
        <v/>
      </c>
      <c r="V27" s="334"/>
      <c r="W27" s="316"/>
      <c r="X27" s="121"/>
      <c r="Y27" s="102"/>
      <c r="Z27" s="102"/>
      <c r="AA27" s="102"/>
      <c r="AB27" s="102"/>
      <c r="AC27" s="102"/>
      <c r="AD27" s="102"/>
      <c r="AE27" s="102"/>
      <c r="AF27" s="102"/>
      <c r="AG27" s="102"/>
      <c r="AH27" s="102"/>
      <c r="AI27" s="199" t="s">
        <v>195</v>
      </c>
      <c r="AJ27" s="159" t="str">
        <f t="shared" si="30"/>
        <v/>
      </c>
      <c r="AK27" s="123"/>
      <c r="AL27" s="123"/>
      <c r="AM27" s="123"/>
      <c r="AN27" s="123"/>
      <c r="AO27" s="123"/>
      <c r="AP27" s="123"/>
      <c r="AQ27" s="159" t="str">
        <f t="array" ref="AQ27">IF($AJ27&lt;&gt;"",SUM(IF($AJ27=$AJ$6:$AJ27,IF($L$6:$L27=T_MNG,1,0),0)),"")</f>
        <v/>
      </c>
      <c r="AR27" s="105"/>
      <c r="AS27" s="105"/>
      <c r="AT27" s="105"/>
      <c r="AU27" s="105"/>
      <c r="AV27" s="102"/>
      <c r="AW27" s="102"/>
      <c r="AX27" s="102"/>
      <c r="AY27" s="102"/>
    </row>
    <row r="28" spans="1:51" ht="13.5" customHeight="1">
      <c r="A28" s="102"/>
      <c r="B28" s="114"/>
      <c r="C28" s="187"/>
      <c r="D28" s="346"/>
      <c r="E28" s="316"/>
      <c r="F28" s="205" t="str">
        <f>IF($D28="","",IF($AJ28="",T_Error&amp;"1",IF(COUNTIF($D$25:$D28,"&lt;&gt;")&gt;$R$31,T_Error&amp;"3",IF(ISERROR(FIND(T_Merc,$D28)),IF(COUNTIF($D$25:$D28,D28)&gt;1,T_Error&amp;"4",IF(COUNTIF($AJ$25:$AJ28,"=Star")&gt;2,T_Error&amp;"5",IF(AND($D28=Brick,$F$31&lt;&gt;"1/1"),T_Error&amp;"6","1/1"))),IF(COUNTIF($AJ$6:$AJ28,$AJ28)-$AQ28&gt;VLOOKUP($AJ28,DBPlayers,2,0)+VLOOKUP($AJ28,$AL$58:$AM$67,2,0),T_Error&amp;"2",COUNTIF($AJ$6:$AJ28,$AJ28)-$AQ28&amp;"/"&amp;(VLOOKUP($AJ28,DBPlayers,2,0)))))))</f>
        <v/>
      </c>
      <c r="G28" s="205" t="str">
        <f t="shared" si="23"/>
        <v/>
      </c>
      <c r="H28" s="205" t="str">
        <f t="shared" si="24"/>
        <v/>
      </c>
      <c r="I28" s="205" t="str">
        <f t="shared" si="25"/>
        <v/>
      </c>
      <c r="J28" s="205" t="str">
        <f t="shared" si="26"/>
        <v/>
      </c>
      <c r="K28" s="347" t="str">
        <f t="shared" ca="1" si="27"/>
        <v/>
      </c>
      <c r="L28" s="316"/>
      <c r="M28" s="316"/>
      <c r="N28" s="316"/>
      <c r="O28" s="316"/>
      <c r="P28" s="316"/>
      <c r="Q28" s="316"/>
      <c r="R28" s="316"/>
      <c r="S28" s="206" t="str">
        <f t="shared" si="28"/>
        <v/>
      </c>
      <c r="T28" s="117"/>
      <c r="U28" s="207" t="str">
        <f t="shared" si="29"/>
        <v/>
      </c>
      <c r="V28" s="334"/>
      <c r="W28" s="316"/>
      <c r="X28" s="121"/>
      <c r="Y28" s="102"/>
      <c r="Z28" s="102"/>
      <c r="AA28" s="102"/>
      <c r="AB28" s="102"/>
      <c r="AC28" s="102"/>
      <c r="AD28" s="102"/>
      <c r="AE28" s="102"/>
      <c r="AF28" s="102"/>
      <c r="AG28" s="102"/>
      <c r="AH28" s="102"/>
      <c r="AI28" s="199" t="s">
        <v>196</v>
      </c>
      <c r="AJ28" s="159" t="str">
        <f t="shared" si="30"/>
        <v/>
      </c>
      <c r="AK28" s="123"/>
      <c r="AL28" s="123"/>
      <c r="AM28" s="123"/>
      <c r="AN28" s="123"/>
      <c r="AO28" s="123"/>
      <c r="AP28" s="123"/>
      <c r="AQ28" s="159" t="str">
        <f t="array" ref="AQ28">IF($AJ28&lt;&gt;"",SUM(IF($AJ28=$AJ$6:$AJ28,IF($L$6:$L28=T_MNG,1,0),0)),"")</f>
        <v/>
      </c>
      <c r="AR28" s="105"/>
      <c r="AS28" s="105"/>
      <c r="AT28" s="105"/>
      <c r="AU28" s="105"/>
      <c r="AV28" s="102"/>
      <c r="AW28" s="102"/>
      <c r="AX28" s="102"/>
      <c r="AY28" s="102"/>
    </row>
    <row r="29" spans="1:51" ht="13.5" customHeight="1">
      <c r="A29" s="102"/>
      <c r="B29" s="114"/>
      <c r="C29" s="190"/>
      <c r="D29" s="346"/>
      <c r="E29" s="316"/>
      <c r="F29" s="205" t="str">
        <f>IF($D29="","",IF($AJ29="",T_Error&amp;"1",IF(COUNTIF($D$25:$D29,"&lt;&gt;")&gt;$R$31,T_Error&amp;"3",IF(ISERROR(FIND(T_Merc,$D29)),IF(COUNTIF($D$25:$D29,D29)&gt;1,T_Error&amp;"4",IF(COUNTIF($AJ$25:$AJ29,"=Star")&gt;2,T_Error&amp;"5",IF(AND($D29=Brick,$F$31&lt;&gt;"1/1"),T_Error&amp;"6","1/1"))),IF(COUNTIF($AJ$6:$AJ29,$AJ29)-$AQ29&gt;VLOOKUP($AJ29,DBPlayers,2,0)+VLOOKUP($AJ29,$AL$58:$AM$67,2,0),T_Error&amp;"2",COUNTIF($AJ$6:$AJ29,$AJ29)-$AQ29&amp;"/"&amp;(VLOOKUP($AJ29,DBPlayers,2,0)))))))</f>
        <v/>
      </c>
      <c r="G29" s="205" t="str">
        <f t="shared" si="23"/>
        <v/>
      </c>
      <c r="H29" s="205" t="str">
        <f t="shared" si="24"/>
        <v/>
      </c>
      <c r="I29" s="205" t="str">
        <f t="shared" si="25"/>
        <v/>
      </c>
      <c r="J29" s="205" t="str">
        <f t="shared" si="26"/>
        <v/>
      </c>
      <c r="K29" s="347" t="str">
        <f t="shared" ca="1" si="27"/>
        <v/>
      </c>
      <c r="L29" s="316"/>
      <c r="M29" s="316"/>
      <c r="N29" s="316"/>
      <c r="O29" s="316"/>
      <c r="P29" s="316"/>
      <c r="Q29" s="316"/>
      <c r="R29" s="316"/>
      <c r="S29" s="206" t="str">
        <f t="shared" si="28"/>
        <v/>
      </c>
      <c r="T29" s="117"/>
      <c r="U29" s="207" t="str">
        <f t="shared" si="29"/>
        <v/>
      </c>
      <c r="V29" s="334"/>
      <c r="W29" s="316"/>
      <c r="X29" s="121"/>
      <c r="Y29" s="102"/>
      <c r="Z29" s="102"/>
      <c r="AA29" s="102"/>
      <c r="AB29" s="102"/>
      <c r="AC29" s="102"/>
      <c r="AD29" s="102"/>
      <c r="AE29" s="102"/>
      <c r="AF29" s="102"/>
      <c r="AG29" s="102"/>
      <c r="AH29" s="102"/>
      <c r="AI29" s="199" t="s">
        <v>197</v>
      </c>
      <c r="AJ29" s="159" t="str">
        <f t="shared" si="30"/>
        <v/>
      </c>
      <c r="AK29" s="123"/>
      <c r="AL29" s="123"/>
      <c r="AM29" s="123"/>
      <c r="AN29" s="123"/>
      <c r="AO29" s="123"/>
      <c r="AP29" s="123"/>
      <c r="AQ29" s="159" t="str">
        <f t="array" ref="AQ29">IF($AJ29&lt;&gt;"",SUM(IF($AJ29=$AJ$6:$AJ29,IF($L$6:$L29=T_MNG,1,0),0)),"")</f>
        <v/>
      </c>
      <c r="AR29" s="105"/>
      <c r="AS29" s="105"/>
      <c r="AT29" s="105"/>
      <c r="AU29" s="105"/>
      <c r="AV29" s="102"/>
      <c r="AW29" s="102"/>
      <c r="AX29" s="102"/>
      <c r="AY29" s="102"/>
    </row>
    <row r="30" spans="1:51" ht="13.5" customHeight="1">
      <c r="A30" s="102"/>
      <c r="B30" s="114"/>
      <c r="C30" s="190"/>
      <c r="D30" s="346"/>
      <c r="E30" s="316"/>
      <c r="F30" s="205" t="str">
        <f>IF($D30="","",IF($AJ30="",T_Error&amp;"1",IF(COUNTIF($D$25:$D30,"&lt;&gt;")&gt;$R$31,T_Error&amp;"3",IF(ISERROR(FIND(T_Merc,$D30)),IF(COUNTIF($D$25:$D30,D30)&gt;1,T_Error&amp;"4",IF(COUNTIF($AJ$25:$AJ30,"=Star")&gt;2,T_Error&amp;"5",IF(AND($D30=Brick,$F$31&lt;&gt;"1/1"),T_Error&amp;"6","1/1"))),IF(COUNTIF($AJ$6:$AJ30,$AJ30)-$AQ30&gt;VLOOKUP($AJ30,DBPlayers,2,0)+VLOOKUP($AJ30,$AL$58:$AM$67,2,0),T_Error&amp;"2",COUNTIF($AJ$6:$AJ30,$AJ30)-$AQ30&amp;"/"&amp;(VLOOKUP($AJ30,DBPlayers,2,0)))))))</f>
        <v/>
      </c>
      <c r="G30" s="205" t="str">
        <f t="shared" si="23"/>
        <v/>
      </c>
      <c r="H30" s="205" t="str">
        <f t="shared" si="24"/>
        <v/>
      </c>
      <c r="I30" s="205" t="str">
        <f t="shared" si="25"/>
        <v/>
      </c>
      <c r="J30" s="205" t="str">
        <f t="shared" si="26"/>
        <v/>
      </c>
      <c r="K30" s="347" t="str">
        <f t="shared" ca="1" si="27"/>
        <v/>
      </c>
      <c r="L30" s="316"/>
      <c r="M30" s="316"/>
      <c r="N30" s="316"/>
      <c r="O30" s="316"/>
      <c r="P30" s="316"/>
      <c r="Q30" s="316"/>
      <c r="R30" s="316"/>
      <c r="S30" s="206" t="str">
        <f t="shared" si="28"/>
        <v/>
      </c>
      <c r="T30" s="117"/>
      <c r="U30" s="207" t="str">
        <f t="shared" si="29"/>
        <v/>
      </c>
      <c r="V30" s="334"/>
      <c r="W30" s="316"/>
      <c r="X30" s="121"/>
      <c r="Y30" s="209"/>
      <c r="Z30" s="102"/>
      <c r="AA30" s="102"/>
      <c r="AB30" s="102"/>
      <c r="AC30" s="102"/>
      <c r="AD30" s="102"/>
      <c r="AE30" s="102"/>
      <c r="AF30" s="102"/>
      <c r="AG30" s="102"/>
      <c r="AH30" s="102"/>
      <c r="AI30" s="199" t="s">
        <v>198</v>
      </c>
      <c r="AJ30" s="159" t="str">
        <f t="shared" si="30"/>
        <v/>
      </c>
      <c r="AK30" s="123"/>
      <c r="AL30" s="123"/>
      <c r="AM30" s="123"/>
      <c r="AN30" s="123"/>
      <c r="AO30" s="123"/>
      <c r="AP30" s="123"/>
      <c r="AQ30" s="159" t="str">
        <f t="array" ref="AQ30">IF($AJ30&lt;&gt;"",SUM(IF($AJ30=$AJ$6:$AJ30,IF($L$6:$L30=T_MNG,1,0),0)),"")</f>
        <v/>
      </c>
      <c r="AR30" s="105"/>
      <c r="AS30" s="105"/>
      <c r="AT30" s="105"/>
      <c r="AU30" s="105"/>
      <c r="AV30" s="102"/>
      <c r="AW30" s="102"/>
      <c r="AX30" s="102"/>
      <c r="AY30" s="102"/>
    </row>
    <row r="31" spans="1:51" ht="13.5" customHeight="1">
      <c r="A31" s="102"/>
      <c r="B31" s="114"/>
      <c r="C31" s="190"/>
      <c r="D31" s="210"/>
      <c r="E31" s="210"/>
      <c r="F31" s="205" t="str">
        <f>IF($D31="","",IF(COUNTIF($D$25:$D31,"&lt;&gt;")&gt;$R$31,T_Error&amp;"3",IF(COUNTIF($AJ$25:$AJ30,"=Star")&gt;2,T_Error&amp;"5","1/1")))</f>
        <v/>
      </c>
      <c r="G31" s="205" t="str">
        <f>IF(OR(LEFT($F31,LEN(T_Error))=T_Error,$D31=""),"",VLOOKUP($D31,DBStars,2,0))</f>
        <v/>
      </c>
      <c r="H31" s="205" t="str">
        <f>IF(OR(LEFT($F31,LEN(T_Error))=T_Error,$D31=""),"",VLOOKUP($D31,DBStars,3,0))</f>
        <v/>
      </c>
      <c r="I31" s="205" t="str">
        <f>IF(OR(LEFT($F31,LEN(T_Error))=T_Error,$D31=""),"",VLOOKUP($D31,DBStars,4,0))</f>
        <v/>
      </c>
      <c r="J31" s="205" t="str">
        <f>IF(OR(LEFT($F31,LEN(T_Error))=T_Error,$D31=""),"",VLOOKUP($D31,DBStars,5,0))</f>
        <v/>
      </c>
      <c r="K31" s="193" t="str">
        <f ca="1">IF($D31="","",IF(LEFT($F31,LEN(T_Error))=T_Error,INDIRECT("T_"&amp;$F31),VLOOKUP($D31,DBStars,6,0)))</f>
        <v/>
      </c>
      <c r="L31" s="343" t="s">
        <v>199</v>
      </c>
      <c r="M31" s="316"/>
      <c r="N31" s="316"/>
      <c r="O31" s="316"/>
      <c r="P31" s="316"/>
      <c r="Q31" s="189" t="str">
        <f>COUNTIF(J25:J31,"&gt;0")&amp;" /"</f>
        <v>0 /</v>
      </c>
      <c r="R31" s="211">
        <f>16-COUNTIF(S6:S21,"&gt;0")</f>
        <v>4</v>
      </c>
      <c r="S31" s="206"/>
      <c r="T31" s="117"/>
      <c r="U31" s="207" t="str">
        <f>IF($D31="","",IF(ISERROR(FIND("Mercenary",$D31)),"",VLOOKUP($AJ31,DBPlayers,9,0)))</f>
        <v/>
      </c>
      <c r="V31" s="154"/>
      <c r="W31" s="154"/>
      <c r="X31" s="121"/>
      <c r="Y31" s="102"/>
      <c r="Z31" s="102"/>
      <c r="AA31" s="102"/>
      <c r="AB31" s="102"/>
      <c r="AC31" s="102"/>
      <c r="AD31" s="102"/>
      <c r="AE31" s="102"/>
      <c r="AF31" s="102"/>
      <c r="AG31" s="102"/>
      <c r="AH31" s="102"/>
      <c r="AI31" s="102"/>
      <c r="AJ31" s="102"/>
      <c r="AK31" s="102"/>
      <c r="AL31" s="102"/>
      <c r="AM31" s="102"/>
      <c r="AN31" s="102"/>
      <c r="AO31" s="102"/>
      <c r="AP31" s="102"/>
      <c r="AQ31" s="102"/>
      <c r="AR31" s="105"/>
      <c r="AS31" s="105"/>
      <c r="AT31" s="105"/>
      <c r="AU31" s="105"/>
      <c r="AV31" s="102"/>
      <c r="AW31" s="102"/>
      <c r="AX31" s="102"/>
      <c r="AY31" s="102"/>
    </row>
    <row r="32" spans="1:51" ht="3" customHeight="1">
      <c r="A32" s="102"/>
      <c r="B32" s="107"/>
      <c r="C32" s="108"/>
      <c r="D32" s="109"/>
      <c r="E32" s="109"/>
      <c r="F32" s="110"/>
      <c r="G32" s="108"/>
      <c r="H32" s="108"/>
      <c r="I32" s="108"/>
      <c r="J32" s="108"/>
      <c r="K32" s="109"/>
      <c r="L32" s="109"/>
      <c r="M32" s="109"/>
      <c r="N32" s="109"/>
      <c r="O32" s="109"/>
      <c r="P32" s="109"/>
      <c r="Q32" s="109"/>
      <c r="R32" s="109"/>
      <c r="S32" s="201"/>
      <c r="T32" s="111"/>
      <c r="U32" s="121"/>
      <c r="V32" s="121"/>
      <c r="W32" s="121"/>
      <c r="X32" s="121"/>
      <c r="Y32" s="102"/>
      <c r="Z32" s="102"/>
      <c r="AA32" s="102"/>
      <c r="AB32" s="102"/>
      <c r="AC32" s="102"/>
      <c r="AD32" s="102"/>
      <c r="AE32" s="102"/>
      <c r="AF32" s="102"/>
      <c r="AG32" s="102"/>
      <c r="AH32" s="102"/>
      <c r="AI32" s="102"/>
      <c r="AJ32" s="102"/>
      <c r="AK32" s="102"/>
      <c r="AL32" s="102"/>
      <c r="AM32" s="102"/>
      <c r="AN32" s="102"/>
      <c r="AO32" s="102"/>
      <c r="AP32" s="102"/>
      <c r="AQ32" s="102"/>
      <c r="AR32" s="105"/>
      <c r="AS32" s="105"/>
      <c r="AT32" s="105"/>
      <c r="AU32" s="105"/>
      <c r="AV32" s="102"/>
      <c r="AW32" s="102"/>
      <c r="AX32" s="102"/>
      <c r="AY32" s="102"/>
    </row>
    <row r="33" spans="1:51" ht="13.5" customHeight="1">
      <c r="A33" s="102"/>
      <c r="B33" s="114"/>
      <c r="C33" s="115"/>
      <c r="D33" s="345" t="s">
        <v>325</v>
      </c>
      <c r="E33" s="316"/>
      <c r="F33" s="316"/>
      <c r="G33" s="316"/>
      <c r="H33" s="316"/>
      <c r="I33" s="316"/>
      <c r="J33" s="115"/>
      <c r="K33" s="212"/>
      <c r="L33" s="345" t="s">
        <v>201</v>
      </c>
      <c r="M33" s="316"/>
      <c r="N33" s="316"/>
      <c r="O33" s="316"/>
      <c r="P33" s="316"/>
      <c r="Q33" s="316"/>
      <c r="R33" s="316"/>
      <c r="S33" s="213"/>
      <c r="T33" s="117"/>
      <c r="U33" s="102"/>
      <c r="V33" s="106"/>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5"/>
      <c r="AS33" s="105"/>
      <c r="AT33" s="105"/>
      <c r="AU33" s="105"/>
      <c r="AV33" s="102"/>
      <c r="AW33" s="102"/>
      <c r="AX33" s="102"/>
      <c r="AY33" s="102"/>
    </row>
    <row r="34" spans="1:51" ht="13.5" customHeight="1">
      <c r="A34" s="102"/>
      <c r="B34" s="114"/>
      <c r="C34" s="191"/>
      <c r="D34" s="343" t="s">
        <v>202</v>
      </c>
      <c r="E34" s="316"/>
      <c r="F34" s="116">
        <v>0</v>
      </c>
      <c r="G34" s="189" t="s">
        <v>203</v>
      </c>
      <c r="H34" s="344">
        <v>50000</v>
      </c>
      <c r="I34" s="316"/>
      <c r="J34" s="190"/>
      <c r="K34" s="191"/>
      <c r="L34" s="189" t="s">
        <v>204</v>
      </c>
      <c r="M34" s="187">
        <v>4</v>
      </c>
      <c r="N34" s="189" t="s">
        <v>203</v>
      </c>
      <c r="O34" s="352">
        <f>IF(ISERROR(VLOOKUP($E$3,Database!$B$6:$C$30,2,0)),0,VLOOKUP($E$3,Database!$B$6:$C$30,2,0))</f>
        <v>60000</v>
      </c>
      <c r="P34" s="316"/>
      <c r="Q34" s="316"/>
      <c r="R34" s="191" t="s">
        <v>205</v>
      </c>
      <c r="S34" s="194">
        <f>M34*O34</f>
        <v>240000</v>
      </c>
      <c r="T34" s="117"/>
      <c r="U34" s="214"/>
      <c r="V34" s="106"/>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5"/>
      <c r="AS34" s="105"/>
      <c r="AT34" s="105"/>
      <c r="AU34" s="105"/>
      <c r="AV34" s="102"/>
      <c r="AW34" s="102"/>
      <c r="AX34" s="102"/>
      <c r="AY34" s="102"/>
    </row>
    <row r="35" spans="1:51" ht="13.5" customHeight="1">
      <c r="A35" s="102"/>
      <c r="B35" s="114"/>
      <c r="C35" s="191"/>
      <c r="D35" s="343" t="s">
        <v>206</v>
      </c>
      <c r="E35" s="316"/>
      <c r="F35" s="116">
        <v>0</v>
      </c>
      <c r="G35" s="189" t="s">
        <v>203</v>
      </c>
      <c r="H35" s="344">
        <f>IF($E$3=Goblin,50000,100000)</f>
        <v>100000</v>
      </c>
      <c r="I35" s="316"/>
      <c r="J35" s="190"/>
      <c r="K35" s="191"/>
      <c r="L35" s="189" t="s">
        <v>207</v>
      </c>
      <c r="M35" s="187">
        <v>4</v>
      </c>
      <c r="N35" s="189" t="s">
        <v>203</v>
      </c>
      <c r="O35" s="352">
        <v>10000</v>
      </c>
      <c r="P35" s="316"/>
      <c r="Q35" s="316"/>
      <c r="R35" s="191" t="s">
        <v>205</v>
      </c>
      <c r="S35" s="194">
        <f t="shared" ref="S35:S38" si="31">O35*M35</f>
        <v>40000</v>
      </c>
      <c r="T35" s="117"/>
      <c r="U35" s="11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5"/>
      <c r="AS35" s="105"/>
      <c r="AT35" s="105"/>
      <c r="AU35" s="105"/>
      <c r="AV35" s="102"/>
      <c r="AW35" s="102"/>
      <c r="AX35" s="102"/>
      <c r="AY35" s="102"/>
    </row>
    <row r="36" spans="1:51" ht="13.5" customHeight="1">
      <c r="A36" s="102"/>
      <c r="B36" s="114"/>
      <c r="C36" s="191"/>
      <c r="D36" s="343" t="s">
        <v>208</v>
      </c>
      <c r="E36" s="316"/>
      <c r="F36" s="116">
        <v>0</v>
      </c>
      <c r="G36" s="189" t="s">
        <v>203</v>
      </c>
      <c r="H36" s="344">
        <v>100000</v>
      </c>
      <c r="I36" s="316"/>
      <c r="J36" s="190"/>
      <c r="K36" s="191"/>
      <c r="L36" s="189" t="s">
        <v>209</v>
      </c>
      <c r="M36" s="187">
        <v>0</v>
      </c>
      <c r="N36" s="189" t="s">
        <v>203</v>
      </c>
      <c r="O36" s="352">
        <v>10000</v>
      </c>
      <c r="P36" s="316"/>
      <c r="Q36" s="316"/>
      <c r="R36" s="191" t="s">
        <v>205</v>
      </c>
      <c r="S36" s="194">
        <f t="shared" si="31"/>
        <v>0</v>
      </c>
      <c r="T36" s="117"/>
      <c r="U36" s="214"/>
      <c r="V36" s="106"/>
      <c r="W36" s="102"/>
      <c r="X36" s="102"/>
      <c r="Y36" s="113"/>
      <c r="Z36" s="113"/>
      <c r="AA36" s="113"/>
      <c r="AB36" s="102"/>
      <c r="AC36" s="102"/>
      <c r="AD36" s="102"/>
      <c r="AE36" s="102"/>
      <c r="AF36" s="102"/>
      <c r="AG36" s="102"/>
      <c r="AH36" s="102"/>
      <c r="AI36" s="102"/>
      <c r="AJ36" s="102"/>
      <c r="AK36" s="102"/>
      <c r="AL36" s="102"/>
      <c r="AM36" s="102"/>
      <c r="AN36" s="102"/>
      <c r="AO36" s="102"/>
      <c r="AP36" s="102"/>
      <c r="AQ36" s="102"/>
      <c r="AR36" s="105"/>
      <c r="AS36" s="105"/>
      <c r="AT36" s="105"/>
      <c r="AU36" s="105"/>
      <c r="AV36" s="102"/>
      <c r="AW36" s="102"/>
      <c r="AX36" s="102"/>
      <c r="AY36" s="102"/>
    </row>
    <row r="37" spans="1:51" ht="13.5" customHeight="1">
      <c r="A37" s="102"/>
      <c r="B37" s="114"/>
      <c r="C37" s="191"/>
      <c r="D37" s="343" t="s">
        <v>210</v>
      </c>
      <c r="E37" s="316"/>
      <c r="F37" s="116">
        <v>0</v>
      </c>
      <c r="G37" s="189" t="s">
        <v>203</v>
      </c>
      <c r="H37" s="344">
        <f>IF($E$3=Halfling,100000,300000)</f>
        <v>300000</v>
      </c>
      <c r="I37" s="316"/>
      <c r="J37" s="190"/>
      <c r="K37" s="191"/>
      <c r="L37" s="189" t="s">
        <v>211</v>
      </c>
      <c r="M37" s="187">
        <v>0</v>
      </c>
      <c r="N37" s="189" t="s">
        <v>203</v>
      </c>
      <c r="O37" s="352">
        <v>10000</v>
      </c>
      <c r="P37" s="316"/>
      <c r="Q37" s="316"/>
      <c r="R37" s="191" t="s">
        <v>205</v>
      </c>
      <c r="S37" s="194">
        <f t="shared" si="31"/>
        <v>0</v>
      </c>
      <c r="T37" s="117"/>
      <c r="U37" s="214"/>
      <c r="V37" s="215"/>
      <c r="W37" s="113"/>
      <c r="X37" s="113"/>
      <c r="Y37" s="216"/>
      <c r="Z37" s="113"/>
      <c r="AA37" s="217"/>
      <c r="AB37" s="102"/>
      <c r="AC37" s="102"/>
      <c r="AD37" s="102"/>
      <c r="AE37" s="102"/>
      <c r="AF37" s="102"/>
      <c r="AG37" s="102"/>
      <c r="AH37" s="102"/>
      <c r="AI37" s="102"/>
      <c r="AJ37" s="102"/>
      <c r="AK37" s="102"/>
      <c r="AL37" s="102"/>
      <c r="AM37" s="102"/>
      <c r="AN37" s="102"/>
      <c r="AO37" s="102"/>
      <c r="AP37" s="102"/>
      <c r="AQ37" s="102"/>
      <c r="AR37" s="105"/>
      <c r="AS37" s="105"/>
      <c r="AT37" s="105"/>
      <c r="AU37" s="105"/>
      <c r="AV37" s="102"/>
      <c r="AW37" s="102"/>
      <c r="AX37" s="102"/>
      <c r="AY37" s="102"/>
    </row>
    <row r="38" spans="1:51" ht="13.5" customHeight="1">
      <c r="A38" s="102"/>
      <c r="B38" s="114"/>
      <c r="C38" s="191"/>
      <c r="D38" s="343" t="s">
        <v>212</v>
      </c>
      <c r="E38" s="316"/>
      <c r="F38" s="116">
        <v>0</v>
      </c>
      <c r="G38" s="189" t="s">
        <v>203</v>
      </c>
      <c r="H38" s="344">
        <v>100000</v>
      </c>
      <c r="I38" s="316"/>
      <c r="J38" s="190"/>
      <c r="K38" s="191"/>
      <c r="L38" s="189" t="s">
        <v>213</v>
      </c>
      <c r="M38" s="187">
        <v>1</v>
      </c>
      <c r="N38" s="189" t="s">
        <v>203</v>
      </c>
      <c r="O38" s="352">
        <v>50000</v>
      </c>
      <c r="P38" s="316"/>
      <c r="Q38" s="316"/>
      <c r="R38" s="191" t="s">
        <v>205</v>
      </c>
      <c r="S38" s="194">
        <f t="shared" si="31"/>
        <v>50000</v>
      </c>
      <c r="T38" s="117"/>
      <c r="U38" s="214"/>
      <c r="V38" s="112"/>
      <c r="W38" s="113"/>
      <c r="X38" s="113"/>
      <c r="Y38" s="113"/>
      <c r="Z38" s="113"/>
      <c r="AA38" s="113"/>
      <c r="AB38" s="102"/>
      <c r="AC38" s="102"/>
      <c r="AD38" s="102"/>
      <c r="AE38" s="102"/>
      <c r="AF38" s="102"/>
      <c r="AG38" s="102"/>
      <c r="AH38" s="102"/>
      <c r="AI38" s="102"/>
      <c r="AJ38" s="102"/>
      <c r="AK38" s="102"/>
      <c r="AL38" s="102"/>
      <c r="AM38" s="102"/>
      <c r="AN38" s="102"/>
      <c r="AO38" s="102"/>
      <c r="AP38" s="102"/>
      <c r="AQ38" s="102"/>
      <c r="AR38" s="105"/>
      <c r="AS38" s="105"/>
      <c r="AT38" s="105"/>
      <c r="AU38" s="105"/>
      <c r="AV38" s="102"/>
      <c r="AW38" s="102"/>
      <c r="AX38" s="102"/>
      <c r="AY38" s="102"/>
    </row>
    <row r="39" spans="1:51" ht="13.5" customHeight="1">
      <c r="A39" s="102"/>
      <c r="B39" s="114"/>
      <c r="C39" s="191"/>
      <c r="D39" s="343" t="s">
        <v>214</v>
      </c>
      <c r="E39" s="316"/>
      <c r="F39" s="116">
        <v>0</v>
      </c>
      <c r="G39" s="189" t="s">
        <v>203</v>
      </c>
      <c r="H39" s="344">
        <v>150000</v>
      </c>
      <c r="I39" s="316"/>
      <c r="J39" s="190"/>
      <c r="K39" s="212"/>
      <c r="L39" s="189" t="s">
        <v>215</v>
      </c>
      <c r="M39" s="353">
        <v>20000</v>
      </c>
      <c r="N39" s="316"/>
      <c r="O39" s="316"/>
      <c r="P39" s="316"/>
      <c r="Q39" s="212"/>
      <c r="R39" s="212"/>
      <c r="S39" s="115"/>
      <c r="T39" s="117"/>
      <c r="U39" s="214"/>
      <c r="V39" s="215"/>
      <c r="W39" s="113"/>
      <c r="X39" s="113"/>
      <c r="Y39" s="113"/>
      <c r="Z39" s="113"/>
      <c r="AA39" s="113"/>
      <c r="AB39" s="102"/>
      <c r="AC39" s="102"/>
      <c r="AD39" s="102"/>
      <c r="AE39" s="102"/>
      <c r="AF39" s="102"/>
      <c r="AG39" s="102"/>
      <c r="AH39" s="102"/>
      <c r="AI39" s="102"/>
      <c r="AJ39" s="102"/>
      <c r="AK39" s="102"/>
      <c r="AL39" s="102"/>
      <c r="AM39" s="102"/>
      <c r="AN39" s="102"/>
      <c r="AO39" s="102"/>
      <c r="AP39" s="102"/>
      <c r="AQ39" s="102"/>
      <c r="AR39" s="105"/>
      <c r="AS39" s="105"/>
      <c r="AT39" s="105"/>
      <c r="AU39" s="105"/>
      <c r="AV39" s="102"/>
      <c r="AW39" s="102"/>
      <c r="AX39" s="102"/>
      <c r="AY39" s="102"/>
    </row>
    <row r="40" spans="1:51" ht="13.5" customHeight="1">
      <c r="A40" s="102"/>
      <c r="B40" s="114"/>
      <c r="C40" s="191"/>
      <c r="D40" s="343" t="s">
        <v>216</v>
      </c>
      <c r="E40" s="316"/>
      <c r="F40" s="116">
        <v>0</v>
      </c>
      <c r="G40" s="189" t="s">
        <v>203</v>
      </c>
      <c r="H40" s="344">
        <v>100000</v>
      </c>
      <c r="I40" s="316"/>
      <c r="J40" s="190"/>
      <c r="K40" s="212"/>
      <c r="L40" s="189"/>
      <c r="M40" s="115"/>
      <c r="N40" s="218"/>
      <c r="O40" s="218"/>
      <c r="P40" s="218"/>
      <c r="Q40" s="132" t="s">
        <v>217</v>
      </c>
      <c r="R40" s="350">
        <f>SUM(S6:S21,S34:S38)</f>
        <v>1450000</v>
      </c>
      <c r="S40" s="316"/>
      <c r="T40" s="117"/>
      <c r="U40" s="214"/>
      <c r="V40" s="215"/>
      <c r="W40" s="113"/>
      <c r="X40" s="113"/>
      <c r="Y40" s="113"/>
      <c r="Z40" s="113"/>
      <c r="AA40" s="113"/>
      <c r="AB40" s="102"/>
      <c r="AC40" s="102"/>
      <c r="AD40" s="102"/>
      <c r="AE40" s="102"/>
      <c r="AF40" s="102"/>
      <c r="AG40" s="102"/>
      <c r="AH40" s="102"/>
      <c r="AI40" s="102"/>
      <c r="AJ40" s="102"/>
      <c r="AK40" s="102"/>
      <c r="AL40" s="102"/>
      <c r="AM40" s="102"/>
      <c r="AN40" s="102"/>
      <c r="AO40" s="102"/>
      <c r="AP40" s="102"/>
      <c r="AQ40" s="102"/>
      <c r="AR40" s="105"/>
      <c r="AS40" s="105"/>
      <c r="AT40" s="105"/>
      <c r="AU40" s="105"/>
      <c r="AV40" s="102"/>
      <c r="AW40" s="102"/>
      <c r="AX40" s="102"/>
      <c r="AY40" s="102"/>
    </row>
    <row r="41" spans="1:51" ht="13.5" customHeight="1">
      <c r="A41" s="102"/>
      <c r="B41" s="114"/>
      <c r="C41" s="212"/>
      <c r="D41" s="343" t="s">
        <v>218</v>
      </c>
      <c r="E41" s="316"/>
      <c r="F41" s="349">
        <v>0</v>
      </c>
      <c r="G41" s="316"/>
      <c r="H41" s="316"/>
      <c r="I41" s="316"/>
      <c r="J41" s="212"/>
      <c r="K41" s="212"/>
      <c r="L41" s="212"/>
      <c r="M41" s="212"/>
      <c r="N41" s="191"/>
      <c r="O41" s="191"/>
      <c r="P41" s="191"/>
      <c r="Q41" s="132" t="s">
        <v>219</v>
      </c>
      <c r="R41" s="350">
        <f>SUMPRODUCT(F34:F40,H34:H40)+F41+F42</f>
        <v>0</v>
      </c>
      <c r="S41" s="316"/>
      <c r="T41" s="117"/>
      <c r="U41" s="214"/>
      <c r="V41" s="215"/>
      <c r="W41" s="113"/>
      <c r="X41" s="113"/>
      <c r="Y41" s="113"/>
      <c r="Z41" s="113"/>
      <c r="AA41" s="113"/>
      <c r="AB41" s="102"/>
      <c r="AC41" s="102"/>
      <c r="AD41" s="102"/>
      <c r="AE41" s="102"/>
      <c r="AF41" s="102"/>
      <c r="AG41" s="102"/>
      <c r="AH41" s="102"/>
      <c r="AI41" s="102"/>
      <c r="AJ41" s="102"/>
      <c r="AK41" s="102"/>
      <c r="AL41" s="102"/>
      <c r="AM41" s="102"/>
      <c r="AN41" s="102"/>
      <c r="AO41" s="102"/>
      <c r="AP41" s="102"/>
      <c r="AQ41" s="102"/>
      <c r="AR41" s="105"/>
      <c r="AS41" s="105"/>
      <c r="AT41" s="105"/>
      <c r="AU41" s="105"/>
      <c r="AV41" s="102"/>
      <c r="AW41" s="102"/>
      <c r="AX41" s="102"/>
      <c r="AY41" s="102"/>
    </row>
    <row r="42" spans="1:51" ht="13.5" customHeight="1">
      <c r="A42" s="102"/>
      <c r="B42" s="114"/>
      <c r="C42" s="191"/>
      <c r="D42" s="189"/>
      <c r="E42" s="189" t="s">
        <v>220</v>
      </c>
      <c r="F42" s="344">
        <f>SUM(S25:S30)</f>
        <v>0</v>
      </c>
      <c r="G42" s="316"/>
      <c r="H42" s="316"/>
      <c r="I42" s="316"/>
      <c r="J42" s="191"/>
      <c r="K42" s="191"/>
      <c r="L42" s="212"/>
      <c r="M42" s="212"/>
      <c r="N42" s="191"/>
      <c r="O42" s="191"/>
      <c r="P42" s="191"/>
      <c r="Q42" s="132" t="s">
        <v>221</v>
      </c>
      <c r="R42" s="350">
        <f>R40+R41</f>
        <v>1450000</v>
      </c>
      <c r="S42" s="316"/>
      <c r="T42" s="117"/>
      <c r="U42" s="214"/>
      <c r="V42" s="215"/>
      <c r="W42" s="113"/>
      <c r="X42" s="113"/>
      <c r="Y42" s="113"/>
      <c r="Z42" s="113"/>
      <c r="AA42" s="113"/>
      <c r="AB42" s="102"/>
      <c r="AC42" s="102"/>
      <c r="AD42" s="102"/>
      <c r="AE42" s="102"/>
      <c r="AF42" s="102"/>
      <c r="AG42" s="102"/>
      <c r="AH42" s="102"/>
      <c r="AI42" s="102"/>
      <c r="AJ42" s="102"/>
      <c r="AK42" s="102"/>
      <c r="AL42" s="102"/>
      <c r="AM42" s="102"/>
      <c r="AN42" s="102"/>
      <c r="AO42" s="102"/>
      <c r="AP42" s="102"/>
      <c r="AQ42" s="102"/>
      <c r="AR42" s="105"/>
      <c r="AS42" s="105"/>
      <c r="AT42" s="105"/>
      <c r="AU42" s="105"/>
      <c r="AV42" s="102"/>
      <c r="AW42" s="102"/>
      <c r="AX42" s="102"/>
      <c r="AY42" s="102"/>
    </row>
    <row r="43" spans="1:51" ht="3" customHeight="1">
      <c r="A43" s="102"/>
      <c r="B43" s="219"/>
      <c r="C43" s="220"/>
      <c r="D43" s="221"/>
      <c r="E43" s="221"/>
      <c r="F43" s="222"/>
      <c r="G43" s="220"/>
      <c r="H43" s="220"/>
      <c r="I43" s="220"/>
      <c r="J43" s="220"/>
      <c r="K43" s="221"/>
      <c r="L43" s="221"/>
      <c r="M43" s="221"/>
      <c r="N43" s="221"/>
      <c r="O43" s="221"/>
      <c r="P43" s="221"/>
      <c r="Q43" s="221"/>
      <c r="R43" s="221"/>
      <c r="S43" s="220"/>
      <c r="T43" s="223"/>
      <c r="U43" s="214"/>
      <c r="V43" s="215"/>
      <c r="W43" s="113"/>
      <c r="X43" s="113"/>
      <c r="Y43" s="113"/>
      <c r="Z43" s="113"/>
      <c r="AA43" s="113"/>
      <c r="AB43" s="102"/>
      <c r="AC43" s="102"/>
      <c r="AD43" s="102"/>
      <c r="AE43" s="102"/>
      <c r="AF43" s="102"/>
      <c r="AG43" s="102"/>
      <c r="AH43" s="102"/>
      <c r="AI43" s="102"/>
      <c r="AJ43" s="102"/>
      <c r="AK43" s="102"/>
      <c r="AL43" s="102"/>
      <c r="AM43" s="102"/>
      <c r="AN43" s="102"/>
      <c r="AO43" s="102"/>
      <c r="AP43" s="102"/>
      <c r="AQ43" s="102"/>
      <c r="AR43" s="105"/>
      <c r="AS43" s="105"/>
      <c r="AT43" s="105"/>
      <c r="AU43" s="105"/>
      <c r="AV43" s="102"/>
      <c r="AW43" s="102"/>
      <c r="AX43" s="102"/>
      <c r="AY43" s="102"/>
    </row>
    <row r="44" spans="1:51" ht="13.5" customHeight="1">
      <c r="A44" s="102"/>
      <c r="B44" s="102"/>
      <c r="C44" s="102"/>
      <c r="D44" s="102"/>
      <c r="E44" s="102"/>
      <c r="F44" s="102"/>
      <c r="G44" s="102"/>
      <c r="H44" s="102"/>
      <c r="I44" s="102"/>
      <c r="J44" s="102"/>
      <c r="K44" s="102"/>
      <c r="L44" s="102"/>
      <c r="M44" s="102"/>
      <c r="N44" s="102"/>
      <c r="O44" s="102"/>
      <c r="P44" s="102"/>
      <c r="Q44" s="102"/>
      <c r="R44" s="102"/>
      <c r="S44" s="105"/>
      <c r="T44" s="102"/>
      <c r="U44" s="102"/>
      <c r="V44" s="215"/>
      <c r="W44" s="113"/>
      <c r="X44" s="113"/>
      <c r="Y44" s="113"/>
      <c r="Z44" s="113"/>
      <c r="AA44" s="113"/>
      <c r="AB44" s="102"/>
      <c r="AC44" s="102"/>
      <c r="AD44" s="102"/>
      <c r="AE44" s="102"/>
      <c r="AF44" s="102"/>
      <c r="AG44" s="102"/>
      <c r="AH44" s="102"/>
      <c r="AI44" s="102"/>
      <c r="AJ44" s="102"/>
      <c r="AK44" s="102"/>
      <c r="AL44" s="102"/>
      <c r="AM44" s="102"/>
      <c r="AN44" s="102"/>
      <c r="AO44" s="102"/>
      <c r="AP44" s="102"/>
      <c r="AQ44" s="102"/>
      <c r="AR44" s="105"/>
      <c r="AS44" s="105"/>
      <c r="AT44" s="105"/>
      <c r="AU44" s="105"/>
      <c r="AV44" s="102"/>
      <c r="AW44" s="102"/>
      <c r="AX44" s="102"/>
      <c r="AY44" s="102"/>
    </row>
    <row r="45" spans="1:51" ht="13.5" customHeight="1">
      <c r="A45" s="102"/>
      <c r="B45" s="102"/>
      <c r="C45" s="105"/>
      <c r="D45" s="102"/>
      <c r="E45" s="102"/>
      <c r="F45" s="104"/>
      <c r="G45" s="105"/>
      <c r="H45" s="105"/>
      <c r="I45" s="105"/>
      <c r="J45" s="105"/>
      <c r="K45" s="102"/>
      <c r="L45" s="102"/>
      <c r="M45" s="102"/>
      <c r="N45" s="102"/>
      <c r="O45" s="102"/>
      <c r="P45" s="102"/>
      <c r="Q45" s="102"/>
      <c r="R45" s="102"/>
      <c r="S45" s="105"/>
      <c r="T45" s="102"/>
      <c r="U45" s="102"/>
      <c r="V45" s="106"/>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5"/>
      <c r="AS45" s="105"/>
      <c r="AT45" s="105"/>
      <c r="AU45" s="105"/>
      <c r="AV45" s="102"/>
      <c r="AW45" s="102"/>
      <c r="AX45" s="102"/>
      <c r="AY45" s="102"/>
    </row>
    <row r="46" spans="1:51" ht="13.5" customHeight="1">
      <c r="A46" s="102"/>
      <c r="B46" s="102"/>
      <c r="C46" s="105"/>
      <c r="D46" s="102"/>
      <c r="E46" s="102"/>
      <c r="F46" s="104"/>
      <c r="G46" s="105"/>
      <c r="H46" s="105"/>
      <c r="I46" s="105"/>
      <c r="J46" s="105"/>
      <c r="K46" s="102"/>
      <c r="L46" s="102"/>
      <c r="M46" s="102"/>
      <c r="N46" s="102"/>
      <c r="O46" s="102"/>
      <c r="P46" s="102"/>
      <c r="Q46" s="102"/>
      <c r="R46" s="102"/>
      <c r="S46" s="105"/>
      <c r="T46" s="102"/>
      <c r="U46" s="102"/>
      <c r="V46" s="106"/>
      <c r="W46" s="102"/>
      <c r="X46" s="102"/>
      <c r="Y46" s="102"/>
      <c r="Z46" s="102"/>
      <c r="AA46" s="102"/>
      <c r="AB46" s="102"/>
      <c r="AC46" s="102"/>
      <c r="AD46" s="102"/>
      <c r="AE46" s="102"/>
      <c r="AF46" s="102"/>
      <c r="AG46" s="102"/>
      <c r="AH46" s="102"/>
      <c r="AI46" s="102"/>
      <c r="AJ46" s="102"/>
      <c r="AK46" s="106"/>
      <c r="AL46" s="102"/>
      <c r="AM46" s="102"/>
      <c r="AN46" s="102"/>
      <c r="AO46" s="102"/>
      <c r="AP46" s="102"/>
      <c r="AQ46" s="102"/>
      <c r="AR46" s="105"/>
      <c r="AS46" s="105"/>
      <c r="AT46" s="105"/>
      <c r="AU46" s="105"/>
      <c r="AV46" s="102"/>
      <c r="AW46" s="102"/>
      <c r="AX46" s="102"/>
      <c r="AY46" s="102"/>
    </row>
    <row r="47" spans="1:51" ht="13.5" customHeight="1">
      <c r="A47" s="102"/>
      <c r="B47" s="102"/>
      <c r="C47" s="105"/>
      <c r="D47" s="102"/>
      <c r="E47" s="102"/>
      <c r="F47" s="104"/>
      <c r="G47" s="105"/>
      <c r="H47" s="105"/>
      <c r="I47" s="105"/>
      <c r="J47" s="105"/>
      <c r="K47" s="102"/>
      <c r="L47" s="102"/>
      <c r="M47" s="102"/>
      <c r="N47" s="102"/>
      <c r="O47" s="102"/>
      <c r="P47" s="102"/>
      <c r="Q47" s="102"/>
      <c r="R47" s="102"/>
      <c r="S47" s="105"/>
      <c r="T47" s="102"/>
      <c r="U47" s="102"/>
      <c r="V47" s="106"/>
      <c r="W47" s="102"/>
      <c r="X47" s="102"/>
      <c r="Y47" s="102"/>
      <c r="Z47" s="102"/>
      <c r="AA47" s="102"/>
      <c r="AB47" s="102"/>
      <c r="AC47" s="102"/>
      <c r="AD47" s="102"/>
      <c r="AE47" s="102"/>
      <c r="AF47" s="102"/>
      <c r="AG47" s="102"/>
      <c r="AH47" s="102"/>
      <c r="AI47" s="102"/>
      <c r="AJ47" s="102"/>
      <c r="AK47" s="106" t="s">
        <v>222</v>
      </c>
      <c r="AL47" s="102" t="s">
        <v>223</v>
      </c>
      <c r="AM47" s="102"/>
      <c r="AN47" s="102"/>
      <c r="AO47" s="102"/>
      <c r="AP47" s="102"/>
      <c r="AQ47" s="102"/>
      <c r="AR47" s="105"/>
      <c r="AS47" s="105"/>
      <c r="AT47" s="105"/>
      <c r="AU47" s="105"/>
      <c r="AV47" s="102"/>
      <c r="AW47" s="102"/>
      <c r="AX47" s="102"/>
      <c r="AY47" s="102"/>
    </row>
    <row r="48" spans="1:51" ht="13.5" customHeight="1">
      <c r="A48" s="102"/>
      <c r="B48" s="102"/>
      <c r="C48" s="105"/>
      <c r="D48" s="102"/>
      <c r="E48" s="102"/>
      <c r="F48" s="104"/>
      <c r="G48" s="105"/>
      <c r="H48" s="105"/>
      <c r="I48" s="105"/>
      <c r="J48" s="105"/>
      <c r="K48" s="102"/>
      <c r="L48" s="102"/>
      <c r="M48" s="102"/>
      <c r="N48" s="102"/>
      <c r="O48" s="102"/>
      <c r="P48" s="102"/>
      <c r="Q48" s="102"/>
      <c r="R48" s="102"/>
      <c r="S48" s="105"/>
      <c r="T48" s="102"/>
      <c r="U48" s="102"/>
      <c r="V48" s="106"/>
      <c r="W48" s="102"/>
      <c r="X48" s="102"/>
      <c r="Y48" s="102"/>
      <c r="Z48" s="102"/>
      <c r="AA48" s="102"/>
      <c r="AB48" s="102"/>
      <c r="AC48" s="102"/>
      <c r="AD48" s="102"/>
      <c r="AE48" s="102"/>
      <c r="AF48" s="102"/>
      <c r="AG48" s="102"/>
      <c r="AH48" s="102"/>
      <c r="AI48" s="102"/>
      <c r="AJ48" s="102"/>
      <c r="AK48" s="234" t="e">
        <f t="shared" ref="AK48:AK57" si="32">VLOOKUP(AL48,DBTeamStars,2,0)</f>
        <v>#N/A</v>
      </c>
      <c r="AL48" s="234" t="str">
        <f>$E$3&amp;"10"</f>
        <v>Orc10</v>
      </c>
      <c r="AM48" s="102"/>
      <c r="AN48" s="102"/>
      <c r="AO48" s="102"/>
      <c r="AP48" s="102"/>
      <c r="AQ48" s="102"/>
      <c r="AR48" s="105"/>
      <c r="AS48" s="105"/>
      <c r="AT48" s="105"/>
      <c r="AU48" s="105"/>
      <c r="AV48" s="102"/>
      <c r="AW48" s="102"/>
      <c r="AX48" s="102"/>
      <c r="AY48" s="102"/>
    </row>
    <row r="49" spans="1:51" ht="13.5" customHeight="1">
      <c r="A49" s="102"/>
      <c r="B49" s="102"/>
      <c r="C49" s="105"/>
      <c r="D49" s="102"/>
      <c r="E49" s="102"/>
      <c r="F49" s="104"/>
      <c r="G49" s="105"/>
      <c r="H49" s="105"/>
      <c r="I49" s="105"/>
      <c r="J49" s="105"/>
      <c r="K49" s="102"/>
      <c r="L49" s="102"/>
      <c r="M49" s="102"/>
      <c r="N49" s="102"/>
      <c r="O49" s="102"/>
      <c r="P49" s="102"/>
      <c r="Q49" s="102"/>
      <c r="R49" s="102"/>
      <c r="S49" s="105"/>
      <c r="T49" s="102"/>
      <c r="U49" s="102"/>
      <c r="V49" s="106"/>
      <c r="W49" s="102"/>
      <c r="X49" s="102"/>
      <c r="Y49" s="102"/>
      <c r="Z49" s="102"/>
      <c r="AA49" s="102"/>
      <c r="AB49" s="102"/>
      <c r="AC49" s="102"/>
      <c r="AD49" s="102"/>
      <c r="AE49" s="102"/>
      <c r="AF49" s="102"/>
      <c r="AG49" s="102"/>
      <c r="AH49" s="102"/>
      <c r="AI49" s="102"/>
      <c r="AJ49" s="102"/>
      <c r="AK49" s="234" t="e">
        <f t="shared" si="32"/>
        <v>#N/A</v>
      </c>
      <c r="AL49" s="234" t="str">
        <f>$E$3&amp;"9"</f>
        <v>Orc9</v>
      </c>
      <c r="AM49" s="102"/>
      <c r="AN49" s="102"/>
      <c r="AO49" s="102"/>
      <c r="AP49" s="102"/>
      <c r="AQ49" s="102"/>
      <c r="AR49" s="105"/>
      <c r="AS49" s="105"/>
      <c r="AT49" s="105"/>
      <c r="AU49" s="105"/>
      <c r="AV49" s="102"/>
      <c r="AW49" s="102"/>
      <c r="AX49" s="102"/>
      <c r="AY49" s="102"/>
    </row>
    <row r="50" spans="1:51" ht="13.5" customHeight="1">
      <c r="A50" s="102"/>
      <c r="B50" s="102"/>
      <c r="C50" s="105"/>
      <c r="D50" s="102"/>
      <c r="E50" s="102"/>
      <c r="F50" s="104"/>
      <c r="G50" s="105"/>
      <c r="H50" s="105"/>
      <c r="I50" s="105"/>
      <c r="J50" s="105"/>
      <c r="K50" s="102"/>
      <c r="L50" s="102"/>
      <c r="M50" s="102"/>
      <c r="N50" s="102"/>
      <c r="O50" s="102"/>
      <c r="P50" s="102"/>
      <c r="Q50" s="102"/>
      <c r="R50" s="102"/>
      <c r="S50" s="105"/>
      <c r="T50" s="102"/>
      <c r="U50" s="102"/>
      <c r="V50" s="106"/>
      <c r="W50" s="102"/>
      <c r="X50" s="102"/>
      <c r="Y50" s="102"/>
      <c r="Z50" s="102"/>
      <c r="AA50" s="102"/>
      <c r="AB50" s="102"/>
      <c r="AC50" s="102"/>
      <c r="AD50" s="102"/>
      <c r="AE50" s="102"/>
      <c r="AF50" s="102"/>
      <c r="AG50" s="102"/>
      <c r="AH50" s="102"/>
      <c r="AI50" s="102"/>
      <c r="AJ50" s="102"/>
      <c r="AK50" s="234" t="e">
        <f t="shared" si="32"/>
        <v>#N/A</v>
      </c>
      <c r="AL50" s="234" t="str">
        <f>$E$3&amp;"8"</f>
        <v>Orc8</v>
      </c>
      <c r="AM50" s="102"/>
      <c r="AN50" s="102"/>
      <c r="AO50" s="102"/>
      <c r="AP50" s="102"/>
      <c r="AQ50" s="102"/>
      <c r="AR50" s="105"/>
      <c r="AS50" s="105"/>
      <c r="AT50" s="105"/>
      <c r="AU50" s="105"/>
      <c r="AV50" s="102"/>
      <c r="AW50" s="102"/>
      <c r="AX50" s="102"/>
      <c r="AY50" s="102"/>
    </row>
    <row r="51" spans="1:51" ht="13.5" customHeight="1">
      <c r="A51" s="102"/>
      <c r="B51" s="102"/>
      <c r="C51" s="105"/>
      <c r="D51" s="102"/>
      <c r="E51" s="102"/>
      <c r="F51" s="104"/>
      <c r="G51" s="105"/>
      <c r="H51" s="105"/>
      <c r="I51" s="105"/>
      <c r="J51" s="105"/>
      <c r="K51" s="102"/>
      <c r="L51" s="102"/>
      <c r="M51" s="102"/>
      <c r="N51" s="102"/>
      <c r="O51" s="102"/>
      <c r="P51" s="102"/>
      <c r="Q51" s="102"/>
      <c r="R51" s="102"/>
      <c r="S51" s="105"/>
      <c r="T51" s="102"/>
      <c r="U51" s="102"/>
      <c r="V51" s="106"/>
      <c r="W51" s="102"/>
      <c r="X51" s="102"/>
      <c r="Y51" s="102"/>
      <c r="Z51" s="102"/>
      <c r="AA51" s="102"/>
      <c r="AB51" s="102"/>
      <c r="AC51" s="102"/>
      <c r="AD51" s="102"/>
      <c r="AE51" s="102"/>
      <c r="AF51" s="102"/>
      <c r="AG51" s="102"/>
      <c r="AH51" s="102"/>
      <c r="AI51" s="102"/>
      <c r="AJ51" s="102"/>
      <c r="AK51" s="234" t="e">
        <f t="shared" si="32"/>
        <v>#N/A</v>
      </c>
      <c r="AL51" s="234" t="str">
        <f>$E$3&amp;"7"</f>
        <v>Orc7</v>
      </c>
      <c r="AM51" s="102"/>
      <c r="AN51" s="102"/>
      <c r="AO51" s="102"/>
      <c r="AP51" s="102"/>
      <c r="AQ51" s="102"/>
      <c r="AR51" s="105"/>
      <c r="AS51" s="105"/>
      <c r="AT51" s="105"/>
      <c r="AU51" s="105"/>
      <c r="AV51" s="102"/>
      <c r="AW51" s="102"/>
      <c r="AX51" s="102"/>
      <c r="AY51" s="102"/>
    </row>
    <row r="52" spans="1:51" ht="13.5" customHeight="1">
      <c r="A52" s="102"/>
      <c r="B52" s="102"/>
      <c r="C52" s="105"/>
      <c r="D52" s="102"/>
      <c r="E52" s="102"/>
      <c r="F52" s="104"/>
      <c r="G52" s="105"/>
      <c r="H52" s="105"/>
      <c r="I52" s="105"/>
      <c r="J52" s="105"/>
      <c r="K52" s="102"/>
      <c r="L52" s="102"/>
      <c r="M52" s="102"/>
      <c r="N52" s="102"/>
      <c r="O52" s="102"/>
      <c r="P52" s="102"/>
      <c r="Q52" s="102"/>
      <c r="R52" s="102"/>
      <c r="S52" s="105"/>
      <c r="T52" s="102"/>
      <c r="U52" s="102"/>
      <c r="V52" s="106"/>
      <c r="W52" s="102"/>
      <c r="X52" s="102"/>
      <c r="Y52" s="102"/>
      <c r="Z52" s="102"/>
      <c r="AA52" s="102"/>
      <c r="AB52" s="102"/>
      <c r="AC52" s="102"/>
      <c r="AD52" s="102"/>
      <c r="AE52" s="102"/>
      <c r="AF52" s="102"/>
      <c r="AG52" s="102"/>
      <c r="AH52" s="102"/>
      <c r="AI52" s="102"/>
      <c r="AJ52" s="102"/>
      <c r="AK52" s="234" t="str">
        <f t="shared" si="32"/>
        <v>Bomber Dribblesnot</v>
      </c>
      <c r="AL52" s="234" t="str">
        <f>$E$3&amp;"6"</f>
        <v>Orc6</v>
      </c>
      <c r="AM52" s="102"/>
      <c r="AN52" s="102"/>
      <c r="AO52" s="102"/>
      <c r="AP52" s="102"/>
      <c r="AQ52" s="102"/>
      <c r="AR52" s="105"/>
      <c r="AS52" s="105"/>
      <c r="AT52" s="105"/>
      <c r="AU52" s="105"/>
      <c r="AV52" s="102"/>
      <c r="AW52" s="102"/>
      <c r="AX52" s="102"/>
      <c r="AY52" s="102"/>
    </row>
    <row r="53" spans="1:51" ht="13.5" customHeight="1">
      <c r="A53" s="102"/>
      <c r="B53" s="102"/>
      <c r="C53" s="105"/>
      <c r="D53" s="102"/>
      <c r="E53" s="102"/>
      <c r="F53" s="104"/>
      <c r="G53" s="105"/>
      <c r="H53" s="105"/>
      <c r="I53" s="105"/>
      <c r="J53" s="105"/>
      <c r="K53" s="102"/>
      <c r="L53" s="102"/>
      <c r="M53" s="102"/>
      <c r="N53" s="102"/>
      <c r="O53" s="102"/>
      <c r="P53" s="102"/>
      <c r="Q53" s="102"/>
      <c r="R53" s="102"/>
      <c r="S53" s="105"/>
      <c r="T53" s="102"/>
      <c r="U53" s="102"/>
      <c r="V53" s="106"/>
      <c r="W53" s="102"/>
      <c r="X53" s="102"/>
      <c r="Y53" s="102"/>
      <c r="Z53" s="102"/>
      <c r="AA53" s="102"/>
      <c r="AB53" s="102"/>
      <c r="AC53" s="102"/>
      <c r="AD53" s="102"/>
      <c r="AE53" s="102"/>
      <c r="AF53" s="102"/>
      <c r="AG53" s="102"/>
      <c r="AH53" s="102"/>
      <c r="AI53" s="102"/>
      <c r="AJ53" s="102"/>
      <c r="AK53" s="234" t="str">
        <f t="shared" si="32"/>
        <v>Morg 'n' Thorg</v>
      </c>
      <c r="AL53" s="234" t="str">
        <f>$E$3&amp;"5"</f>
        <v>Orc5</v>
      </c>
      <c r="AM53" s="102"/>
      <c r="AN53" s="102"/>
      <c r="AO53" s="102"/>
      <c r="AP53" s="102"/>
      <c r="AQ53" s="102"/>
      <c r="AR53" s="105"/>
      <c r="AS53" s="105"/>
      <c r="AT53" s="105"/>
      <c r="AU53" s="105"/>
      <c r="AV53" s="102"/>
      <c r="AW53" s="102"/>
      <c r="AX53" s="102"/>
      <c r="AY53" s="102"/>
    </row>
    <row r="54" spans="1:51" ht="13.5" customHeight="1">
      <c r="A54" s="102"/>
      <c r="B54" s="102"/>
      <c r="C54" s="105"/>
      <c r="D54" s="102"/>
      <c r="E54" s="102"/>
      <c r="F54" s="104"/>
      <c r="G54" s="105"/>
      <c r="H54" s="105"/>
      <c r="I54" s="105"/>
      <c r="J54" s="105"/>
      <c r="K54" s="102"/>
      <c r="L54" s="102"/>
      <c r="M54" s="102"/>
      <c r="N54" s="102"/>
      <c r="O54" s="102"/>
      <c r="P54" s="102"/>
      <c r="Q54" s="102"/>
      <c r="R54" s="102"/>
      <c r="S54" s="105"/>
      <c r="T54" s="102"/>
      <c r="U54" s="102"/>
      <c r="V54" s="106"/>
      <c r="W54" s="102"/>
      <c r="X54" s="102"/>
      <c r="Y54" s="102"/>
      <c r="Z54" s="102"/>
      <c r="AA54" s="102"/>
      <c r="AB54" s="102"/>
      <c r="AC54" s="102"/>
      <c r="AD54" s="102"/>
      <c r="AE54" s="102"/>
      <c r="AF54" s="102"/>
      <c r="AG54" s="102"/>
      <c r="AH54" s="102"/>
      <c r="AI54" s="102"/>
      <c r="AJ54" s="102"/>
      <c r="AK54" s="234" t="str">
        <f t="shared" si="32"/>
        <v>Ripper</v>
      </c>
      <c r="AL54" s="234" t="str">
        <f>$E$3&amp;"4"</f>
        <v>Orc4</v>
      </c>
      <c r="AM54" s="102"/>
      <c r="AN54" s="102"/>
      <c r="AO54" s="102"/>
      <c r="AP54" s="102"/>
      <c r="AQ54" s="102"/>
      <c r="AR54" s="105"/>
      <c r="AS54" s="105"/>
      <c r="AT54" s="105"/>
      <c r="AU54" s="105"/>
      <c r="AV54" s="102"/>
      <c r="AW54" s="102"/>
      <c r="AX54" s="102"/>
      <c r="AY54" s="102"/>
    </row>
    <row r="55" spans="1:51" ht="13.5" customHeight="1">
      <c r="A55" s="102"/>
      <c r="B55" s="102"/>
      <c r="C55" s="105"/>
      <c r="D55" s="102"/>
      <c r="E55" s="102"/>
      <c r="F55" s="104"/>
      <c r="G55" s="105"/>
      <c r="H55" s="105"/>
      <c r="I55" s="105"/>
      <c r="J55" s="105"/>
      <c r="K55" s="102"/>
      <c r="L55" s="102"/>
      <c r="M55" s="102"/>
      <c r="N55" s="102"/>
      <c r="O55" s="102"/>
      <c r="P55" s="102"/>
      <c r="Q55" s="102"/>
      <c r="R55" s="102"/>
      <c r="S55" s="105"/>
      <c r="T55" s="102"/>
      <c r="U55" s="102"/>
      <c r="V55" s="106"/>
      <c r="W55" s="102"/>
      <c r="X55" s="102"/>
      <c r="Y55" s="102"/>
      <c r="Z55" s="102"/>
      <c r="AA55" s="102"/>
      <c r="AB55" s="102"/>
      <c r="AC55" s="102"/>
      <c r="AD55" s="102"/>
      <c r="AE55" s="102"/>
      <c r="AF55" s="102"/>
      <c r="AG55" s="102"/>
      <c r="AH55" s="102"/>
      <c r="AI55" s="102"/>
      <c r="AJ55" s="102"/>
      <c r="AK55" s="234" t="str">
        <f t="shared" si="32"/>
        <v>Scrappa Sorehead</v>
      </c>
      <c r="AL55" s="234" t="str">
        <f>$E$3&amp;"3"</f>
        <v>Orc3</v>
      </c>
      <c r="AM55" s="102"/>
      <c r="AN55" s="102"/>
      <c r="AO55" s="102"/>
      <c r="AP55" s="102"/>
      <c r="AQ55" s="102"/>
      <c r="AR55" s="105"/>
      <c r="AS55" s="105"/>
      <c r="AT55" s="105"/>
      <c r="AU55" s="105"/>
      <c r="AV55" s="102"/>
      <c r="AW55" s="102"/>
      <c r="AX55" s="102"/>
      <c r="AY55" s="102"/>
    </row>
    <row r="56" spans="1:51" ht="13.5" customHeight="1">
      <c r="A56" s="102"/>
      <c r="B56" s="102"/>
      <c r="C56" s="105"/>
      <c r="D56" s="102"/>
      <c r="E56" s="102"/>
      <c r="F56" s="104"/>
      <c r="G56" s="105"/>
      <c r="H56" s="105"/>
      <c r="I56" s="105"/>
      <c r="J56" s="105"/>
      <c r="K56" s="102"/>
      <c r="L56" s="102"/>
      <c r="M56" s="102"/>
      <c r="N56" s="102"/>
      <c r="O56" s="102"/>
      <c r="P56" s="102"/>
      <c r="Q56" s="102"/>
      <c r="R56" s="102"/>
      <c r="S56" s="105"/>
      <c r="T56" s="102"/>
      <c r="U56" s="102"/>
      <c r="V56" s="106"/>
      <c r="W56" s="102"/>
      <c r="X56" s="102"/>
      <c r="Y56" s="102"/>
      <c r="Z56" s="102"/>
      <c r="AA56" s="102"/>
      <c r="AB56" s="102"/>
      <c r="AC56" s="102"/>
      <c r="AD56" s="102"/>
      <c r="AE56" s="102"/>
      <c r="AF56" s="102"/>
      <c r="AG56" s="102"/>
      <c r="AH56" s="102"/>
      <c r="AI56" s="102"/>
      <c r="AJ56" s="102"/>
      <c r="AK56" s="234" t="str">
        <f t="shared" si="32"/>
        <v>Ugroth Bolgrot</v>
      </c>
      <c r="AL56" s="234" t="str">
        <f>$E$3&amp;"2"</f>
        <v>Orc2</v>
      </c>
      <c r="AM56" s="102"/>
      <c r="AN56" s="102"/>
      <c r="AO56" s="102"/>
      <c r="AP56" s="102"/>
      <c r="AQ56" s="102"/>
      <c r="AR56" s="105"/>
      <c r="AS56" s="105"/>
      <c r="AT56" s="105"/>
      <c r="AU56" s="105"/>
      <c r="AV56" s="102"/>
      <c r="AW56" s="102"/>
      <c r="AX56" s="102"/>
      <c r="AY56" s="102"/>
    </row>
    <row r="57" spans="1:51" ht="13.5" customHeight="1">
      <c r="A57" s="102"/>
      <c r="B57" s="102"/>
      <c r="C57" s="105"/>
      <c r="D57" s="102"/>
      <c r="E57" s="102"/>
      <c r="F57" s="104"/>
      <c r="G57" s="105"/>
      <c r="H57" s="105"/>
      <c r="I57" s="105"/>
      <c r="J57" s="105"/>
      <c r="K57" s="102"/>
      <c r="L57" s="102"/>
      <c r="M57" s="102"/>
      <c r="N57" s="102"/>
      <c r="O57" s="102"/>
      <c r="P57" s="102"/>
      <c r="Q57" s="102"/>
      <c r="R57" s="102"/>
      <c r="S57" s="105"/>
      <c r="T57" s="102"/>
      <c r="U57" s="102"/>
      <c r="V57" s="106"/>
      <c r="W57" s="102"/>
      <c r="X57" s="102"/>
      <c r="Y57" s="102"/>
      <c r="Z57" s="102"/>
      <c r="AA57" s="102"/>
      <c r="AB57" s="102"/>
      <c r="AC57" s="102"/>
      <c r="AD57" s="102"/>
      <c r="AE57" s="102"/>
      <c r="AF57" s="102"/>
      <c r="AG57" s="102"/>
      <c r="AH57" s="102"/>
      <c r="AI57" s="102"/>
      <c r="AJ57" s="106" t="s">
        <v>224</v>
      </c>
      <c r="AK57" s="234" t="str">
        <f t="shared" si="32"/>
        <v>Varag Ghoul-Chewer</v>
      </c>
      <c r="AL57" s="234" t="str">
        <f t="shared" ref="AL57:AL58" si="33">$E$3&amp;"1"</f>
        <v>Orc1</v>
      </c>
      <c r="AM57" s="102"/>
      <c r="AN57" s="102"/>
      <c r="AO57" s="102"/>
      <c r="AP57" s="102"/>
      <c r="AQ57" s="102"/>
      <c r="AR57" s="105"/>
      <c r="AS57" s="105"/>
      <c r="AT57" s="105"/>
      <c r="AU57" s="105"/>
      <c r="AV57" s="102"/>
      <c r="AW57" s="102"/>
      <c r="AX57" s="102"/>
      <c r="AY57" s="102"/>
    </row>
    <row r="58" spans="1:51" ht="13.5" customHeight="1">
      <c r="A58" s="102"/>
      <c r="B58" s="102"/>
      <c r="C58" s="105"/>
      <c r="D58" s="102"/>
      <c r="E58" s="102"/>
      <c r="F58" s="104"/>
      <c r="G58" s="105"/>
      <c r="H58" s="105"/>
      <c r="I58" s="105"/>
      <c r="J58" s="105"/>
      <c r="K58" s="102"/>
      <c r="L58" s="102"/>
      <c r="M58" s="102"/>
      <c r="N58" s="102"/>
      <c r="O58" s="102"/>
      <c r="P58" s="102"/>
      <c r="Q58" s="102"/>
      <c r="R58" s="102"/>
      <c r="S58" s="105"/>
      <c r="T58" s="102"/>
      <c r="U58" s="102"/>
      <c r="V58" s="106"/>
      <c r="W58" s="102"/>
      <c r="X58" s="102"/>
      <c r="Y58" s="102"/>
      <c r="Z58" s="102"/>
      <c r="AA58" s="102"/>
      <c r="AB58" s="102"/>
      <c r="AC58" s="102"/>
      <c r="AD58" s="102"/>
      <c r="AE58" s="102"/>
      <c r="AF58" s="102"/>
      <c r="AG58" s="102"/>
      <c r="AH58" s="102"/>
      <c r="AI58" s="102"/>
      <c r="AJ58" s="234" t="str">
        <f t="shared" ref="AJ58:AJ67" si="34">VLOOKUP(AL58,DBPlayers,3,0)</f>
        <v>Lineman</v>
      </c>
      <c r="AK58" s="234" t="str">
        <f t="shared" ref="AK58:AK67" si="35">AJ58&amp;" "&amp;T_Merc</f>
        <v>Lineman Mercenary</v>
      </c>
      <c r="AL58" s="234" t="str">
        <f t="shared" si="33"/>
        <v>Orc1</v>
      </c>
      <c r="AM58" s="102"/>
      <c r="AN58" s="235"/>
      <c r="AO58" s="102"/>
      <c r="AP58" s="102"/>
      <c r="AQ58" s="102"/>
      <c r="AR58" s="105"/>
      <c r="AS58" s="105"/>
      <c r="AT58" s="105"/>
      <c r="AU58" s="105"/>
      <c r="AV58" s="102"/>
      <c r="AW58" s="102"/>
      <c r="AX58" s="102"/>
      <c r="AY58" s="102"/>
    </row>
    <row r="59" spans="1:51" ht="13.5" customHeight="1">
      <c r="A59" s="102"/>
      <c r="B59" s="102"/>
      <c r="C59" s="105"/>
      <c r="D59" s="102"/>
      <c r="E59" s="102"/>
      <c r="F59" s="104"/>
      <c r="G59" s="105"/>
      <c r="H59" s="105"/>
      <c r="I59" s="105"/>
      <c r="J59" s="105"/>
      <c r="K59" s="102"/>
      <c r="L59" s="102"/>
      <c r="M59" s="102"/>
      <c r="N59" s="102"/>
      <c r="O59" s="102"/>
      <c r="P59" s="102"/>
      <c r="Q59" s="102"/>
      <c r="R59" s="102"/>
      <c r="S59" s="105"/>
      <c r="T59" s="102"/>
      <c r="U59" s="102"/>
      <c r="V59" s="106"/>
      <c r="W59" s="102"/>
      <c r="X59" s="102"/>
      <c r="Y59" s="102"/>
      <c r="Z59" s="102"/>
      <c r="AA59" s="102"/>
      <c r="AB59" s="102"/>
      <c r="AC59" s="102"/>
      <c r="AD59" s="102"/>
      <c r="AE59" s="102"/>
      <c r="AF59" s="102"/>
      <c r="AG59" s="102"/>
      <c r="AH59" s="102"/>
      <c r="AI59" s="102"/>
      <c r="AJ59" s="234" t="str">
        <f t="shared" si="34"/>
        <v>Goblin</v>
      </c>
      <c r="AK59" s="234" t="str">
        <f t="shared" si="35"/>
        <v>Goblin Mercenary</v>
      </c>
      <c r="AL59" s="234" t="str">
        <f>$E$3&amp;"2"</f>
        <v>Orc2</v>
      </c>
      <c r="AM59" s="102"/>
      <c r="AN59" s="102"/>
      <c r="AO59" s="102"/>
      <c r="AP59" s="102"/>
      <c r="AQ59" s="102"/>
      <c r="AR59" s="105"/>
      <c r="AS59" s="105"/>
      <c r="AT59" s="105"/>
      <c r="AU59" s="105"/>
      <c r="AV59" s="102"/>
      <c r="AW59" s="102"/>
      <c r="AX59" s="102"/>
      <c r="AY59" s="102"/>
    </row>
    <row r="60" spans="1:51" ht="12.75" customHeight="1">
      <c r="A60" s="102"/>
      <c r="B60" s="102"/>
      <c r="C60" s="105"/>
      <c r="D60" s="102"/>
      <c r="E60" s="102"/>
      <c r="F60" s="104"/>
      <c r="G60" s="105"/>
      <c r="H60" s="105"/>
      <c r="I60" s="105"/>
      <c r="J60" s="105"/>
      <c r="K60" s="102"/>
      <c r="L60" s="102"/>
      <c r="M60" s="102"/>
      <c r="N60" s="102"/>
      <c r="O60" s="102"/>
      <c r="P60" s="102"/>
      <c r="Q60" s="102"/>
      <c r="R60" s="102"/>
      <c r="S60" s="105"/>
      <c r="T60" s="102"/>
      <c r="U60" s="102"/>
      <c r="V60" s="106"/>
      <c r="W60" s="102"/>
      <c r="X60" s="102"/>
      <c r="Y60" s="102"/>
      <c r="Z60" s="102"/>
      <c r="AA60" s="102"/>
      <c r="AB60" s="102"/>
      <c r="AC60" s="102"/>
      <c r="AD60" s="102"/>
      <c r="AE60" s="102"/>
      <c r="AF60" s="102"/>
      <c r="AG60" s="102"/>
      <c r="AH60" s="102"/>
      <c r="AI60" s="102"/>
      <c r="AJ60" s="234" t="str">
        <f t="shared" si="34"/>
        <v>Thrower</v>
      </c>
      <c r="AK60" s="234" t="str">
        <f t="shared" si="35"/>
        <v>Thrower Mercenary</v>
      </c>
      <c r="AL60" s="234" t="str">
        <f>$E$3&amp;"3"</f>
        <v>Orc3</v>
      </c>
      <c r="AM60" s="102"/>
      <c r="AN60" s="102"/>
      <c r="AO60" s="102"/>
      <c r="AP60" s="102"/>
      <c r="AQ60" s="102"/>
      <c r="AR60" s="105"/>
      <c r="AS60" s="105"/>
      <c r="AT60" s="105"/>
      <c r="AU60" s="105"/>
      <c r="AV60" s="102"/>
      <c r="AW60" s="102"/>
      <c r="AX60" s="102"/>
      <c r="AY60" s="102"/>
    </row>
    <row r="61" spans="1:51" ht="12.75" customHeight="1">
      <c r="A61" s="102"/>
      <c r="B61" s="102"/>
      <c r="C61" s="105"/>
      <c r="D61" s="102"/>
      <c r="E61" s="102"/>
      <c r="F61" s="104"/>
      <c r="G61" s="105"/>
      <c r="H61" s="105"/>
      <c r="I61" s="105"/>
      <c r="J61" s="105"/>
      <c r="K61" s="102"/>
      <c r="L61" s="102"/>
      <c r="M61" s="102"/>
      <c r="N61" s="102"/>
      <c r="O61" s="102"/>
      <c r="P61" s="102"/>
      <c r="Q61" s="102"/>
      <c r="R61" s="102"/>
      <c r="S61" s="105"/>
      <c r="T61" s="102"/>
      <c r="U61" s="102"/>
      <c r="V61" s="106"/>
      <c r="W61" s="102"/>
      <c r="X61" s="102"/>
      <c r="Y61" s="102"/>
      <c r="Z61" s="102"/>
      <c r="AA61" s="102"/>
      <c r="AB61" s="102"/>
      <c r="AC61" s="102"/>
      <c r="AD61" s="102"/>
      <c r="AE61" s="102"/>
      <c r="AF61" s="102"/>
      <c r="AG61" s="102"/>
      <c r="AH61" s="102"/>
      <c r="AI61" s="102"/>
      <c r="AJ61" s="234" t="str">
        <f t="shared" si="34"/>
        <v>Black Orc Blocker</v>
      </c>
      <c r="AK61" s="234" t="str">
        <f t="shared" si="35"/>
        <v>Black Orc Blocker Mercenary</v>
      </c>
      <c r="AL61" s="234" t="str">
        <f>$E$3&amp;"4"</f>
        <v>Orc4</v>
      </c>
      <c r="AM61" s="102"/>
      <c r="AN61" s="102"/>
      <c r="AO61" s="102"/>
      <c r="AP61" s="102"/>
      <c r="AQ61" s="102"/>
      <c r="AR61" s="105"/>
      <c r="AS61" s="105"/>
      <c r="AT61" s="105"/>
      <c r="AU61" s="105"/>
      <c r="AV61" s="102"/>
      <c r="AW61" s="102"/>
      <c r="AX61" s="102"/>
      <c r="AY61" s="102"/>
    </row>
    <row r="62" spans="1:51" ht="12.75" customHeight="1">
      <c r="A62" s="102"/>
      <c r="B62" s="102"/>
      <c r="C62" s="105"/>
      <c r="D62" s="102"/>
      <c r="E62" s="102"/>
      <c r="F62" s="104"/>
      <c r="G62" s="105"/>
      <c r="H62" s="105"/>
      <c r="I62" s="105"/>
      <c r="J62" s="105"/>
      <c r="K62" s="102"/>
      <c r="L62" s="102"/>
      <c r="M62" s="102"/>
      <c r="N62" s="102"/>
      <c r="O62" s="102"/>
      <c r="P62" s="102"/>
      <c r="Q62" s="102"/>
      <c r="R62" s="102"/>
      <c r="S62" s="105"/>
      <c r="T62" s="102"/>
      <c r="U62" s="102"/>
      <c r="V62" s="106"/>
      <c r="W62" s="102"/>
      <c r="X62" s="102"/>
      <c r="Y62" s="102"/>
      <c r="Z62" s="102"/>
      <c r="AA62" s="102"/>
      <c r="AB62" s="102"/>
      <c r="AC62" s="102"/>
      <c r="AD62" s="102"/>
      <c r="AE62" s="102"/>
      <c r="AF62" s="102"/>
      <c r="AG62" s="102"/>
      <c r="AH62" s="102"/>
      <c r="AI62" s="102"/>
      <c r="AJ62" s="234" t="str">
        <f t="shared" si="34"/>
        <v>Blitzer</v>
      </c>
      <c r="AK62" s="234" t="str">
        <f t="shared" si="35"/>
        <v>Blitzer Mercenary</v>
      </c>
      <c r="AL62" s="234" t="str">
        <f>$E$3&amp;"5"</f>
        <v>Orc5</v>
      </c>
      <c r="AM62" s="102"/>
      <c r="AN62" s="102"/>
      <c r="AO62" s="102"/>
      <c r="AP62" s="102"/>
      <c r="AQ62" s="102"/>
      <c r="AR62" s="105"/>
      <c r="AS62" s="105"/>
      <c r="AT62" s="105"/>
      <c r="AU62" s="105"/>
      <c r="AV62" s="102"/>
      <c r="AW62" s="102"/>
      <c r="AX62" s="102"/>
      <c r="AY62" s="102"/>
    </row>
    <row r="63" spans="1:51" ht="12.75" customHeight="1">
      <c r="A63" s="102"/>
      <c r="B63" s="102"/>
      <c r="C63" s="105"/>
      <c r="D63" s="102"/>
      <c r="E63" s="102"/>
      <c r="F63" s="104"/>
      <c r="G63" s="105"/>
      <c r="H63" s="105"/>
      <c r="I63" s="105"/>
      <c r="J63" s="105"/>
      <c r="K63" s="102"/>
      <c r="L63" s="102"/>
      <c r="M63" s="102"/>
      <c r="N63" s="102"/>
      <c r="O63" s="102"/>
      <c r="P63" s="102"/>
      <c r="Q63" s="102"/>
      <c r="R63" s="102"/>
      <c r="S63" s="105"/>
      <c r="T63" s="102"/>
      <c r="U63" s="102"/>
      <c r="V63" s="106"/>
      <c r="W63" s="102"/>
      <c r="X63" s="102"/>
      <c r="Y63" s="102"/>
      <c r="Z63" s="102"/>
      <c r="AA63" s="102"/>
      <c r="AB63" s="102"/>
      <c r="AC63" s="102"/>
      <c r="AD63" s="102"/>
      <c r="AE63" s="102"/>
      <c r="AF63" s="102"/>
      <c r="AG63" s="102"/>
      <c r="AH63" s="102"/>
      <c r="AI63" s="102"/>
      <c r="AJ63" s="234" t="str">
        <f t="shared" si="34"/>
        <v>Troll</v>
      </c>
      <c r="AK63" s="234" t="str">
        <f t="shared" si="35"/>
        <v>Troll Mercenary</v>
      </c>
      <c r="AL63" s="234" t="str">
        <f>$E$3&amp;"6"</f>
        <v>Orc6</v>
      </c>
      <c r="AM63" s="102"/>
      <c r="AN63" s="102"/>
      <c r="AO63" s="102"/>
      <c r="AP63" s="102"/>
      <c r="AQ63" s="102"/>
      <c r="AR63" s="105"/>
      <c r="AS63" s="105"/>
      <c r="AT63" s="105"/>
      <c r="AU63" s="105"/>
      <c r="AV63" s="102"/>
      <c r="AW63" s="102"/>
      <c r="AX63" s="102"/>
      <c r="AY63" s="102"/>
    </row>
    <row r="64" spans="1:51" ht="12.75" customHeight="1">
      <c r="A64" s="102"/>
      <c r="B64" s="102"/>
      <c r="C64" s="105"/>
      <c r="D64" s="102"/>
      <c r="E64" s="102"/>
      <c r="F64" s="104"/>
      <c r="G64" s="105"/>
      <c r="H64" s="105"/>
      <c r="I64" s="105"/>
      <c r="J64" s="105"/>
      <c r="K64" s="102"/>
      <c r="L64" s="102"/>
      <c r="M64" s="102"/>
      <c r="N64" s="102"/>
      <c r="O64" s="102"/>
      <c r="P64" s="102"/>
      <c r="Q64" s="102"/>
      <c r="R64" s="102"/>
      <c r="S64" s="105"/>
      <c r="T64" s="102"/>
      <c r="U64" s="102"/>
      <c r="V64" s="106"/>
      <c r="W64" s="102"/>
      <c r="X64" s="102"/>
      <c r="Y64" s="102"/>
      <c r="Z64" s="102"/>
      <c r="AA64" s="102"/>
      <c r="AB64" s="102"/>
      <c r="AC64" s="102"/>
      <c r="AD64" s="102"/>
      <c r="AE64" s="102"/>
      <c r="AF64" s="102"/>
      <c r="AG64" s="102"/>
      <c r="AH64" s="102"/>
      <c r="AI64" s="102"/>
      <c r="AJ64" s="234" t="e">
        <f t="shared" si="34"/>
        <v>#N/A</v>
      </c>
      <c r="AK64" s="234" t="e">
        <f t="shared" si="35"/>
        <v>#N/A</v>
      </c>
      <c r="AL64" s="234" t="str">
        <f>$E$3&amp;"7"</f>
        <v>Orc7</v>
      </c>
      <c r="AM64" s="102"/>
      <c r="AN64" s="102"/>
      <c r="AO64" s="102"/>
      <c r="AP64" s="102"/>
      <c r="AQ64" s="102"/>
      <c r="AR64" s="105"/>
      <c r="AS64" s="105"/>
      <c r="AT64" s="105"/>
      <c r="AU64" s="105"/>
      <c r="AV64" s="102"/>
      <c r="AW64" s="102"/>
      <c r="AX64" s="102"/>
      <c r="AY64" s="102"/>
    </row>
    <row r="65" spans="1:51" ht="12.75" customHeight="1">
      <c r="A65" s="102"/>
      <c r="B65" s="102"/>
      <c r="C65" s="105"/>
      <c r="D65" s="102"/>
      <c r="E65" s="102"/>
      <c r="F65" s="104"/>
      <c r="G65" s="105"/>
      <c r="H65" s="105"/>
      <c r="I65" s="105"/>
      <c r="J65" s="105"/>
      <c r="K65" s="102"/>
      <c r="L65" s="102"/>
      <c r="M65" s="102"/>
      <c r="N65" s="102"/>
      <c r="O65" s="102"/>
      <c r="P65" s="102"/>
      <c r="Q65" s="102"/>
      <c r="R65" s="102"/>
      <c r="S65" s="105"/>
      <c r="T65" s="102"/>
      <c r="U65" s="102"/>
      <c r="V65" s="106"/>
      <c r="W65" s="102"/>
      <c r="X65" s="102"/>
      <c r="Y65" s="102"/>
      <c r="Z65" s="102"/>
      <c r="AA65" s="102"/>
      <c r="AB65" s="102"/>
      <c r="AC65" s="102"/>
      <c r="AD65" s="102"/>
      <c r="AE65" s="102"/>
      <c r="AF65" s="102"/>
      <c r="AG65" s="102"/>
      <c r="AH65" s="102"/>
      <c r="AI65" s="102"/>
      <c r="AJ65" s="234" t="e">
        <f t="shared" si="34"/>
        <v>#N/A</v>
      </c>
      <c r="AK65" s="234" t="e">
        <f t="shared" si="35"/>
        <v>#N/A</v>
      </c>
      <c r="AL65" s="234" t="str">
        <f>$E$3&amp;"8"</f>
        <v>Orc8</v>
      </c>
      <c r="AM65" s="102"/>
      <c r="AN65" s="102"/>
      <c r="AO65" s="102"/>
      <c r="AP65" s="102"/>
      <c r="AQ65" s="102"/>
      <c r="AR65" s="105"/>
      <c r="AS65" s="105"/>
      <c r="AT65" s="105"/>
      <c r="AU65" s="105"/>
      <c r="AV65" s="102"/>
      <c r="AW65" s="102"/>
      <c r="AX65" s="102"/>
      <c r="AY65" s="102"/>
    </row>
    <row r="66" spans="1:51" ht="12.75" customHeight="1">
      <c r="A66" s="102"/>
      <c r="B66" s="102"/>
      <c r="C66" s="105"/>
      <c r="D66" s="102"/>
      <c r="E66" s="102"/>
      <c r="F66" s="104"/>
      <c r="G66" s="105"/>
      <c r="H66" s="105"/>
      <c r="I66" s="105"/>
      <c r="J66" s="105"/>
      <c r="K66" s="102"/>
      <c r="L66" s="102"/>
      <c r="M66" s="102"/>
      <c r="N66" s="102"/>
      <c r="O66" s="102"/>
      <c r="P66" s="102"/>
      <c r="Q66" s="102"/>
      <c r="R66" s="102"/>
      <c r="S66" s="105"/>
      <c r="T66" s="102"/>
      <c r="U66" s="102"/>
      <c r="V66" s="106"/>
      <c r="W66" s="102"/>
      <c r="X66" s="102"/>
      <c r="Y66" s="102"/>
      <c r="Z66" s="102"/>
      <c r="AA66" s="102"/>
      <c r="AB66" s="102"/>
      <c r="AC66" s="102"/>
      <c r="AD66" s="102"/>
      <c r="AE66" s="102"/>
      <c r="AF66" s="102"/>
      <c r="AG66" s="102"/>
      <c r="AH66" s="102"/>
      <c r="AI66" s="102"/>
      <c r="AJ66" s="234" t="e">
        <f t="shared" si="34"/>
        <v>#N/A</v>
      </c>
      <c r="AK66" s="234" t="e">
        <f t="shared" si="35"/>
        <v>#N/A</v>
      </c>
      <c r="AL66" s="234" t="str">
        <f>$E$3&amp;"9"</f>
        <v>Orc9</v>
      </c>
      <c r="AM66" s="102"/>
      <c r="AN66" s="102"/>
      <c r="AO66" s="102"/>
      <c r="AP66" s="102"/>
      <c r="AQ66" s="102"/>
      <c r="AR66" s="105"/>
      <c r="AS66" s="105"/>
      <c r="AT66" s="105"/>
      <c r="AU66" s="105"/>
      <c r="AV66" s="102"/>
      <c r="AW66" s="102"/>
      <c r="AX66" s="102"/>
      <c r="AY66" s="102"/>
    </row>
    <row r="67" spans="1:51" ht="12.75" customHeight="1">
      <c r="A67" s="102"/>
      <c r="B67" s="102"/>
      <c r="C67" s="105"/>
      <c r="D67" s="102"/>
      <c r="E67" s="102"/>
      <c r="F67" s="104"/>
      <c r="G67" s="105"/>
      <c r="H67" s="105"/>
      <c r="I67" s="105"/>
      <c r="J67" s="105"/>
      <c r="K67" s="102"/>
      <c r="L67" s="102"/>
      <c r="M67" s="102"/>
      <c r="N67" s="102"/>
      <c r="O67" s="102"/>
      <c r="P67" s="102"/>
      <c r="Q67" s="102"/>
      <c r="R67" s="102"/>
      <c r="S67" s="105"/>
      <c r="T67" s="102"/>
      <c r="U67" s="102"/>
      <c r="V67" s="106"/>
      <c r="W67" s="102"/>
      <c r="X67" s="102"/>
      <c r="Y67" s="102"/>
      <c r="Z67" s="102"/>
      <c r="AA67" s="102"/>
      <c r="AB67" s="102"/>
      <c r="AC67" s="102"/>
      <c r="AD67" s="102"/>
      <c r="AE67" s="102"/>
      <c r="AF67" s="102"/>
      <c r="AG67" s="102"/>
      <c r="AH67" s="102"/>
      <c r="AI67" s="102"/>
      <c r="AJ67" s="234" t="e">
        <f t="shared" si="34"/>
        <v>#N/A</v>
      </c>
      <c r="AK67" s="234" t="e">
        <f t="shared" si="35"/>
        <v>#N/A</v>
      </c>
      <c r="AL67" s="234" t="str">
        <f>$E$3&amp;"10"</f>
        <v>Orc10</v>
      </c>
      <c r="AM67" s="102"/>
      <c r="AN67" s="102"/>
      <c r="AO67" s="102"/>
      <c r="AP67" s="102"/>
      <c r="AQ67" s="102"/>
      <c r="AR67" s="105"/>
      <c r="AS67" s="105"/>
      <c r="AT67" s="105"/>
      <c r="AU67" s="105"/>
      <c r="AV67" s="102"/>
      <c r="AW67" s="102"/>
      <c r="AX67" s="102"/>
      <c r="AY67" s="102"/>
    </row>
    <row r="68" spans="1:51" ht="12.75" customHeight="1">
      <c r="A68" s="102"/>
      <c r="B68" s="102"/>
      <c r="C68" s="105"/>
      <c r="D68" s="102"/>
      <c r="E68" s="102"/>
      <c r="F68" s="104"/>
      <c r="G68" s="105"/>
      <c r="H68" s="105"/>
      <c r="I68" s="105"/>
      <c r="J68" s="105"/>
      <c r="K68" s="102"/>
      <c r="L68" s="102"/>
      <c r="M68" s="102"/>
      <c r="N68" s="102"/>
      <c r="O68" s="102"/>
      <c r="P68" s="102"/>
      <c r="Q68" s="102"/>
      <c r="R68" s="102"/>
      <c r="S68" s="105"/>
      <c r="T68" s="102"/>
      <c r="U68" s="102"/>
      <c r="V68" s="106"/>
      <c r="W68" s="102"/>
      <c r="X68" s="102"/>
      <c r="Y68" s="102"/>
      <c r="Z68" s="102"/>
      <c r="AA68" s="102"/>
      <c r="AB68" s="102"/>
      <c r="AC68" s="102"/>
      <c r="AD68" s="102"/>
      <c r="AE68" s="102"/>
      <c r="AF68" s="102"/>
      <c r="AG68" s="102"/>
      <c r="AH68" s="102"/>
      <c r="AI68" s="102"/>
      <c r="AJ68" s="102"/>
      <c r="AK68" s="102"/>
      <c r="AL68" s="102"/>
      <c r="AM68" s="102"/>
      <c r="AN68" s="102"/>
      <c r="AO68" s="102"/>
      <c r="AP68" s="102"/>
      <c r="AQ68" s="102"/>
      <c r="AR68" s="105"/>
      <c r="AS68" s="105"/>
      <c r="AT68" s="105"/>
      <c r="AU68" s="105"/>
      <c r="AV68" s="102"/>
      <c r="AW68" s="102"/>
      <c r="AX68" s="102"/>
      <c r="AY68" s="102"/>
    </row>
    <row r="69" spans="1:51" ht="12.75" customHeight="1">
      <c r="A69" s="102"/>
      <c r="B69" s="102"/>
      <c r="C69" s="105"/>
      <c r="D69" s="102"/>
      <c r="E69" s="102"/>
      <c r="F69" s="104"/>
      <c r="G69" s="105"/>
      <c r="H69" s="105"/>
      <c r="I69" s="105"/>
      <c r="J69" s="105"/>
      <c r="K69" s="102"/>
      <c r="L69" s="102"/>
      <c r="M69" s="102"/>
      <c r="N69" s="102"/>
      <c r="O69" s="102"/>
      <c r="P69" s="102"/>
      <c r="Q69" s="102"/>
      <c r="R69" s="102"/>
      <c r="S69" s="105"/>
      <c r="T69" s="102"/>
      <c r="U69" s="102"/>
      <c r="V69" s="106"/>
      <c r="W69" s="102"/>
      <c r="X69" s="102"/>
      <c r="Y69" s="102"/>
      <c r="Z69" s="102"/>
      <c r="AA69" s="102"/>
      <c r="AB69" s="102"/>
      <c r="AC69" s="102"/>
      <c r="AD69" s="102"/>
      <c r="AE69" s="102"/>
      <c r="AF69" s="102"/>
      <c r="AG69" s="102"/>
      <c r="AH69" s="102"/>
      <c r="AI69" s="102"/>
      <c r="AJ69" s="235" t="s">
        <v>225</v>
      </c>
      <c r="AK69" s="234">
        <f t="array" ref="AK69">SUM(IF(ISERROR($AK$58:$AK$67),0,1))</f>
        <v>6</v>
      </c>
      <c r="AL69" s="102"/>
      <c r="AM69" s="102"/>
      <c r="AN69" s="102"/>
      <c r="AO69" s="102"/>
      <c r="AP69" s="102"/>
      <c r="AQ69" s="102"/>
      <c r="AR69" s="105"/>
      <c r="AS69" s="105"/>
      <c r="AT69" s="105"/>
      <c r="AU69" s="105"/>
      <c r="AV69" s="102"/>
      <c r="AW69" s="102"/>
      <c r="AX69" s="102"/>
      <c r="AY69" s="102"/>
    </row>
    <row r="70" spans="1:51" ht="12.75" customHeight="1">
      <c r="A70" s="102"/>
      <c r="B70" s="102"/>
      <c r="C70" s="105"/>
      <c r="D70" s="102"/>
      <c r="E70" s="102"/>
      <c r="F70" s="104"/>
      <c r="G70" s="105"/>
      <c r="H70" s="105"/>
      <c r="I70" s="105"/>
      <c r="J70" s="105"/>
      <c r="K70" s="102"/>
      <c r="L70" s="102"/>
      <c r="M70" s="102"/>
      <c r="N70" s="102"/>
      <c r="O70" s="102"/>
      <c r="P70" s="102"/>
      <c r="Q70" s="102"/>
      <c r="R70" s="102"/>
      <c r="S70" s="105"/>
      <c r="T70" s="102"/>
      <c r="U70" s="102"/>
      <c r="V70" s="106"/>
      <c r="W70" s="102"/>
      <c r="X70" s="102"/>
      <c r="Y70" s="102"/>
      <c r="Z70" s="102"/>
      <c r="AA70" s="102"/>
      <c r="AB70" s="102"/>
      <c r="AC70" s="102"/>
      <c r="AD70" s="102"/>
      <c r="AE70" s="102"/>
      <c r="AF70" s="102"/>
      <c r="AG70" s="102"/>
      <c r="AH70" s="102"/>
      <c r="AI70" s="102"/>
      <c r="AJ70" s="235" t="s">
        <v>226</v>
      </c>
      <c r="AK70" s="234">
        <f t="array" ref="AK70">SUM(IF(ISERROR($AK$48:$AK$57),0,1))</f>
        <v>6</v>
      </c>
      <c r="AL70" s="102"/>
      <c r="AM70" s="102"/>
      <c r="AN70" s="102"/>
      <c r="AO70" s="102"/>
      <c r="AP70" s="102"/>
      <c r="AQ70" s="102"/>
      <c r="AR70" s="105"/>
      <c r="AS70" s="105"/>
      <c r="AT70" s="105"/>
      <c r="AU70" s="105"/>
      <c r="AV70" s="102"/>
      <c r="AW70" s="102"/>
      <c r="AX70" s="102"/>
      <c r="AY70" s="102"/>
    </row>
  </sheetData>
  <mergeCells count="58">
    <mergeCell ref="H39:I39"/>
    <mergeCell ref="H40:I40"/>
    <mergeCell ref="F42:I42"/>
    <mergeCell ref="D41:E41"/>
    <mergeCell ref="F41:I41"/>
    <mergeCell ref="D40:E40"/>
    <mergeCell ref="D39:E39"/>
    <mergeCell ref="D34:E34"/>
    <mergeCell ref="D35:E35"/>
    <mergeCell ref="H34:I34"/>
    <mergeCell ref="H35:I35"/>
    <mergeCell ref="D38:E38"/>
    <mergeCell ref="D37:E37"/>
    <mergeCell ref="H38:I38"/>
    <mergeCell ref="D36:E36"/>
    <mergeCell ref="H37:I37"/>
    <mergeCell ref="H36:I36"/>
    <mergeCell ref="N3:S3"/>
    <mergeCell ref="L3:M3"/>
    <mergeCell ref="E3:F3"/>
    <mergeCell ref="G3:I3"/>
    <mergeCell ref="J3:K3"/>
    <mergeCell ref="U3:W3"/>
    <mergeCell ref="AF3:AG3"/>
    <mergeCell ref="AR3:AU3"/>
    <mergeCell ref="V25:W25"/>
    <mergeCell ref="V24:W24"/>
    <mergeCell ref="V29:W29"/>
    <mergeCell ref="V30:W30"/>
    <mergeCell ref="V26:W26"/>
    <mergeCell ref="V27:W27"/>
    <mergeCell ref="V28:W28"/>
    <mergeCell ref="R42:S42"/>
    <mergeCell ref="R40:S40"/>
    <mergeCell ref="R41:S41"/>
    <mergeCell ref="K28:R28"/>
    <mergeCell ref="K29:R29"/>
    <mergeCell ref="K30:R30"/>
    <mergeCell ref="O35:Q35"/>
    <mergeCell ref="O36:Q36"/>
    <mergeCell ref="M39:P39"/>
    <mergeCell ref="L33:R33"/>
    <mergeCell ref="O37:Q37"/>
    <mergeCell ref="O34:Q34"/>
    <mergeCell ref="O38:Q38"/>
    <mergeCell ref="D33:I33"/>
    <mergeCell ref="K25:R25"/>
    <mergeCell ref="K24:R24"/>
    <mergeCell ref="K26:R26"/>
    <mergeCell ref="K27:R27"/>
    <mergeCell ref="L31:P31"/>
    <mergeCell ref="D29:E29"/>
    <mergeCell ref="D30:E30"/>
    <mergeCell ref="D24:E24"/>
    <mergeCell ref="D25:E25"/>
    <mergeCell ref="D26:E26"/>
    <mergeCell ref="D27:E27"/>
    <mergeCell ref="D28:E28"/>
  </mergeCells>
  <conditionalFormatting sqref="G6:J21">
    <cfRule type="cellIs" dxfId="14" priority="1" stopIfTrue="1" operator="greaterThan">
      <formula>AR6</formula>
    </cfRule>
  </conditionalFormatting>
  <conditionalFormatting sqref="G6:J21">
    <cfRule type="cellIs" dxfId="13" priority="2" stopIfTrue="1" operator="lessThan">
      <formula>AR6</formula>
    </cfRule>
  </conditionalFormatting>
  <dataValidations count="13">
    <dataValidation type="list" allowBlank="1" showErrorMessage="1" sqref="E3">
      <formula1>TeamList</formula1>
    </dataValidation>
    <dataValidation type="decimal" allowBlank="1" showInputMessage="1" showErrorMessage="1" prompt="Wrong Entry - Please enter only numbers between 0 and 2!" sqref="F34 F38">
      <formula1>0</formula1>
      <formula2>2</formula2>
    </dataValidation>
    <dataValidation type="list" allowBlank="1" showInputMessage="1" showErrorMessage="1" prompt="Wrong Entry - Please enter a value from the dropdown list!" sqref="E6:E21">
      <formula1>OFFSET($AJ$58:$AJ$67,0,0,$AK$69,1)</formula1>
    </dataValidation>
    <dataValidation type="list" allowBlank="1" showErrorMessage="1" sqref="D44">
      <formula1>#REF!</formula1>
    </dataValidation>
    <dataValidation type="list" allowBlank="1" showInputMessage="1" showErrorMessage="1" prompt="Wrong Entry - Please enter a value from the dropdown list!" sqref="L6:L21">
      <formula1>StatusDropdown</formula1>
    </dataValidation>
    <dataValidation type="list" allowBlank="1" showInputMessage="1" showErrorMessage="1" prompt="Wrong Entry - Please enter a value from the dropdown list!" sqref="D25:D30">
      <formula1>OFFSET($AK$48:$AK$67,(10-$AK$70),0,$AK$69+$AK$70,1)</formula1>
    </dataValidation>
    <dataValidation type="decimal" allowBlank="1" showInputMessage="1" showErrorMessage="1" prompt="Wrong Entry - Please enter only numbers between 0 and 3!" sqref="F35">
      <formula1>0</formula1>
      <formula2>3</formula2>
    </dataValidation>
    <dataValidation type="decimal" allowBlank="1" showInputMessage="1" showErrorMessage="1" prompt="Wrong Entry - Please enter only numbers!" sqref="M34:M37">
      <formula1>0</formula1>
      <formula2>99</formula2>
    </dataValidation>
    <dataValidation type="list" allowBlank="1" showErrorMessage="1" sqref="Y6:AD21 V25:V30 Y30">
      <formula1>OFFSET(DBSkills,0,0,ROWS(DBSkills),1)</formula1>
    </dataValidation>
    <dataValidation type="decimal" allowBlank="1" showInputMessage="1" showErrorMessage="1" prompt="Wrong Entry - Please enter only numbers!" sqref="M39 F41">
      <formula1>-10000000</formula1>
      <formula2>1000000</formula2>
    </dataValidation>
    <dataValidation type="decimal" allowBlank="1" showInputMessage="1" showErrorMessage="1" prompt="Wrong Entry - Please enter only numbers between 0 and 4!" sqref="F36">
      <formula1>0</formula1>
      <formula2>4</formula2>
    </dataValidation>
    <dataValidation type="decimal" allowBlank="1" showInputMessage="1" showErrorMessage="1" prompt="Wrong Entry - Please do only enter numbers!" sqref="M6:Q21">
      <formula1>0</formula1>
      <formula2>9999</formula2>
    </dataValidation>
    <dataValidation type="decimal" allowBlank="1" showInputMessage="1" showErrorMessage="1" prompt="Wrong Entry - Please enter only 0 or 1!" sqref="F37 M38 F39:F40">
      <formula1>0</formula1>
      <formula2>1</formula2>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Y70"/>
  <sheetViews>
    <sheetView workbookViewId="0">
      <selection activeCell="Y16" sqref="Y16"/>
    </sheetView>
  </sheetViews>
  <sheetFormatPr defaultColWidth="14.42578125" defaultRowHeight="15" customHeight="1"/>
  <cols>
    <col min="1" max="1" width="0.7109375" customWidth="1"/>
    <col min="2" max="2" width="0.5703125" customWidth="1"/>
    <col min="3" max="3" width="3.7109375" customWidth="1"/>
    <col min="4" max="4" width="15.7109375" customWidth="1"/>
    <col min="5" max="5" width="12.140625" customWidth="1"/>
    <col min="6" max="6" width="5.85546875" customWidth="1"/>
    <col min="7" max="7" width="3.140625" customWidth="1"/>
    <col min="8" max="10" width="3.42578125" customWidth="1"/>
    <col min="11" max="11" width="55.42578125" customWidth="1"/>
    <col min="12" max="12" width="5.85546875" customWidth="1"/>
    <col min="13" max="18" width="3.42578125" customWidth="1"/>
    <col min="19" max="19" width="8" customWidth="1"/>
    <col min="20" max="20" width="0.5703125" customWidth="1"/>
    <col min="21" max="22" width="7.140625" customWidth="1"/>
    <col min="23" max="23" width="7.42578125" customWidth="1"/>
    <col min="24" max="24" width="0.5703125" customWidth="1"/>
    <col min="25" max="30" width="12.42578125" customWidth="1"/>
    <col min="31" max="31" width="13.28515625" customWidth="1"/>
    <col min="32" max="32" width="17.42578125" customWidth="1"/>
    <col min="33" max="33" width="6.42578125" customWidth="1"/>
    <col min="34" max="34" width="24.140625" customWidth="1"/>
    <col min="35" max="35" width="10.140625" hidden="1" customWidth="1"/>
    <col min="36" max="43" width="11.42578125" hidden="1" customWidth="1"/>
    <col min="44" max="47" width="3.5703125" hidden="1" customWidth="1"/>
    <col min="48" max="51" width="11.42578125" hidden="1" customWidth="1"/>
  </cols>
  <sheetData>
    <row r="1" spans="1:51" ht="3.75" customHeight="1">
      <c r="A1" s="102"/>
      <c r="B1" s="102"/>
      <c r="C1" s="103"/>
      <c r="D1" s="102"/>
      <c r="E1" s="102"/>
      <c r="F1" s="104"/>
      <c r="G1" s="105"/>
      <c r="H1" s="105"/>
      <c r="I1" s="105"/>
      <c r="J1" s="105"/>
      <c r="K1" s="102"/>
      <c r="L1" s="102"/>
      <c r="M1" s="102"/>
      <c r="N1" s="102"/>
      <c r="O1" s="102"/>
      <c r="P1" s="102"/>
      <c r="Q1" s="102"/>
      <c r="R1" s="102"/>
      <c r="S1" s="105"/>
      <c r="T1" s="102"/>
      <c r="U1" s="102"/>
      <c r="V1" s="106"/>
      <c r="W1" s="102"/>
      <c r="X1" s="102"/>
      <c r="Y1" s="102"/>
      <c r="Z1" s="102"/>
      <c r="AA1" s="102"/>
      <c r="AB1" s="102"/>
      <c r="AC1" s="102"/>
      <c r="AD1" s="102"/>
      <c r="AE1" s="102"/>
      <c r="AF1" s="102"/>
      <c r="AG1" s="102"/>
      <c r="AH1" s="102"/>
      <c r="AI1" s="102"/>
      <c r="AJ1" s="102"/>
      <c r="AK1" s="102"/>
      <c r="AL1" s="102"/>
      <c r="AM1" s="102"/>
      <c r="AN1" s="102"/>
      <c r="AO1" s="102"/>
      <c r="AP1" s="102"/>
      <c r="AQ1" s="102"/>
      <c r="AR1" s="105"/>
      <c r="AS1" s="105"/>
      <c r="AT1" s="105"/>
      <c r="AU1" s="105"/>
      <c r="AV1" s="102"/>
      <c r="AW1" s="102"/>
      <c r="AX1" s="102"/>
      <c r="AY1" s="102"/>
    </row>
    <row r="2" spans="1:51" ht="3" customHeight="1">
      <c r="A2" s="102"/>
      <c r="B2" s="107"/>
      <c r="C2" s="108"/>
      <c r="D2" s="109"/>
      <c r="E2" s="109"/>
      <c r="F2" s="110"/>
      <c r="G2" s="108"/>
      <c r="H2" s="108"/>
      <c r="I2" s="108"/>
      <c r="J2" s="108"/>
      <c r="K2" s="109"/>
      <c r="L2" s="109"/>
      <c r="M2" s="109"/>
      <c r="N2" s="109"/>
      <c r="O2" s="109"/>
      <c r="P2" s="109"/>
      <c r="Q2" s="109"/>
      <c r="R2" s="109"/>
      <c r="S2" s="109"/>
      <c r="T2" s="111"/>
      <c r="U2" s="102"/>
      <c r="V2" s="112"/>
      <c r="W2" s="113"/>
      <c r="X2" s="113"/>
      <c r="Y2" s="102"/>
      <c r="Z2" s="102"/>
      <c r="AA2" s="102"/>
      <c r="AB2" s="102"/>
      <c r="AC2" s="102"/>
      <c r="AD2" s="102"/>
      <c r="AE2" s="102"/>
      <c r="AF2" s="102"/>
      <c r="AG2" s="102"/>
      <c r="AH2" s="102"/>
      <c r="AI2" s="102"/>
      <c r="AJ2" s="102"/>
      <c r="AK2" s="102"/>
      <c r="AL2" s="102"/>
      <c r="AM2" s="102"/>
      <c r="AN2" s="102"/>
      <c r="AO2" s="102"/>
      <c r="AP2" s="102"/>
      <c r="AQ2" s="102"/>
      <c r="AR2" s="105"/>
      <c r="AS2" s="105"/>
      <c r="AT2" s="105"/>
      <c r="AU2" s="105"/>
      <c r="AV2" s="102"/>
      <c r="AW2" s="102"/>
      <c r="AX2" s="102"/>
      <c r="AY2" s="102"/>
    </row>
    <row r="3" spans="1:51" ht="18" customHeight="1">
      <c r="A3" s="102"/>
      <c r="B3" s="114"/>
      <c r="C3" s="115"/>
      <c r="D3" s="116" t="s">
        <v>131</v>
      </c>
      <c r="E3" s="339" t="s">
        <v>938</v>
      </c>
      <c r="F3" s="340"/>
      <c r="G3" s="342" t="s">
        <v>133</v>
      </c>
      <c r="H3" s="316"/>
      <c r="I3" s="316"/>
      <c r="J3" s="339" t="s">
        <v>46</v>
      </c>
      <c r="K3" s="340"/>
      <c r="L3" s="342" t="s">
        <v>134</v>
      </c>
      <c r="M3" s="316"/>
      <c r="N3" s="339" t="s">
        <v>300</v>
      </c>
      <c r="O3" s="340"/>
      <c r="P3" s="340"/>
      <c r="Q3" s="340"/>
      <c r="R3" s="340"/>
      <c r="S3" s="340"/>
      <c r="T3" s="117"/>
      <c r="U3" s="338" t="s">
        <v>136</v>
      </c>
      <c r="V3" s="316"/>
      <c r="W3" s="316"/>
      <c r="X3" s="118"/>
      <c r="Y3" s="119" t="s">
        <v>137</v>
      </c>
      <c r="Z3" s="102"/>
      <c r="AA3" s="102"/>
      <c r="AB3" s="102"/>
      <c r="AC3" s="102"/>
      <c r="AD3" s="102"/>
      <c r="AE3" s="102"/>
      <c r="AF3" s="336" t="s">
        <v>138</v>
      </c>
      <c r="AG3" s="337"/>
      <c r="AH3" s="120"/>
      <c r="AI3" s="102"/>
      <c r="AJ3" s="102"/>
      <c r="AK3" s="102"/>
      <c r="AL3" s="102"/>
      <c r="AM3" s="102"/>
      <c r="AN3" s="102"/>
      <c r="AO3" s="102"/>
      <c r="AP3" s="102"/>
      <c r="AQ3" s="102"/>
      <c r="AR3" s="335" t="s">
        <v>139</v>
      </c>
      <c r="AS3" s="316"/>
      <c r="AT3" s="316"/>
      <c r="AU3" s="316"/>
      <c r="AV3" s="102"/>
      <c r="AW3" s="102"/>
      <c r="AX3" s="102"/>
      <c r="AY3" s="102"/>
    </row>
    <row r="4" spans="1:51" ht="3" customHeight="1">
      <c r="A4" s="102"/>
      <c r="B4" s="107"/>
      <c r="C4" s="108"/>
      <c r="D4" s="109"/>
      <c r="E4" s="109"/>
      <c r="F4" s="110"/>
      <c r="G4" s="108"/>
      <c r="H4" s="108"/>
      <c r="I4" s="108"/>
      <c r="J4" s="108"/>
      <c r="K4" s="109"/>
      <c r="L4" s="109"/>
      <c r="M4" s="109"/>
      <c r="N4" s="109"/>
      <c r="O4" s="109"/>
      <c r="P4" s="109"/>
      <c r="Q4" s="109"/>
      <c r="R4" s="109"/>
      <c r="S4" s="108"/>
      <c r="T4" s="111"/>
      <c r="U4" s="121"/>
      <c r="V4" s="122"/>
      <c r="W4" s="121"/>
      <c r="X4" s="121"/>
      <c r="Y4" s="121"/>
      <c r="Z4" s="121"/>
      <c r="AA4" s="121"/>
      <c r="AB4" s="121"/>
      <c r="AC4" s="121"/>
      <c r="AD4" s="121"/>
      <c r="AE4" s="121"/>
      <c r="AF4" s="121"/>
      <c r="AG4" s="121"/>
      <c r="AH4" s="120"/>
      <c r="AI4" s="102"/>
      <c r="AJ4" s="102"/>
      <c r="AK4" s="102"/>
      <c r="AL4" s="102"/>
      <c r="AM4" s="102"/>
      <c r="AN4" s="102"/>
      <c r="AO4" s="102"/>
      <c r="AP4" s="102"/>
      <c r="AQ4" s="102"/>
      <c r="AR4" s="105"/>
      <c r="AS4" s="105"/>
      <c r="AT4" s="105"/>
      <c r="AU4" s="105"/>
      <c r="AV4" s="102"/>
      <c r="AW4" s="102"/>
      <c r="AX4" s="102"/>
      <c r="AY4" s="102"/>
    </row>
    <row r="5" spans="1:51" ht="13.5" customHeight="1">
      <c r="A5" s="123"/>
      <c r="B5" s="124"/>
      <c r="C5" s="125" t="s">
        <v>140</v>
      </c>
      <c r="D5" s="126" t="s">
        <v>141</v>
      </c>
      <c r="E5" s="126" t="s">
        <v>126</v>
      </c>
      <c r="F5" s="127" t="s">
        <v>142</v>
      </c>
      <c r="G5" s="127" t="str">
        <f>T_MA</f>
        <v>MA</v>
      </c>
      <c r="H5" s="127" t="str">
        <f>T_ST</f>
        <v>ST</v>
      </c>
      <c r="I5" s="127" t="str">
        <f>T_AG</f>
        <v>AG</v>
      </c>
      <c r="J5" s="127" t="str">
        <f>T_AV</f>
        <v>AV</v>
      </c>
      <c r="K5" s="128" t="s">
        <v>143</v>
      </c>
      <c r="L5" s="125" t="s">
        <v>144</v>
      </c>
      <c r="M5" s="129" t="s">
        <v>120</v>
      </c>
      <c r="N5" s="130" t="s">
        <v>20</v>
      </c>
      <c r="O5" s="130" t="s">
        <v>121</v>
      </c>
      <c r="P5" s="130" t="s">
        <v>122</v>
      </c>
      <c r="Q5" s="130" t="s">
        <v>123</v>
      </c>
      <c r="R5" s="131" t="s">
        <v>124</v>
      </c>
      <c r="S5" s="132" t="s">
        <v>145</v>
      </c>
      <c r="T5" s="117"/>
      <c r="U5" s="133" t="s">
        <v>146</v>
      </c>
      <c r="V5" s="133" t="s">
        <v>147</v>
      </c>
      <c r="W5" s="134" t="s">
        <v>148</v>
      </c>
      <c r="X5" s="135"/>
      <c r="Y5" s="136" t="s">
        <v>149</v>
      </c>
      <c r="Z5" s="136" t="s">
        <v>150</v>
      </c>
      <c r="AA5" s="136" t="s">
        <v>151</v>
      </c>
      <c r="AB5" s="136" t="s">
        <v>152</v>
      </c>
      <c r="AC5" s="136" t="s">
        <v>153</v>
      </c>
      <c r="AD5" s="137" t="s">
        <v>154</v>
      </c>
      <c r="AE5" s="138" t="s">
        <v>155</v>
      </c>
      <c r="AF5" s="139" t="s">
        <v>156</v>
      </c>
      <c r="AG5" s="140" t="s">
        <v>157</v>
      </c>
      <c r="AH5" s="120"/>
      <c r="AI5" s="123"/>
      <c r="AJ5" s="141" t="s">
        <v>158</v>
      </c>
      <c r="AK5" s="141" t="s">
        <v>159</v>
      </c>
      <c r="AL5" s="123"/>
      <c r="AM5" s="123"/>
      <c r="AN5" s="123"/>
      <c r="AO5" s="123"/>
      <c r="AP5" s="123"/>
      <c r="AQ5" s="141" t="s">
        <v>160</v>
      </c>
      <c r="AR5" s="104" t="str">
        <f>T_MA</f>
        <v>MA</v>
      </c>
      <c r="AS5" s="104" t="str">
        <f>T_ST</f>
        <v>ST</v>
      </c>
      <c r="AT5" s="104" t="str">
        <f>T_AG</f>
        <v>AG</v>
      </c>
      <c r="AU5" s="104" t="str">
        <f>T_AV</f>
        <v>AV</v>
      </c>
      <c r="AV5" s="123"/>
      <c r="AW5" s="102"/>
      <c r="AX5" s="102"/>
      <c r="AY5" s="102"/>
    </row>
    <row r="6" spans="1:51" ht="13.5" customHeight="1">
      <c r="A6" s="102"/>
      <c r="B6" s="114"/>
      <c r="C6" s="142">
        <v>1</v>
      </c>
      <c r="D6" s="143" t="s">
        <v>301</v>
      </c>
      <c r="E6" s="143" t="s">
        <v>302</v>
      </c>
      <c r="F6" s="144" t="str">
        <f>IF($E6&lt;&gt;"",IF($AJ6&lt;&gt;"",IF(AND($L6=T_Journey,VLOOKUP($AJ6,DBPlayers,2,0)&lt;12),T_Error&amp;"7",IF("Journeymen not available"=0,T_Error&amp;"8",IF(COUNTIF($E$6:$E6,$E6)-$AQ6&gt;VLOOKUP($AJ6,DBPlayers,2,0),T_Error&amp;"2",IF(L6=T_MNG,0,COUNTIF($E$6:$E6,$E6)-$AQ6)&amp;"/"&amp;(VLOOKUP($AJ6,DBPlayers,2,0))))),T_Error&amp;"1"),"")</f>
        <v>1/1</v>
      </c>
      <c r="G6" s="145">
        <f t="shared" ref="G6:G21" si="0">IF(OR($E6="",LEFT($F6,LEN(T_Error))=T_Error),"",MAX(1,VLOOKUP($AJ6,DBPlayers,4,0)+COUNTIF($Y6:$AD6,T_MA&amp;"+")-IF(ISERROR(FIND(T_MA&amp;"-",$AE6)),0,IF(ISERROR(FIND(T_MA&amp;"-",$AE6,FIND(T_MA&amp;"-",$AE6)+LEN(T_MA)+1)),1,2))))</f>
        <v>6</v>
      </c>
      <c r="H6" s="145">
        <f t="shared" ref="H6:H21" si="1">IF(OR(($E6=""),(LEFT($F6,LEN(T_Error))=T_Error)),"",MAX(1,VLOOKUP($AJ6,DBPlayers,5,0)+COUNTIF($Y6:$AD6,T_ST&amp;"+")-IF(ISERROR(FIND(T_ST&amp;"-",$AE6)),0,IF(ISERROR(FIND(T_ST&amp;"-",$AE6,FIND(T_ST&amp;"-",$AE6)+LEN(T_ST)+1)),1,2))))</f>
        <v>5</v>
      </c>
      <c r="I6" s="145">
        <f t="shared" ref="I6:I21" si="2">IF(OR(($E6=""),(LEFT($F6,LEN(T_Error))=T_Error)),"",MAX(1,VLOOKUP($AJ6,DBPlayers,6,0)+COUNTIF($Y6:$AD6,T_AG&amp;"+")-IF(ISERROR(FIND(T_AG&amp;"-",$AE6)),0,IF(ISERROR(FIND(T_AG&amp;"-",$AE6,FIND(T_AG&amp;"-",$AE6)+LEN(T_AG)+1)),1,2))))</f>
        <v>1</v>
      </c>
      <c r="J6" s="145">
        <f t="shared" ref="J6:J21" si="3">IF(OR(($E6=""),(LEFT($F6,LEN(T_Error))=T_Error)),"",MAX(1,VLOOKUP($AJ6,DBPlayers,7,0)+COUNTIF($Y6:$AD6,T_AV&amp;"+")-IF(ISERROR(FIND(T_AV&amp;"-",$AE6)),0,IF(ISERROR(FIND(T_AV&amp;"-",$AE6,FIND(T_AV&amp;"-",$AE6)+LEN(T_AV)+1)),1,2))))</f>
        <v>9</v>
      </c>
      <c r="K6" s="146" t="str">
        <f t="shared" ref="K6:K21" ca="1" si="4">IF($E6="","",IF(LEFT($F6,LEN(T_Error))=T_Error,INDIRECT("T_Error"&amp;RIGHT($F6,1)),IF(VLOOKUP($AJ6,DBPlayers,8,0)&lt;&gt;0,IF($L6=T_Journey,T_Loner&amp;", ","")&amp;VLOOKUP($AJ6,DBPlayers,8,0)&amp;IF($W6&gt;0,", ",""),IF($L6=T_Journey,T_Loner,""))&amp;IF($W6&gt;0,IF(Y6&lt;&gt;"",Y6,T_MS),"")&amp;IF($W6&gt;1,", "&amp;IF(Z6&lt;&gt;"",Z6,T_MS),"")&amp;IF($W6&gt;2,", "&amp;IF(AA6&lt;&gt;"",AA6,T_MS),"")&amp;IF($W6&gt;3,", "&amp;IF(AB6&lt;&gt;"",AB6,T_MS),"")&amp;IF($W6&gt;4,", "&amp;IF(AC6&lt;&gt;"",AC6,T_MS),"")&amp;IF($W6&gt;5,", "&amp;IF(AD6&lt;&gt;"",AD6,T_MS),"")&amp;IF(AF6&lt;&gt;"",IF(OR($W6&gt;0,VLOOKUP($AJ6,DBPlayers,8,0)&lt;&gt;0),", ","")&amp;AF6,"")&amp;IF(AE6&lt;&gt;"",IF(OR($W6&gt;0,AF6&lt;&gt;"",VLOOKUP($AJ6,DBPlayers,8,0)&lt;&gt;0),", ","")&amp;AE6,"")))</f>
        <v>Loner, Mighty Blow, Thick Skull, Prehensile Tail, Bonehead</v>
      </c>
      <c r="L6" s="147"/>
      <c r="M6" s="148"/>
      <c r="N6" s="149"/>
      <c r="O6" s="149"/>
      <c r="P6" s="149"/>
      <c r="Q6" s="149">
        <v>1</v>
      </c>
      <c r="R6" s="150">
        <f t="shared" ref="R6:R21" si="5">IF(OR(($E6=""),(LEFT($F6,LEN(T_Error))=T_Error)),"",M6*SPP_CP+N6*SPP_TD+O6*SPP_IN+P6*SPP_CS+Q6*SPP_VP)</f>
        <v>5</v>
      </c>
      <c r="S6" s="151">
        <f>IF(OR($E6="",LEFT($F6,LEN(T_Error))=T_Error),"",IF($L6=T_MNG,0,VLOOKUP($AJ6,DBPlayers,11,0)+SUM($AK6:$AP6)+AG6))</f>
        <v>140000</v>
      </c>
      <c r="T6" s="117"/>
      <c r="U6" s="152" t="str">
        <f t="shared" ref="U6:U21" si="6">IF(OR(($E6=""),(LEFT($F6,LEN(T_Error))=T_Error)),"",VLOOKUP($AJ6,DBPlayers,9,0))</f>
        <v>S</v>
      </c>
      <c r="V6" s="152" t="str">
        <f t="shared" ref="V6:V21" si="7">IF(OR(($E6=""),(LEFT($F6,LEN(T_Error))=T_Error)),"",VLOOKUP($AJ6,DBPlayers,10,0))</f>
        <v>G A P</v>
      </c>
      <c r="W6" s="153">
        <f t="shared" ref="W6:W21" si="8">IF(R6="","",IF($R6&gt;=SPP_6,6,IF($R6&gt;=SPP_5,5,IF($R6&gt;=SPP_4,4,IF($R6&gt;=SPP_3,3,IF($R6&gt;=SPP_2,2,IF($R6&gt;=SPP_1,1,0)))))))</f>
        <v>0</v>
      </c>
      <c r="X6" s="121"/>
      <c r="Y6" s="154"/>
      <c r="Z6" s="154"/>
      <c r="AA6" s="154"/>
      <c r="AB6" s="154"/>
      <c r="AC6" s="154"/>
      <c r="AD6" s="155"/>
      <c r="AE6" s="156"/>
      <c r="AF6" s="157"/>
      <c r="AG6" s="158"/>
      <c r="AH6" s="120"/>
      <c r="AI6" s="123">
        <v>1</v>
      </c>
      <c r="AJ6" s="159" t="str">
        <f t="shared" ref="AJ6:AJ21" si="9">IF(OR(E6="",ISERROR(VLOOKUP(E6,$AJ$58:$AL$67,3,0))),"",VLOOKUP(E6,$AJ$58:$AL$67,3,0))</f>
        <v>Lizardman3</v>
      </c>
      <c r="AK6" s="159">
        <f>IF(Y6="",0,IF(ISERROR(FIND(VLOOKUP(Y6,DBSkills,2,0),$U6)),0,IMP_REGULAR)+IF(ISERROR(FIND(VLOOKUP(Y6,DBSkills,2,0),$V6)),0,IMP_DOUBLE)+IF(Y6=T_ST&amp;"+",IMP_ST,0)+IF(Y6=T_AG&amp;"+",IMP_AG,0)+IF(Y6=T_MA&amp;"+",IMP_MA,0)+IF(Y6=T_AV&amp;"+",IMP_MA,0))</f>
        <v>0</v>
      </c>
      <c r="AL6" s="159">
        <f t="shared" ref="AL6:AL21" si="10">IF(Z6="",0,IF(Z6=T_ST&amp;"+",50000,IF(Z6=T_AG&amp;"+",40000,IF(OR(Z6=T_MA&amp;"+",Z6=T_AV&amp;"+"),30000,IF(ISERROR(FIND(VLOOKUP(Z6,DBSkills,2,0),$V6)),20000,30000)))))</f>
        <v>0</v>
      </c>
      <c r="AM6" s="159">
        <f t="shared" ref="AM6:AM21" si="11">IF(AA6="",0,IF(AA6=T_ST&amp;"+",50000,IF(AA6=T_AG&amp;"+",40000,IF(OR(AA6=T_MA&amp;"+",AA6=T_AV&amp;"+"),30000,IF(ISERROR(FIND(VLOOKUP(AA6,DBSkills,2,0),$V6)),20000,30000)))))</f>
        <v>0</v>
      </c>
      <c r="AN6" s="159">
        <f t="shared" ref="AN6:AN21" si="12">IF(AB6="",0,IF(AB6=T_ST&amp;"+",50000,IF(AB6=T_AG&amp;"+",40000,IF(OR(AB6=T_MA&amp;"+",AB6=T_AV&amp;"+"),30000,IF(ISERROR(FIND(VLOOKUP(AB6,DBSkills,2,0),$V6)),20000,30000)))))</f>
        <v>0</v>
      </c>
      <c r="AO6" s="159">
        <f t="shared" ref="AO6:AO21" si="13">IF(AC6="",0,IF(AC6=T_ST&amp;"+",50000,IF(AC6=T_AG&amp;"+",40000,IF(OR(AC6=T_MA&amp;"+",AC6=T_AV&amp;"+"),30000,IF(ISERROR(FIND(VLOOKUP(AC6,DBSkills,2,0),$V6)),20000,30000)))))</f>
        <v>0</v>
      </c>
      <c r="AP6" s="159">
        <f t="shared" ref="AP6:AP21" si="14">IF(AD6="",0,IF(AD6=T_ST&amp;"+",50000,IF(AD6=T_AG&amp;"+",40000,IF(OR(AD6=T_MA&amp;"+",AD6=T_AV&amp;"+"),30000,IF(ISERROR(FIND(VLOOKUP(AD6,DBSkills,2,0),$V6)),20000,30000)))))</f>
        <v>0</v>
      </c>
      <c r="AQ6" s="159">
        <f t="array" ref="AQ6">IF(ISERROR($AJ6),0,IF($AJ6="","",SUM(IF($AJ6=$AJ$6:$AJ6,IF($L$6:$L6=T_MNG,1,0),0))))</f>
        <v>0</v>
      </c>
      <c r="AR6" s="160">
        <f t="shared" ref="AR6:AR21" si="15">IF(OR($E6="",LEFT($F6,LEN(T_Error))=T_Error),"",MAX(1,VLOOKUP($AJ6,DBPlayers,4,0)))</f>
        <v>6</v>
      </c>
      <c r="AS6" s="160">
        <f t="shared" ref="AS6:AS21" si="16">IF(OR(($E6=""),(LEFT($F6,LEN(T_Error))=T_Error)),"",MAX(1,VLOOKUP($AJ6,DBPlayers,5,0)))</f>
        <v>5</v>
      </c>
      <c r="AT6" s="160">
        <f t="shared" ref="AT6:AT21" si="17">IF(OR(($E6=""),(LEFT($F6,LEN(T_Error))=T_Error)),"",MAX(1,VLOOKUP($AJ6,DBPlayers,6,0)))</f>
        <v>1</v>
      </c>
      <c r="AU6" s="160">
        <f t="shared" ref="AU6:AU21" si="18">IF(OR(($E6=""),(LEFT($F6,LEN(T_Error))=T_Error)),"",MAX(1,VLOOKUP($AJ6,DBPlayers,7,0)))</f>
        <v>9</v>
      </c>
      <c r="AV6" s="102"/>
      <c r="AW6" s="102"/>
      <c r="AX6" s="102"/>
      <c r="AY6" s="102"/>
    </row>
    <row r="7" spans="1:51" ht="13.5" customHeight="1">
      <c r="A7" s="102"/>
      <c r="B7" s="114"/>
      <c r="C7" s="161">
        <v>2</v>
      </c>
      <c r="D7" s="162" t="s">
        <v>304</v>
      </c>
      <c r="E7" s="162" t="s">
        <v>305</v>
      </c>
      <c r="F7" s="163" t="str">
        <f>IF($E7&lt;&gt;"",IF($AJ7&lt;&gt;"",IF(AND($L7=T_Journey,VLOOKUP($AJ7,DBPlayers,2,0)&lt;12),T_Error&amp;"7",IF("Journeymen not available"=0,T_Error&amp;"8",IF(COUNTIF($E$6:$E7,$E7)-$AQ7&gt;VLOOKUP($AJ7,DBPlayers,2,0),T_Error&amp;"2",IF(L7=T_MNG,0,COUNTIF($E$6:$E7,$E7)-$AQ7)&amp;"/"&amp;(VLOOKUP($AJ7,DBPlayers,2,0))))),T_Error&amp;"1"),"")</f>
        <v>1/6</v>
      </c>
      <c r="G7" s="164">
        <f t="shared" si="0"/>
        <v>6</v>
      </c>
      <c r="H7" s="164">
        <f t="shared" si="1"/>
        <v>4</v>
      </c>
      <c r="I7" s="164">
        <f t="shared" si="2"/>
        <v>1</v>
      </c>
      <c r="J7" s="164">
        <f t="shared" si="3"/>
        <v>9</v>
      </c>
      <c r="K7" s="167" t="str">
        <f t="shared" ca="1" si="4"/>
        <v>Block</v>
      </c>
      <c r="L7" s="168"/>
      <c r="M7" s="169"/>
      <c r="N7" s="170"/>
      <c r="O7" s="170"/>
      <c r="P7" s="170">
        <v>1</v>
      </c>
      <c r="Q7" s="170">
        <v>1</v>
      </c>
      <c r="R7" s="171">
        <f t="shared" si="5"/>
        <v>7</v>
      </c>
      <c r="S7" s="172">
        <f t="shared" ref="S7:S21" si="19">IF(OR($E7="",LEFT($F7,LEN(T_Error))=T_Error),"",IF($L7=T_MNG,0,VLOOKUP($AJ7,DBPlayers,11,0)+SUM($AK7:$AP7)))</f>
        <v>100000</v>
      </c>
      <c r="T7" s="117"/>
      <c r="U7" s="152" t="str">
        <f t="shared" si="6"/>
        <v>G S</v>
      </c>
      <c r="V7" s="152" t="str">
        <f t="shared" si="7"/>
        <v>A P</v>
      </c>
      <c r="W7" s="153">
        <f t="shared" si="8"/>
        <v>1</v>
      </c>
      <c r="X7" s="121"/>
      <c r="Y7" s="154" t="s">
        <v>162</v>
      </c>
      <c r="Z7" s="154"/>
      <c r="AA7" s="154"/>
      <c r="AB7" s="154"/>
      <c r="AC7" s="154"/>
      <c r="AD7" s="155"/>
      <c r="AE7" s="156"/>
      <c r="AF7" s="173"/>
      <c r="AG7" s="174"/>
      <c r="AH7" s="120"/>
      <c r="AI7" s="123">
        <v>2</v>
      </c>
      <c r="AJ7" s="159" t="str">
        <f t="shared" si="9"/>
        <v>Lizardman2</v>
      </c>
      <c r="AK7" s="159">
        <f t="shared" ref="AK7:AK21" si="20">IF(Y7="",0,IF(Y7=T_ST&amp;"+",50000,IF(Y7=T_AG&amp;"+",40000,IF(OR(Y7=T_MA&amp;"+",Y7=T_AV&amp;"+"),30000,IF(ISERROR(FIND(VLOOKUP(Y7,DBSkills,2,0),$V7)),20000,30000)))))</f>
        <v>20000</v>
      </c>
      <c r="AL7" s="159">
        <f t="shared" si="10"/>
        <v>0</v>
      </c>
      <c r="AM7" s="159">
        <f t="shared" si="11"/>
        <v>0</v>
      </c>
      <c r="AN7" s="159">
        <f t="shared" si="12"/>
        <v>0</v>
      </c>
      <c r="AO7" s="159">
        <f t="shared" si="13"/>
        <v>0</v>
      </c>
      <c r="AP7" s="159">
        <f t="shared" si="14"/>
        <v>0</v>
      </c>
      <c r="AQ7" s="159">
        <f t="array" ref="AQ7">IF(ISERROR($AJ7),0,IF($AJ7="","",SUM(IF($AJ7=$AJ$6:$AJ7,IF($L$6:$L7=T_MNG,1,0),0))))</f>
        <v>0</v>
      </c>
      <c r="AR7" s="160">
        <f t="shared" si="15"/>
        <v>6</v>
      </c>
      <c r="AS7" s="160">
        <f t="shared" si="16"/>
        <v>4</v>
      </c>
      <c r="AT7" s="160">
        <f t="shared" si="17"/>
        <v>1</v>
      </c>
      <c r="AU7" s="160">
        <f t="shared" si="18"/>
        <v>9</v>
      </c>
      <c r="AV7" s="102"/>
      <c r="AW7" s="123"/>
      <c r="AX7" s="123"/>
      <c r="AY7" s="123"/>
    </row>
    <row r="8" spans="1:51" ht="13.5" customHeight="1">
      <c r="A8" s="102"/>
      <c r="B8" s="114"/>
      <c r="C8" s="161">
        <v>3</v>
      </c>
      <c r="D8" s="162" t="s">
        <v>307</v>
      </c>
      <c r="E8" s="162" t="s">
        <v>305</v>
      </c>
      <c r="F8" s="163" t="str">
        <f>IF($E8&lt;&gt;"",IF($AJ8&lt;&gt;"",IF(AND($L8=T_Journey,VLOOKUP($AJ8,DBPlayers,2,0)&lt;12),T_Error&amp;"7",IF("Journeymen not available"=0,T_Error&amp;"8",IF(COUNTIF($E$6:$E8,$E8)-$AQ8&gt;VLOOKUP($AJ8,DBPlayers,2,0),T_Error&amp;"2",IF(L8=T_MNG,0,COUNTIF($E$6:$E8,$E8)-$AQ8)&amp;"/"&amp;(VLOOKUP($AJ8,DBPlayers,2,0))))),T_Error&amp;"1"),"")</f>
        <v>2/6</v>
      </c>
      <c r="G8" s="164">
        <f t="shared" si="0"/>
        <v>6</v>
      </c>
      <c r="H8" s="164">
        <f t="shared" si="1"/>
        <v>4</v>
      </c>
      <c r="I8" s="164">
        <f t="shared" si="2"/>
        <v>1</v>
      </c>
      <c r="J8" s="164">
        <f t="shared" si="3"/>
        <v>9</v>
      </c>
      <c r="K8" s="167" t="str">
        <f t="shared" ca="1" si="4"/>
        <v>Block</v>
      </c>
      <c r="L8" s="168"/>
      <c r="M8" s="169"/>
      <c r="N8" s="170"/>
      <c r="O8" s="170"/>
      <c r="P8" s="170">
        <v>1</v>
      </c>
      <c r="Q8" s="170">
        <v>1</v>
      </c>
      <c r="R8" s="171">
        <f t="shared" si="5"/>
        <v>7</v>
      </c>
      <c r="S8" s="172">
        <f t="shared" si="19"/>
        <v>100000</v>
      </c>
      <c r="T8" s="117"/>
      <c r="U8" s="152" t="str">
        <f t="shared" si="6"/>
        <v>G S</v>
      </c>
      <c r="V8" s="152" t="str">
        <f t="shared" si="7"/>
        <v>A P</v>
      </c>
      <c r="W8" s="153">
        <f t="shared" si="8"/>
        <v>1</v>
      </c>
      <c r="X8" s="121"/>
      <c r="Y8" s="154" t="s">
        <v>162</v>
      </c>
      <c r="Z8" s="154"/>
      <c r="AA8" s="154"/>
      <c r="AB8" s="154"/>
      <c r="AC8" s="154"/>
      <c r="AD8" s="155"/>
      <c r="AE8" s="156"/>
      <c r="AF8" s="154"/>
      <c r="AG8" s="155"/>
      <c r="AH8" s="120"/>
      <c r="AI8" s="123">
        <v>3</v>
      </c>
      <c r="AJ8" s="159" t="str">
        <f t="shared" si="9"/>
        <v>Lizardman2</v>
      </c>
      <c r="AK8" s="159">
        <f t="shared" si="20"/>
        <v>20000</v>
      </c>
      <c r="AL8" s="159">
        <f t="shared" si="10"/>
        <v>0</v>
      </c>
      <c r="AM8" s="159">
        <f t="shared" si="11"/>
        <v>0</v>
      </c>
      <c r="AN8" s="159">
        <f t="shared" si="12"/>
        <v>0</v>
      </c>
      <c r="AO8" s="159">
        <f t="shared" si="13"/>
        <v>0</v>
      </c>
      <c r="AP8" s="159">
        <f t="shared" si="14"/>
        <v>0</v>
      </c>
      <c r="AQ8" s="159">
        <f t="array" ref="AQ8">IF(ISERROR($AJ8),0,IF($AJ8="","",SUM(IF($AJ8=$AJ$6:$AJ8,IF($L$6:$L8=T_MNG,1,0),0))))</f>
        <v>0</v>
      </c>
      <c r="AR8" s="160">
        <f t="shared" si="15"/>
        <v>6</v>
      </c>
      <c r="AS8" s="160">
        <f t="shared" si="16"/>
        <v>4</v>
      </c>
      <c r="AT8" s="160">
        <f t="shared" si="17"/>
        <v>1</v>
      </c>
      <c r="AU8" s="160">
        <f t="shared" si="18"/>
        <v>9</v>
      </c>
      <c r="AV8" s="102"/>
      <c r="AW8" s="102"/>
      <c r="AX8" s="102"/>
      <c r="AY8" s="102"/>
    </row>
    <row r="9" spans="1:51" ht="13.5" customHeight="1">
      <c r="A9" s="102"/>
      <c r="B9" s="114"/>
      <c r="C9" s="161">
        <v>4</v>
      </c>
      <c r="D9" s="162" t="s">
        <v>309</v>
      </c>
      <c r="E9" s="162" t="s">
        <v>305</v>
      </c>
      <c r="F9" s="163" t="str">
        <f>IF($E9&lt;&gt;"",IF($AJ9&lt;&gt;"",IF(AND($L9=T_Journey,VLOOKUP($AJ9,DBPlayers,2,0)&lt;12),T_Error&amp;"7",IF("Journeymen not available"=0,T_Error&amp;"8",IF(COUNTIF($E$6:$E9,$E9)-$AQ9&gt;VLOOKUP($AJ9,DBPlayers,2,0),T_Error&amp;"2",IF(L9=T_MNG,0,COUNTIF($E$6:$E9,$E9)-$AQ9)&amp;"/"&amp;(VLOOKUP($AJ9,DBPlayers,2,0))))),T_Error&amp;"1"),"")</f>
        <v>3/6</v>
      </c>
      <c r="G9" s="164">
        <f t="shared" si="0"/>
        <v>6</v>
      </c>
      <c r="H9" s="164">
        <f t="shared" si="1"/>
        <v>4</v>
      </c>
      <c r="I9" s="164">
        <f t="shared" si="2"/>
        <v>1</v>
      </c>
      <c r="J9" s="164">
        <f t="shared" si="3"/>
        <v>9</v>
      </c>
      <c r="K9" s="167" t="str">
        <f t="shared" ca="1" si="4"/>
        <v>Block</v>
      </c>
      <c r="L9" s="168"/>
      <c r="M9" s="169"/>
      <c r="N9" s="170"/>
      <c r="O9" s="170"/>
      <c r="P9" s="170">
        <v>1</v>
      </c>
      <c r="Q9" s="170">
        <v>1</v>
      </c>
      <c r="R9" s="171">
        <f t="shared" si="5"/>
        <v>7</v>
      </c>
      <c r="S9" s="172">
        <f t="shared" si="19"/>
        <v>100000</v>
      </c>
      <c r="T9" s="117"/>
      <c r="U9" s="152" t="str">
        <f t="shared" si="6"/>
        <v>G S</v>
      </c>
      <c r="V9" s="152" t="str">
        <f t="shared" si="7"/>
        <v>A P</v>
      </c>
      <c r="W9" s="153">
        <f t="shared" si="8"/>
        <v>1</v>
      </c>
      <c r="X9" s="121"/>
      <c r="Y9" s="154" t="s">
        <v>162</v>
      </c>
      <c r="Z9" s="154"/>
      <c r="AA9" s="154"/>
      <c r="AB9" s="154"/>
      <c r="AC9" s="154"/>
      <c r="AD9" s="155"/>
      <c r="AE9" s="156"/>
      <c r="AF9" s="154"/>
      <c r="AG9" s="155"/>
      <c r="AH9" s="120"/>
      <c r="AI9" s="123">
        <v>4</v>
      </c>
      <c r="AJ9" s="159" t="str">
        <f t="shared" si="9"/>
        <v>Lizardman2</v>
      </c>
      <c r="AK9" s="159">
        <f t="shared" si="20"/>
        <v>20000</v>
      </c>
      <c r="AL9" s="159">
        <f t="shared" si="10"/>
        <v>0</v>
      </c>
      <c r="AM9" s="159">
        <f t="shared" si="11"/>
        <v>0</v>
      </c>
      <c r="AN9" s="159">
        <f t="shared" si="12"/>
        <v>0</v>
      </c>
      <c r="AO9" s="159">
        <f t="shared" si="13"/>
        <v>0</v>
      </c>
      <c r="AP9" s="159">
        <f t="shared" si="14"/>
        <v>0</v>
      </c>
      <c r="AQ9" s="159">
        <f t="array" ref="AQ9">IF(ISERROR($AJ9),0,IF($AJ9="","",SUM(IF($AJ9=$AJ$6:$AJ9,IF($L$6:$L9=T_MNG,1,0),0))))</f>
        <v>0</v>
      </c>
      <c r="AR9" s="160">
        <f t="shared" si="15"/>
        <v>6</v>
      </c>
      <c r="AS9" s="160">
        <f t="shared" si="16"/>
        <v>4</v>
      </c>
      <c r="AT9" s="160">
        <f t="shared" si="17"/>
        <v>1</v>
      </c>
      <c r="AU9" s="160">
        <f t="shared" si="18"/>
        <v>9</v>
      </c>
      <c r="AV9" s="102"/>
      <c r="AW9" s="102"/>
      <c r="AX9" s="102"/>
      <c r="AY9" s="102"/>
    </row>
    <row r="10" spans="1:51" ht="13.5" customHeight="1">
      <c r="A10" s="102"/>
      <c r="B10" s="114"/>
      <c r="C10" s="161">
        <v>5</v>
      </c>
      <c r="D10" s="162" t="s">
        <v>312</v>
      </c>
      <c r="E10" s="162" t="s">
        <v>305</v>
      </c>
      <c r="F10" s="163" t="str">
        <f>IF($E10&lt;&gt;"",IF($AJ10&lt;&gt;"",IF(AND($L10=T_Journey,VLOOKUP($AJ10,DBPlayers,2,0)&lt;12),T_Error&amp;"7",IF("Journeymen not available"=0,T_Error&amp;"8",IF(COUNTIF($E$6:$E10,$E10)-$AQ10&gt;VLOOKUP($AJ10,DBPlayers,2,0),T_Error&amp;"2",IF(L10=T_MNG,0,COUNTIF($E$6:$E10,$E10)-$AQ10)&amp;"/"&amp;(VLOOKUP($AJ10,DBPlayers,2,0))))),T_Error&amp;"1"),"")</f>
        <v>4/6</v>
      </c>
      <c r="G10" s="164">
        <f t="shared" si="0"/>
        <v>6</v>
      </c>
      <c r="H10" s="164">
        <f t="shared" si="1"/>
        <v>4</v>
      </c>
      <c r="I10" s="164">
        <f t="shared" si="2"/>
        <v>1</v>
      </c>
      <c r="J10" s="164">
        <f t="shared" si="3"/>
        <v>9</v>
      </c>
      <c r="K10" s="167" t="str">
        <f t="shared" ca="1" si="4"/>
        <v>Block</v>
      </c>
      <c r="L10" s="168"/>
      <c r="M10" s="169"/>
      <c r="N10" s="170"/>
      <c r="O10" s="170"/>
      <c r="P10" s="170">
        <v>2</v>
      </c>
      <c r="Q10" s="170">
        <v>1</v>
      </c>
      <c r="R10" s="171">
        <f t="shared" si="5"/>
        <v>9</v>
      </c>
      <c r="S10" s="172">
        <f t="shared" si="19"/>
        <v>100000</v>
      </c>
      <c r="T10" s="117"/>
      <c r="U10" s="152" t="str">
        <f t="shared" si="6"/>
        <v>G S</v>
      </c>
      <c r="V10" s="152" t="str">
        <f t="shared" si="7"/>
        <v>A P</v>
      </c>
      <c r="W10" s="153">
        <f t="shared" si="8"/>
        <v>1</v>
      </c>
      <c r="X10" s="121"/>
      <c r="Y10" s="154" t="s">
        <v>162</v>
      </c>
      <c r="Z10" s="154"/>
      <c r="AA10" s="154"/>
      <c r="AB10" s="154"/>
      <c r="AC10" s="154"/>
      <c r="AD10" s="155"/>
      <c r="AE10" s="156"/>
      <c r="AF10" s="154"/>
      <c r="AG10" s="155"/>
      <c r="AH10" s="120"/>
      <c r="AI10" s="123">
        <v>5</v>
      </c>
      <c r="AJ10" s="159" t="str">
        <f t="shared" si="9"/>
        <v>Lizardman2</v>
      </c>
      <c r="AK10" s="159">
        <f t="shared" si="20"/>
        <v>20000</v>
      </c>
      <c r="AL10" s="159">
        <f t="shared" si="10"/>
        <v>0</v>
      </c>
      <c r="AM10" s="159">
        <f t="shared" si="11"/>
        <v>0</v>
      </c>
      <c r="AN10" s="159">
        <f t="shared" si="12"/>
        <v>0</v>
      </c>
      <c r="AO10" s="159">
        <f t="shared" si="13"/>
        <v>0</v>
      </c>
      <c r="AP10" s="159">
        <f t="shared" si="14"/>
        <v>0</v>
      </c>
      <c r="AQ10" s="159">
        <f t="array" ref="AQ10">IF(ISERROR($AJ10),0,IF($AJ10="","",SUM(IF($AJ10=$AJ$6:$AJ10,IF($L$6:$L10=T_MNG,1,0),0))))</f>
        <v>0</v>
      </c>
      <c r="AR10" s="160">
        <f t="shared" si="15"/>
        <v>6</v>
      </c>
      <c r="AS10" s="160">
        <f t="shared" si="16"/>
        <v>4</v>
      </c>
      <c r="AT10" s="160">
        <f t="shared" si="17"/>
        <v>1</v>
      </c>
      <c r="AU10" s="160">
        <f t="shared" si="18"/>
        <v>9</v>
      </c>
      <c r="AV10" s="102"/>
      <c r="AW10" s="102"/>
      <c r="AX10" s="102"/>
      <c r="AY10" s="102"/>
    </row>
    <row r="11" spans="1:51" ht="13.5" customHeight="1">
      <c r="A11" s="102"/>
      <c r="B11" s="114"/>
      <c r="C11" s="161">
        <v>6</v>
      </c>
      <c r="D11" s="162" t="s">
        <v>314</v>
      </c>
      <c r="E11" s="162" t="s">
        <v>305</v>
      </c>
      <c r="F11" s="163" t="str">
        <f>IF($E11&lt;&gt;"",IF($AJ11&lt;&gt;"",IF(AND($L11=T_Journey,VLOOKUP($AJ11,DBPlayers,2,0)&lt;12),T_Error&amp;"7",IF("Journeymen not available"=0,T_Error&amp;"8",IF(COUNTIF($E$6:$E11,$E11)-$AQ11&gt;VLOOKUP($AJ11,DBPlayers,2,0),T_Error&amp;"2",IF(L11=T_MNG,0,COUNTIF($E$6:$E11,$E11)-$AQ11)&amp;"/"&amp;(VLOOKUP($AJ11,DBPlayers,2,0))))),T_Error&amp;"1"),"")</f>
        <v>5/6</v>
      </c>
      <c r="G11" s="164">
        <f t="shared" si="0"/>
        <v>6</v>
      </c>
      <c r="H11" s="164">
        <f t="shared" si="1"/>
        <v>4</v>
      </c>
      <c r="I11" s="164">
        <f t="shared" si="2"/>
        <v>1</v>
      </c>
      <c r="J11" s="164">
        <f t="shared" si="3"/>
        <v>9</v>
      </c>
      <c r="K11" s="167" t="str">
        <f t="shared" ca="1" si="4"/>
        <v/>
      </c>
      <c r="L11" s="168"/>
      <c r="M11" s="169"/>
      <c r="N11" s="170"/>
      <c r="O11" s="170"/>
      <c r="P11" s="170"/>
      <c r="Q11" s="170"/>
      <c r="R11" s="171">
        <f t="shared" si="5"/>
        <v>0</v>
      </c>
      <c r="S11" s="172">
        <f t="shared" si="19"/>
        <v>80000</v>
      </c>
      <c r="T11" s="117"/>
      <c r="U11" s="152" t="str">
        <f t="shared" si="6"/>
        <v>G S</v>
      </c>
      <c r="V11" s="152" t="str">
        <f t="shared" si="7"/>
        <v>A P</v>
      </c>
      <c r="W11" s="153">
        <f t="shared" si="8"/>
        <v>0</v>
      </c>
      <c r="X11" s="121"/>
      <c r="Y11" s="154"/>
      <c r="Z11" s="154"/>
      <c r="AA11" s="154"/>
      <c r="AB11" s="154"/>
      <c r="AC11" s="154"/>
      <c r="AD11" s="155"/>
      <c r="AE11" s="156"/>
      <c r="AF11" s="154"/>
      <c r="AG11" s="155"/>
      <c r="AH11" s="120"/>
      <c r="AI11" s="123">
        <v>6</v>
      </c>
      <c r="AJ11" s="159" t="str">
        <f t="shared" si="9"/>
        <v>Lizardman2</v>
      </c>
      <c r="AK11" s="159">
        <f t="shared" si="20"/>
        <v>0</v>
      </c>
      <c r="AL11" s="159">
        <f t="shared" si="10"/>
        <v>0</v>
      </c>
      <c r="AM11" s="159">
        <f t="shared" si="11"/>
        <v>0</v>
      </c>
      <c r="AN11" s="159">
        <f t="shared" si="12"/>
        <v>0</v>
      </c>
      <c r="AO11" s="159">
        <f t="shared" si="13"/>
        <v>0</v>
      </c>
      <c r="AP11" s="159">
        <f t="shared" si="14"/>
        <v>0</v>
      </c>
      <c r="AQ11" s="159">
        <f t="array" ref="AQ11">IF(ISERROR($AJ11),0,IF($AJ11="","",SUM(IF($AJ11=$AJ$6:$AJ11,IF($L$6:$L11=T_MNG,1,0),0))))</f>
        <v>0</v>
      </c>
      <c r="AR11" s="160">
        <f t="shared" si="15"/>
        <v>6</v>
      </c>
      <c r="AS11" s="160">
        <f t="shared" si="16"/>
        <v>4</v>
      </c>
      <c r="AT11" s="160">
        <f t="shared" si="17"/>
        <v>1</v>
      </c>
      <c r="AU11" s="160">
        <f t="shared" si="18"/>
        <v>9</v>
      </c>
      <c r="AV11" s="102"/>
      <c r="AW11" s="102"/>
      <c r="AX11" s="102"/>
      <c r="AY11" s="102"/>
    </row>
    <row r="12" spans="1:51" ht="13.5" customHeight="1">
      <c r="A12" s="102"/>
      <c r="B12" s="114"/>
      <c r="C12" s="161">
        <v>7</v>
      </c>
      <c r="D12" s="162" t="s">
        <v>315</v>
      </c>
      <c r="E12" s="162" t="s">
        <v>305</v>
      </c>
      <c r="F12" s="163" t="str">
        <f>IF($E12&lt;&gt;"",IF($AJ12&lt;&gt;"",IF(AND($L12=T_Journey,VLOOKUP($AJ12,DBPlayers,2,0)&lt;12),T_Error&amp;"7",IF("Journeymen not available"=0,T_Error&amp;"8",IF(COUNTIF($E$6:$E12,$E12)-$AQ12&gt;VLOOKUP($AJ12,DBPlayers,2,0),T_Error&amp;"2",IF(L12=T_MNG,0,COUNTIF($E$6:$E12,$E12)-$AQ12)&amp;"/"&amp;(VLOOKUP($AJ12,DBPlayers,2,0))))),T_Error&amp;"1"),"")</f>
        <v>6/6</v>
      </c>
      <c r="G12" s="164">
        <f t="shared" si="0"/>
        <v>6</v>
      </c>
      <c r="H12" s="164">
        <f t="shared" si="1"/>
        <v>4</v>
      </c>
      <c r="I12" s="164">
        <f t="shared" si="2"/>
        <v>1</v>
      </c>
      <c r="J12" s="164">
        <f t="shared" si="3"/>
        <v>9</v>
      </c>
      <c r="K12" s="167" t="str">
        <f t="shared" ca="1" si="4"/>
        <v>Block</v>
      </c>
      <c r="L12" s="168"/>
      <c r="M12" s="169"/>
      <c r="N12" s="170"/>
      <c r="O12" s="170"/>
      <c r="P12" s="170"/>
      <c r="Q12" s="170">
        <v>2</v>
      </c>
      <c r="R12" s="171">
        <f t="shared" si="5"/>
        <v>10</v>
      </c>
      <c r="S12" s="172">
        <f t="shared" si="19"/>
        <v>100000</v>
      </c>
      <c r="T12" s="117"/>
      <c r="U12" s="152" t="str">
        <f t="shared" si="6"/>
        <v>G S</v>
      </c>
      <c r="V12" s="152" t="str">
        <f t="shared" si="7"/>
        <v>A P</v>
      </c>
      <c r="W12" s="153">
        <f t="shared" si="8"/>
        <v>1</v>
      </c>
      <c r="X12" s="121"/>
      <c r="Y12" s="154" t="s">
        <v>162</v>
      </c>
      <c r="Z12" s="154"/>
      <c r="AA12" s="154"/>
      <c r="AB12" s="154"/>
      <c r="AC12" s="154"/>
      <c r="AD12" s="155"/>
      <c r="AE12" s="156"/>
      <c r="AF12" s="154"/>
      <c r="AG12" s="155"/>
      <c r="AH12" s="120"/>
      <c r="AI12" s="123">
        <v>7</v>
      </c>
      <c r="AJ12" s="159" t="str">
        <f t="shared" si="9"/>
        <v>Lizardman2</v>
      </c>
      <c r="AK12" s="159">
        <f t="shared" si="20"/>
        <v>20000</v>
      </c>
      <c r="AL12" s="159">
        <f t="shared" si="10"/>
        <v>0</v>
      </c>
      <c r="AM12" s="159">
        <f t="shared" si="11"/>
        <v>0</v>
      </c>
      <c r="AN12" s="159">
        <f t="shared" si="12"/>
        <v>0</v>
      </c>
      <c r="AO12" s="159">
        <f t="shared" si="13"/>
        <v>0</v>
      </c>
      <c r="AP12" s="159">
        <f t="shared" si="14"/>
        <v>0</v>
      </c>
      <c r="AQ12" s="159">
        <f t="array" ref="AQ12">IF(ISERROR($AJ12),0,IF($AJ12="","",SUM(IF($AJ12=$AJ$6:$AJ12,IF($L$6:$L12=T_MNG,1,0),0))))</f>
        <v>0</v>
      </c>
      <c r="AR12" s="160">
        <f t="shared" si="15"/>
        <v>6</v>
      </c>
      <c r="AS12" s="160">
        <f t="shared" si="16"/>
        <v>4</v>
      </c>
      <c r="AT12" s="160">
        <f t="shared" si="17"/>
        <v>1</v>
      </c>
      <c r="AU12" s="160">
        <f t="shared" si="18"/>
        <v>9</v>
      </c>
      <c r="AV12" s="102"/>
      <c r="AW12" s="102"/>
      <c r="AX12" s="102"/>
      <c r="AY12" s="102"/>
    </row>
    <row r="13" spans="1:51" ht="13.5" customHeight="1">
      <c r="A13" s="102"/>
      <c r="B13" s="114"/>
      <c r="C13" s="161">
        <v>8</v>
      </c>
      <c r="D13" s="162" t="s">
        <v>316</v>
      </c>
      <c r="E13" s="162" t="s">
        <v>317</v>
      </c>
      <c r="F13" s="163" t="str">
        <f>IF($E13&lt;&gt;"",IF($AJ13&lt;&gt;"",IF(AND($L13=T_Journey,VLOOKUP($AJ13,DBPlayers,2,0)&lt;12),T_Error&amp;"7",IF("Journeymen not available"=0,T_Error&amp;"8",IF(COUNTIF($E$6:$E13,$E13)-$AQ13&gt;VLOOKUP($AJ13,DBPlayers,2,0),T_Error&amp;"2",IF(L13=T_MNG,0,COUNTIF($E$6:$E13,$E13)-$AQ13)&amp;"/"&amp;(VLOOKUP($AJ13,DBPlayers,2,0))))),T_Error&amp;"1"),"")</f>
        <v>1/16</v>
      </c>
      <c r="G13" s="164">
        <f t="shared" si="0"/>
        <v>8</v>
      </c>
      <c r="H13" s="164">
        <f t="shared" si="1"/>
        <v>2</v>
      </c>
      <c r="I13" s="164">
        <f t="shared" si="2"/>
        <v>3</v>
      </c>
      <c r="J13" s="164">
        <f t="shared" si="3"/>
        <v>7</v>
      </c>
      <c r="K13" s="167" t="str">
        <f t="shared" ca="1" si="4"/>
        <v>Dodge, Stunty</v>
      </c>
      <c r="L13" s="168"/>
      <c r="M13" s="169"/>
      <c r="N13" s="170"/>
      <c r="O13" s="170"/>
      <c r="P13" s="170">
        <v>1</v>
      </c>
      <c r="Q13" s="170"/>
      <c r="R13" s="171">
        <f t="shared" si="5"/>
        <v>2</v>
      </c>
      <c r="S13" s="172">
        <f t="shared" si="19"/>
        <v>60000</v>
      </c>
      <c r="T13" s="117"/>
      <c r="U13" s="152" t="str">
        <f t="shared" si="6"/>
        <v>A</v>
      </c>
      <c r="V13" s="152" t="str">
        <f t="shared" si="7"/>
        <v>G S P</v>
      </c>
      <c r="W13" s="153">
        <f t="shared" si="8"/>
        <v>0</v>
      </c>
      <c r="X13" s="121"/>
      <c r="Y13" s="154"/>
      <c r="Z13" s="154"/>
      <c r="AA13" s="154"/>
      <c r="AB13" s="154"/>
      <c r="AC13" s="154"/>
      <c r="AD13" s="155"/>
      <c r="AE13" s="156"/>
      <c r="AF13" s="154"/>
      <c r="AG13" s="155"/>
      <c r="AH13" s="120"/>
      <c r="AI13" s="123">
        <v>8</v>
      </c>
      <c r="AJ13" s="159" t="str">
        <f t="shared" si="9"/>
        <v>Lizardman1</v>
      </c>
      <c r="AK13" s="159">
        <f t="shared" si="20"/>
        <v>0</v>
      </c>
      <c r="AL13" s="159">
        <f t="shared" si="10"/>
        <v>0</v>
      </c>
      <c r="AM13" s="159">
        <f t="shared" si="11"/>
        <v>0</v>
      </c>
      <c r="AN13" s="159">
        <f t="shared" si="12"/>
        <v>0</v>
      </c>
      <c r="AO13" s="159">
        <f t="shared" si="13"/>
        <v>0</v>
      </c>
      <c r="AP13" s="159">
        <f t="shared" si="14"/>
        <v>0</v>
      </c>
      <c r="AQ13" s="159">
        <f t="array" ref="AQ13">IF(ISERROR($AJ13),0,IF($AJ13="","",SUM(IF($AJ13=$AJ$6:$AJ13,IF($L$6:$L13=T_MNG,1,0),0))))</f>
        <v>0</v>
      </c>
      <c r="AR13" s="160">
        <f t="shared" si="15"/>
        <v>8</v>
      </c>
      <c r="AS13" s="160">
        <f t="shared" si="16"/>
        <v>2</v>
      </c>
      <c r="AT13" s="160">
        <f t="shared" si="17"/>
        <v>3</v>
      </c>
      <c r="AU13" s="160">
        <f t="shared" si="18"/>
        <v>7</v>
      </c>
      <c r="AV13" s="102"/>
      <c r="AW13" s="102"/>
      <c r="AX13" s="102"/>
      <c r="AY13" s="102"/>
    </row>
    <row r="14" spans="1:51" ht="13.5" customHeight="1">
      <c r="A14" s="102"/>
      <c r="B14" s="114"/>
      <c r="C14" s="161">
        <v>9</v>
      </c>
      <c r="D14" s="162" t="s">
        <v>318</v>
      </c>
      <c r="E14" s="162" t="s">
        <v>317</v>
      </c>
      <c r="F14" s="163" t="str">
        <f>IF($E14&lt;&gt;"",IF($AJ14&lt;&gt;"",IF(AND($L14=T_Journey,VLOOKUP($AJ14,DBPlayers,2,0)&lt;12),T_Error&amp;"7",IF("Journeymen not available"=0,T_Error&amp;"8",IF(COUNTIF($E$6:$E14,$E14)-$AQ14&gt;VLOOKUP($AJ14,DBPlayers,2,0),T_Error&amp;"2",IF(L14=T_MNG,0,COUNTIF($E$6:$E14,$E14)-$AQ14)&amp;"/"&amp;(VLOOKUP($AJ14,DBPlayers,2,0))))),T_Error&amp;"1"),"")</f>
        <v>2/16</v>
      </c>
      <c r="G14" s="164">
        <f t="shared" si="0"/>
        <v>8</v>
      </c>
      <c r="H14" s="164">
        <f t="shared" si="1"/>
        <v>2</v>
      </c>
      <c r="I14" s="164">
        <f t="shared" si="2"/>
        <v>3</v>
      </c>
      <c r="J14" s="164">
        <f t="shared" si="3"/>
        <v>7</v>
      </c>
      <c r="K14" s="167" t="str">
        <f t="shared" ca="1" si="4"/>
        <v>Dodge, Stunty, Side Step</v>
      </c>
      <c r="L14" s="168"/>
      <c r="M14" s="169"/>
      <c r="N14" s="170">
        <v>2</v>
      </c>
      <c r="O14" s="170"/>
      <c r="P14" s="170"/>
      <c r="Q14" s="170"/>
      <c r="R14" s="171">
        <f t="shared" si="5"/>
        <v>6</v>
      </c>
      <c r="S14" s="172">
        <f t="shared" si="19"/>
        <v>80000</v>
      </c>
      <c r="T14" s="117"/>
      <c r="U14" s="152" t="str">
        <f t="shared" si="6"/>
        <v>A</v>
      </c>
      <c r="V14" s="152" t="str">
        <f t="shared" si="7"/>
        <v>G S P</v>
      </c>
      <c r="W14" s="153">
        <f t="shared" si="8"/>
        <v>1</v>
      </c>
      <c r="X14" s="121"/>
      <c r="Y14" s="154" t="s">
        <v>319</v>
      </c>
      <c r="Z14" s="154"/>
      <c r="AA14" s="154"/>
      <c r="AB14" s="154"/>
      <c r="AC14" s="154"/>
      <c r="AD14" s="155"/>
      <c r="AE14" s="156"/>
      <c r="AF14" s="154"/>
      <c r="AG14" s="155"/>
      <c r="AH14" s="120"/>
      <c r="AI14" s="123">
        <v>9</v>
      </c>
      <c r="AJ14" s="159" t="str">
        <f t="shared" si="9"/>
        <v>Lizardman1</v>
      </c>
      <c r="AK14" s="159">
        <f t="shared" si="20"/>
        <v>20000</v>
      </c>
      <c r="AL14" s="159">
        <f t="shared" si="10"/>
        <v>0</v>
      </c>
      <c r="AM14" s="159">
        <f t="shared" si="11"/>
        <v>0</v>
      </c>
      <c r="AN14" s="159">
        <f t="shared" si="12"/>
        <v>0</v>
      </c>
      <c r="AO14" s="159">
        <f t="shared" si="13"/>
        <v>0</v>
      </c>
      <c r="AP14" s="159">
        <f t="shared" si="14"/>
        <v>0</v>
      </c>
      <c r="AQ14" s="159">
        <f t="array" ref="AQ14">IF(ISERROR($AJ14),0,IF($AJ14="","",SUM(IF($AJ14=$AJ$6:$AJ14,IF($L$6:$L14=T_MNG,1,0),0))))</f>
        <v>0</v>
      </c>
      <c r="AR14" s="160">
        <f t="shared" si="15"/>
        <v>8</v>
      </c>
      <c r="AS14" s="160">
        <f t="shared" si="16"/>
        <v>2</v>
      </c>
      <c r="AT14" s="160">
        <f t="shared" si="17"/>
        <v>3</v>
      </c>
      <c r="AU14" s="160">
        <f t="shared" si="18"/>
        <v>7</v>
      </c>
      <c r="AV14" s="102"/>
      <c r="AW14" s="102"/>
      <c r="AX14" s="102"/>
      <c r="AY14" s="102"/>
    </row>
    <row r="15" spans="1:51" ht="13.5" customHeight="1">
      <c r="A15" s="102"/>
      <c r="B15" s="114"/>
      <c r="C15" s="161">
        <v>10</v>
      </c>
      <c r="D15" s="162" t="s">
        <v>320</v>
      </c>
      <c r="E15" s="162" t="s">
        <v>317</v>
      </c>
      <c r="F15" s="163" t="str">
        <f>IF($E15&lt;&gt;"",IF($AJ15&lt;&gt;"",IF(AND($L15=T_Journey,VLOOKUP($AJ15,DBPlayers,2,0)&lt;12),T_Error&amp;"7",IF("Journeymen not available"=0,T_Error&amp;"8",IF(COUNTIF($E$6:$E15,$E15)-$AQ15&gt;VLOOKUP($AJ15,DBPlayers,2,0),T_Error&amp;"2",IF(L15=T_MNG,0,COUNTIF($E$6:$E15,$E15)-$AQ15)&amp;"/"&amp;(VLOOKUP($AJ15,DBPlayers,2,0))))),T_Error&amp;"1"),"")</f>
        <v>3/16</v>
      </c>
      <c r="G15" s="164">
        <f t="shared" si="0"/>
        <v>8</v>
      </c>
      <c r="H15" s="164">
        <f t="shared" si="1"/>
        <v>2</v>
      </c>
      <c r="I15" s="164">
        <f t="shared" si="2"/>
        <v>3</v>
      </c>
      <c r="J15" s="164">
        <f t="shared" si="3"/>
        <v>7</v>
      </c>
      <c r="K15" s="167" t="str">
        <f t="shared" ca="1" si="4"/>
        <v>Dodge, Stunty</v>
      </c>
      <c r="L15" s="168"/>
      <c r="M15" s="169"/>
      <c r="N15" s="170">
        <v>1</v>
      </c>
      <c r="O15" s="170"/>
      <c r="P15" s="170">
        <v>1</v>
      </c>
      <c r="Q15" s="170"/>
      <c r="R15" s="171">
        <f t="shared" si="5"/>
        <v>5</v>
      </c>
      <c r="S15" s="172">
        <f t="shared" si="19"/>
        <v>60000</v>
      </c>
      <c r="T15" s="117"/>
      <c r="U15" s="152" t="str">
        <f t="shared" si="6"/>
        <v>A</v>
      </c>
      <c r="V15" s="152" t="str">
        <f t="shared" si="7"/>
        <v>G S P</v>
      </c>
      <c r="W15" s="153">
        <f t="shared" si="8"/>
        <v>0</v>
      </c>
      <c r="X15" s="121"/>
      <c r="Y15" s="154"/>
      <c r="Z15" s="154"/>
      <c r="AA15" s="154"/>
      <c r="AB15" s="154"/>
      <c r="AC15" s="154"/>
      <c r="AD15" s="155"/>
      <c r="AE15" s="156"/>
      <c r="AF15" s="154"/>
      <c r="AG15" s="155"/>
      <c r="AH15" s="120"/>
      <c r="AI15" s="123">
        <v>10</v>
      </c>
      <c r="AJ15" s="159" t="str">
        <f t="shared" si="9"/>
        <v>Lizardman1</v>
      </c>
      <c r="AK15" s="159">
        <f t="shared" si="20"/>
        <v>0</v>
      </c>
      <c r="AL15" s="159">
        <f t="shared" si="10"/>
        <v>0</v>
      </c>
      <c r="AM15" s="159">
        <f t="shared" si="11"/>
        <v>0</v>
      </c>
      <c r="AN15" s="159">
        <f t="shared" si="12"/>
        <v>0</v>
      </c>
      <c r="AO15" s="159">
        <f t="shared" si="13"/>
        <v>0</v>
      </c>
      <c r="AP15" s="159">
        <f t="shared" si="14"/>
        <v>0</v>
      </c>
      <c r="AQ15" s="159">
        <f t="array" ref="AQ15">IF(ISERROR($AJ15),0,IF($AJ15="","",SUM(IF($AJ15=$AJ$6:$AJ15,IF($L$6:$L15=T_MNG,1,0),0))))</f>
        <v>0</v>
      </c>
      <c r="AR15" s="160">
        <f t="shared" si="15"/>
        <v>8</v>
      </c>
      <c r="AS15" s="160">
        <f t="shared" si="16"/>
        <v>2</v>
      </c>
      <c r="AT15" s="160">
        <f t="shared" si="17"/>
        <v>3</v>
      </c>
      <c r="AU15" s="160">
        <f t="shared" si="18"/>
        <v>7</v>
      </c>
      <c r="AV15" s="102"/>
      <c r="AW15" s="102"/>
      <c r="AX15" s="102"/>
      <c r="AY15" s="102"/>
    </row>
    <row r="16" spans="1:51" ht="13.5" customHeight="1">
      <c r="A16" s="102"/>
      <c r="B16" s="114"/>
      <c r="C16" s="161">
        <v>11</v>
      </c>
      <c r="D16" s="162" t="s">
        <v>323</v>
      </c>
      <c r="E16" s="162" t="s">
        <v>317</v>
      </c>
      <c r="F16" s="163" t="str">
        <f>IF($E16&lt;&gt;"",IF($AJ16&lt;&gt;"",IF(AND($L16=T_Journey,VLOOKUP($AJ16,DBPlayers,2,0)&lt;12),T_Error&amp;"7",IF("Journeymen not available"=0,T_Error&amp;"8",IF(COUNTIF($E$6:$E16,$E16)-$AQ16&gt;VLOOKUP($AJ16,DBPlayers,2,0),T_Error&amp;"2",IF(L16=T_MNG,0,COUNTIF($E$6:$E16,$E16)-$AQ16)&amp;"/"&amp;(VLOOKUP($AJ16,DBPlayers,2,0))))),T_Error&amp;"1"),"")</f>
        <v>4/16</v>
      </c>
      <c r="G16" s="164">
        <f t="shared" si="0"/>
        <v>8</v>
      </c>
      <c r="H16" s="164">
        <f t="shared" si="1"/>
        <v>2</v>
      </c>
      <c r="I16" s="164">
        <f t="shared" si="2"/>
        <v>4</v>
      </c>
      <c r="J16" s="164">
        <f t="shared" si="3"/>
        <v>7</v>
      </c>
      <c r="K16" s="167" t="str">
        <f t="shared" ca="1" si="4"/>
        <v>Dodge, Stunty, AG+, Side Step</v>
      </c>
      <c r="L16" s="168"/>
      <c r="M16" s="169">
        <v>1</v>
      </c>
      <c r="N16" s="170">
        <v>7</v>
      </c>
      <c r="O16" s="170"/>
      <c r="P16" s="170"/>
      <c r="Q16" s="170"/>
      <c r="R16" s="171">
        <f t="shared" si="5"/>
        <v>22</v>
      </c>
      <c r="S16" s="172">
        <f t="shared" si="19"/>
        <v>120000</v>
      </c>
      <c r="T16" s="117"/>
      <c r="U16" s="152" t="str">
        <f t="shared" si="6"/>
        <v>A</v>
      </c>
      <c r="V16" s="152" t="str">
        <f t="shared" si="7"/>
        <v>G S P</v>
      </c>
      <c r="W16" s="153">
        <f t="shared" si="8"/>
        <v>2</v>
      </c>
      <c r="X16" s="121"/>
      <c r="Y16" s="154" t="s">
        <v>324</v>
      </c>
      <c r="Z16" s="154" t="s">
        <v>319</v>
      </c>
      <c r="AA16" s="154"/>
      <c r="AB16" s="154"/>
      <c r="AC16" s="154"/>
      <c r="AD16" s="155"/>
      <c r="AE16" s="156"/>
      <c r="AF16" s="154"/>
      <c r="AG16" s="155"/>
      <c r="AH16" s="120"/>
      <c r="AI16" s="123">
        <v>11</v>
      </c>
      <c r="AJ16" s="159" t="str">
        <f t="shared" si="9"/>
        <v>Lizardman1</v>
      </c>
      <c r="AK16" s="159">
        <f t="shared" si="20"/>
        <v>40000</v>
      </c>
      <c r="AL16" s="159">
        <f t="shared" si="10"/>
        <v>20000</v>
      </c>
      <c r="AM16" s="159">
        <f t="shared" si="11"/>
        <v>0</v>
      </c>
      <c r="AN16" s="159">
        <f t="shared" si="12"/>
        <v>0</v>
      </c>
      <c r="AO16" s="159">
        <f t="shared" si="13"/>
        <v>0</v>
      </c>
      <c r="AP16" s="159">
        <f t="shared" si="14"/>
        <v>0</v>
      </c>
      <c r="AQ16" s="159">
        <f t="array" ref="AQ16">IF(ISERROR($AJ16),0,IF($AJ16="","",SUM(IF($AJ16=$AJ$6:$AJ16,IF($L$6:$L16=T_MNG,1,0),0))))</f>
        <v>0</v>
      </c>
      <c r="AR16" s="160">
        <f t="shared" si="15"/>
        <v>8</v>
      </c>
      <c r="AS16" s="160">
        <f t="shared" si="16"/>
        <v>2</v>
      </c>
      <c r="AT16" s="160">
        <f t="shared" si="17"/>
        <v>3</v>
      </c>
      <c r="AU16" s="160">
        <f t="shared" si="18"/>
        <v>7</v>
      </c>
      <c r="AV16" s="102"/>
      <c r="AW16" s="102"/>
      <c r="AX16" s="102"/>
      <c r="AY16" s="102"/>
    </row>
    <row r="17" spans="1:51" ht="13.5" customHeight="1">
      <c r="A17" s="102"/>
      <c r="B17" s="114"/>
      <c r="C17" s="161">
        <v>12</v>
      </c>
      <c r="D17" s="162"/>
      <c r="E17" s="162"/>
      <c r="F17" s="163" t="str">
        <f>IF($E17&lt;&gt;"",IF($AJ17&lt;&gt;"",IF(AND($L17=T_Journey,VLOOKUP($AJ17,DBPlayers,2,0)&lt;12),T_Error&amp;"7",IF("Journeymen not available"=0,T_Error&amp;"8",IF(COUNTIF($E$6:$E17,$E17)-$AQ17&gt;VLOOKUP($AJ17,DBPlayers,2,0),T_Error&amp;"2",IF(L17=T_MNG,0,COUNTIF($E$6:$E17,$E17)-$AQ17)&amp;"/"&amp;(VLOOKUP($AJ17,DBPlayers,2,0))))),T_Error&amp;"1"),"")</f>
        <v/>
      </c>
      <c r="G17" s="164" t="str">
        <f t="shared" si="0"/>
        <v/>
      </c>
      <c r="H17" s="164" t="str">
        <f t="shared" si="1"/>
        <v/>
      </c>
      <c r="I17" s="164" t="str">
        <f t="shared" si="2"/>
        <v/>
      </c>
      <c r="J17" s="164" t="str">
        <f t="shared" si="3"/>
        <v/>
      </c>
      <c r="K17" s="167" t="str">
        <f t="shared" ca="1" si="4"/>
        <v/>
      </c>
      <c r="L17" s="168"/>
      <c r="M17" s="169"/>
      <c r="N17" s="170"/>
      <c r="O17" s="170"/>
      <c r="P17" s="170"/>
      <c r="Q17" s="170"/>
      <c r="R17" s="171" t="str">
        <f t="shared" si="5"/>
        <v/>
      </c>
      <c r="S17" s="172" t="str">
        <f t="shared" si="19"/>
        <v/>
      </c>
      <c r="T17" s="117"/>
      <c r="U17" s="152" t="str">
        <f t="shared" si="6"/>
        <v/>
      </c>
      <c r="V17" s="152" t="str">
        <f t="shared" si="7"/>
        <v/>
      </c>
      <c r="W17" s="153" t="str">
        <f t="shared" si="8"/>
        <v/>
      </c>
      <c r="X17" s="121"/>
      <c r="Y17" s="154"/>
      <c r="Z17" s="154"/>
      <c r="AA17" s="154"/>
      <c r="AB17" s="154"/>
      <c r="AC17" s="154"/>
      <c r="AD17" s="155"/>
      <c r="AE17" s="156"/>
      <c r="AF17" s="154"/>
      <c r="AG17" s="155"/>
      <c r="AH17" s="120"/>
      <c r="AI17" s="123">
        <v>12</v>
      </c>
      <c r="AJ17" s="159" t="str">
        <f t="shared" si="9"/>
        <v/>
      </c>
      <c r="AK17" s="159">
        <f t="shared" si="20"/>
        <v>0</v>
      </c>
      <c r="AL17" s="159">
        <f t="shared" si="10"/>
        <v>0</v>
      </c>
      <c r="AM17" s="159">
        <f t="shared" si="11"/>
        <v>0</v>
      </c>
      <c r="AN17" s="159">
        <f t="shared" si="12"/>
        <v>0</v>
      </c>
      <c r="AO17" s="159">
        <f t="shared" si="13"/>
        <v>0</v>
      </c>
      <c r="AP17" s="159">
        <f t="shared" si="14"/>
        <v>0</v>
      </c>
      <c r="AQ17" s="159" t="str">
        <f t="array" ref="AQ17">IF(ISERROR($AJ17),0,IF($AJ17="","",SUM(IF($AJ17=$AJ$6:$AJ17,IF($L$6:$L17=T_MNG,1,0),0))))</f>
        <v/>
      </c>
      <c r="AR17" s="160" t="str">
        <f t="shared" si="15"/>
        <v/>
      </c>
      <c r="AS17" s="160" t="str">
        <f t="shared" si="16"/>
        <v/>
      </c>
      <c r="AT17" s="160" t="str">
        <f t="shared" si="17"/>
        <v/>
      </c>
      <c r="AU17" s="160" t="str">
        <f t="shared" si="18"/>
        <v/>
      </c>
      <c r="AV17" s="102"/>
      <c r="AW17" s="102"/>
      <c r="AX17" s="102"/>
      <c r="AY17" s="102"/>
    </row>
    <row r="18" spans="1:51" ht="13.5" customHeight="1">
      <c r="A18" s="102"/>
      <c r="B18" s="114"/>
      <c r="C18" s="161">
        <v>13</v>
      </c>
      <c r="D18" s="162"/>
      <c r="E18" s="162"/>
      <c r="F18" s="163" t="str">
        <f>IF($E18&lt;&gt;"",IF($AJ18&lt;&gt;"",IF(AND($L18=T_Journey,VLOOKUP($AJ18,DBPlayers,2,0)&lt;12),T_Error&amp;"7",IF("Journeymen not available"=0,T_Error&amp;"8",IF(COUNTIF($E$6:$E18,$E18)-$AQ18&gt;VLOOKUP($AJ18,DBPlayers,2,0),T_Error&amp;"2",IF(L18=T_MNG,0,COUNTIF($E$6:$E18,$E18)-$AQ18)&amp;"/"&amp;(VLOOKUP($AJ18,DBPlayers,2,0))))),T_Error&amp;"1"),"")</f>
        <v/>
      </c>
      <c r="G18" s="164" t="str">
        <f t="shared" si="0"/>
        <v/>
      </c>
      <c r="H18" s="164" t="str">
        <f t="shared" si="1"/>
        <v/>
      </c>
      <c r="I18" s="164" t="str">
        <f t="shared" si="2"/>
        <v/>
      </c>
      <c r="J18" s="164" t="str">
        <f t="shared" si="3"/>
        <v/>
      </c>
      <c r="K18" s="167" t="str">
        <f t="shared" ca="1" si="4"/>
        <v/>
      </c>
      <c r="L18" s="168"/>
      <c r="M18" s="169"/>
      <c r="N18" s="170"/>
      <c r="O18" s="170"/>
      <c r="P18" s="170"/>
      <c r="Q18" s="170"/>
      <c r="R18" s="171" t="str">
        <f t="shared" si="5"/>
        <v/>
      </c>
      <c r="S18" s="172" t="str">
        <f t="shared" si="19"/>
        <v/>
      </c>
      <c r="T18" s="117"/>
      <c r="U18" s="152" t="str">
        <f t="shared" si="6"/>
        <v/>
      </c>
      <c r="V18" s="152" t="str">
        <f t="shared" si="7"/>
        <v/>
      </c>
      <c r="W18" s="153" t="str">
        <f t="shared" si="8"/>
        <v/>
      </c>
      <c r="X18" s="121"/>
      <c r="Y18" s="154"/>
      <c r="Z18" s="154"/>
      <c r="AA18" s="154"/>
      <c r="AB18" s="154"/>
      <c r="AC18" s="154"/>
      <c r="AD18" s="155"/>
      <c r="AE18" s="156"/>
      <c r="AF18" s="154"/>
      <c r="AG18" s="155"/>
      <c r="AH18" s="120"/>
      <c r="AI18" s="123">
        <v>13</v>
      </c>
      <c r="AJ18" s="159" t="str">
        <f t="shared" si="9"/>
        <v/>
      </c>
      <c r="AK18" s="159">
        <f t="shared" si="20"/>
        <v>0</v>
      </c>
      <c r="AL18" s="159">
        <f t="shared" si="10"/>
        <v>0</v>
      </c>
      <c r="AM18" s="159">
        <f t="shared" si="11"/>
        <v>0</v>
      </c>
      <c r="AN18" s="159">
        <f t="shared" si="12"/>
        <v>0</v>
      </c>
      <c r="AO18" s="159">
        <f t="shared" si="13"/>
        <v>0</v>
      </c>
      <c r="AP18" s="159">
        <f t="shared" si="14"/>
        <v>0</v>
      </c>
      <c r="AQ18" s="159" t="str">
        <f t="array" ref="AQ18">IF(ISERROR($AJ18),0,IF($AJ18="","",SUM(IF($AJ18=$AJ$6:$AJ18,IF($L$6:$L18=T_MNG,1,0),0))))</f>
        <v/>
      </c>
      <c r="AR18" s="160" t="str">
        <f t="shared" si="15"/>
        <v/>
      </c>
      <c r="AS18" s="160" t="str">
        <f t="shared" si="16"/>
        <v/>
      </c>
      <c r="AT18" s="160" t="str">
        <f t="shared" si="17"/>
        <v/>
      </c>
      <c r="AU18" s="160" t="str">
        <f t="shared" si="18"/>
        <v/>
      </c>
      <c r="AV18" s="102"/>
      <c r="AW18" s="102"/>
      <c r="AX18" s="102"/>
      <c r="AY18" s="102"/>
    </row>
    <row r="19" spans="1:51" ht="13.5" customHeight="1">
      <c r="A19" s="102"/>
      <c r="B19" s="114"/>
      <c r="C19" s="161">
        <v>14</v>
      </c>
      <c r="D19" s="162"/>
      <c r="E19" s="162"/>
      <c r="F19" s="163" t="str">
        <f>IF($E19&lt;&gt;"",IF($AJ19&lt;&gt;"",IF(AND($L19=T_Journey,VLOOKUP($AJ19,DBPlayers,2,0)&lt;12),T_Error&amp;"7",IF("Journeymen not available"=0,T_Error&amp;"8",IF(COUNTIF($E$6:$E19,$E19)-$AQ19&gt;VLOOKUP($AJ19,DBPlayers,2,0),T_Error&amp;"2",IF(L19=T_MNG,0,COUNTIF($E$6:$E19,$E19)-$AQ19)&amp;"/"&amp;(VLOOKUP($AJ19,DBPlayers,2,0))))),T_Error&amp;"1"),"")</f>
        <v/>
      </c>
      <c r="G19" s="164" t="str">
        <f t="shared" si="0"/>
        <v/>
      </c>
      <c r="H19" s="164" t="str">
        <f t="shared" si="1"/>
        <v/>
      </c>
      <c r="I19" s="164" t="str">
        <f t="shared" si="2"/>
        <v/>
      </c>
      <c r="J19" s="164" t="str">
        <f t="shared" si="3"/>
        <v/>
      </c>
      <c r="K19" s="167" t="str">
        <f t="shared" ca="1" si="4"/>
        <v/>
      </c>
      <c r="L19" s="168"/>
      <c r="M19" s="169"/>
      <c r="N19" s="170"/>
      <c r="O19" s="170"/>
      <c r="P19" s="170"/>
      <c r="Q19" s="170"/>
      <c r="R19" s="171" t="str">
        <f t="shared" si="5"/>
        <v/>
      </c>
      <c r="S19" s="172" t="str">
        <f t="shared" si="19"/>
        <v/>
      </c>
      <c r="T19" s="117"/>
      <c r="U19" s="152" t="str">
        <f t="shared" si="6"/>
        <v/>
      </c>
      <c r="V19" s="152" t="str">
        <f t="shared" si="7"/>
        <v/>
      </c>
      <c r="W19" s="153" t="str">
        <f t="shared" si="8"/>
        <v/>
      </c>
      <c r="X19" s="121"/>
      <c r="Y19" s="154"/>
      <c r="Z19" s="154"/>
      <c r="AA19" s="154"/>
      <c r="AB19" s="154"/>
      <c r="AC19" s="154"/>
      <c r="AD19" s="155"/>
      <c r="AE19" s="156"/>
      <c r="AF19" s="154"/>
      <c r="AG19" s="155"/>
      <c r="AH19" s="120"/>
      <c r="AI19" s="123">
        <v>14</v>
      </c>
      <c r="AJ19" s="159" t="str">
        <f t="shared" si="9"/>
        <v/>
      </c>
      <c r="AK19" s="159">
        <f t="shared" si="20"/>
        <v>0</v>
      </c>
      <c r="AL19" s="159">
        <f t="shared" si="10"/>
        <v>0</v>
      </c>
      <c r="AM19" s="159">
        <f t="shared" si="11"/>
        <v>0</v>
      </c>
      <c r="AN19" s="159">
        <f t="shared" si="12"/>
        <v>0</v>
      </c>
      <c r="AO19" s="159">
        <f t="shared" si="13"/>
        <v>0</v>
      </c>
      <c r="AP19" s="159">
        <f t="shared" si="14"/>
        <v>0</v>
      </c>
      <c r="AQ19" s="159" t="str">
        <f t="array" ref="AQ19">IF(ISERROR($AJ19),0,IF($AJ19="","",SUM(IF($AJ19=$AJ$6:$AJ19,IF($L$6:$L19=T_MNG,1,0),0))))</f>
        <v/>
      </c>
      <c r="AR19" s="160" t="str">
        <f t="shared" si="15"/>
        <v/>
      </c>
      <c r="AS19" s="160" t="str">
        <f t="shared" si="16"/>
        <v/>
      </c>
      <c r="AT19" s="160" t="str">
        <f t="shared" si="17"/>
        <v/>
      </c>
      <c r="AU19" s="160" t="str">
        <f t="shared" si="18"/>
        <v/>
      </c>
      <c r="AV19" s="102"/>
      <c r="AW19" s="102"/>
      <c r="AX19" s="102"/>
      <c r="AY19" s="102"/>
    </row>
    <row r="20" spans="1:51" ht="13.5" customHeight="1">
      <c r="A20" s="102"/>
      <c r="B20" s="114"/>
      <c r="C20" s="161">
        <v>15</v>
      </c>
      <c r="D20" s="162"/>
      <c r="E20" s="162"/>
      <c r="F20" s="163" t="str">
        <f>IF($E20&lt;&gt;"",IF($AJ20&lt;&gt;"",IF(AND($L20=T_Journey,VLOOKUP($AJ20,DBPlayers,2,0)&lt;12),T_Error&amp;"7",IF("Journeymen not available"=0,T_Error&amp;"8",IF(COUNTIF($E$6:$E20,$E20)-$AQ20&gt;VLOOKUP($AJ20,DBPlayers,2,0),T_Error&amp;"2",IF(L20=T_MNG,0,COUNTIF($E$6:$E20,$E20)-$AQ20)&amp;"/"&amp;(VLOOKUP($AJ20,DBPlayers,2,0))))),T_Error&amp;"1"),"")</f>
        <v/>
      </c>
      <c r="G20" s="164" t="str">
        <f t="shared" si="0"/>
        <v/>
      </c>
      <c r="H20" s="164" t="str">
        <f t="shared" si="1"/>
        <v/>
      </c>
      <c r="I20" s="164" t="str">
        <f t="shared" si="2"/>
        <v/>
      </c>
      <c r="J20" s="164" t="str">
        <f t="shared" si="3"/>
        <v/>
      </c>
      <c r="K20" s="167" t="str">
        <f t="shared" ca="1" si="4"/>
        <v/>
      </c>
      <c r="L20" s="168"/>
      <c r="M20" s="169"/>
      <c r="N20" s="170"/>
      <c r="O20" s="170"/>
      <c r="P20" s="170"/>
      <c r="Q20" s="170"/>
      <c r="R20" s="171" t="str">
        <f t="shared" si="5"/>
        <v/>
      </c>
      <c r="S20" s="172" t="str">
        <f t="shared" si="19"/>
        <v/>
      </c>
      <c r="T20" s="117"/>
      <c r="U20" s="152" t="str">
        <f t="shared" si="6"/>
        <v/>
      </c>
      <c r="V20" s="152" t="str">
        <f t="shared" si="7"/>
        <v/>
      </c>
      <c r="W20" s="153" t="str">
        <f t="shared" si="8"/>
        <v/>
      </c>
      <c r="X20" s="121"/>
      <c r="Y20" s="154"/>
      <c r="Z20" s="154"/>
      <c r="AA20" s="154"/>
      <c r="AB20" s="154"/>
      <c r="AC20" s="154"/>
      <c r="AD20" s="155"/>
      <c r="AE20" s="156"/>
      <c r="AF20" s="154"/>
      <c r="AG20" s="155"/>
      <c r="AH20" s="120"/>
      <c r="AI20" s="123">
        <v>15</v>
      </c>
      <c r="AJ20" s="159" t="str">
        <f t="shared" si="9"/>
        <v/>
      </c>
      <c r="AK20" s="159">
        <f t="shared" si="20"/>
        <v>0</v>
      </c>
      <c r="AL20" s="159">
        <f t="shared" si="10"/>
        <v>0</v>
      </c>
      <c r="AM20" s="159">
        <f t="shared" si="11"/>
        <v>0</v>
      </c>
      <c r="AN20" s="159">
        <f t="shared" si="12"/>
        <v>0</v>
      </c>
      <c r="AO20" s="159">
        <f t="shared" si="13"/>
        <v>0</v>
      </c>
      <c r="AP20" s="159">
        <f t="shared" si="14"/>
        <v>0</v>
      </c>
      <c r="AQ20" s="159" t="str">
        <f t="array" ref="AQ20">IF(ISERROR($AJ20),0,IF($AJ20="","",SUM(IF($AJ20=$AJ$6:$AJ20,IF($L$6:$L20=T_MNG,1,0),0))))</f>
        <v/>
      </c>
      <c r="AR20" s="160" t="str">
        <f t="shared" si="15"/>
        <v/>
      </c>
      <c r="AS20" s="160" t="str">
        <f t="shared" si="16"/>
        <v/>
      </c>
      <c r="AT20" s="160" t="str">
        <f t="shared" si="17"/>
        <v/>
      </c>
      <c r="AU20" s="160" t="str">
        <f t="shared" si="18"/>
        <v/>
      </c>
      <c r="AV20" s="102"/>
      <c r="AW20" s="102"/>
      <c r="AX20" s="102"/>
      <c r="AY20" s="102"/>
    </row>
    <row r="21" spans="1:51" ht="13.5" customHeight="1">
      <c r="A21" s="102"/>
      <c r="B21" s="114"/>
      <c r="C21" s="176">
        <v>16</v>
      </c>
      <c r="D21" s="175"/>
      <c r="E21" s="175"/>
      <c r="F21" s="177" t="str">
        <f>IF($E21&lt;&gt;"",IF($AJ21&lt;&gt;"",IF(AND($L21=T_Journey,VLOOKUP($AJ21,DBPlayers,2,0)&lt;12),T_Error&amp;"7",IF("Journeymen not available"=0,T_Error&amp;"8",IF(COUNTIF($E$6:$E21,$E21)-$AQ21&gt;VLOOKUP($AJ21,DBPlayers,2,0),T_Error&amp;"2",IF(L21=T_MNG,0,COUNTIF($E$6:$E21,$E21)-$AQ21)&amp;"/"&amp;(VLOOKUP($AJ21,DBPlayers,2,0))))),T_Error&amp;"1"),"")</f>
        <v/>
      </c>
      <c r="G21" s="178" t="str">
        <f t="shared" si="0"/>
        <v/>
      </c>
      <c r="H21" s="178" t="str">
        <f t="shared" si="1"/>
        <v/>
      </c>
      <c r="I21" s="178" t="str">
        <f t="shared" si="2"/>
        <v/>
      </c>
      <c r="J21" s="178" t="str">
        <f t="shared" si="3"/>
        <v/>
      </c>
      <c r="K21" s="179" t="str">
        <f t="shared" ca="1" si="4"/>
        <v/>
      </c>
      <c r="L21" s="180"/>
      <c r="M21" s="181"/>
      <c r="N21" s="182"/>
      <c r="O21" s="182"/>
      <c r="P21" s="182"/>
      <c r="Q21" s="182"/>
      <c r="R21" s="183" t="str">
        <f t="shared" si="5"/>
        <v/>
      </c>
      <c r="S21" s="184" t="str">
        <f t="shared" si="19"/>
        <v/>
      </c>
      <c r="T21" s="117"/>
      <c r="U21" s="152" t="str">
        <f t="shared" si="6"/>
        <v/>
      </c>
      <c r="V21" s="152" t="str">
        <f t="shared" si="7"/>
        <v/>
      </c>
      <c r="W21" s="153" t="str">
        <f t="shared" si="8"/>
        <v/>
      </c>
      <c r="X21" s="121"/>
      <c r="Y21" s="154"/>
      <c r="Z21" s="154"/>
      <c r="AA21" s="154"/>
      <c r="AB21" s="154"/>
      <c r="AC21" s="154"/>
      <c r="AD21" s="185"/>
      <c r="AE21" s="186"/>
      <c r="AF21" s="154"/>
      <c r="AG21" s="185"/>
      <c r="AH21" s="120"/>
      <c r="AI21" s="123">
        <v>16</v>
      </c>
      <c r="AJ21" s="159" t="str">
        <f t="shared" si="9"/>
        <v/>
      </c>
      <c r="AK21" s="159">
        <f t="shared" si="20"/>
        <v>0</v>
      </c>
      <c r="AL21" s="159">
        <f t="shared" si="10"/>
        <v>0</v>
      </c>
      <c r="AM21" s="159">
        <f t="shared" si="11"/>
        <v>0</v>
      </c>
      <c r="AN21" s="159">
        <f t="shared" si="12"/>
        <v>0</v>
      </c>
      <c r="AO21" s="159">
        <f t="shared" si="13"/>
        <v>0</v>
      </c>
      <c r="AP21" s="159">
        <f t="shared" si="14"/>
        <v>0</v>
      </c>
      <c r="AQ21" s="159" t="str">
        <f t="array" ref="AQ21">IF(ISERROR($AJ21),0,IF($AJ21="","",SUM(IF($AJ21=$AJ$6:$AJ21,IF($L$6:$L21=T_MNG,1,0),0))))</f>
        <v/>
      </c>
      <c r="AR21" s="160" t="str">
        <f t="shared" si="15"/>
        <v/>
      </c>
      <c r="AS21" s="160" t="str">
        <f t="shared" si="16"/>
        <v/>
      </c>
      <c r="AT21" s="160" t="str">
        <f t="shared" si="17"/>
        <v/>
      </c>
      <c r="AU21" s="160" t="str">
        <f t="shared" si="18"/>
        <v/>
      </c>
      <c r="AV21" s="102"/>
      <c r="AW21" s="102"/>
      <c r="AX21" s="102"/>
      <c r="AY21" s="102"/>
    </row>
    <row r="22" spans="1:51" ht="18" customHeight="1">
      <c r="A22" s="102"/>
      <c r="B22" s="114"/>
      <c r="C22" s="187"/>
      <c r="D22" s="188"/>
      <c r="E22" s="189" t="s">
        <v>186</v>
      </c>
      <c r="F22" s="190" t="str">
        <f>COUNTIF(S6:S21,"&gt;0")&amp;"/16"</f>
        <v>11/16</v>
      </c>
      <c r="G22" s="191"/>
      <c r="H22" s="192" t="str">
        <f>IF(AND(AQ22&gt;0,AQ22+AM22&gt;11),T_Error8,IF(AM22&lt;11,AQ22&amp;" / "&amp;11-AM22&amp;" "&amp;T_AllowedJourney,""))</f>
        <v/>
      </c>
      <c r="I22" s="190"/>
      <c r="J22" s="190"/>
      <c r="K22" s="193"/>
      <c r="L22" s="189" t="s">
        <v>187</v>
      </c>
      <c r="M22" s="190">
        <f t="shared" ref="M22:Q22" si="21">SUMIF($R$6:$R$21,"&gt;=0",M$6:M$21)</f>
        <v>1</v>
      </c>
      <c r="N22" s="190">
        <f t="shared" si="21"/>
        <v>10</v>
      </c>
      <c r="O22" s="190">
        <f t="shared" si="21"/>
        <v>0</v>
      </c>
      <c r="P22" s="190">
        <f t="shared" si="21"/>
        <v>7</v>
      </c>
      <c r="Q22" s="190">
        <f t="shared" si="21"/>
        <v>7</v>
      </c>
      <c r="R22" s="190">
        <f t="shared" ref="R22:S22" si="22">SUM(R6:R21)</f>
        <v>80</v>
      </c>
      <c r="S22" s="194">
        <f t="shared" si="22"/>
        <v>1040000</v>
      </c>
      <c r="T22" s="117"/>
      <c r="U22" s="195"/>
      <c r="V22" s="196"/>
      <c r="W22" s="197"/>
      <c r="X22" s="198"/>
      <c r="Y22" s="198"/>
      <c r="Z22" s="198"/>
      <c r="AA22" s="198"/>
      <c r="AB22" s="198"/>
      <c r="AC22" s="198"/>
      <c r="AD22" s="198"/>
      <c r="AE22" s="198"/>
      <c r="AF22" s="198"/>
      <c r="AG22" s="198"/>
      <c r="AH22" s="102"/>
      <c r="AI22" s="123"/>
      <c r="AJ22" s="102"/>
      <c r="AK22" s="102"/>
      <c r="AL22" s="199" t="s">
        <v>188</v>
      </c>
      <c r="AM22" s="200">
        <f>COUNTIF($S$6:$S$21,"&gt;0")-$AQ$22</f>
        <v>11</v>
      </c>
      <c r="AN22" s="123"/>
      <c r="AO22" s="123"/>
      <c r="AP22" s="199" t="s">
        <v>189</v>
      </c>
      <c r="AQ22" s="159">
        <f t="array" ref="AQ22">SUM(IF(L6:L21=T_Journey,IF(S6:S21&lt;&gt;"",1,0),0))</f>
        <v>0</v>
      </c>
      <c r="AR22" s="105"/>
      <c r="AS22" s="105"/>
      <c r="AT22" s="105"/>
      <c r="AU22" s="105"/>
      <c r="AV22" s="102"/>
      <c r="AW22" s="102"/>
      <c r="AX22" s="102"/>
      <c r="AY22" s="102"/>
    </row>
    <row r="23" spans="1:51" ht="3" customHeight="1">
      <c r="A23" s="102"/>
      <c r="B23" s="107"/>
      <c r="C23" s="108"/>
      <c r="D23" s="109"/>
      <c r="E23" s="109"/>
      <c r="F23" s="110"/>
      <c r="G23" s="108"/>
      <c r="H23" s="108"/>
      <c r="I23" s="108"/>
      <c r="J23" s="108"/>
      <c r="K23" s="109"/>
      <c r="L23" s="109"/>
      <c r="M23" s="109"/>
      <c r="N23" s="109"/>
      <c r="O23" s="109"/>
      <c r="P23" s="109"/>
      <c r="Q23" s="109"/>
      <c r="R23" s="109"/>
      <c r="S23" s="201"/>
      <c r="T23" s="111"/>
      <c r="U23" s="121"/>
      <c r="V23" s="202"/>
      <c r="W23" s="121"/>
      <c r="X23" s="121"/>
      <c r="Y23" s="102"/>
      <c r="Z23" s="113"/>
      <c r="AA23" s="113"/>
      <c r="AB23" s="102"/>
      <c r="AC23" s="102"/>
      <c r="AD23" s="102"/>
      <c r="AE23" s="102"/>
      <c r="AF23" s="102"/>
      <c r="AG23" s="102"/>
      <c r="AH23" s="102"/>
      <c r="AI23" s="123"/>
      <c r="AJ23" s="123"/>
      <c r="AK23" s="123"/>
      <c r="AL23" s="123"/>
      <c r="AM23" s="123"/>
      <c r="AN23" s="123"/>
      <c r="AO23" s="123"/>
      <c r="AP23" s="123"/>
      <c r="AQ23" s="123"/>
      <c r="AR23" s="105"/>
      <c r="AS23" s="105"/>
      <c r="AT23" s="105"/>
      <c r="AU23" s="105"/>
      <c r="AV23" s="102"/>
      <c r="AW23" s="102"/>
      <c r="AX23" s="102"/>
      <c r="AY23" s="102"/>
    </row>
    <row r="24" spans="1:51" ht="13.5" customHeight="1">
      <c r="A24" s="102"/>
      <c r="B24" s="114"/>
      <c r="C24" s="203"/>
      <c r="D24" s="351" t="s">
        <v>190</v>
      </c>
      <c r="E24" s="316"/>
      <c r="F24" s="127" t="s">
        <v>142</v>
      </c>
      <c r="G24" s="127" t="str">
        <f>T_MA</f>
        <v>MA</v>
      </c>
      <c r="H24" s="127" t="str">
        <f>T_ST</f>
        <v>ST</v>
      </c>
      <c r="I24" s="127" t="str">
        <f>T_AG</f>
        <v>AG</v>
      </c>
      <c r="J24" s="127" t="str">
        <f>T_AV</f>
        <v>AV</v>
      </c>
      <c r="K24" s="348" t="s">
        <v>191</v>
      </c>
      <c r="L24" s="316"/>
      <c r="M24" s="316"/>
      <c r="N24" s="316"/>
      <c r="O24" s="316"/>
      <c r="P24" s="316"/>
      <c r="Q24" s="316"/>
      <c r="R24" s="316"/>
      <c r="S24" s="204"/>
      <c r="T24" s="117"/>
      <c r="U24" s="133" t="s">
        <v>146</v>
      </c>
      <c r="V24" s="341" t="s">
        <v>192</v>
      </c>
      <c r="W24" s="316"/>
      <c r="X24" s="121"/>
      <c r="Y24" s="113"/>
      <c r="Z24" s="102"/>
      <c r="AA24" s="102"/>
      <c r="AB24" s="102"/>
      <c r="AC24" s="102"/>
      <c r="AD24" s="102"/>
      <c r="AE24" s="102"/>
      <c r="AF24" s="102"/>
      <c r="AG24" s="102"/>
      <c r="AH24" s="102"/>
      <c r="AI24" s="123"/>
      <c r="AJ24" s="123"/>
      <c r="AK24" s="123"/>
      <c r="AL24" s="123"/>
      <c r="AM24" s="123"/>
      <c r="AN24" s="123"/>
      <c r="AO24" s="123"/>
      <c r="AP24" s="141"/>
      <c r="AQ24" s="141" t="s">
        <v>160</v>
      </c>
      <c r="AR24" s="105"/>
      <c r="AS24" s="105"/>
      <c r="AT24" s="105"/>
      <c r="AU24" s="105"/>
      <c r="AV24" s="102"/>
      <c r="AW24" s="102"/>
      <c r="AX24" s="102"/>
      <c r="AY24" s="102"/>
    </row>
    <row r="25" spans="1:51" ht="13.5" customHeight="1">
      <c r="A25" s="102"/>
      <c r="B25" s="114"/>
      <c r="C25" s="115"/>
      <c r="D25" s="346"/>
      <c r="E25" s="316"/>
      <c r="F25" s="205" t="str">
        <f>IF($D25="","",IF($AJ25="",T_Error&amp;"1",IF(COUNTIF($D$25:$D25,"&lt;&gt;")&gt;$R$31,T_Error&amp;"3",IF(ISERROR(FIND(T_Merc,$D25)),IF(COUNTIF($D$25:$D25,D25)&gt;1,T_Error&amp;"4",IF(COUNTIF($AJ$25:$AJ25,"=Star")&gt;2,T_Error&amp;"5",IF(AND($D25=Brick,$F$31&lt;&gt;"1/1"),T_Error&amp;"6","1/1"))),IF(COUNTIF($AJ$6:$AJ25,$AJ25)-$AQ25&gt;VLOOKUP($AJ25,DBPlayers,2,0)+VLOOKUP($AJ25,$AL$58:$AM$67,2,0),T_Error&amp;"2",COUNTIF($AJ$6:$AJ25,$AJ25)-$AQ25&amp;"/"&amp;(VLOOKUP($AJ25,DBPlayers,2,0)))))))</f>
        <v/>
      </c>
      <c r="G25" s="205" t="str">
        <f t="shared" ref="G25:G30" si="23">IF(OR(LEFT($F25,LEN(T_Error))=T_Error,$D25=""),"",IF(ISERROR(FIND(T_Merc,$D25)),VLOOKUP($D25,DBStars,2,0),VLOOKUP($AJ25,DBPlayers,4,0)))</f>
        <v/>
      </c>
      <c r="H25" s="205" t="str">
        <f t="shared" ref="H25:H30" si="24">IF(OR(LEFT($F25,LEN(T_Error))=T_Error,$D25=""),"",IF(ISERROR(FIND(T_Merc,$D25)),VLOOKUP($D25,DBStars,3,0),VLOOKUP($AJ25,DBPlayers,5,0)))</f>
        <v/>
      </c>
      <c r="I25" s="205" t="str">
        <f t="shared" ref="I25:I30" si="25">IF(OR(LEFT($F25,LEN(T_Error))=T_Error,$D25=""),"",IF(ISERROR(FIND(T_Merc,$D25)),VLOOKUP($D25,DBStars,4,0),VLOOKUP($AJ25,DBPlayers,6,0)))</f>
        <v/>
      </c>
      <c r="J25" s="205" t="str">
        <f t="shared" ref="J25:J30" si="26">IF(OR(LEFT($F25,LEN(T_Error))=T_Error,$D25=""),"",IF(ISERROR(FIND(T_Merc,$D25)),VLOOKUP($D25,DBStars,5,0),VLOOKUP($AJ25,DBPlayers,7,0)))</f>
        <v/>
      </c>
      <c r="K25" s="347" t="str">
        <f t="shared" ref="K25:K30" ca="1" si="27">IF($D25="","",IF(LEFT($F25,LEN(T_Error))=T_Error,INDIRECT("T_Error"&amp;RIGHT($F25,1)),IF(ISERROR(FIND(T_Merc,$D25)),VLOOKUP($D25,DBStars,6,0),T_Loner&amp;", "&amp;VLOOKUP($AJ25,DBPlayers,8,0)&amp;IF($V25="","",", "&amp;$V25))))</f>
        <v/>
      </c>
      <c r="L25" s="316"/>
      <c r="M25" s="316"/>
      <c r="N25" s="316"/>
      <c r="O25" s="316"/>
      <c r="P25" s="316"/>
      <c r="Q25" s="316"/>
      <c r="R25" s="316"/>
      <c r="S25" s="206" t="str">
        <f t="shared" ref="S25:S30" si="28">IF(OR(LEFT($F25,LEN(T_Error))=T_Error,$D25=""),"",IF(ISERROR(FIND(T_Merc,$D25)),VLOOKUP($D25,DBStars,7,0),VLOOKUP($AJ25,DBPlayers,11,0)+30000+IF(V25&lt;&gt;"",50000,0)))</f>
        <v/>
      </c>
      <c r="T25" s="117"/>
      <c r="U25" s="207" t="str">
        <f t="shared" ref="U25:U30" si="29">IF(OR(LEFT($F25,LEN(T_Error))=T_Error,$D25=""),"",IF(ISERROR(FIND("Mercenary",$D25)),"none",VLOOKUP($AJ25,DBPlayers,9,0)))</f>
        <v/>
      </c>
      <c r="V25" s="334"/>
      <c r="W25" s="316"/>
      <c r="X25" s="121"/>
      <c r="Y25" s="102"/>
      <c r="Z25" s="102"/>
      <c r="AA25" s="102"/>
      <c r="AB25" s="102"/>
      <c r="AC25" s="102"/>
      <c r="AD25" s="102"/>
      <c r="AE25" s="102"/>
      <c r="AF25" s="102"/>
      <c r="AG25" s="102"/>
      <c r="AH25" s="102"/>
      <c r="AI25" s="199" t="s">
        <v>193</v>
      </c>
      <c r="AJ25" s="159" t="str">
        <f t="shared" ref="AJ25:AJ30" si="30">IF(ISERROR(VLOOKUP(MID($D25,1,LEN($D25)-LEN(" Mercenary")),$AJ$58:$AL$67,3,0)),IF(ISERROR(VLOOKUP(D25,AK48:AK57,1,0)),"","Star"),VLOOKUP(MID($D25,1,LEN($D25)-LEN(" Mercenary")),$AJ$58:$AL$67,3,0))</f>
        <v/>
      </c>
      <c r="AK25" s="123"/>
      <c r="AL25" s="123"/>
      <c r="AM25" s="123"/>
      <c r="AN25" s="123"/>
      <c r="AO25" s="123"/>
      <c r="AP25" s="123"/>
      <c r="AQ25" s="159" t="str">
        <f t="array" ref="AQ25">IF($AJ25&lt;&gt;"",SUM(IF($AJ25=$AJ$6:$AJ25,IF($L$6:$L25=T_MNG,1,0),0)),"")</f>
        <v/>
      </c>
      <c r="AR25" s="105"/>
      <c r="AS25" s="105"/>
      <c r="AT25" s="105"/>
      <c r="AU25" s="105"/>
      <c r="AV25" s="102"/>
      <c r="AW25" s="102"/>
      <c r="AX25" s="102"/>
      <c r="AY25" s="102"/>
    </row>
    <row r="26" spans="1:51" ht="13.5" customHeight="1">
      <c r="A26" s="102"/>
      <c r="B26" s="114"/>
      <c r="C26" s="208"/>
      <c r="D26" s="346"/>
      <c r="E26" s="316"/>
      <c r="F26" s="205" t="str">
        <f>IF($D26="","",IF($AJ26="",T_Error&amp;"1",IF(COUNTIF($D$25:$D26,"&lt;&gt;")&gt;$R$31,T_Error&amp;"3",IF(ISERROR(FIND(T_Merc,$D26)),IF(COUNTIF($D$25:$D26,D26)&gt;1,T_Error&amp;"4",IF(COUNTIF($AJ$25:$AJ26,"=Star")&gt;2,T_Error&amp;"5",IF(AND($D26=Brick,$F$31&lt;&gt;"1/1"),T_Error&amp;"6","1/1"))),IF(COUNTIF($AJ$6:$AJ26,$AJ26)-$AQ26&gt;VLOOKUP($AJ26,DBPlayers,2,0)+VLOOKUP($AJ26,$AL$58:$AM$67,2,0),T_Error&amp;"2",COUNTIF($AJ$6:$AJ26,$AJ26)-$AQ26&amp;"/"&amp;(VLOOKUP($AJ26,DBPlayers,2,0)))))))</f>
        <v/>
      </c>
      <c r="G26" s="205" t="str">
        <f t="shared" si="23"/>
        <v/>
      </c>
      <c r="H26" s="205" t="str">
        <f t="shared" si="24"/>
        <v/>
      </c>
      <c r="I26" s="205" t="str">
        <f t="shared" si="25"/>
        <v/>
      </c>
      <c r="J26" s="205" t="str">
        <f t="shared" si="26"/>
        <v/>
      </c>
      <c r="K26" s="347" t="str">
        <f t="shared" ca="1" si="27"/>
        <v/>
      </c>
      <c r="L26" s="316"/>
      <c r="M26" s="316"/>
      <c r="N26" s="316"/>
      <c r="O26" s="316"/>
      <c r="P26" s="316"/>
      <c r="Q26" s="316"/>
      <c r="R26" s="316"/>
      <c r="S26" s="206" t="str">
        <f t="shared" si="28"/>
        <v/>
      </c>
      <c r="T26" s="117"/>
      <c r="U26" s="207" t="str">
        <f t="shared" si="29"/>
        <v/>
      </c>
      <c r="V26" s="334"/>
      <c r="W26" s="316"/>
      <c r="X26" s="121"/>
      <c r="Y26" s="102"/>
      <c r="Z26" s="102"/>
      <c r="AA26" s="102"/>
      <c r="AB26" s="102"/>
      <c r="AC26" s="102"/>
      <c r="AD26" s="102"/>
      <c r="AE26" s="102"/>
      <c r="AF26" s="102"/>
      <c r="AG26" s="102"/>
      <c r="AH26" s="102"/>
      <c r="AI26" s="199" t="s">
        <v>194</v>
      </c>
      <c r="AJ26" s="159" t="str">
        <f t="shared" si="30"/>
        <v/>
      </c>
      <c r="AK26" s="123"/>
      <c r="AL26" s="123"/>
      <c r="AM26" s="123"/>
      <c r="AN26" s="123"/>
      <c r="AO26" s="123"/>
      <c r="AP26" s="123"/>
      <c r="AQ26" s="159" t="str">
        <f t="array" ref="AQ26">IF($AJ26&lt;&gt;"",SUM(IF($AJ26=$AJ$6:$AJ26,IF($L$6:$L26=T_MNG,1,0),0)),"")</f>
        <v/>
      </c>
      <c r="AR26" s="105"/>
      <c r="AS26" s="105"/>
      <c r="AT26" s="105"/>
      <c r="AU26" s="105"/>
      <c r="AV26" s="102"/>
      <c r="AW26" s="102"/>
      <c r="AX26" s="102"/>
      <c r="AY26" s="102"/>
    </row>
    <row r="27" spans="1:51" ht="13.5" customHeight="1">
      <c r="A27" s="102"/>
      <c r="B27" s="114"/>
      <c r="C27" s="208"/>
      <c r="D27" s="346"/>
      <c r="E27" s="316"/>
      <c r="F27" s="205" t="str">
        <f>IF($D27="","",IF($AJ27="",T_Error&amp;"1",IF(COUNTIF($D$25:$D27,"&lt;&gt;")&gt;$R$31,T_Error&amp;"3",IF(ISERROR(FIND(T_Merc,$D27)),IF(COUNTIF($D$25:$D27,D27)&gt;1,T_Error&amp;"4",IF(COUNTIF($AJ$25:$AJ27,"=Star")&gt;2,T_Error&amp;"5",IF(AND($D27=Brick,$F$31&lt;&gt;"1/1"),T_Error&amp;"6","1/1"))),IF(COUNTIF($AJ$6:$AJ27,$AJ27)-$AQ27&gt;VLOOKUP($AJ27,DBPlayers,2,0)+VLOOKUP($AJ27,$AL$58:$AM$67,2,0),T_Error&amp;"2",COUNTIF($AJ$6:$AJ27,$AJ27)-$AQ27&amp;"/"&amp;(VLOOKUP($AJ27,DBPlayers,2,0)))))))</f>
        <v/>
      </c>
      <c r="G27" s="205" t="str">
        <f t="shared" si="23"/>
        <v/>
      </c>
      <c r="H27" s="205" t="str">
        <f t="shared" si="24"/>
        <v/>
      </c>
      <c r="I27" s="205" t="str">
        <f t="shared" si="25"/>
        <v/>
      </c>
      <c r="J27" s="205" t="str">
        <f t="shared" si="26"/>
        <v/>
      </c>
      <c r="K27" s="347" t="str">
        <f t="shared" ca="1" si="27"/>
        <v/>
      </c>
      <c r="L27" s="316"/>
      <c r="M27" s="316"/>
      <c r="N27" s="316"/>
      <c r="O27" s="316"/>
      <c r="P27" s="316"/>
      <c r="Q27" s="316"/>
      <c r="R27" s="316"/>
      <c r="S27" s="206" t="str">
        <f t="shared" si="28"/>
        <v/>
      </c>
      <c r="T27" s="117"/>
      <c r="U27" s="207" t="str">
        <f t="shared" si="29"/>
        <v/>
      </c>
      <c r="V27" s="334"/>
      <c r="W27" s="316"/>
      <c r="X27" s="121"/>
      <c r="Y27" s="102"/>
      <c r="Z27" s="102"/>
      <c r="AA27" s="102"/>
      <c r="AB27" s="102"/>
      <c r="AC27" s="102"/>
      <c r="AD27" s="102"/>
      <c r="AE27" s="102"/>
      <c r="AF27" s="102"/>
      <c r="AG27" s="102"/>
      <c r="AH27" s="102"/>
      <c r="AI27" s="199" t="s">
        <v>195</v>
      </c>
      <c r="AJ27" s="159" t="str">
        <f t="shared" si="30"/>
        <v/>
      </c>
      <c r="AK27" s="123"/>
      <c r="AL27" s="123"/>
      <c r="AM27" s="123"/>
      <c r="AN27" s="123"/>
      <c r="AO27" s="123"/>
      <c r="AP27" s="123"/>
      <c r="AQ27" s="159" t="str">
        <f t="array" ref="AQ27">IF($AJ27&lt;&gt;"",SUM(IF($AJ27=$AJ$6:$AJ27,IF($L$6:$L27=T_MNG,1,0),0)),"")</f>
        <v/>
      </c>
      <c r="AR27" s="105"/>
      <c r="AS27" s="105"/>
      <c r="AT27" s="105"/>
      <c r="AU27" s="105"/>
      <c r="AV27" s="102"/>
      <c r="AW27" s="102"/>
      <c r="AX27" s="102"/>
      <c r="AY27" s="102"/>
    </row>
    <row r="28" spans="1:51" ht="13.5" customHeight="1">
      <c r="A28" s="102"/>
      <c r="B28" s="114"/>
      <c r="C28" s="187"/>
      <c r="D28" s="346"/>
      <c r="E28" s="316"/>
      <c r="F28" s="205" t="str">
        <f>IF($D28="","",IF($AJ28="",T_Error&amp;"1",IF(COUNTIF($D$25:$D28,"&lt;&gt;")&gt;$R$31,T_Error&amp;"3",IF(ISERROR(FIND(T_Merc,$D28)),IF(COUNTIF($D$25:$D28,D28)&gt;1,T_Error&amp;"4",IF(COUNTIF($AJ$25:$AJ28,"=Star")&gt;2,T_Error&amp;"5",IF(AND($D28=Brick,$F$31&lt;&gt;"1/1"),T_Error&amp;"6","1/1"))),IF(COUNTIF($AJ$6:$AJ28,$AJ28)-$AQ28&gt;VLOOKUP($AJ28,DBPlayers,2,0)+VLOOKUP($AJ28,$AL$58:$AM$67,2,0),T_Error&amp;"2",COUNTIF($AJ$6:$AJ28,$AJ28)-$AQ28&amp;"/"&amp;(VLOOKUP($AJ28,DBPlayers,2,0)))))))</f>
        <v/>
      </c>
      <c r="G28" s="205" t="str">
        <f t="shared" si="23"/>
        <v/>
      </c>
      <c r="H28" s="205" t="str">
        <f t="shared" si="24"/>
        <v/>
      </c>
      <c r="I28" s="205" t="str">
        <f t="shared" si="25"/>
        <v/>
      </c>
      <c r="J28" s="205" t="str">
        <f t="shared" si="26"/>
        <v/>
      </c>
      <c r="K28" s="347" t="str">
        <f t="shared" ca="1" si="27"/>
        <v/>
      </c>
      <c r="L28" s="316"/>
      <c r="M28" s="316"/>
      <c r="N28" s="316"/>
      <c r="O28" s="316"/>
      <c r="P28" s="316"/>
      <c r="Q28" s="316"/>
      <c r="R28" s="316"/>
      <c r="S28" s="206" t="str">
        <f t="shared" si="28"/>
        <v/>
      </c>
      <c r="T28" s="117"/>
      <c r="U28" s="207" t="str">
        <f t="shared" si="29"/>
        <v/>
      </c>
      <c r="V28" s="334"/>
      <c r="W28" s="316"/>
      <c r="X28" s="121"/>
      <c r="Y28" s="102"/>
      <c r="Z28" s="102"/>
      <c r="AA28" s="102"/>
      <c r="AB28" s="102"/>
      <c r="AC28" s="102"/>
      <c r="AD28" s="102"/>
      <c r="AE28" s="102"/>
      <c r="AF28" s="102"/>
      <c r="AG28" s="102"/>
      <c r="AH28" s="102"/>
      <c r="AI28" s="199" t="s">
        <v>196</v>
      </c>
      <c r="AJ28" s="159" t="str">
        <f t="shared" si="30"/>
        <v/>
      </c>
      <c r="AK28" s="123"/>
      <c r="AL28" s="123"/>
      <c r="AM28" s="123"/>
      <c r="AN28" s="123"/>
      <c r="AO28" s="123"/>
      <c r="AP28" s="123"/>
      <c r="AQ28" s="159" t="str">
        <f t="array" ref="AQ28">IF($AJ28&lt;&gt;"",SUM(IF($AJ28=$AJ$6:$AJ28,IF($L$6:$L28=T_MNG,1,0),0)),"")</f>
        <v/>
      </c>
      <c r="AR28" s="105"/>
      <c r="AS28" s="105"/>
      <c r="AT28" s="105"/>
      <c r="AU28" s="105"/>
      <c r="AV28" s="102"/>
      <c r="AW28" s="102"/>
      <c r="AX28" s="102"/>
      <c r="AY28" s="102"/>
    </row>
    <row r="29" spans="1:51" ht="13.5" customHeight="1">
      <c r="A29" s="102"/>
      <c r="B29" s="114"/>
      <c r="C29" s="190"/>
      <c r="D29" s="346"/>
      <c r="E29" s="316"/>
      <c r="F29" s="205" t="str">
        <f>IF($D29="","",IF($AJ29="",T_Error&amp;"1",IF(COUNTIF($D$25:$D29,"&lt;&gt;")&gt;$R$31,T_Error&amp;"3",IF(ISERROR(FIND(T_Merc,$D29)),IF(COUNTIF($D$25:$D29,D29)&gt;1,T_Error&amp;"4",IF(COUNTIF($AJ$25:$AJ29,"=Star")&gt;2,T_Error&amp;"5",IF(AND($D29=Brick,$F$31&lt;&gt;"1/1"),T_Error&amp;"6","1/1"))),IF(COUNTIF($AJ$6:$AJ29,$AJ29)-$AQ29&gt;VLOOKUP($AJ29,DBPlayers,2,0)+VLOOKUP($AJ29,$AL$58:$AM$67,2,0),T_Error&amp;"2",COUNTIF($AJ$6:$AJ29,$AJ29)-$AQ29&amp;"/"&amp;(VLOOKUP($AJ29,DBPlayers,2,0)))))))</f>
        <v/>
      </c>
      <c r="G29" s="205" t="str">
        <f t="shared" si="23"/>
        <v/>
      </c>
      <c r="H29" s="205" t="str">
        <f t="shared" si="24"/>
        <v/>
      </c>
      <c r="I29" s="205" t="str">
        <f t="shared" si="25"/>
        <v/>
      </c>
      <c r="J29" s="205" t="str">
        <f t="shared" si="26"/>
        <v/>
      </c>
      <c r="K29" s="347" t="str">
        <f t="shared" ca="1" si="27"/>
        <v/>
      </c>
      <c r="L29" s="316"/>
      <c r="M29" s="316"/>
      <c r="N29" s="316"/>
      <c r="O29" s="316"/>
      <c r="P29" s="316"/>
      <c r="Q29" s="316"/>
      <c r="R29" s="316"/>
      <c r="S29" s="206" t="str">
        <f t="shared" si="28"/>
        <v/>
      </c>
      <c r="T29" s="117"/>
      <c r="U29" s="207" t="str">
        <f t="shared" si="29"/>
        <v/>
      </c>
      <c r="V29" s="334"/>
      <c r="W29" s="316"/>
      <c r="X29" s="121"/>
      <c r="Y29" s="102"/>
      <c r="Z29" s="102"/>
      <c r="AA29" s="102"/>
      <c r="AB29" s="102"/>
      <c r="AC29" s="102"/>
      <c r="AD29" s="102"/>
      <c r="AE29" s="102"/>
      <c r="AF29" s="102"/>
      <c r="AG29" s="102"/>
      <c r="AH29" s="102"/>
      <c r="AI29" s="199" t="s">
        <v>197</v>
      </c>
      <c r="AJ29" s="159" t="str">
        <f t="shared" si="30"/>
        <v/>
      </c>
      <c r="AK29" s="123"/>
      <c r="AL29" s="123"/>
      <c r="AM29" s="123"/>
      <c r="AN29" s="123"/>
      <c r="AO29" s="123"/>
      <c r="AP29" s="123"/>
      <c r="AQ29" s="159" t="str">
        <f t="array" ref="AQ29">IF($AJ29&lt;&gt;"",SUM(IF($AJ29=$AJ$6:$AJ29,IF($L$6:$L29=T_MNG,1,0),0)),"")</f>
        <v/>
      </c>
      <c r="AR29" s="105"/>
      <c r="AS29" s="105"/>
      <c r="AT29" s="105"/>
      <c r="AU29" s="105"/>
      <c r="AV29" s="102"/>
      <c r="AW29" s="102"/>
      <c r="AX29" s="102"/>
      <c r="AY29" s="102"/>
    </row>
    <row r="30" spans="1:51" ht="13.5" customHeight="1">
      <c r="A30" s="102"/>
      <c r="B30" s="114"/>
      <c r="C30" s="190"/>
      <c r="D30" s="346"/>
      <c r="E30" s="316"/>
      <c r="F30" s="205" t="str">
        <f>IF($D30="","",IF($AJ30="",T_Error&amp;"1",IF(COUNTIF($D$25:$D30,"&lt;&gt;")&gt;$R$31,T_Error&amp;"3",IF(ISERROR(FIND(T_Merc,$D30)),IF(COUNTIF($D$25:$D30,D30)&gt;1,T_Error&amp;"4",IF(COUNTIF($AJ$25:$AJ30,"=Star")&gt;2,T_Error&amp;"5",IF(AND($D30=Brick,$F$31&lt;&gt;"1/1"),T_Error&amp;"6","1/1"))),IF(COUNTIF($AJ$6:$AJ30,$AJ30)-$AQ30&gt;VLOOKUP($AJ30,DBPlayers,2,0)+VLOOKUP($AJ30,$AL$58:$AM$67,2,0),T_Error&amp;"2",COUNTIF($AJ$6:$AJ30,$AJ30)-$AQ30&amp;"/"&amp;(VLOOKUP($AJ30,DBPlayers,2,0)))))))</f>
        <v/>
      </c>
      <c r="G30" s="205" t="str">
        <f t="shared" si="23"/>
        <v/>
      </c>
      <c r="H30" s="205" t="str">
        <f t="shared" si="24"/>
        <v/>
      </c>
      <c r="I30" s="205" t="str">
        <f t="shared" si="25"/>
        <v/>
      </c>
      <c r="J30" s="205" t="str">
        <f t="shared" si="26"/>
        <v/>
      </c>
      <c r="K30" s="347" t="str">
        <f t="shared" ca="1" si="27"/>
        <v/>
      </c>
      <c r="L30" s="316"/>
      <c r="M30" s="316"/>
      <c r="N30" s="316"/>
      <c r="O30" s="316"/>
      <c r="P30" s="316"/>
      <c r="Q30" s="316"/>
      <c r="R30" s="316"/>
      <c r="S30" s="206" t="str">
        <f t="shared" si="28"/>
        <v/>
      </c>
      <c r="T30" s="117"/>
      <c r="U30" s="207" t="str">
        <f t="shared" si="29"/>
        <v/>
      </c>
      <c r="V30" s="334"/>
      <c r="W30" s="316"/>
      <c r="X30" s="121"/>
      <c r="Y30" s="209"/>
      <c r="Z30" s="102"/>
      <c r="AA30" s="102"/>
      <c r="AB30" s="102"/>
      <c r="AC30" s="102"/>
      <c r="AD30" s="102"/>
      <c r="AE30" s="102"/>
      <c r="AF30" s="102"/>
      <c r="AG30" s="102"/>
      <c r="AH30" s="102"/>
      <c r="AI30" s="199" t="s">
        <v>198</v>
      </c>
      <c r="AJ30" s="159" t="str">
        <f t="shared" si="30"/>
        <v/>
      </c>
      <c r="AK30" s="123"/>
      <c r="AL30" s="123"/>
      <c r="AM30" s="123"/>
      <c r="AN30" s="123"/>
      <c r="AO30" s="123"/>
      <c r="AP30" s="123"/>
      <c r="AQ30" s="159" t="str">
        <f t="array" ref="AQ30">IF($AJ30&lt;&gt;"",SUM(IF($AJ30=$AJ$6:$AJ30,IF($L$6:$L30=T_MNG,1,0),0)),"")</f>
        <v/>
      </c>
      <c r="AR30" s="105"/>
      <c r="AS30" s="105"/>
      <c r="AT30" s="105"/>
      <c r="AU30" s="105"/>
      <c r="AV30" s="102"/>
      <c r="AW30" s="102"/>
      <c r="AX30" s="102"/>
      <c r="AY30" s="102"/>
    </row>
    <row r="31" spans="1:51" ht="13.5" customHeight="1">
      <c r="A31" s="102"/>
      <c r="B31" s="114"/>
      <c r="C31" s="190"/>
      <c r="D31" s="210"/>
      <c r="E31" s="210"/>
      <c r="F31" s="205" t="str">
        <f>IF($D31="","",IF(COUNTIF($D$25:$D31,"&lt;&gt;")&gt;$R$31,T_Error&amp;"3",IF(COUNTIF($AJ$25:$AJ30,"=Star")&gt;2,T_Error&amp;"5","1/1")))</f>
        <v/>
      </c>
      <c r="G31" s="205" t="str">
        <f>IF(OR(LEFT($F31,LEN(T_Error))=T_Error,$D31=""),"",VLOOKUP($D31,DBStars,2,0))</f>
        <v/>
      </c>
      <c r="H31" s="205" t="str">
        <f>IF(OR(LEFT($F31,LEN(T_Error))=T_Error,$D31=""),"",VLOOKUP($D31,DBStars,3,0))</f>
        <v/>
      </c>
      <c r="I31" s="205" t="str">
        <f>IF(OR(LEFT($F31,LEN(T_Error))=T_Error,$D31=""),"",VLOOKUP($D31,DBStars,4,0))</f>
        <v/>
      </c>
      <c r="J31" s="205" t="str">
        <f>IF(OR(LEFT($F31,LEN(T_Error))=T_Error,$D31=""),"",VLOOKUP($D31,DBStars,5,0))</f>
        <v/>
      </c>
      <c r="K31" s="193" t="str">
        <f ca="1">IF($D31="","",IF(LEFT($F31,LEN(T_Error))=T_Error,INDIRECT("T_"&amp;$F31),VLOOKUP($D31,DBStars,6,0)))</f>
        <v/>
      </c>
      <c r="L31" s="343" t="s">
        <v>199</v>
      </c>
      <c r="M31" s="316"/>
      <c r="N31" s="316"/>
      <c r="O31" s="316"/>
      <c r="P31" s="316"/>
      <c r="Q31" s="189" t="str">
        <f>COUNTIF(J25:J31,"&gt;0")&amp;" /"</f>
        <v>0 /</v>
      </c>
      <c r="R31" s="211">
        <f>16-COUNTIF(S6:S21,"&gt;0")</f>
        <v>5</v>
      </c>
      <c r="S31" s="206"/>
      <c r="T31" s="117"/>
      <c r="U31" s="207" t="str">
        <f>IF($D31="","",IF(ISERROR(FIND("Mercenary",$D31)),"",VLOOKUP($AJ31,DBPlayers,9,0)))</f>
        <v/>
      </c>
      <c r="V31" s="154"/>
      <c r="W31" s="154"/>
      <c r="X31" s="121"/>
      <c r="Y31" s="102"/>
      <c r="Z31" s="102"/>
      <c r="AA31" s="102"/>
      <c r="AB31" s="102"/>
      <c r="AC31" s="102"/>
      <c r="AD31" s="102"/>
      <c r="AE31" s="102"/>
      <c r="AF31" s="102"/>
      <c r="AG31" s="102"/>
      <c r="AH31" s="102"/>
      <c r="AI31" s="102"/>
      <c r="AJ31" s="102"/>
      <c r="AK31" s="102"/>
      <c r="AL31" s="102"/>
      <c r="AM31" s="102"/>
      <c r="AN31" s="102"/>
      <c r="AO31" s="102"/>
      <c r="AP31" s="102"/>
      <c r="AQ31" s="102"/>
      <c r="AR31" s="105"/>
      <c r="AS31" s="105"/>
      <c r="AT31" s="105"/>
      <c r="AU31" s="105"/>
      <c r="AV31" s="102"/>
      <c r="AW31" s="102"/>
      <c r="AX31" s="102"/>
      <c r="AY31" s="102"/>
    </row>
    <row r="32" spans="1:51" ht="3" customHeight="1">
      <c r="A32" s="102"/>
      <c r="B32" s="107"/>
      <c r="C32" s="108"/>
      <c r="D32" s="109"/>
      <c r="E32" s="109"/>
      <c r="F32" s="110"/>
      <c r="G32" s="108"/>
      <c r="H32" s="108"/>
      <c r="I32" s="108"/>
      <c r="J32" s="108"/>
      <c r="K32" s="109"/>
      <c r="L32" s="109"/>
      <c r="M32" s="109"/>
      <c r="N32" s="109"/>
      <c r="O32" s="109"/>
      <c r="P32" s="109"/>
      <c r="Q32" s="109"/>
      <c r="R32" s="109"/>
      <c r="S32" s="201"/>
      <c r="T32" s="111"/>
      <c r="U32" s="121"/>
      <c r="V32" s="121"/>
      <c r="W32" s="121"/>
      <c r="X32" s="121"/>
      <c r="Y32" s="102"/>
      <c r="Z32" s="102"/>
      <c r="AA32" s="102"/>
      <c r="AB32" s="102"/>
      <c r="AC32" s="102"/>
      <c r="AD32" s="102"/>
      <c r="AE32" s="102"/>
      <c r="AF32" s="102"/>
      <c r="AG32" s="102"/>
      <c r="AH32" s="102"/>
      <c r="AI32" s="102"/>
      <c r="AJ32" s="102"/>
      <c r="AK32" s="102"/>
      <c r="AL32" s="102"/>
      <c r="AM32" s="102"/>
      <c r="AN32" s="102"/>
      <c r="AO32" s="102"/>
      <c r="AP32" s="102"/>
      <c r="AQ32" s="102"/>
      <c r="AR32" s="105"/>
      <c r="AS32" s="105"/>
      <c r="AT32" s="105"/>
      <c r="AU32" s="105"/>
      <c r="AV32" s="102"/>
      <c r="AW32" s="102"/>
      <c r="AX32" s="102"/>
      <c r="AY32" s="102"/>
    </row>
    <row r="33" spans="1:51" ht="13.5" customHeight="1">
      <c r="A33" s="102"/>
      <c r="B33" s="114"/>
      <c r="C33" s="115"/>
      <c r="D33" s="345" t="s">
        <v>331</v>
      </c>
      <c r="E33" s="316"/>
      <c r="F33" s="316"/>
      <c r="G33" s="316"/>
      <c r="H33" s="316"/>
      <c r="I33" s="316"/>
      <c r="J33" s="115"/>
      <c r="K33" s="212"/>
      <c r="L33" s="345" t="s">
        <v>201</v>
      </c>
      <c r="M33" s="316"/>
      <c r="N33" s="316"/>
      <c r="O33" s="316"/>
      <c r="P33" s="316"/>
      <c r="Q33" s="316"/>
      <c r="R33" s="316"/>
      <c r="S33" s="213"/>
      <c r="T33" s="117"/>
      <c r="U33" s="102"/>
      <c r="V33" s="106"/>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5"/>
      <c r="AS33" s="105"/>
      <c r="AT33" s="105"/>
      <c r="AU33" s="105"/>
      <c r="AV33" s="102"/>
      <c r="AW33" s="102"/>
      <c r="AX33" s="102"/>
      <c r="AY33" s="102"/>
    </row>
    <row r="34" spans="1:51" ht="13.5" customHeight="1">
      <c r="A34" s="102"/>
      <c r="B34" s="114"/>
      <c r="C34" s="191"/>
      <c r="D34" s="343" t="s">
        <v>202</v>
      </c>
      <c r="E34" s="316"/>
      <c r="F34" s="116">
        <v>0</v>
      </c>
      <c r="G34" s="189" t="s">
        <v>203</v>
      </c>
      <c r="H34" s="344">
        <v>50000</v>
      </c>
      <c r="I34" s="316"/>
      <c r="J34" s="190"/>
      <c r="K34" s="191"/>
      <c r="L34" s="189" t="s">
        <v>204</v>
      </c>
      <c r="M34" s="187">
        <v>2</v>
      </c>
      <c r="N34" s="189" t="s">
        <v>203</v>
      </c>
      <c r="O34" s="352">
        <f>IF(ISERROR(VLOOKUP($E$3,Database!$B$6:$C$30,2,0)),0,VLOOKUP($E$3,Database!$B$6:$C$30,2,0))</f>
        <v>60000</v>
      </c>
      <c r="P34" s="316"/>
      <c r="Q34" s="316"/>
      <c r="R34" s="191" t="s">
        <v>205</v>
      </c>
      <c r="S34" s="194">
        <f>M34*O34</f>
        <v>120000</v>
      </c>
      <c r="T34" s="117"/>
      <c r="U34" s="214"/>
      <c r="V34" s="106"/>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5"/>
      <c r="AS34" s="105"/>
      <c r="AT34" s="105"/>
      <c r="AU34" s="105"/>
      <c r="AV34" s="102"/>
      <c r="AW34" s="102"/>
      <c r="AX34" s="102"/>
      <c r="AY34" s="102"/>
    </row>
    <row r="35" spans="1:51" ht="13.5" customHeight="1">
      <c r="A35" s="102"/>
      <c r="B35" s="114"/>
      <c r="C35" s="191"/>
      <c r="D35" s="343" t="s">
        <v>206</v>
      </c>
      <c r="E35" s="316"/>
      <c r="F35" s="116">
        <v>0</v>
      </c>
      <c r="G35" s="189" t="s">
        <v>203</v>
      </c>
      <c r="H35" s="344">
        <f>IF($E$3=Goblin,50000,100000)</f>
        <v>100000</v>
      </c>
      <c r="I35" s="316"/>
      <c r="J35" s="190"/>
      <c r="K35" s="191"/>
      <c r="L35" s="189" t="s">
        <v>207</v>
      </c>
      <c r="M35" s="187">
        <v>7</v>
      </c>
      <c r="N35" s="189" t="s">
        <v>203</v>
      </c>
      <c r="O35" s="352">
        <v>10000</v>
      </c>
      <c r="P35" s="316"/>
      <c r="Q35" s="316"/>
      <c r="R35" s="191" t="s">
        <v>205</v>
      </c>
      <c r="S35" s="194">
        <f t="shared" ref="S35:S38" si="31">O35*M35</f>
        <v>70000</v>
      </c>
      <c r="T35" s="117"/>
      <c r="U35" s="11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5"/>
      <c r="AS35" s="105"/>
      <c r="AT35" s="105"/>
      <c r="AU35" s="105"/>
      <c r="AV35" s="102"/>
      <c r="AW35" s="102"/>
      <c r="AX35" s="102"/>
      <c r="AY35" s="102"/>
    </row>
    <row r="36" spans="1:51" ht="13.5" customHeight="1">
      <c r="A36" s="102"/>
      <c r="B36" s="114"/>
      <c r="C36" s="191"/>
      <c r="D36" s="343" t="s">
        <v>208</v>
      </c>
      <c r="E36" s="316"/>
      <c r="F36" s="116">
        <v>0</v>
      </c>
      <c r="G36" s="189" t="s">
        <v>203</v>
      </c>
      <c r="H36" s="344">
        <v>100000</v>
      </c>
      <c r="I36" s="316"/>
      <c r="J36" s="190"/>
      <c r="K36" s="191"/>
      <c r="L36" s="189" t="s">
        <v>209</v>
      </c>
      <c r="M36" s="187">
        <v>0</v>
      </c>
      <c r="N36" s="189" t="s">
        <v>203</v>
      </c>
      <c r="O36" s="352">
        <v>10000</v>
      </c>
      <c r="P36" s="316"/>
      <c r="Q36" s="316"/>
      <c r="R36" s="191" t="s">
        <v>205</v>
      </c>
      <c r="S36" s="194">
        <f t="shared" si="31"/>
        <v>0</v>
      </c>
      <c r="T36" s="117"/>
      <c r="U36" s="214"/>
      <c r="V36" s="106"/>
      <c r="W36" s="102"/>
      <c r="X36" s="102"/>
      <c r="Y36" s="113"/>
      <c r="Z36" s="113"/>
      <c r="AA36" s="113"/>
      <c r="AB36" s="102"/>
      <c r="AC36" s="102"/>
      <c r="AD36" s="102"/>
      <c r="AE36" s="102"/>
      <c r="AF36" s="102"/>
      <c r="AG36" s="102"/>
      <c r="AH36" s="102"/>
      <c r="AI36" s="102"/>
      <c r="AJ36" s="102"/>
      <c r="AK36" s="102"/>
      <c r="AL36" s="102"/>
      <c r="AM36" s="102"/>
      <c r="AN36" s="102"/>
      <c r="AO36" s="102"/>
      <c r="AP36" s="102"/>
      <c r="AQ36" s="102"/>
      <c r="AR36" s="105"/>
      <c r="AS36" s="105"/>
      <c r="AT36" s="105"/>
      <c r="AU36" s="105"/>
      <c r="AV36" s="102"/>
      <c r="AW36" s="102"/>
      <c r="AX36" s="102"/>
      <c r="AY36" s="102"/>
    </row>
    <row r="37" spans="1:51" ht="13.5" customHeight="1">
      <c r="A37" s="102"/>
      <c r="B37" s="114"/>
      <c r="C37" s="191"/>
      <c r="D37" s="343" t="s">
        <v>210</v>
      </c>
      <c r="E37" s="316"/>
      <c r="F37" s="116">
        <v>0</v>
      </c>
      <c r="G37" s="189" t="s">
        <v>203</v>
      </c>
      <c r="H37" s="344">
        <f>IF($E$3=Halfling,100000,300000)</f>
        <v>300000</v>
      </c>
      <c r="I37" s="316"/>
      <c r="J37" s="190"/>
      <c r="K37" s="191"/>
      <c r="L37" s="189" t="s">
        <v>211</v>
      </c>
      <c r="M37" s="187">
        <v>0</v>
      </c>
      <c r="N37" s="189" t="s">
        <v>203</v>
      </c>
      <c r="O37" s="352">
        <v>10000</v>
      </c>
      <c r="P37" s="316"/>
      <c r="Q37" s="316"/>
      <c r="R37" s="191" t="s">
        <v>205</v>
      </c>
      <c r="S37" s="194">
        <f t="shared" si="31"/>
        <v>0</v>
      </c>
      <c r="T37" s="117"/>
      <c r="U37" s="214"/>
      <c r="V37" s="215"/>
      <c r="W37" s="113"/>
      <c r="X37" s="113"/>
      <c r="Y37" s="216"/>
      <c r="Z37" s="113"/>
      <c r="AA37" s="217"/>
      <c r="AB37" s="102"/>
      <c r="AC37" s="102"/>
      <c r="AD37" s="102"/>
      <c r="AE37" s="102"/>
      <c r="AF37" s="102"/>
      <c r="AG37" s="102"/>
      <c r="AH37" s="102"/>
      <c r="AI37" s="102"/>
      <c r="AJ37" s="102"/>
      <c r="AK37" s="102"/>
      <c r="AL37" s="102"/>
      <c r="AM37" s="102"/>
      <c r="AN37" s="102"/>
      <c r="AO37" s="102"/>
      <c r="AP37" s="102"/>
      <c r="AQ37" s="102"/>
      <c r="AR37" s="105"/>
      <c r="AS37" s="105"/>
      <c r="AT37" s="105"/>
      <c r="AU37" s="105"/>
      <c r="AV37" s="102"/>
      <c r="AW37" s="102"/>
      <c r="AX37" s="102"/>
      <c r="AY37" s="102"/>
    </row>
    <row r="38" spans="1:51" ht="13.5" customHeight="1">
      <c r="A38" s="102"/>
      <c r="B38" s="114"/>
      <c r="C38" s="191"/>
      <c r="D38" s="343" t="s">
        <v>212</v>
      </c>
      <c r="E38" s="316"/>
      <c r="F38" s="116">
        <v>0</v>
      </c>
      <c r="G38" s="189" t="s">
        <v>203</v>
      </c>
      <c r="H38" s="344">
        <v>100000</v>
      </c>
      <c r="I38" s="316"/>
      <c r="J38" s="190"/>
      <c r="K38" s="191"/>
      <c r="L38" s="189" t="s">
        <v>213</v>
      </c>
      <c r="M38" s="187">
        <v>1</v>
      </c>
      <c r="N38" s="189" t="s">
        <v>203</v>
      </c>
      <c r="O38" s="352">
        <v>50000</v>
      </c>
      <c r="P38" s="316"/>
      <c r="Q38" s="316"/>
      <c r="R38" s="191" t="s">
        <v>205</v>
      </c>
      <c r="S38" s="194">
        <f t="shared" si="31"/>
        <v>50000</v>
      </c>
      <c r="T38" s="117"/>
      <c r="U38" s="214"/>
      <c r="V38" s="112"/>
      <c r="W38" s="113"/>
      <c r="X38" s="113"/>
      <c r="Y38" s="113"/>
      <c r="Z38" s="113"/>
      <c r="AA38" s="113"/>
      <c r="AB38" s="102"/>
      <c r="AC38" s="102"/>
      <c r="AD38" s="102"/>
      <c r="AE38" s="102"/>
      <c r="AF38" s="102"/>
      <c r="AG38" s="102"/>
      <c r="AH38" s="102"/>
      <c r="AI38" s="102"/>
      <c r="AJ38" s="102"/>
      <c r="AK38" s="102"/>
      <c r="AL38" s="102"/>
      <c r="AM38" s="102"/>
      <c r="AN38" s="102"/>
      <c r="AO38" s="102"/>
      <c r="AP38" s="102"/>
      <c r="AQ38" s="102"/>
      <c r="AR38" s="105"/>
      <c r="AS38" s="105"/>
      <c r="AT38" s="105"/>
      <c r="AU38" s="105"/>
      <c r="AV38" s="102"/>
      <c r="AW38" s="102"/>
      <c r="AX38" s="102"/>
      <c r="AY38" s="102"/>
    </row>
    <row r="39" spans="1:51" ht="13.5" customHeight="1">
      <c r="A39" s="102"/>
      <c r="B39" s="114"/>
      <c r="C39" s="191"/>
      <c r="D39" s="343" t="s">
        <v>214</v>
      </c>
      <c r="E39" s="316"/>
      <c r="F39" s="116">
        <v>0</v>
      </c>
      <c r="G39" s="189" t="s">
        <v>203</v>
      </c>
      <c r="H39" s="344">
        <v>150000</v>
      </c>
      <c r="I39" s="316"/>
      <c r="J39" s="190"/>
      <c r="K39" s="212"/>
      <c r="L39" s="189" t="s">
        <v>215</v>
      </c>
      <c r="M39" s="353">
        <v>110000</v>
      </c>
      <c r="N39" s="316"/>
      <c r="O39" s="316"/>
      <c r="P39" s="316"/>
      <c r="Q39" s="212"/>
      <c r="R39" s="212"/>
      <c r="S39" s="115"/>
      <c r="T39" s="117"/>
      <c r="U39" s="214"/>
      <c r="V39" s="215"/>
      <c r="W39" s="113"/>
      <c r="X39" s="113"/>
      <c r="Y39" s="113"/>
      <c r="Z39" s="113"/>
      <c r="AA39" s="113"/>
      <c r="AB39" s="102"/>
      <c r="AC39" s="102"/>
      <c r="AD39" s="102"/>
      <c r="AE39" s="102"/>
      <c r="AF39" s="102"/>
      <c r="AG39" s="102"/>
      <c r="AH39" s="102"/>
      <c r="AI39" s="102"/>
      <c r="AJ39" s="102"/>
      <c r="AK39" s="102"/>
      <c r="AL39" s="102"/>
      <c r="AM39" s="102"/>
      <c r="AN39" s="102"/>
      <c r="AO39" s="102"/>
      <c r="AP39" s="102"/>
      <c r="AQ39" s="102"/>
      <c r="AR39" s="105"/>
      <c r="AS39" s="105"/>
      <c r="AT39" s="105"/>
      <c r="AU39" s="105"/>
      <c r="AV39" s="102"/>
      <c r="AW39" s="102"/>
      <c r="AX39" s="102"/>
      <c r="AY39" s="102"/>
    </row>
    <row r="40" spans="1:51" ht="13.5" customHeight="1">
      <c r="A40" s="102"/>
      <c r="B40" s="114"/>
      <c r="C40" s="191"/>
      <c r="D40" s="343" t="s">
        <v>216</v>
      </c>
      <c r="E40" s="316"/>
      <c r="F40" s="116">
        <v>0</v>
      </c>
      <c r="G40" s="189" t="s">
        <v>203</v>
      </c>
      <c r="H40" s="344">
        <v>100000</v>
      </c>
      <c r="I40" s="316"/>
      <c r="J40" s="190"/>
      <c r="K40" s="212"/>
      <c r="L40" s="189"/>
      <c r="M40" s="115"/>
      <c r="N40" s="218"/>
      <c r="O40" s="218"/>
      <c r="P40" s="218"/>
      <c r="Q40" s="132" t="s">
        <v>217</v>
      </c>
      <c r="R40" s="350">
        <f>SUM(S6:S21,S34:S38)</f>
        <v>1280000</v>
      </c>
      <c r="S40" s="316"/>
      <c r="T40" s="117"/>
      <c r="U40" s="214"/>
      <c r="V40" s="215"/>
      <c r="W40" s="113"/>
      <c r="X40" s="113"/>
      <c r="Y40" s="113"/>
      <c r="Z40" s="113"/>
      <c r="AA40" s="113"/>
      <c r="AB40" s="102"/>
      <c r="AC40" s="102"/>
      <c r="AD40" s="102"/>
      <c r="AE40" s="102"/>
      <c r="AF40" s="102"/>
      <c r="AG40" s="102"/>
      <c r="AH40" s="102"/>
      <c r="AI40" s="102"/>
      <c r="AJ40" s="102"/>
      <c r="AK40" s="102"/>
      <c r="AL40" s="102"/>
      <c r="AM40" s="102"/>
      <c r="AN40" s="102"/>
      <c r="AO40" s="102"/>
      <c r="AP40" s="102"/>
      <c r="AQ40" s="102"/>
      <c r="AR40" s="105"/>
      <c r="AS40" s="105"/>
      <c r="AT40" s="105"/>
      <c r="AU40" s="105"/>
      <c r="AV40" s="102"/>
      <c r="AW40" s="102"/>
      <c r="AX40" s="102"/>
      <c r="AY40" s="102"/>
    </row>
    <row r="41" spans="1:51" ht="13.5" customHeight="1">
      <c r="A41" s="102"/>
      <c r="B41" s="114"/>
      <c r="C41" s="212"/>
      <c r="D41" s="343" t="s">
        <v>218</v>
      </c>
      <c r="E41" s="316"/>
      <c r="F41" s="349">
        <v>0</v>
      </c>
      <c r="G41" s="316"/>
      <c r="H41" s="316"/>
      <c r="I41" s="316"/>
      <c r="J41" s="212"/>
      <c r="K41" s="212"/>
      <c r="L41" s="212"/>
      <c r="M41" s="212"/>
      <c r="N41" s="191"/>
      <c r="O41" s="191"/>
      <c r="P41" s="191"/>
      <c r="Q41" s="132" t="s">
        <v>219</v>
      </c>
      <c r="R41" s="350">
        <f>SUMPRODUCT(F34:F40,H34:H40)+F41+F42</f>
        <v>0</v>
      </c>
      <c r="S41" s="316"/>
      <c r="T41" s="117"/>
      <c r="U41" s="214"/>
      <c r="V41" s="215"/>
      <c r="W41" s="113"/>
      <c r="X41" s="113"/>
      <c r="Y41" s="113"/>
      <c r="Z41" s="113"/>
      <c r="AA41" s="113"/>
      <c r="AB41" s="102"/>
      <c r="AC41" s="102"/>
      <c r="AD41" s="102"/>
      <c r="AE41" s="102"/>
      <c r="AF41" s="102"/>
      <c r="AG41" s="102"/>
      <c r="AH41" s="102"/>
      <c r="AI41" s="102"/>
      <c r="AJ41" s="102"/>
      <c r="AK41" s="102"/>
      <c r="AL41" s="102"/>
      <c r="AM41" s="102"/>
      <c r="AN41" s="102"/>
      <c r="AO41" s="102"/>
      <c r="AP41" s="102"/>
      <c r="AQ41" s="102"/>
      <c r="AR41" s="105"/>
      <c r="AS41" s="105"/>
      <c r="AT41" s="105"/>
      <c r="AU41" s="105"/>
      <c r="AV41" s="102"/>
      <c r="AW41" s="102"/>
      <c r="AX41" s="102"/>
      <c r="AY41" s="102"/>
    </row>
    <row r="42" spans="1:51" ht="13.5" customHeight="1">
      <c r="A42" s="102"/>
      <c r="B42" s="114"/>
      <c r="C42" s="191"/>
      <c r="D42" s="189"/>
      <c r="E42" s="189" t="s">
        <v>220</v>
      </c>
      <c r="F42" s="344">
        <f>SUM(S25:S30)</f>
        <v>0</v>
      </c>
      <c r="G42" s="316"/>
      <c r="H42" s="316"/>
      <c r="I42" s="316"/>
      <c r="J42" s="191"/>
      <c r="K42" s="191"/>
      <c r="L42" s="212"/>
      <c r="M42" s="212"/>
      <c r="N42" s="191"/>
      <c r="O42" s="191"/>
      <c r="P42" s="191"/>
      <c r="Q42" s="132" t="s">
        <v>221</v>
      </c>
      <c r="R42" s="350">
        <f>R40+R41</f>
        <v>1280000</v>
      </c>
      <c r="S42" s="316"/>
      <c r="T42" s="117"/>
      <c r="U42" s="214"/>
      <c r="V42" s="215"/>
      <c r="W42" s="113"/>
      <c r="X42" s="113"/>
      <c r="Y42" s="113"/>
      <c r="Z42" s="113"/>
      <c r="AA42" s="113"/>
      <c r="AB42" s="102"/>
      <c r="AC42" s="102"/>
      <c r="AD42" s="102"/>
      <c r="AE42" s="102"/>
      <c r="AF42" s="102"/>
      <c r="AG42" s="102"/>
      <c r="AH42" s="102"/>
      <c r="AI42" s="102"/>
      <c r="AJ42" s="102"/>
      <c r="AK42" s="102"/>
      <c r="AL42" s="102"/>
      <c r="AM42" s="102"/>
      <c r="AN42" s="102"/>
      <c r="AO42" s="102"/>
      <c r="AP42" s="102"/>
      <c r="AQ42" s="102"/>
      <c r="AR42" s="105"/>
      <c r="AS42" s="105"/>
      <c r="AT42" s="105"/>
      <c r="AU42" s="105"/>
      <c r="AV42" s="102"/>
      <c r="AW42" s="102"/>
      <c r="AX42" s="102"/>
      <c r="AY42" s="102"/>
    </row>
    <row r="43" spans="1:51" ht="3" customHeight="1">
      <c r="A43" s="102"/>
      <c r="B43" s="219"/>
      <c r="C43" s="220"/>
      <c r="D43" s="221"/>
      <c r="E43" s="221"/>
      <c r="F43" s="222"/>
      <c r="G43" s="220"/>
      <c r="H43" s="220"/>
      <c r="I43" s="220"/>
      <c r="J43" s="220"/>
      <c r="K43" s="221"/>
      <c r="L43" s="221"/>
      <c r="M43" s="221"/>
      <c r="N43" s="221"/>
      <c r="O43" s="221"/>
      <c r="P43" s="221"/>
      <c r="Q43" s="221"/>
      <c r="R43" s="221"/>
      <c r="S43" s="220"/>
      <c r="T43" s="223"/>
      <c r="U43" s="214"/>
      <c r="V43" s="215"/>
      <c r="W43" s="113"/>
      <c r="X43" s="113"/>
      <c r="Y43" s="113"/>
      <c r="Z43" s="113"/>
      <c r="AA43" s="113"/>
      <c r="AB43" s="102"/>
      <c r="AC43" s="102"/>
      <c r="AD43" s="102"/>
      <c r="AE43" s="102"/>
      <c r="AF43" s="102"/>
      <c r="AG43" s="102"/>
      <c r="AH43" s="102"/>
      <c r="AI43" s="102"/>
      <c r="AJ43" s="102"/>
      <c r="AK43" s="102"/>
      <c r="AL43" s="102"/>
      <c r="AM43" s="102"/>
      <c r="AN43" s="102"/>
      <c r="AO43" s="102"/>
      <c r="AP43" s="102"/>
      <c r="AQ43" s="102"/>
      <c r="AR43" s="105"/>
      <c r="AS43" s="105"/>
      <c r="AT43" s="105"/>
      <c r="AU43" s="105"/>
      <c r="AV43" s="102"/>
      <c r="AW43" s="102"/>
      <c r="AX43" s="102"/>
      <c r="AY43" s="102"/>
    </row>
    <row r="44" spans="1:51" ht="13.5" customHeight="1">
      <c r="A44" s="102"/>
      <c r="B44" s="102"/>
      <c r="C44" s="102"/>
      <c r="D44" s="102"/>
      <c r="E44" s="102"/>
      <c r="F44" s="102"/>
      <c r="G44" s="102"/>
      <c r="H44" s="102"/>
      <c r="I44" s="102"/>
      <c r="J44" s="102"/>
      <c r="K44" s="102"/>
      <c r="L44" s="102"/>
      <c r="M44" s="102"/>
      <c r="N44" s="102"/>
      <c r="O44" s="102"/>
      <c r="P44" s="102"/>
      <c r="Q44" s="102"/>
      <c r="R44" s="102"/>
      <c r="S44" s="105"/>
      <c r="T44" s="102"/>
      <c r="U44" s="102"/>
      <c r="V44" s="215"/>
      <c r="W44" s="113"/>
      <c r="X44" s="113"/>
      <c r="Y44" s="113"/>
      <c r="Z44" s="113"/>
      <c r="AA44" s="113"/>
      <c r="AB44" s="102"/>
      <c r="AC44" s="102"/>
      <c r="AD44" s="102"/>
      <c r="AE44" s="102"/>
      <c r="AF44" s="102"/>
      <c r="AG44" s="102"/>
      <c r="AH44" s="102"/>
      <c r="AI44" s="102"/>
      <c r="AJ44" s="102"/>
      <c r="AK44" s="102"/>
      <c r="AL44" s="102"/>
      <c r="AM44" s="102"/>
      <c r="AN44" s="102"/>
      <c r="AO44" s="102"/>
      <c r="AP44" s="102"/>
      <c r="AQ44" s="102"/>
      <c r="AR44" s="105"/>
      <c r="AS44" s="105"/>
      <c r="AT44" s="105"/>
      <c r="AU44" s="105"/>
      <c r="AV44" s="102"/>
      <c r="AW44" s="102"/>
      <c r="AX44" s="102"/>
      <c r="AY44" s="102"/>
    </row>
    <row r="45" spans="1:51" ht="13.5" customHeight="1">
      <c r="A45" s="102"/>
      <c r="B45" s="102"/>
      <c r="C45" s="105"/>
      <c r="D45" s="102"/>
      <c r="E45" s="102"/>
      <c r="F45" s="104"/>
      <c r="G45" s="105"/>
      <c r="H45" s="105"/>
      <c r="I45" s="105"/>
      <c r="J45" s="105"/>
      <c r="K45" s="102"/>
      <c r="L45" s="102"/>
      <c r="M45" s="102"/>
      <c r="N45" s="102"/>
      <c r="O45" s="102"/>
      <c r="P45" s="102"/>
      <c r="Q45" s="102"/>
      <c r="R45" s="102"/>
      <c r="S45" s="105"/>
      <c r="T45" s="102"/>
      <c r="U45" s="102"/>
      <c r="V45" s="106"/>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5"/>
      <c r="AS45" s="105"/>
      <c r="AT45" s="105"/>
      <c r="AU45" s="105"/>
      <c r="AV45" s="102"/>
      <c r="AW45" s="102"/>
      <c r="AX45" s="102"/>
      <c r="AY45" s="102"/>
    </row>
    <row r="46" spans="1:51" ht="13.5" customHeight="1">
      <c r="A46" s="102"/>
      <c r="B46" s="102"/>
      <c r="C46" s="105"/>
      <c r="D46" s="102"/>
      <c r="E46" s="102"/>
      <c r="F46" s="104"/>
      <c r="G46" s="105"/>
      <c r="H46" s="105"/>
      <c r="I46" s="105"/>
      <c r="J46" s="105"/>
      <c r="K46" s="102"/>
      <c r="L46" s="102"/>
      <c r="M46" s="102"/>
      <c r="N46" s="102"/>
      <c r="O46" s="102"/>
      <c r="P46" s="102"/>
      <c r="Q46" s="102"/>
      <c r="R46" s="102"/>
      <c r="S46" s="105"/>
      <c r="T46" s="102"/>
      <c r="U46" s="102"/>
      <c r="V46" s="106"/>
      <c r="W46" s="102"/>
      <c r="X46" s="102"/>
      <c r="Y46" s="102"/>
      <c r="Z46" s="102"/>
      <c r="AA46" s="102"/>
      <c r="AB46" s="102"/>
      <c r="AC46" s="102"/>
      <c r="AD46" s="102"/>
      <c r="AE46" s="102"/>
      <c r="AF46" s="102"/>
      <c r="AG46" s="102"/>
      <c r="AH46" s="102"/>
      <c r="AI46" s="102"/>
      <c r="AJ46" s="102"/>
      <c r="AK46" s="106"/>
      <c r="AL46" s="102"/>
      <c r="AM46" s="102"/>
      <c r="AN46" s="102"/>
      <c r="AO46" s="102"/>
      <c r="AP46" s="102"/>
      <c r="AQ46" s="102"/>
      <c r="AR46" s="105"/>
      <c r="AS46" s="105"/>
      <c r="AT46" s="105"/>
      <c r="AU46" s="105"/>
      <c r="AV46" s="102"/>
      <c r="AW46" s="102"/>
      <c r="AX46" s="102"/>
      <c r="AY46" s="102"/>
    </row>
    <row r="47" spans="1:51" ht="13.5" customHeight="1">
      <c r="A47" s="102"/>
      <c r="B47" s="102"/>
      <c r="C47" s="105"/>
      <c r="D47" s="102"/>
      <c r="E47" s="102"/>
      <c r="F47" s="104"/>
      <c r="G47" s="105"/>
      <c r="H47" s="105"/>
      <c r="I47" s="105"/>
      <c r="J47" s="105"/>
      <c r="K47" s="102"/>
      <c r="L47" s="102"/>
      <c r="M47" s="102"/>
      <c r="N47" s="102"/>
      <c r="O47" s="102"/>
      <c r="P47" s="102"/>
      <c r="Q47" s="102"/>
      <c r="R47" s="102"/>
      <c r="S47" s="105"/>
      <c r="T47" s="102"/>
      <c r="U47" s="102"/>
      <c r="V47" s="106"/>
      <c r="W47" s="102"/>
      <c r="X47" s="102"/>
      <c r="Y47" s="102"/>
      <c r="Z47" s="102"/>
      <c r="AA47" s="102"/>
      <c r="AB47" s="102"/>
      <c r="AC47" s="102"/>
      <c r="AD47" s="102"/>
      <c r="AE47" s="102"/>
      <c r="AF47" s="102"/>
      <c r="AG47" s="102"/>
      <c r="AH47" s="102"/>
      <c r="AI47" s="102"/>
      <c r="AJ47" s="102"/>
      <c r="AK47" s="106" t="s">
        <v>222</v>
      </c>
      <c r="AL47" s="102" t="s">
        <v>223</v>
      </c>
      <c r="AM47" s="102"/>
      <c r="AN47" s="102"/>
      <c r="AO47" s="102"/>
      <c r="AP47" s="102"/>
      <c r="AQ47" s="102"/>
      <c r="AR47" s="105"/>
      <c r="AS47" s="105"/>
      <c r="AT47" s="105"/>
      <c r="AU47" s="105"/>
      <c r="AV47" s="102"/>
      <c r="AW47" s="102"/>
      <c r="AX47" s="102"/>
      <c r="AY47" s="102"/>
    </row>
    <row r="48" spans="1:51" ht="13.5" customHeight="1">
      <c r="A48" s="102"/>
      <c r="B48" s="102"/>
      <c r="C48" s="105"/>
      <c r="D48" s="102"/>
      <c r="E48" s="102"/>
      <c r="F48" s="104"/>
      <c r="G48" s="105"/>
      <c r="H48" s="105"/>
      <c r="I48" s="105"/>
      <c r="J48" s="105"/>
      <c r="K48" s="102"/>
      <c r="L48" s="102"/>
      <c r="M48" s="102"/>
      <c r="N48" s="102"/>
      <c r="O48" s="102"/>
      <c r="P48" s="102"/>
      <c r="Q48" s="102"/>
      <c r="R48" s="102"/>
      <c r="S48" s="105"/>
      <c r="T48" s="102"/>
      <c r="U48" s="102"/>
      <c r="V48" s="106"/>
      <c r="W48" s="102"/>
      <c r="X48" s="102"/>
      <c r="Y48" s="102"/>
      <c r="Z48" s="102"/>
      <c r="AA48" s="102"/>
      <c r="AB48" s="102"/>
      <c r="AC48" s="102"/>
      <c r="AD48" s="102"/>
      <c r="AE48" s="102"/>
      <c r="AF48" s="102"/>
      <c r="AG48" s="102"/>
      <c r="AH48" s="102"/>
      <c r="AI48" s="102"/>
      <c r="AJ48" s="102"/>
      <c r="AK48" s="234" t="e">
        <f t="shared" ref="AK48:AK57" si="32">VLOOKUP(AL48,DBTeamStars,2,0)</f>
        <v>#N/A</v>
      </c>
      <c r="AL48" s="234" t="str">
        <f>$E$3&amp;"10"</f>
        <v>Lizardman10</v>
      </c>
      <c r="AM48" s="102"/>
      <c r="AN48" s="102"/>
      <c r="AO48" s="102"/>
      <c r="AP48" s="102"/>
      <c r="AQ48" s="102"/>
      <c r="AR48" s="105"/>
      <c r="AS48" s="105"/>
      <c r="AT48" s="105"/>
      <c r="AU48" s="105"/>
      <c r="AV48" s="102"/>
      <c r="AW48" s="102"/>
      <c r="AX48" s="102"/>
      <c r="AY48" s="102"/>
    </row>
    <row r="49" spans="1:51" ht="13.5" customHeight="1">
      <c r="A49" s="102"/>
      <c r="B49" s="102"/>
      <c r="C49" s="105"/>
      <c r="D49" s="102"/>
      <c r="E49" s="102"/>
      <c r="F49" s="104"/>
      <c r="G49" s="105"/>
      <c r="H49" s="105"/>
      <c r="I49" s="105"/>
      <c r="J49" s="105"/>
      <c r="K49" s="102"/>
      <c r="L49" s="102"/>
      <c r="M49" s="102"/>
      <c r="N49" s="102"/>
      <c r="O49" s="102"/>
      <c r="P49" s="102"/>
      <c r="Q49" s="102"/>
      <c r="R49" s="102"/>
      <c r="S49" s="105"/>
      <c r="T49" s="102"/>
      <c r="U49" s="102"/>
      <c r="V49" s="106"/>
      <c r="W49" s="102"/>
      <c r="X49" s="102"/>
      <c r="Y49" s="102"/>
      <c r="Z49" s="102"/>
      <c r="AA49" s="102"/>
      <c r="AB49" s="102"/>
      <c r="AC49" s="102"/>
      <c r="AD49" s="102"/>
      <c r="AE49" s="102"/>
      <c r="AF49" s="102"/>
      <c r="AG49" s="102"/>
      <c r="AH49" s="102"/>
      <c r="AI49" s="102"/>
      <c r="AJ49" s="102"/>
      <c r="AK49" s="234" t="e">
        <f t="shared" si="32"/>
        <v>#N/A</v>
      </c>
      <c r="AL49" s="234" t="str">
        <f>$E$3&amp;"9"</f>
        <v>Lizardman9</v>
      </c>
      <c r="AM49" s="102"/>
      <c r="AN49" s="102"/>
      <c r="AO49" s="102"/>
      <c r="AP49" s="102"/>
      <c r="AQ49" s="102"/>
      <c r="AR49" s="105"/>
      <c r="AS49" s="105"/>
      <c r="AT49" s="105"/>
      <c r="AU49" s="105"/>
      <c r="AV49" s="102"/>
      <c r="AW49" s="102"/>
      <c r="AX49" s="102"/>
      <c r="AY49" s="102"/>
    </row>
    <row r="50" spans="1:51" ht="13.5" customHeight="1">
      <c r="A50" s="102"/>
      <c r="B50" s="102"/>
      <c r="C50" s="105"/>
      <c r="D50" s="102"/>
      <c r="E50" s="102"/>
      <c r="F50" s="104"/>
      <c r="G50" s="105"/>
      <c r="H50" s="105"/>
      <c r="I50" s="105"/>
      <c r="J50" s="105"/>
      <c r="K50" s="102"/>
      <c r="L50" s="102"/>
      <c r="M50" s="102"/>
      <c r="N50" s="102"/>
      <c r="O50" s="102"/>
      <c r="P50" s="102"/>
      <c r="Q50" s="102"/>
      <c r="R50" s="102"/>
      <c r="S50" s="105"/>
      <c r="T50" s="102"/>
      <c r="U50" s="102"/>
      <c r="V50" s="106"/>
      <c r="W50" s="102"/>
      <c r="X50" s="102"/>
      <c r="Y50" s="102"/>
      <c r="Z50" s="102"/>
      <c r="AA50" s="102"/>
      <c r="AB50" s="102"/>
      <c r="AC50" s="102"/>
      <c r="AD50" s="102"/>
      <c r="AE50" s="102"/>
      <c r="AF50" s="102"/>
      <c r="AG50" s="102"/>
      <c r="AH50" s="102"/>
      <c r="AI50" s="102"/>
      <c r="AJ50" s="102"/>
      <c r="AK50" s="234" t="e">
        <f t="shared" si="32"/>
        <v>#N/A</v>
      </c>
      <c r="AL50" s="234" t="str">
        <f>$E$3&amp;"8"</f>
        <v>Lizardman8</v>
      </c>
      <c r="AM50" s="102"/>
      <c r="AN50" s="102"/>
      <c r="AO50" s="102"/>
      <c r="AP50" s="102"/>
      <c r="AQ50" s="102"/>
      <c r="AR50" s="105"/>
      <c r="AS50" s="105"/>
      <c r="AT50" s="105"/>
      <c r="AU50" s="105"/>
      <c r="AV50" s="102"/>
      <c r="AW50" s="102"/>
      <c r="AX50" s="102"/>
      <c r="AY50" s="102"/>
    </row>
    <row r="51" spans="1:51" ht="13.5" customHeight="1">
      <c r="A51" s="102"/>
      <c r="B51" s="102"/>
      <c r="C51" s="105"/>
      <c r="D51" s="102"/>
      <c r="E51" s="102"/>
      <c r="F51" s="104"/>
      <c r="G51" s="105"/>
      <c r="H51" s="105"/>
      <c r="I51" s="105"/>
      <c r="J51" s="105"/>
      <c r="K51" s="102"/>
      <c r="L51" s="102"/>
      <c r="M51" s="102"/>
      <c r="N51" s="102"/>
      <c r="O51" s="102"/>
      <c r="P51" s="102"/>
      <c r="Q51" s="102"/>
      <c r="R51" s="102"/>
      <c r="S51" s="105"/>
      <c r="T51" s="102"/>
      <c r="U51" s="102"/>
      <c r="V51" s="106"/>
      <c r="W51" s="102"/>
      <c r="X51" s="102"/>
      <c r="Y51" s="102"/>
      <c r="Z51" s="102"/>
      <c r="AA51" s="102"/>
      <c r="AB51" s="102"/>
      <c r="AC51" s="102"/>
      <c r="AD51" s="102"/>
      <c r="AE51" s="102"/>
      <c r="AF51" s="102"/>
      <c r="AG51" s="102"/>
      <c r="AH51" s="102"/>
      <c r="AI51" s="102"/>
      <c r="AJ51" s="102"/>
      <c r="AK51" s="234" t="e">
        <f t="shared" si="32"/>
        <v>#N/A</v>
      </c>
      <c r="AL51" s="234" t="str">
        <f>$E$3&amp;"7"</f>
        <v>Lizardman7</v>
      </c>
      <c r="AM51" s="102"/>
      <c r="AN51" s="102"/>
      <c r="AO51" s="102"/>
      <c r="AP51" s="102"/>
      <c r="AQ51" s="102"/>
      <c r="AR51" s="105"/>
      <c r="AS51" s="105"/>
      <c r="AT51" s="105"/>
      <c r="AU51" s="105"/>
      <c r="AV51" s="102"/>
      <c r="AW51" s="102"/>
      <c r="AX51" s="102"/>
      <c r="AY51" s="102"/>
    </row>
    <row r="52" spans="1:51" ht="13.5" customHeight="1">
      <c r="A52" s="102"/>
      <c r="B52" s="102"/>
      <c r="C52" s="105"/>
      <c r="D52" s="102"/>
      <c r="E52" s="102"/>
      <c r="F52" s="104"/>
      <c r="G52" s="105"/>
      <c r="H52" s="105"/>
      <c r="I52" s="105"/>
      <c r="J52" s="105"/>
      <c r="K52" s="102"/>
      <c r="L52" s="102"/>
      <c r="M52" s="102"/>
      <c r="N52" s="102"/>
      <c r="O52" s="102"/>
      <c r="P52" s="102"/>
      <c r="Q52" s="102"/>
      <c r="R52" s="102"/>
      <c r="S52" s="105"/>
      <c r="T52" s="102"/>
      <c r="U52" s="102"/>
      <c r="V52" s="106"/>
      <c r="W52" s="102"/>
      <c r="X52" s="102"/>
      <c r="Y52" s="102"/>
      <c r="Z52" s="102"/>
      <c r="AA52" s="102"/>
      <c r="AB52" s="102"/>
      <c r="AC52" s="102"/>
      <c r="AD52" s="102"/>
      <c r="AE52" s="102"/>
      <c r="AF52" s="102"/>
      <c r="AG52" s="102"/>
      <c r="AH52" s="102"/>
      <c r="AI52" s="102"/>
      <c r="AJ52" s="102"/>
      <c r="AK52" s="234" t="str">
        <f t="shared" si="32"/>
        <v>Lottabottol</v>
      </c>
      <c r="AL52" s="234" t="str">
        <f>$E$3&amp;"6"</f>
        <v>Lizardman6</v>
      </c>
      <c r="AM52" s="102"/>
      <c r="AN52" s="102"/>
      <c r="AO52" s="102"/>
      <c r="AP52" s="102"/>
      <c r="AQ52" s="102"/>
      <c r="AR52" s="105"/>
      <c r="AS52" s="105"/>
      <c r="AT52" s="105"/>
      <c r="AU52" s="105"/>
      <c r="AV52" s="102"/>
      <c r="AW52" s="102"/>
      <c r="AX52" s="102"/>
      <c r="AY52" s="102"/>
    </row>
    <row r="53" spans="1:51" ht="13.5" customHeight="1">
      <c r="A53" s="102"/>
      <c r="B53" s="102"/>
      <c r="C53" s="105"/>
      <c r="D53" s="102"/>
      <c r="E53" s="102"/>
      <c r="F53" s="104"/>
      <c r="G53" s="105"/>
      <c r="H53" s="105"/>
      <c r="I53" s="105"/>
      <c r="J53" s="105"/>
      <c r="K53" s="102"/>
      <c r="L53" s="102"/>
      <c r="M53" s="102"/>
      <c r="N53" s="102"/>
      <c r="O53" s="102"/>
      <c r="P53" s="102"/>
      <c r="Q53" s="102"/>
      <c r="R53" s="102"/>
      <c r="S53" s="105"/>
      <c r="T53" s="102"/>
      <c r="U53" s="102"/>
      <c r="V53" s="106"/>
      <c r="W53" s="102"/>
      <c r="X53" s="102"/>
      <c r="Y53" s="102"/>
      <c r="Z53" s="102"/>
      <c r="AA53" s="102"/>
      <c r="AB53" s="102"/>
      <c r="AC53" s="102"/>
      <c r="AD53" s="102"/>
      <c r="AE53" s="102"/>
      <c r="AF53" s="102"/>
      <c r="AG53" s="102"/>
      <c r="AH53" s="102"/>
      <c r="AI53" s="102"/>
      <c r="AJ53" s="102"/>
      <c r="AK53" s="234" t="str">
        <f t="shared" si="32"/>
        <v xml:space="preserve">Quetzal Leap </v>
      </c>
      <c r="AL53" s="234" t="str">
        <f>$E$3&amp;"5"</f>
        <v>Lizardman5</v>
      </c>
      <c r="AM53" s="102"/>
      <c r="AN53" s="102"/>
      <c r="AO53" s="102"/>
      <c r="AP53" s="102"/>
      <c r="AQ53" s="102"/>
      <c r="AR53" s="105"/>
      <c r="AS53" s="105"/>
      <c r="AT53" s="105"/>
      <c r="AU53" s="105"/>
      <c r="AV53" s="102"/>
      <c r="AW53" s="102"/>
      <c r="AX53" s="102"/>
      <c r="AY53" s="102"/>
    </row>
    <row r="54" spans="1:51" ht="13.5" customHeight="1">
      <c r="A54" s="102"/>
      <c r="B54" s="102"/>
      <c r="C54" s="105"/>
      <c r="D54" s="102"/>
      <c r="E54" s="102"/>
      <c r="F54" s="104"/>
      <c r="G54" s="105"/>
      <c r="H54" s="105"/>
      <c r="I54" s="105"/>
      <c r="J54" s="105"/>
      <c r="K54" s="102"/>
      <c r="L54" s="102"/>
      <c r="M54" s="102"/>
      <c r="N54" s="102"/>
      <c r="O54" s="102"/>
      <c r="P54" s="102"/>
      <c r="Q54" s="102"/>
      <c r="R54" s="102"/>
      <c r="S54" s="105"/>
      <c r="T54" s="102"/>
      <c r="U54" s="102"/>
      <c r="V54" s="106"/>
      <c r="W54" s="102"/>
      <c r="X54" s="102"/>
      <c r="Y54" s="102"/>
      <c r="Z54" s="102"/>
      <c r="AA54" s="102"/>
      <c r="AB54" s="102"/>
      <c r="AC54" s="102"/>
      <c r="AD54" s="102"/>
      <c r="AE54" s="102"/>
      <c r="AF54" s="102"/>
      <c r="AG54" s="102"/>
      <c r="AH54" s="102"/>
      <c r="AI54" s="102"/>
      <c r="AJ54" s="102"/>
      <c r="AK54" s="234" t="str">
        <f t="shared" si="32"/>
        <v>Helmut Wulff</v>
      </c>
      <c r="AL54" s="234" t="str">
        <f>$E$3&amp;"4"</f>
        <v>Lizardman4</v>
      </c>
      <c r="AM54" s="102"/>
      <c r="AN54" s="102"/>
      <c r="AO54" s="102"/>
      <c r="AP54" s="102"/>
      <c r="AQ54" s="102"/>
      <c r="AR54" s="105"/>
      <c r="AS54" s="105"/>
      <c r="AT54" s="105"/>
      <c r="AU54" s="105"/>
      <c r="AV54" s="102"/>
      <c r="AW54" s="102"/>
      <c r="AX54" s="102"/>
      <c r="AY54" s="102"/>
    </row>
    <row r="55" spans="1:51" ht="13.5" customHeight="1">
      <c r="A55" s="102"/>
      <c r="B55" s="102"/>
      <c r="C55" s="105"/>
      <c r="D55" s="102"/>
      <c r="E55" s="102"/>
      <c r="F55" s="104"/>
      <c r="G55" s="105"/>
      <c r="H55" s="105"/>
      <c r="I55" s="105"/>
      <c r="J55" s="105"/>
      <c r="K55" s="102"/>
      <c r="L55" s="102"/>
      <c r="M55" s="102"/>
      <c r="N55" s="102"/>
      <c r="O55" s="102"/>
      <c r="P55" s="102"/>
      <c r="Q55" s="102"/>
      <c r="R55" s="102"/>
      <c r="S55" s="105"/>
      <c r="T55" s="102"/>
      <c r="U55" s="102"/>
      <c r="V55" s="106"/>
      <c r="W55" s="102"/>
      <c r="X55" s="102"/>
      <c r="Y55" s="102"/>
      <c r="Z55" s="102"/>
      <c r="AA55" s="102"/>
      <c r="AB55" s="102"/>
      <c r="AC55" s="102"/>
      <c r="AD55" s="102"/>
      <c r="AE55" s="102"/>
      <c r="AF55" s="102"/>
      <c r="AG55" s="102"/>
      <c r="AH55" s="102"/>
      <c r="AI55" s="102"/>
      <c r="AJ55" s="102"/>
      <c r="AK55" s="234" t="str">
        <f t="shared" si="32"/>
        <v>Hemlock</v>
      </c>
      <c r="AL55" s="234" t="str">
        <f>$E$3&amp;"3"</f>
        <v>Lizardman3</v>
      </c>
      <c r="AM55" s="102"/>
      <c r="AN55" s="102"/>
      <c r="AO55" s="102"/>
      <c r="AP55" s="102"/>
      <c r="AQ55" s="102"/>
      <c r="AR55" s="105"/>
      <c r="AS55" s="105"/>
      <c r="AT55" s="105"/>
      <c r="AU55" s="105"/>
      <c r="AV55" s="102"/>
      <c r="AW55" s="102"/>
      <c r="AX55" s="102"/>
      <c r="AY55" s="102"/>
    </row>
    <row r="56" spans="1:51" ht="13.5" customHeight="1">
      <c r="A56" s="102"/>
      <c r="B56" s="102"/>
      <c r="C56" s="105"/>
      <c r="D56" s="102"/>
      <c r="E56" s="102"/>
      <c r="F56" s="104"/>
      <c r="G56" s="105"/>
      <c r="H56" s="105"/>
      <c r="I56" s="105"/>
      <c r="J56" s="105"/>
      <c r="K56" s="102"/>
      <c r="L56" s="102"/>
      <c r="M56" s="102"/>
      <c r="N56" s="102"/>
      <c r="O56" s="102"/>
      <c r="P56" s="102"/>
      <c r="Q56" s="102"/>
      <c r="R56" s="102"/>
      <c r="S56" s="105"/>
      <c r="T56" s="102"/>
      <c r="U56" s="102"/>
      <c r="V56" s="106"/>
      <c r="W56" s="102"/>
      <c r="X56" s="102"/>
      <c r="Y56" s="102"/>
      <c r="Z56" s="102"/>
      <c r="AA56" s="102"/>
      <c r="AB56" s="102"/>
      <c r="AC56" s="102"/>
      <c r="AD56" s="102"/>
      <c r="AE56" s="102"/>
      <c r="AF56" s="102"/>
      <c r="AG56" s="102"/>
      <c r="AH56" s="102"/>
      <c r="AI56" s="102"/>
      <c r="AJ56" s="102"/>
      <c r="AK56" s="234" t="str">
        <f t="shared" si="32"/>
        <v>Morg 'n' Thorg</v>
      </c>
      <c r="AL56" s="234" t="str">
        <f>$E$3&amp;"2"</f>
        <v>Lizardman2</v>
      </c>
      <c r="AM56" s="102"/>
      <c r="AN56" s="102"/>
      <c r="AO56" s="102"/>
      <c r="AP56" s="102"/>
      <c r="AQ56" s="102"/>
      <c r="AR56" s="105"/>
      <c r="AS56" s="105"/>
      <c r="AT56" s="105"/>
      <c r="AU56" s="105"/>
      <c r="AV56" s="102"/>
      <c r="AW56" s="102"/>
      <c r="AX56" s="102"/>
      <c r="AY56" s="102"/>
    </row>
    <row r="57" spans="1:51" ht="13.5" customHeight="1">
      <c r="A57" s="102"/>
      <c r="B57" s="102"/>
      <c r="C57" s="105"/>
      <c r="D57" s="102"/>
      <c r="E57" s="102"/>
      <c r="F57" s="104"/>
      <c r="G57" s="105"/>
      <c r="H57" s="105"/>
      <c r="I57" s="105"/>
      <c r="J57" s="105"/>
      <c r="K57" s="102"/>
      <c r="L57" s="102"/>
      <c r="M57" s="102"/>
      <c r="N57" s="102"/>
      <c r="O57" s="102"/>
      <c r="P57" s="102"/>
      <c r="Q57" s="102"/>
      <c r="R57" s="102"/>
      <c r="S57" s="105"/>
      <c r="T57" s="102"/>
      <c r="U57" s="102"/>
      <c r="V57" s="106"/>
      <c r="W57" s="102"/>
      <c r="X57" s="102"/>
      <c r="Y57" s="102"/>
      <c r="Z57" s="102"/>
      <c r="AA57" s="102"/>
      <c r="AB57" s="102"/>
      <c r="AC57" s="102"/>
      <c r="AD57" s="102"/>
      <c r="AE57" s="102"/>
      <c r="AF57" s="102"/>
      <c r="AG57" s="102"/>
      <c r="AH57" s="102"/>
      <c r="AI57" s="102"/>
      <c r="AJ57" s="106" t="s">
        <v>224</v>
      </c>
      <c r="AK57" s="234" t="str">
        <f t="shared" si="32"/>
        <v>Slibli</v>
      </c>
      <c r="AL57" s="234" t="str">
        <f t="shared" ref="AL57:AL58" si="33">$E$3&amp;"1"</f>
        <v>Lizardman1</v>
      </c>
      <c r="AM57" s="102"/>
      <c r="AN57" s="102"/>
      <c r="AO57" s="102"/>
      <c r="AP57" s="102"/>
      <c r="AQ57" s="102"/>
      <c r="AR57" s="105"/>
      <c r="AS57" s="105"/>
      <c r="AT57" s="105"/>
      <c r="AU57" s="105"/>
      <c r="AV57" s="102"/>
      <c r="AW57" s="102"/>
      <c r="AX57" s="102"/>
      <c r="AY57" s="102"/>
    </row>
    <row r="58" spans="1:51" ht="13.5" customHeight="1">
      <c r="A58" s="102"/>
      <c r="B58" s="102"/>
      <c r="C58" s="105"/>
      <c r="D58" s="102"/>
      <c r="E58" s="102"/>
      <c r="F58" s="104"/>
      <c r="G58" s="105"/>
      <c r="H58" s="105"/>
      <c r="I58" s="105"/>
      <c r="J58" s="105"/>
      <c r="K58" s="102"/>
      <c r="L58" s="102"/>
      <c r="M58" s="102"/>
      <c r="N58" s="102"/>
      <c r="O58" s="102"/>
      <c r="P58" s="102"/>
      <c r="Q58" s="102"/>
      <c r="R58" s="102"/>
      <c r="S58" s="105"/>
      <c r="T58" s="102"/>
      <c r="U58" s="102"/>
      <c r="V58" s="106"/>
      <c r="W58" s="102"/>
      <c r="X58" s="102"/>
      <c r="Y58" s="102"/>
      <c r="Z58" s="102"/>
      <c r="AA58" s="102"/>
      <c r="AB58" s="102"/>
      <c r="AC58" s="102"/>
      <c r="AD58" s="102"/>
      <c r="AE58" s="102"/>
      <c r="AF58" s="102"/>
      <c r="AG58" s="102"/>
      <c r="AH58" s="102"/>
      <c r="AI58" s="102"/>
      <c r="AJ58" s="234" t="str">
        <f t="shared" ref="AJ58:AJ67" si="34">VLOOKUP(AL58,DBPlayers,3,0)</f>
        <v>Skink</v>
      </c>
      <c r="AK58" s="234" t="str">
        <f t="shared" ref="AK58:AK67" si="35">AJ58&amp;" "&amp;T_Merc</f>
        <v>Skink Mercenary</v>
      </c>
      <c r="AL58" s="234" t="str">
        <f t="shared" si="33"/>
        <v>Lizardman1</v>
      </c>
      <c r="AM58" s="102"/>
      <c r="AN58" s="235"/>
      <c r="AO58" s="102"/>
      <c r="AP58" s="102"/>
      <c r="AQ58" s="102"/>
      <c r="AR58" s="105"/>
      <c r="AS58" s="105"/>
      <c r="AT58" s="105"/>
      <c r="AU58" s="105"/>
      <c r="AV58" s="102"/>
      <c r="AW58" s="102"/>
      <c r="AX58" s="102"/>
      <c r="AY58" s="102"/>
    </row>
    <row r="59" spans="1:51" ht="13.5" customHeight="1">
      <c r="A59" s="102"/>
      <c r="B59" s="102"/>
      <c r="C59" s="105"/>
      <c r="D59" s="102"/>
      <c r="E59" s="102"/>
      <c r="F59" s="104"/>
      <c r="G59" s="105"/>
      <c r="H59" s="105"/>
      <c r="I59" s="105"/>
      <c r="J59" s="105"/>
      <c r="K59" s="102"/>
      <c r="L59" s="102"/>
      <c r="M59" s="102"/>
      <c r="N59" s="102"/>
      <c r="O59" s="102"/>
      <c r="P59" s="102"/>
      <c r="Q59" s="102"/>
      <c r="R59" s="102"/>
      <c r="S59" s="105"/>
      <c r="T59" s="102"/>
      <c r="U59" s="102"/>
      <c r="V59" s="106"/>
      <c r="W59" s="102"/>
      <c r="X59" s="102"/>
      <c r="Y59" s="102"/>
      <c r="Z59" s="102"/>
      <c r="AA59" s="102"/>
      <c r="AB59" s="102"/>
      <c r="AC59" s="102"/>
      <c r="AD59" s="102"/>
      <c r="AE59" s="102"/>
      <c r="AF59" s="102"/>
      <c r="AG59" s="102"/>
      <c r="AH59" s="102"/>
      <c r="AI59" s="102"/>
      <c r="AJ59" s="234" t="str">
        <f t="shared" si="34"/>
        <v>Saurus</v>
      </c>
      <c r="AK59" s="234" t="str">
        <f t="shared" si="35"/>
        <v>Saurus Mercenary</v>
      </c>
      <c r="AL59" s="234" t="str">
        <f>$E$3&amp;"2"</f>
        <v>Lizardman2</v>
      </c>
      <c r="AM59" s="102"/>
      <c r="AN59" s="102"/>
      <c r="AO59" s="102"/>
      <c r="AP59" s="102"/>
      <c r="AQ59" s="102"/>
      <c r="AR59" s="105"/>
      <c r="AS59" s="105"/>
      <c r="AT59" s="105"/>
      <c r="AU59" s="105"/>
      <c r="AV59" s="102"/>
      <c r="AW59" s="102"/>
      <c r="AX59" s="102"/>
      <c r="AY59" s="102"/>
    </row>
    <row r="60" spans="1:51" ht="12.75" customHeight="1">
      <c r="A60" s="102"/>
      <c r="B60" s="102"/>
      <c r="C60" s="105"/>
      <c r="D60" s="102"/>
      <c r="E60" s="102"/>
      <c r="F60" s="104"/>
      <c r="G60" s="105"/>
      <c r="H60" s="105"/>
      <c r="I60" s="105"/>
      <c r="J60" s="105"/>
      <c r="K60" s="102"/>
      <c r="L60" s="102"/>
      <c r="M60" s="102"/>
      <c r="N60" s="102"/>
      <c r="O60" s="102"/>
      <c r="P60" s="102"/>
      <c r="Q60" s="102"/>
      <c r="R60" s="102"/>
      <c r="S60" s="105"/>
      <c r="T60" s="102"/>
      <c r="U60" s="102"/>
      <c r="V60" s="106"/>
      <c r="W60" s="102"/>
      <c r="X60" s="102"/>
      <c r="Y60" s="102"/>
      <c r="Z60" s="102"/>
      <c r="AA60" s="102"/>
      <c r="AB60" s="102"/>
      <c r="AC60" s="102"/>
      <c r="AD60" s="102"/>
      <c r="AE60" s="102"/>
      <c r="AF60" s="102"/>
      <c r="AG60" s="102"/>
      <c r="AH60" s="102"/>
      <c r="AI60" s="102"/>
      <c r="AJ60" s="234" t="str">
        <f t="shared" si="34"/>
        <v>Kroxigor</v>
      </c>
      <c r="AK60" s="234" t="str">
        <f t="shared" si="35"/>
        <v>Kroxigor Mercenary</v>
      </c>
      <c r="AL60" s="234" t="str">
        <f>$E$3&amp;"3"</f>
        <v>Lizardman3</v>
      </c>
      <c r="AM60" s="102"/>
      <c r="AN60" s="102"/>
      <c r="AO60" s="102"/>
      <c r="AP60" s="102"/>
      <c r="AQ60" s="102"/>
      <c r="AR60" s="105"/>
      <c r="AS60" s="105"/>
      <c r="AT60" s="105"/>
      <c r="AU60" s="105"/>
      <c r="AV60" s="102"/>
      <c r="AW60" s="102"/>
      <c r="AX60" s="102"/>
      <c r="AY60" s="102"/>
    </row>
    <row r="61" spans="1:51" ht="12.75" customHeight="1">
      <c r="A61" s="102"/>
      <c r="B61" s="102"/>
      <c r="C61" s="105"/>
      <c r="D61" s="102"/>
      <c r="E61" s="102"/>
      <c r="F61" s="104"/>
      <c r="G61" s="105"/>
      <c r="H61" s="105"/>
      <c r="I61" s="105"/>
      <c r="J61" s="105"/>
      <c r="K61" s="102"/>
      <c r="L61" s="102"/>
      <c r="M61" s="102"/>
      <c r="N61" s="102"/>
      <c r="O61" s="102"/>
      <c r="P61" s="102"/>
      <c r="Q61" s="102"/>
      <c r="R61" s="102"/>
      <c r="S61" s="105"/>
      <c r="T61" s="102"/>
      <c r="U61" s="102"/>
      <c r="V61" s="106"/>
      <c r="W61" s="102"/>
      <c r="X61" s="102"/>
      <c r="Y61" s="102"/>
      <c r="Z61" s="102"/>
      <c r="AA61" s="102"/>
      <c r="AB61" s="102"/>
      <c r="AC61" s="102"/>
      <c r="AD61" s="102"/>
      <c r="AE61" s="102"/>
      <c r="AF61" s="102"/>
      <c r="AG61" s="102"/>
      <c r="AH61" s="102"/>
      <c r="AI61" s="102"/>
      <c r="AJ61" s="234" t="e">
        <f t="shared" si="34"/>
        <v>#N/A</v>
      </c>
      <c r="AK61" s="234" t="e">
        <f t="shared" si="35"/>
        <v>#N/A</v>
      </c>
      <c r="AL61" s="234" t="str">
        <f>$E$3&amp;"4"</f>
        <v>Lizardman4</v>
      </c>
      <c r="AM61" s="102"/>
      <c r="AN61" s="102"/>
      <c r="AO61" s="102"/>
      <c r="AP61" s="102"/>
      <c r="AQ61" s="102"/>
      <c r="AR61" s="105"/>
      <c r="AS61" s="105"/>
      <c r="AT61" s="105"/>
      <c r="AU61" s="105"/>
      <c r="AV61" s="102"/>
      <c r="AW61" s="102"/>
      <c r="AX61" s="102"/>
      <c r="AY61" s="102"/>
    </row>
    <row r="62" spans="1:51" ht="12.75" customHeight="1">
      <c r="A62" s="102"/>
      <c r="B62" s="102"/>
      <c r="C62" s="105"/>
      <c r="D62" s="102"/>
      <c r="E62" s="102"/>
      <c r="F62" s="104"/>
      <c r="G62" s="105"/>
      <c r="H62" s="105"/>
      <c r="I62" s="105"/>
      <c r="J62" s="105"/>
      <c r="K62" s="102"/>
      <c r="L62" s="102"/>
      <c r="M62" s="102"/>
      <c r="N62" s="102"/>
      <c r="O62" s="102"/>
      <c r="P62" s="102"/>
      <c r="Q62" s="102"/>
      <c r="R62" s="102"/>
      <c r="S62" s="105"/>
      <c r="T62" s="102"/>
      <c r="U62" s="102"/>
      <c r="V62" s="106"/>
      <c r="W62" s="102"/>
      <c r="X62" s="102"/>
      <c r="Y62" s="102"/>
      <c r="Z62" s="102"/>
      <c r="AA62" s="102"/>
      <c r="AB62" s="102"/>
      <c r="AC62" s="102"/>
      <c r="AD62" s="102"/>
      <c r="AE62" s="102"/>
      <c r="AF62" s="102"/>
      <c r="AG62" s="102"/>
      <c r="AH62" s="102"/>
      <c r="AI62" s="102"/>
      <c r="AJ62" s="234" t="e">
        <f t="shared" si="34"/>
        <v>#N/A</v>
      </c>
      <c r="AK62" s="234" t="e">
        <f t="shared" si="35"/>
        <v>#N/A</v>
      </c>
      <c r="AL62" s="234" t="str">
        <f>$E$3&amp;"5"</f>
        <v>Lizardman5</v>
      </c>
      <c r="AM62" s="102"/>
      <c r="AN62" s="102"/>
      <c r="AO62" s="102"/>
      <c r="AP62" s="102"/>
      <c r="AQ62" s="102"/>
      <c r="AR62" s="105"/>
      <c r="AS62" s="105"/>
      <c r="AT62" s="105"/>
      <c r="AU62" s="105"/>
      <c r="AV62" s="102"/>
      <c r="AW62" s="102"/>
      <c r="AX62" s="102"/>
      <c r="AY62" s="102"/>
    </row>
    <row r="63" spans="1:51" ht="12.75" customHeight="1">
      <c r="A63" s="102"/>
      <c r="B63" s="102"/>
      <c r="C63" s="105"/>
      <c r="D63" s="102"/>
      <c r="E63" s="102"/>
      <c r="F63" s="104"/>
      <c r="G63" s="105"/>
      <c r="H63" s="105"/>
      <c r="I63" s="105"/>
      <c r="J63" s="105"/>
      <c r="K63" s="102"/>
      <c r="L63" s="102"/>
      <c r="M63" s="102"/>
      <c r="N63" s="102"/>
      <c r="O63" s="102"/>
      <c r="P63" s="102"/>
      <c r="Q63" s="102"/>
      <c r="R63" s="102"/>
      <c r="S63" s="105"/>
      <c r="T63" s="102"/>
      <c r="U63" s="102"/>
      <c r="V63" s="106"/>
      <c r="W63" s="102"/>
      <c r="X63" s="102"/>
      <c r="Y63" s="102"/>
      <c r="Z63" s="102"/>
      <c r="AA63" s="102"/>
      <c r="AB63" s="102"/>
      <c r="AC63" s="102"/>
      <c r="AD63" s="102"/>
      <c r="AE63" s="102"/>
      <c r="AF63" s="102"/>
      <c r="AG63" s="102"/>
      <c r="AH63" s="102"/>
      <c r="AI63" s="102"/>
      <c r="AJ63" s="234" t="e">
        <f t="shared" si="34"/>
        <v>#N/A</v>
      </c>
      <c r="AK63" s="234" t="e">
        <f t="shared" si="35"/>
        <v>#N/A</v>
      </c>
      <c r="AL63" s="234" t="str">
        <f>$E$3&amp;"6"</f>
        <v>Lizardman6</v>
      </c>
      <c r="AM63" s="102"/>
      <c r="AN63" s="102"/>
      <c r="AO63" s="102"/>
      <c r="AP63" s="102"/>
      <c r="AQ63" s="102"/>
      <c r="AR63" s="105"/>
      <c r="AS63" s="105"/>
      <c r="AT63" s="105"/>
      <c r="AU63" s="105"/>
      <c r="AV63" s="102"/>
      <c r="AW63" s="102"/>
      <c r="AX63" s="102"/>
      <c r="AY63" s="102"/>
    </row>
    <row r="64" spans="1:51" ht="12.75" customHeight="1">
      <c r="A64" s="102"/>
      <c r="B64" s="102"/>
      <c r="C64" s="105"/>
      <c r="D64" s="102"/>
      <c r="E64" s="102"/>
      <c r="F64" s="104"/>
      <c r="G64" s="105"/>
      <c r="H64" s="105"/>
      <c r="I64" s="105"/>
      <c r="J64" s="105"/>
      <c r="K64" s="102"/>
      <c r="L64" s="102"/>
      <c r="M64" s="102"/>
      <c r="N64" s="102"/>
      <c r="O64" s="102"/>
      <c r="P64" s="102"/>
      <c r="Q64" s="102"/>
      <c r="R64" s="102"/>
      <c r="S64" s="105"/>
      <c r="T64" s="102"/>
      <c r="U64" s="102"/>
      <c r="V64" s="106"/>
      <c r="W64" s="102"/>
      <c r="X64" s="102"/>
      <c r="Y64" s="102"/>
      <c r="Z64" s="102"/>
      <c r="AA64" s="102"/>
      <c r="AB64" s="102"/>
      <c r="AC64" s="102"/>
      <c r="AD64" s="102"/>
      <c r="AE64" s="102"/>
      <c r="AF64" s="102"/>
      <c r="AG64" s="102"/>
      <c r="AH64" s="102"/>
      <c r="AI64" s="102"/>
      <c r="AJ64" s="234" t="e">
        <f t="shared" si="34"/>
        <v>#N/A</v>
      </c>
      <c r="AK64" s="234" t="e">
        <f t="shared" si="35"/>
        <v>#N/A</v>
      </c>
      <c r="AL64" s="234" t="str">
        <f>$E$3&amp;"7"</f>
        <v>Lizardman7</v>
      </c>
      <c r="AM64" s="102"/>
      <c r="AN64" s="102"/>
      <c r="AO64" s="102"/>
      <c r="AP64" s="102"/>
      <c r="AQ64" s="102"/>
      <c r="AR64" s="105"/>
      <c r="AS64" s="105"/>
      <c r="AT64" s="105"/>
      <c r="AU64" s="105"/>
      <c r="AV64" s="102"/>
      <c r="AW64" s="102"/>
      <c r="AX64" s="102"/>
      <c r="AY64" s="102"/>
    </row>
    <row r="65" spans="1:51" ht="12.75" customHeight="1">
      <c r="A65" s="102"/>
      <c r="B65" s="102"/>
      <c r="C65" s="105"/>
      <c r="D65" s="102"/>
      <c r="E65" s="102"/>
      <c r="F65" s="104"/>
      <c r="G65" s="105"/>
      <c r="H65" s="105"/>
      <c r="I65" s="105"/>
      <c r="J65" s="105"/>
      <c r="K65" s="102"/>
      <c r="L65" s="102"/>
      <c r="M65" s="102"/>
      <c r="N65" s="102"/>
      <c r="O65" s="102"/>
      <c r="P65" s="102"/>
      <c r="Q65" s="102"/>
      <c r="R65" s="102"/>
      <c r="S65" s="105"/>
      <c r="T65" s="102"/>
      <c r="U65" s="102"/>
      <c r="V65" s="106"/>
      <c r="W65" s="102"/>
      <c r="X65" s="102"/>
      <c r="Y65" s="102"/>
      <c r="Z65" s="102"/>
      <c r="AA65" s="102"/>
      <c r="AB65" s="102"/>
      <c r="AC65" s="102"/>
      <c r="AD65" s="102"/>
      <c r="AE65" s="102"/>
      <c r="AF65" s="102"/>
      <c r="AG65" s="102"/>
      <c r="AH65" s="102"/>
      <c r="AI65" s="102"/>
      <c r="AJ65" s="234" t="e">
        <f t="shared" si="34"/>
        <v>#N/A</v>
      </c>
      <c r="AK65" s="234" t="e">
        <f t="shared" si="35"/>
        <v>#N/A</v>
      </c>
      <c r="AL65" s="234" t="str">
        <f>$E$3&amp;"8"</f>
        <v>Lizardman8</v>
      </c>
      <c r="AM65" s="102"/>
      <c r="AN65" s="102"/>
      <c r="AO65" s="102"/>
      <c r="AP65" s="102"/>
      <c r="AQ65" s="102"/>
      <c r="AR65" s="105"/>
      <c r="AS65" s="105"/>
      <c r="AT65" s="105"/>
      <c r="AU65" s="105"/>
      <c r="AV65" s="102"/>
      <c r="AW65" s="102"/>
      <c r="AX65" s="102"/>
      <c r="AY65" s="102"/>
    </row>
    <row r="66" spans="1:51" ht="12.75" customHeight="1">
      <c r="A66" s="102"/>
      <c r="B66" s="102"/>
      <c r="C66" s="105"/>
      <c r="D66" s="102"/>
      <c r="E66" s="102"/>
      <c r="F66" s="104"/>
      <c r="G66" s="105"/>
      <c r="H66" s="105"/>
      <c r="I66" s="105"/>
      <c r="J66" s="105"/>
      <c r="K66" s="102"/>
      <c r="L66" s="102"/>
      <c r="M66" s="102"/>
      <c r="N66" s="102"/>
      <c r="O66" s="102"/>
      <c r="P66" s="102"/>
      <c r="Q66" s="102"/>
      <c r="R66" s="102"/>
      <c r="S66" s="105"/>
      <c r="T66" s="102"/>
      <c r="U66" s="102"/>
      <c r="V66" s="106"/>
      <c r="W66" s="102"/>
      <c r="X66" s="102"/>
      <c r="Y66" s="102"/>
      <c r="Z66" s="102"/>
      <c r="AA66" s="102"/>
      <c r="AB66" s="102"/>
      <c r="AC66" s="102"/>
      <c r="AD66" s="102"/>
      <c r="AE66" s="102"/>
      <c r="AF66" s="102"/>
      <c r="AG66" s="102"/>
      <c r="AH66" s="102"/>
      <c r="AI66" s="102"/>
      <c r="AJ66" s="234" t="e">
        <f t="shared" si="34"/>
        <v>#N/A</v>
      </c>
      <c r="AK66" s="234" t="e">
        <f t="shared" si="35"/>
        <v>#N/A</v>
      </c>
      <c r="AL66" s="234" t="str">
        <f>$E$3&amp;"9"</f>
        <v>Lizardman9</v>
      </c>
      <c r="AM66" s="102"/>
      <c r="AN66" s="102"/>
      <c r="AO66" s="102"/>
      <c r="AP66" s="102"/>
      <c r="AQ66" s="102"/>
      <c r="AR66" s="105"/>
      <c r="AS66" s="105"/>
      <c r="AT66" s="105"/>
      <c r="AU66" s="105"/>
      <c r="AV66" s="102"/>
      <c r="AW66" s="102"/>
      <c r="AX66" s="102"/>
      <c r="AY66" s="102"/>
    </row>
    <row r="67" spans="1:51" ht="12.75" customHeight="1">
      <c r="A67" s="102"/>
      <c r="B67" s="102"/>
      <c r="C67" s="105"/>
      <c r="D67" s="102"/>
      <c r="E67" s="102"/>
      <c r="F67" s="104"/>
      <c r="G67" s="105"/>
      <c r="H67" s="105"/>
      <c r="I67" s="105"/>
      <c r="J67" s="105"/>
      <c r="K67" s="102"/>
      <c r="L67" s="102"/>
      <c r="M67" s="102"/>
      <c r="N67" s="102"/>
      <c r="O67" s="102"/>
      <c r="P67" s="102"/>
      <c r="Q67" s="102"/>
      <c r="R67" s="102"/>
      <c r="S67" s="105"/>
      <c r="T67" s="102"/>
      <c r="U67" s="102"/>
      <c r="V67" s="106"/>
      <c r="W67" s="102"/>
      <c r="X67" s="102"/>
      <c r="Y67" s="102"/>
      <c r="Z67" s="102"/>
      <c r="AA67" s="102"/>
      <c r="AB67" s="102"/>
      <c r="AC67" s="102"/>
      <c r="AD67" s="102"/>
      <c r="AE67" s="102"/>
      <c r="AF67" s="102"/>
      <c r="AG67" s="102"/>
      <c r="AH67" s="102"/>
      <c r="AI67" s="102"/>
      <c r="AJ67" s="234" t="e">
        <f t="shared" si="34"/>
        <v>#N/A</v>
      </c>
      <c r="AK67" s="234" t="e">
        <f t="shared" si="35"/>
        <v>#N/A</v>
      </c>
      <c r="AL67" s="234" t="str">
        <f>$E$3&amp;"10"</f>
        <v>Lizardman10</v>
      </c>
      <c r="AM67" s="102"/>
      <c r="AN67" s="102"/>
      <c r="AO67" s="102"/>
      <c r="AP67" s="102"/>
      <c r="AQ67" s="102"/>
      <c r="AR67" s="105"/>
      <c r="AS67" s="105"/>
      <c r="AT67" s="105"/>
      <c r="AU67" s="105"/>
      <c r="AV67" s="102"/>
      <c r="AW67" s="102"/>
      <c r="AX67" s="102"/>
      <c r="AY67" s="102"/>
    </row>
    <row r="68" spans="1:51" ht="12.75" customHeight="1">
      <c r="A68" s="102"/>
      <c r="B68" s="102"/>
      <c r="C68" s="105"/>
      <c r="D68" s="102"/>
      <c r="E68" s="102"/>
      <c r="F68" s="104"/>
      <c r="G68" s="105"/>
      <c r="H68" s="105"/>
      <c r="I68" s="105"/>
      <c r="J68" s="105"/>
      <c r="K68" s="102"/>
      <c r="L68" s="102"/>
      <c r="M68" s="102"/>
      <c r="N68" s="102"/>
      <c r="O68" s="102"/>
      <c r="P68" s="102"/>
      <c r="Q68" s="102"/>
      <c r="R68" s="102"/>
      <c r="S68" s="105"/>
      <c r="T68" s="102"/>
      <c r="U68" s="102"/>
      <c r="V68" s="106"/>
      <c r="W68" s="102"/>
      <c r="X68" s="102"/>
      <c r="Y68" s="102"/>
      <c r="Z68" s="102"/>
      <c r="AA68" s="102"/>
      <c r="AB68" s="102"/>
      <c r="AC68" s="102"/>
      <c r="AD68" s="102"/>
      <c r="AE68" s="102"/>
      <c r="AF68" s="102"/>
      <c r="AG68" s="102"/>
      <c r="AH68" s="102"/>
      <c r="AI68" s="102"/>
      <c r="AJ68" s="102"/>
      <c r="AK68" s="102"/>
      <c r="AL68" s="102"/>
      <c r="AM68" s="102"/>
      <c r="AN68" s="102"/>
      <c r="AO68" s="102"/>
      <c r="AP68" s="102"/>
      <c r="AQ68" s="102"/>
      <c r="AR68" s="105"/>
      <c r="AS68" s="105"/>
      <c r="AT68" s="105"/>
      <c r="AU68" s="105"/>
      <c r="AV68" s="102"/>
      <c r="AW68" s="102"/>
      <c r="AX68" s="102"/>
      <c r="AY68" s="102"/>
    </row>
    <row r="69" spans="1:51" ht="12.75" customHeight="1">
      <c r="A69" s="102"/>
      <c r="B69" s="102"/>
      <c r="C69" s="105"/>
      <c r="D69" s="102"/>
      <c r="E69" s="102"/>
      <c r="F69" s="104"/>
      <c r="G69" s="105"/>
      <c r="H69" s="105"/>
      <c r="I69" s="105"/>
      <c r="J69" s="105"/>
      <c r="K69" s="102"/>
      <c r="L69" s="102"/>
      <c r="M69" s="102"/>
      <c r="N69" s="102"/>
      <c r="O69" s="102"/>
      <c r="P69" s="102"/>
      <c r="Q69" s="102"/>
      <c r="R69" s="102"/>
      <c r="S69" s="105"/>
      <c r="T69" s="102"/>
      <c r="U69" s="102"/>
      <c r="V69" s="106"/>
      <c r="W69" s="102"/>
      <c r="X69" s="102"/>
      <c r="Y69" s="102"/>
      <c r="Z69" s="102"/>
      <c r="AA69" s="102"/>
      <c r="AB69" s="102"/>
      <c r="AC69" s="102"/>
      <c r="AD69" s="102"/>
      <c r="AE69" s="102"/>
      <c r="AF69" s="102"/>
      <c r="AG69" s="102"/>
      <c r="AH69" s="102"/>
      <c r="AI69" s="102"/>
      <c r="AJ69" s="235" t="s">
        <v>225</v>
      </c>
      <c r="AK69" s="234">
        <f t="array" ref="AK69">SUM(IF(ISERROR($AK$58:$AK$67),0,1))</f>
        <v>3</v>
      </c>
      <c r="AL69" s="102"/>
      <c r="AM69" s="102"/>
      <c r="AN69" s="102"/>
      <c r="AO69" s="102"/>
      <c r="AP69" s="102"/>
      <c r="AQ69" s="102"/>
      <c r="AR69" s="105"/>
      <c r="AS69" s="105"/>
      <c r="AT69" s="105"/>
      <c r="AU69" s="105"/>
      <c r="AV69" s="102"/>
      <c r="AW69" s="102"/>
      <c r="AX69" s="102"/>
      <c r="AY69" s="102"/>
    </row>
    <row r="70" spans="1:51" ht="12.75" customHeight="1">
      <c r="A70" s="102"/>
      <c r="B70" s="102"/>
      <c r="C70" s="105"/>
      <c r="D70" s="102"/>
      <c r="E70" s="102"/>
      <c r="F70" s="104"/>
      <c r="G70" s="105"/>
      <c r="H70" s="105"/>
      <c r="I70" s="105"/>
      <c r="J70" s="105"/>
      <c r="K70" s="102"/>
      <c r="L70" s="102"/>
      <c r="M70" s="102"/>
      <c r="N70" s="102"/>
      <c r="O70" s="102"/>
      <c r="P70" s="102"/>
      <c r="Q70" s="102"/>
      <c r="R70" s="102"/>
      <c r="S70" s="105"/>
      <c r="T70" s="102"/>
      <c r="U70" s="102"/>
      <c r="V70" s="106"/>
      <c r="W70" s="102"/>
      <c r="X70" s="102"/>
      <c r="Y70" s="102"/>
      <c r="Z70" s="102"/>
      <c r="AA70" s="102"/>
      <c r="AB70" s="102"/>
      <c r="AC70" s="102"/>
      <c r="AD70" s="102"/>
      <c r="AE70" s="102"/>
      <c r="AF70" s="102"/>
      <c r="AG70" s="102"/>
      <c r="AH70" s="102"/>
      <c r="AI70" s="102"/>
      <c r="AJ70" s="235" t="s">
        <v>226</v>
      </c>
      <c r="AK70" s="234">
        <f t="array" ref="AK70">SUM(IF(ISERROR($AK$48:$AK$57),0,1))</f>
        <v>6</v>
      </c>
      <c r="AL70" s="102"/>
      <c r="AM70" s="102"/>
      <c r="AN70" s="102"/>
      <c r="AO70" s="102"/>
      <c r="AP70" s="102"/>
      <c r="AQ70" s="102"/>
      <c r="AR70" s="105"/>
      <c r="AS70" s="105"/>
      <c r="AT70" s="105"/>
      <c r="AU70" s="105"/>
      <c r="AV70" s="102"/>
      <c r="AW70" s="102"/>
      <c r="AX70" s="102"/>
      <c r="AY70" s="102"/>
    </row>
  </sheetData>
  <mergeCells count="58">
    <mergeCell ref="H39:I39"/>
    <mergeCell ref="H40:I40"/>
    <mergeCell ref="F42:I42"/>
    <mergeCell ref="D41:E41"/>
    <mergeCell ref="F41:I41"/>
    <mergeCell ref="D40:E40"/>
    <mergeCell ref="D39:E39"/>
    <mergeCell ref="D34:E34"/>
    <mergeCell ref="D35:E35"/>
    <mergeCell ref="H34:I34"/>
    <mergeCell ref="H35:I35"/>
    <mergeCell ref="D38:E38"/>
    <mergeCell ref="D37:E37"/>
    <mergeCell ref="H38:I38"/>
    <mergeCell ref="D36:E36"/>
    <mergeCell ref="H37:I37"/>
    <mergeCell ref="H36:I36"/>
    <mergeCell ref="N3:S3"/>
    <mergeCell ref="L3:M3"/>
    <mergeCell ref="E3:F3"/>
    <mergeCell ref="G3:I3"/>
    <mergeCell ref="J3:K3"/>
    <mergeCell ref="U3:W3"/>
    <mergeCell ref="AF3:AG3"/>
    <mergeCell ref="AR3:AU3"/>
    <mergeCell ref="V25:W25"/>
    <mergeCell ref="V24:W24"/>
    <mergeCell ref="V29:W29"/>
    <mergeCell ref="V30:W30"/>
    <mergeCell ref="V26:W26"/>
    <mergeCell ref="V27:W27"/>
    <mergeCell ref="V28:W28"/>
    <mergeCell ref="R42:S42"/>
    <mergeCell ref="R40:S40"/>
    <mergeCell ref="R41:S41"/>
    <mergeCell ref="K28:R28"/>
    <mergeCell ref="K29:R29"/>
    <mergeCell ref="K30:R30"/>
    <mergeCell ref="O35:Q35"/>
    <mergeCell ref="O36:Q36"/>
    <mergeCell ref="M39:P39"/>
    <mergeCell ref="L33:R33"/>
    <mergeCell ref="O37:Q37"/>
    <mergeCell ref="O34:Q34"/>
    <mergeCell ref="O38:Q38"/>
    <mergeCell ref="D33:I33"/>
    <mergeCell ref="K25:R25"/>
    <mergeCell ref="K24:R24"/>
    <mergeCell ref="K26:R26"/>
    <mergeCell ref="K27:R27"/>
    <mergeCell ref="L31:P31"/>
    <mergeCell ref="D29:E29"/>
    <mergeCell ref="D30:E30"/>
    <mergeCell ref="D24:E24"/>
    <mergeCell ref="D25:E25"/>
    <mergeCell ref="D26:E26"/>
    <mergeCell ref="D27:E27"/>
    <mergeCell ref="D28:E28"/>
  </mergeCells>
  <conditionalFormatting sqref="G6:J21">
    <cfRule type="cellIs" dxfId="12" priority="1" stopIfTrue="1" operator="greaterThan">
      <formula>AR6</formula>
    </cfRule>
  </conditionalFormatting>
  <conditionalFormatting sqref="G6:J21">
    <cfRule type="cellIs" dxfId="11" priority="2" stopIfTrue="1" operator="lessThan">
      <formula>AR6</formula>
    </cfRule>
  </conditionalFormatting>
  <dataValidations count="13">
    <dataValidation type="list" allowBlank="1" showErrorMessage="1" sqref="E3">
      <formula1>TeamList</formula1>
    </dataValidation>
    <dataValidation type="decimal" allowBlank="1" showInputMessage="1" showErrorMessage="1" prompt="Wrong Entry - Please enter only numbers between 0 and 2!" sqref="F34 F38">
      <formula1>0</formula1>
      <formula2>2</formula2>
    </dataValidation>
    <dataValidation type="list" allowBlank="1" showInputMessage="1" showErrorMessage="1" prompt="Wrong Entry - Please enter a value from the dropdown list!" sqref="E6:E21">
      <formula1>OFFSET($AJ$58:$AJ$67,0,0,$AK$69,1)</formula1>
    </dataValidation>
    <dataValidation type="list" allowBlank="1" showErrorMessage="1" sqref="D44">
      <formula1>#REF!</formula1>
    </dataValidation>
    <dataValidation type="list" allowBlank="1" showInputMessage="1" showErrorMessage="1" prompt="Wrong Entry - Please enter a value from the dropdown list!" sqref="L6:L21">
      <formula1>StatusDropdown</formula1>
    </dataValidation>
    <dataValidation type="list" allowBlank="1" showInputMessage="1" showErrorMessage="1" prompt="Wrong Entry - Please enter a value from the dropdown list!" sqref="D25:D30">
      <formula1>OFFSET($AK$48:$AK$67,(10-$AK$70),0,$AK$69+$AK$70,1)</formula1>
    </dataValidation>
    <dataValidation type="decimal" allowBlank="1" showInputMessage="1" showErrorMessage="1" prompt="Wrong Entry - Please enter only numbers between 0 and 3!" sqref="F35">
      <formula1>0</formula1>
      <formula2>3</formula2>
    </dataValidation>
    <dataValidation type="decimal" allowBlank="1" showInputMessage="1" showErrorMessage="1" prompt="Wrong Entry - Please enter only numbers!" sqref="M34:M37">
      <formula1>0</formula1>
      <formula2>99</formula2>
    </dataValidation>
    <dataValidation type="list" allowBlank="1" showErrorMessage="1" sqref="Y6:AD21 V25:V30 Y30">
      <formula1>OFFSET(DBSkills,0,0,ROWS(DBSkills),1)</formula1>
    </dataValidation>
    <dataValidation type="decimal" allowBlank="1" showInputMessage="1" showErrorMessage="1" prompt="Wrong Entry - Please enter only numbers!" sqref="M39 F41">
      <formula1>-10000000</formula1>
      <formula2>1000000</formula2>
    </dataValidation>
    <dataValidation type="decimal" allowBlank="1" showInputMessage="1" showErrorMessage="1" prompt="Wrong Entry - Please enter only numbers between 0 and 4!" sqref="F36">
      <formula1>0</formula1>
      <formula2>4</formula2>
    </dataValidation>
    <dataValidation type="decimal" allowBlank="1" showInputMessage="1" showErrorMessage="1" prompt="Wrong Entry - Please do only enter numbers!" sqref="M6:Q21">
      <formula1>0</formula1>
      <formula2>9999</formula2>
    </dataValidation>
    <dataValidation type="decimal" allowBlank="1" showInputMessage="1" showErrorMessage="1" prompt="Wrong Entry - Please enter only 0 or 1!" sqref="F37 M38 F39:F40">
      <formula1>0</formula1>
      <formula2>1</formula2>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Y70"/>
  <sheetViews>
    <sheetView workbookViewId="0">
      <selection activeCell="K14" sqref="K14"/>
    </sheetView>
  </sheetViews>
  <sheetFormatPr defaultColWidth="14.42578125" defaultRowHeight="15" customHeight="1"/>
  <cols>
    <col min="1" max="1" width="0.7109375" customWidth="1"/>
    <col min="2" max="2" width="0.5703125" customWidth="1"/>
    <col min="3" max="3" width="3.7109375" customWidth="1"/>
    <col min="4" max="4" width="15.7109375" customWidth="1"/>
    <col min="5" max="5" width="12.140625" customWidth="1"/>
    <col min="6" max="6" width="5.85546875" customWidth="1"/>
    <col min="7" max="7" width="3.140625" customWidth="1"/>
    <col min="8" max="10" width="3.42578125" customWidth="1"/>
    <col min="11" max="11" width="55.42578125" customWidth="1"/>
    <col min="12" max="12" width="5.85546875" customWidth="1"/>
    <col min="13" max="18" width="3.42578125" customWidth="1"/>
    <col min="19" max="19" width="8" customWidth="1"/>
    <col min="20" max="20" width="0.5703125" customWidth="1"/>
    <col min="21" max="22" width="7.140625" customWidth="1"/>
    <col min="23" max="23" width="7.42578125" customWidth="1"/>
    <col min="24" max="24" width="0.5703125" customWidth="1"/>
    <col min="25" max="30" width="12.42578125" customWidth="1"/>
    <col min="31" max="31" width="13.28515625" customWidth="1"/>
    <col min="32" max="32" width="17.42578125" customWidth="1"/>
    <col min="33" max="33" width="6.42578125" customWidth="1"/>
    <col min="34" max="34" width="24.140625" customWidth="1"/>
    <col min="35" max="35" width="10.140625" hidden="1" customWidth="1"/>
    <col min="36" max="43" width="11.42578125" hidden="1" customWidth="1"/>
    <col min="44" max="47" width="3.5703125" hidden="1" customWidth="1"/>
    <col min="48" max="51" width="11.42578125" hidden="1" customWidth="1"/>
  </cols>
  <sheetData>
    <row r="1" spans="1:51" ht="3.75" customHeight="1">
      <c r="A1" s="102"/>
      <c r="B1" s="102"/>
      <c r="C1" s="103"/>
      <c r="D1" s="102"/>
      <c r="E1" s="102"/>
      <c r="F1" s="104"/>
      <c r="G1" s="105"/>
      <c r="H1" s="105"/>
      <c r="I1" s="105"/>
      <c r="J1" s="105"/>
      <c r="K1" s="102"/>
      <c r="L1" s="102"/>
      <c r="M1" s="102"/>
      <c r="N1" s="102"/>
      <c r="O1" s="102"/>
      <c r="P1" s="102"/>
      <c r="Q1" s="102"/>
      <c r="R1" s="102"/>
      <c r="S1" s="105"/>
      <c r="T1" s="102"/>
      <c r="U1" s="102"/>
      <c r="V1" s="106"/>
      <c r="W1" s="102"/>
      <c r="X1" s="102"/>
      <c r="Y1" s="102"/>
      <c r="Z1" s="102"/>
      <c r="AA1" s="102"/>
      <c r="AB1" s="102"/>
      <c r="AC1" s="102"/>
      <c r="AD1" s="102"/>
      <c r="AE1" s="102"/>
      <c r="AF1" s="102"/>
      <c r="AG1" s="102"/>
      <c r="AH1" s="102"/>
      <c r="AI1" s="102"/>
      <c r="AJ1" s="102"/>
      <c r="AK1" s="102"/>
      <c r="AL1" s="102"/>
      <c r="AM1" s="102"/>
      <c r="AN1" s="102"/>
      <c r="AO1" s="102"/>
      <c r="AP1" s="102"/>
      <c r="AQ1" s="102"/>
      <c r="AR1" s="105"/>
      <c r="AS1" s="105"/>
      <c r="AT1" s="105"/>
      <c r="AU1" s="105"/>
      <c r="AV1" s="102"/>
      <c r="AW1" s="102"/>
      <c r="AX1" s="102"/>
      <c r="AY1" s="102"/>
    </row>
    <row r="2" spans="1:51" ht="3" customHeight="1">
      <c r="A2" s="102"/>
      <c r="B2" s="107"/>
      <c r="C2" s="108"/>
      <c r="D2" s="109"/>
      <c r="E2" s="109"/>
      <c r="F2" s="110"/>
      <c r="G2" s="108"/>
      <c r="H2" s="108"/>
      <c r="I2" s="108"/>
      <c r="J2" s="108"/>
      <c r="K2" s="109"/>
      <c r="L2" s="109"/>
      <c r="M2" s="109"/>
      <c r="N2" s="109"/>
      <c r="O2" s="109"/>
      <c r="P2" s="109"/>
      <c r="Q2" s="109"/>
      <c r="R2" s="109"/>
      <c r="S2" s="109"/>
      <c r="T2" s="111"/>
      <c r="U2" s="102"/>
      <c r="V2" s="112"/>
      <c r="W2" s="113"/>
      <c r="X2" s="113"/>
      <c r="Y2" s="102"/>
      <c r="Z2" s="102"/>
      <c r="AA2" s="102"/>
      <c r="AB2" s="102"/>
      <c r="AC2" s="102"/>
      <c r="AD2" s="102"/>
      <c r="AE2" s="102"/>
      <c r="AF2" s="102"/>
      <c r="AG2" s="102"/>
      <c r="AH2" s="102"/>
      <c r="AI2" s="102"/>
      <c r="AJ2" s="102"/>
      <c r="AK2" s="102"/>
      <c r="AL2" s="102"/>
      <c r="AM2" s="102"/>
      <c r="AN2" s="102"/>
      <c r="AO2" s="102"/>
      <c r="AP2" s="102"/>
      <c r="AQ2" s="102"/>
      <c r="AR2" s="105"/>
      <c r="AS2" s="105"/>
      <c r="AT2" s="105"/>
      <c r="AU2" s="105"/>
      <c r="AV2" s="102"/>
      <c r="AW2" s="102"/>
      <c r="AX2" s="102"/>
      <c r="AY2" s="102"/>
    </row>
    <row r="3" spans="1:51" ht="18" customHeight="1">
      <c r="A3" s="102"/>
      <c r="B3" s="114"/>
      <c r="C3" s="115"/>
      <c r="D3" s="116" t="s">
        <v>131</v>
      </c>
      <c r="E3" s="339" t="s">
        <v>326</v>
      </c>
      <c r="F3" s="340"/>
      <c r="G3" s="342" t="s">
        <v>133</v>
      </c>
      <c r="H3" s="316"/>
      <c r="I3" s="316"/>
      <c r="J3" s="339" t="s">
        <v>49</v>
      </c>
      <c r="K3" s="340"/>
      <c r="L3" s="342" t="s">
        <v>134</v>
      </c>
      <c r="M3" s="316"/>
      <c r="N3" s="339" t="s">
        <v>264</v>
      </c>
      <c r="O3" s="340"/>
      <c r="P3" s="340"/>
      <c r="Q3" s="340"/>
      <c r="R3" s="340"/>
      <c r="S3" s="340"/>
      <c r="T3" s="117"/>
      <c r="U3" s="338" t="s">
        <v>136</v>
      </c>
      <c r="V3" s="316"/>
      <c r="W3" s="316"/>
      <c r="X3" s="118"/>
      <c r="Y3" s="119" t="s">
        <v>137</v>
      </c>
      <c r="Z3" s="102"/>
      <c r="AA3" s="102"/>
      <c r="AB3" s="102"/>
      <c r="AC3" s="102"/>
      <c r="AD3" s="102"/>
      <c r="AE3" s="102"/>
      <c r="AF3" s="336" t="s">
        <v>138</v>
      </c>
      <c r="AG3" s="337"/>
      <c r="AH3" s="120"/>
      <c r="AI3" s="102"/>
      <c r="AJ3" s="102"/>
      <c r="AK3" s="102"/>
      <c r="AL3" s="102"/>
      <c r="AM3" s="102"/>
      <c r="AN3" s="102"/>
      <c r="AO3" s="102"/>
      <c r="AP3" s="102"/>
      <c r="AQ3" s="102"/>
      <c r="AR3" s="335" t="s">
        <v>139</v>
      </c>
      <c r="AS3" s="316"/>
      <c r="AT3" s="316"/>
      <c r="AU3" s="316"/>
      <c r="AV3" s="102"/>
      <c r="AW3" s="102"/>
      <c r="AX3" s="102"/>
      <c r="AY3" s="102"/>
    </row>
    <row r="4" spans="1:51" ht="3" customHeight="1">
      <c r="A4" s="102"/>
      <c r="B4" s="107"/>
      <c r="C4" s="108"/>
      <c r="D4" s="109"/>
      <c r="E4" s="109"/>
      <c r="F4" s="110"/>
      <c r="G4" s="108"/>
      <c r="H4" s="108"/>
      <c r="I4" s="108"/>
      <c r="J4" s="108"/>
      <c r="K4" s="109"/>
      <c r="L4" s="109"/>
      <c r="M4" s="109"/>
      <c r="N4" s="109"/>
      <c r="O4" s="109"/>
      <c r="P4" s="109"/>
      <c r="Q4" s="109"/>
      <c r="R4" s="109"/>
      <c r="S4" s="108"/>
      <c r="T4" s="111"/>
      <c r="U4" s="121"/>
      <c r="V4" s="122"/>
      <c r="W4" s="121"/>
      <c r="X4" s="121"/>
      <c r="Y4" s="121"/>
      <c r="Z4" s="121"/>
      <c r="AA4" s="121"/>
      <c r="AB4" s="121"/>
      <c r="AC4" s="121"/>
      <c r="AD4" s="121"/>
      <c r="AE4" s="121"/>
      <c r="AF4" s="121"/>
      <c r="AG4" s="121"/>
      <c r="AH4" s="120"/>
      <c r="AI4" s="102"/>
      <c r="AJ4" s="102"/>
      <c r="AK4" s="102"/>
      <c r="AL4" s="102"/>
      <c r="AM4" s="102"/>
      <c r="AN4" s="102"/>
      <c r="AO4" s="102"/>
      <c r="AP4" s="102"/>
      <c r="AQ4" s="102"/>
      <c r="AR4" s="105"/>
      <c r="AS4" s="105"/>
      <c r="AT4" s="105"/>
      <c r="AU4" s="105"/>
      <c r="AV4" s="102"/>
      <c r="AW4" s="102"/>
      <c r="AX4" s="102"/>
      <c r="AY4" s="102"/>
    </row>
    <row r="5" spans="1:51" ht="13.5" customHeight="1">
      <c r="A5" s="123"/>
      <c r="B5" s="124"/>
      <c r="C5" s="125" t="s">
        <v>140</v>
      </c>
      <c r="D5" s="126" t="s">
        <v>141</v>
      </c>
      <c r="E5" s="126" t="s">
        <v>126</v>
      </c>
      <c r="F5" s="127" t="s">
        <v>142</v>
      </c>
      <c r="G5" s="127" t="str">
        <f>T_MA</f>
        <v>MA</v>
      </c>
      <c r="H5" s="127" t="str">
        <f>T_ST</f>
        <v>ST</v>
      </c>
      <c r="I5" s="127" t="str">
        <f>T_AG</f>
        <v>AG</v>
      </c>
      <c r="J5" s="127" t="str">
        <f>T_AV</f>
        <v>AV</v>
      </c>
      <c r="K5" s="128" t="s">
        <v>143</v>
      </c>
      <c r="L5" s="125" t="s">
        <v>144</v>
      </c>
      <c r="M5" s="129" t="s">
        <v>120</v>
      </c>
      <c r="N5" s="130" t="s">
        <v>20</v>
      </c>
      <c r="O5" s="130" t="s">
        <v>121</v>
      </c>
      <c r="P5" s="130" t="s">
        <v>122</v>
      </c>
      <c r="Q5" s="130" t="s">
        <v>123</v>
      </c>
      <c r="R5" s="131" t="s">
        <v>124</v>
      </c>
      <c r="S5" s="132" t="s">
        <v>145</v>
      </c>
      <c r="T5" s="117"/>
      <c r="U5" s="133" t="s">
        <v>146</v>
      </c>
      <c r="V5" s="133" t="s">
        <v>147</v>
      </c>
      <c r="W5" s="134" t="s">
        <v>148</v>
      </c>
      <c r="X5" s="135"/>
      <c r="Y5" s="136" t="s">
        <v>149</v>
      </c>
      <c r="Z5" s="136" t="s">
        <v>150</v>
      </c>
      <c r="AA5" s="136" t="s">
        <v>151</v>
      </c>
      <c r="AB5" s="136" t="s">
        <v>152</v>
      </c>
      <c r="AC5" s="136" t="s">
        <v>153</v>
      </c>
      <c r="AD5" s="137" t="s">
        <v>154</v>
      </c>
      <c r="AE5" s="138" t="s">
        <v>155</v>
      </c>
      <c r="AF5" s="139" t="s">
        <v>156</v>
      </c>
      <c r="AG5" s="140" t="s">
        <v>157</v>
      </c>
      <c r="AH5" s="120"/>
      <c r="AI5" s="123"/>
      <c r="AJ5" s="141" t="s">
        <v>158</v>
      </c>
      <c r="AK5" s="141" t="s">
        <v>159</v>
      </c>
      <c r="AL5" s="123"/>
      <c r="AM5" s="123"/>
      <c r="AN5" s="123"/>
      <c r="AO5" s="123"/>
      <c r="AP5" s="123"/>
      <c r="AQ5" s="141" t="s">
        <v>160</v>
      </c>
      <c r="AR5" s="104" t="str">
        <f>T_MA</f>
        <v>MA</v>
      </c>
      <c r="AS5" s="104" t="str">
        <f>T_ST</f>
        <v>ST</v>
      </c>
      <c r="AT5" s="104" t="str">
        <f>T_AG</f>
        <v>AG</v>
      </c>
      <c r="AU5" s="104" t="str">
        <f>T_AV</f>
        <v>AV</v>
      </c>
      <c r="AV5" s="123"/>
      <c r="AW5" s="102"/>
      <c r="AX5" s="102"/>
      <c r="AY5" s="102"/>
    </row>
    <row r="6" spans="1:51" ht="13.5" customHeight="1">
      <c r="A6" s="102"/>
      <c r="B6" s="114"/>
      <c r="C6" s="142">
        <v>1</v>
      </c>
      <c r="D6" s="143" t="s">
        <v>327</v>
      </c>
      <c r="E6" s="143" t="s">
        <v>777</v>
      </c>
      <c r="F6" s="144" t="str">
        <f>IF($E6&lt;&gt;"",IF($AJ6&lt;&gt;"",IF(AND($L6=T_Journey,VLOOKUP($AJ6,DBPlayers,2,0)&lt;12),T_Error&amp;"7",IF("Journeymen not available"=0,T_Error&amp;"8",IF(COUNTIF($E$6:$E6,$E6)-$AQ6&gt;VLOOKUP($AJ6,DBPlayers,2,0),T_Error&amp;"2",IF(L6=T_MNG,0,COUNTIF($E$6:$E6,$E6)-$AQ6)&amp;"/"&amp;(VLOOKUP($AJ6,DBPlayers,2,0))))),T_Error&amp;"1"),"")</f>
        <v>1/16</v>
      </c>
      <c r="G6" s="145">
        <f t="shared" ref="G6:G21" si="0">IF(OR($E6="",LEFT($F6,LEN(T_Error))=T_Error),"",MAX(1,VLOOKUP($AJ6,DBPlayers,4,0)+COUNTIF($Y6:$AD6,T_MA&amp;"+")-IF(ISERROR(FIND(T_MA&amp;"-",$AE6)),0,IF(ISERROR(FIND(T_MA&amp;"-",$AE6,FIND(T_MA&amp;"-",$AE6)+LEN(T_MA)+1)),1,2))))</f>
        <v>6</v>
      </c>
      <c r="H6" s="145">
        <f t="shared" ref="H6:H21" si="1">IF(OR(($E6=""),(LEFT($F6,LEN(T_Error))=T_Error)),"",MAX(1,VLOOKUP($AJ6,DBPlayers,5,0)+COUNTIF($Y6:$AD6,T_ST&amp;"+")-IF(ISERROR(FIND(T_ST&amp;"-",$AE6)),0,IF(ISERROR(FIND(T_ST&amp;"-",$AE6,FIND(T_ST&amp;"-",$AE6)+LEN(T_ST)+1)),1,2))))</f>
        <v>3</v>
      </c>
      <c r="I6" s="145">
        <f t="shared" ref="I6:I21" si="2">IF(OR(($E6=""),(LEFT($F6,LEN(T_Error))=T_Error)),"",MAX(1,VLOOKUP($AJ6,DBPlayers,6,0)+COUNTIF($Y6:$AD6,T_AG&amp;"+")-IF(ISERROR(FIND(T_AG&amp;"-",$AE6)),0,IF(ISERROR(FIND(T_AG&amp;"-",$AE6,FIND(T_AG&amp;"-",$AE6)+LEN(T_AG)+1)),1,2))))</f>
        <v>4</v>
      </c>
      <c r="J6" s="145">
        <f t="shared" ref="J6:J21" si="3">IF(OR(($E6=""),(LEFT($F6,LEN(T_Error))=T_Error)),"",MAX(1,VLOOKUP($AJ6,DBPlayers,7,0)+COUNTIF($Y6:$AD6,T_AV&amp;"+")-IF(ISERROR(FIND(T_AV&amp;"-",$AE6)),0,IF(ISERROR(FIND(T_AV&amp;"-",$AE6,FIND(T_AV&amp;"-",$AE6)+LEN(T_AV)+1)),1,2))))</f>
        <v>7</v>
      </c>
      <c r="K6" s="146" t="str">
        <f t="shared" ref="K6:K21" ca="1" si="4">IF($E6="","",IF(LEFT($F6,LEN(T_Error))=T_Error,INDIRECT("T_Error"&amp;RIGHT($F6,1)),IF(VLOOKUP($AJ6,DBPlayers,8,0)&lt;&gt;0,IF($L6=T_Journey,T_Loner&amp;", ","")&amp;VLOOKUP($AJ6,DBPlayers,8,0)&amp;IF($W6&gt;0,", ",""),IF($L6=T_Journey,T_Loner,""))&amp;IF($W6&gt;0,IF(Y6&lt;&gt;"",Y6,T_MS),"")&amp;IF($W6&gt;1,", "&amp;IF(Z6&lt;&gt;"",Z6,T_MS),"")&amp;IF($W6&gt;2,", "&amp;IF(AA6&lt;&gt;"",AA6,T_MS),"")&amp;IF($W6&gt;3,", "&amp;IF(AB6&lt;&gt;"",AB6,T_MS),"")&amp;IF($W6&gt;4,", "&amp;IF(AC6&lt;&gt;"",AC6,T_MS),"")&amp;IF($W6&gt;5,", "&amp;IF(AD6&lt;&gt;"",AD6,T_MS),"")&amp;IF(AF6&lt;&gt;"",IF(OR($W6&gt;0,VLOOKUP($AJ6,DBPlayers,8,0)&lt;&gt;0),", ","")&amp;AF6,"")&amp;IF(AE6&lt;&gt;"",IF(OR($W6&gt;0,AF6&lt;&gt;"",VLOOKUP($AJ6,DBPlayers,8,0)&lt;&gt;0),", ","")&amp;AE6,"")))</f>
        <v/>
      </c>
      <c r="L6" s="147"/>
      <c r="M6" s="148">
        <v>2</v>
      </c>
      <c r="N6" s="149"/>
      <c r="O6" s="149"/>
      <c r="P6" s="149"/>
      <c r="Q6" s="149"/>
      <c r="R6" s="150">
        <f t="shared" ref="R6:R21" si="5">IF(OR(($E6=""),(LEFT($F6,LEN(T_Error))=T_Error)),"",M6*SPP_CP+N6*SPP_TD+O6*SPP_IN+P6*SPP_CS+Q6*SPP_VP)</f>
        <v>2</v>
      </c>
      <c r="S6" s="151">
        <f>IF(OR($E6="",LEFT($F6,LEN(T_Error))=T_Error),"",IF($L6=T_MNG,0,VLOOKUP($AJ6,DBPlayers,11,0)+SUM($AK6:$AP6)+AG6))</f>
        <v>60000</v>
      </c>
      <c r="T6" s="117"/>
      <c r="U6" s="152" t="str">
        <f t="shared" ref="U6:U21" si="6">IF(OR(($E6=""),(LEFT($F6,LEN(T_Error))=T_Error)),"",VLOOKUP($AJ6,DBPlayers,9,0))</f>
        <v>G A</v>
      </c>
      <c r="V6" s="152" t="str">
        <f t="shared" ref="V6:V21" si="7">IF(OR(($E6=""),(LEFT($F6,LEN(T_Error))=T_Error)),"",VLOOKUP($AJ6,DBPlayers,10,0))</f>
        <v>S P</v>
      </c>
      <c r="W6" s="153">
        <f t="shared" ref="W6:W21" si="8">IF(R6="","",IF($R6&gt;=SPP_6,6,IF($R6&gt;=SPP_5,5,IF($R6&gt;=SPP_4,4,IF($R6&gt;=SPP_3,3,IF($R6&gt;=SPP_2,2,IF($R6&gt;=SPP_1,1,0)))))))</f>
        <v>0</v>
      </c>
      <c r="X6" s="121"/>
      <c r="Y6" s="154"/>
      <c r="Z6" s="154"/>
      <c r="AA6" s="154"/>
      <c r="AB6" s="154"/>
      <c r="AC6" s="154"/>
      <c r="AD6" s="155"/>
      <c r="AE6" s="156"/>
      <c r="AF6" s="157"/>
      <c r="AG6" s="158"/>
      <c r="AH6" s="120"/>
      <c r="AI6" s="123">
        <v>1</v>
      </c>
      <c r="AJ6" s="159" t="str">
        <f t="shared" ref="AJ6:AJ21" si="9">IF(OR(E6="",ISERROR(VLOOKUP(E6,$AJ$58:$AL$67,3,0))),"",VLOOKUP(E6,$AJ$58:$AL$67,3,0))</f>
        <v>Elf1</v>
      </c>
      <c r="AK6" s="159">
        <f>IF(Y6="",0,IF(ISERROR(FIND(VLOOKUP(Y6,DBSkills,2,0),$U6)),0,IMP_REGULAR)+IF(ISERROR(FIND(VLOOKUP(Y6,DBSkills,2,0),$V6)),0,IMP_DOUBLE)+IF(Y6=T_ST&amp;"+",IMP_ST,0)+IF(Y6=T_AG&amp;"+",IMP_AG,0)+IF(Y6=T_MA&amp;"+",IMP_MA,0)+IF(Y6=T_AV&amp;"+",IMP_MA,0))</f>
        <v>0</v>
      </c>
      <c r="AL6" s="159">
        <f t="shared" ref="AL6:AL21" si="10">IF(Z6="",0,IF(Z6=T_ST&amp;"+",50000,IF(Z6=T_AG&amp;"+",40000,IF(OR(Z6=T_MA&amp;"+",Z6=T_AV&amp;"+"),30000,IF(ISERROR(FIND(VLOOKUP(Z6,DBSkills,2,0),$V6)),20000,30000)))))</f>
        <v>0</v>
      </c>
      <c r="AM6" s="159">
        <f t="shared" ref="AM6:AM21" si="11">IF(AA6="",0,IF(AA6=T_ST&amp;"+",50000,IF(AA6=T_AG&amp;"+",40000,IF(OR(AA6=T_MA&amp;"+",AA6=T_AV&amp;"+"),30000,IF(ISERROR(FIND(VLOOKUP(AA6,DBSkills,2,0),$V6)),20000,30000)))))</f>
        <v>0</v>
      </c>
      <c r="AN6" s="159">
        <f t="shared" ref="AN6:AN21" si="12">IF(AB6="",0,IF(AB6=T_ST&amp;"+",50000,IF(AB6=T_AG&amp;"+",40000,IF(OR(AB6=T_MA&amp;"+",AB6=T_AV&amp;"+"),30000,IF(ISERROR(FIND(VLOOKUP(AB6,DBSkills,2,0),$V6)),20000,30000)))))</f>
        <v>0</v>
      </c>
      <c r="AO6" s="159">
        <f t="shared" ref="AO6:AO21" si="13">IF(AC6="",0,IF(AC6=T_ST&amp;"+",50000,IF(AC6=T_AG&amp;"+",40000,IF(OR(AC6=T_MA&amp;"+",AC6=T_AV&amp;"+"),30000,IF(ISERROR(FIND(VLOOKUP(AC6,DBSkills,2,0),$V6)),20000,30000)))))</f>
        <v>0</v>
      </c>
      <c r="AP6" s="159">
        <f t="shared" ref="AP6:AP21" si="14">IF(AD6="",0,IF(AD6=T_ST&amp;"+",50000,IF(AD6=T_AG&amp;"+",40000,IF(OR(AD6=T_MA&amp;"+",AD6=T_AV&amp;"+"),30000,IF(ISERROR(FIND(VLOOKUP(AD6,DBSkills,2,0),$V6)),20000,30000)))))</f>
        <v>0</v>
      </c>
      <c r="AQ6" s="159">
        <f t="array" ref="AQ6">IF(ISERROR($AJ6),0,IF($AJ6="","",SUM(IF($AJ6=$AJ$6:$AJ6,IF($L$6:$L6=T_MNG,1,0),0))))</f>
        <v>0</v>
      </c>
      <c r="AR6" s="160">
        <f t="shared" ref="AR6:AR21" si="15">IF(OR($E6="",LEFT($F6,LEN(T_Error))=T_Error),"",MAX(1,VLOOKUP($AJ6,DBPlayers,4,0)))</f>
        <v>6</v>
      </c>
      <c r="AS6" s="160">
        <f t="shared" ref="AS6:AS21" si="16">IF(OR(($E6=""),(LEFT($F6,LEN(T_Error))=T_Error)),"",MAX(1,VLOOKUP($AJ6,DBPlayers,5,0)))</f>
        <v>3</v>
      </c>
      <c r="AT6" s="160">
        <f t="shared" ref="AT6:AT21" si="17">IF(OR(($E6=""),(LEFT($F6,LEN(T_Error))=T_Error)),"",MAX(1,VLOOKUP($AJ6,DBPlayers,6,0)))</f>
        <v>4</v>
      </c>
      <c r="AU6" s="160">
        <f t="shared" ref="AU6:AU21" si="18">IF(OR(($E6=""),(LEFT($F6,LEN(T_Error))=T_Error)),"",MAX(1,VLOOKUP($AJ6,DBPlayers,7,0)))</f>
        <v>7</v>
      </c>
      <c r="AV6" s="102"/>
      <c r="AW6" s="102"/>
      <c r="AX6" s="102"/>
      <c r="AY6" s="102"/>
    </row>
    <row r="7" spans="1:51" ht="13.5" customHeight="1">
      <c r="A7" s="102"/>
      <c r="B7" s="114"/>
      <c r="C7" s="161">
        <v>2</v>
      </c>
      <c r="D7" s="162" t="s">
        <v>329</v>
      </c>
      <c r="E7" s="143" t="s">
        <v>777</v>
      </c>
      <c r="F7" s="163" t="str">
        <f>IF($E7&lt;&gt;"",IF($AJ7&lt;&gt;"",IF(AND($L7=T_Journey,VLOOKUP($AJ7,DBPlayers,2,0)&lt;12),T_Error&amp;"7",IF("Journeymen not available"=0,T_Error&amp;"8",IF(COUNTIF($E$6:$E7,$E7)-$AQ7&gt;VLOOKUP($AJ7,DBPlayers,2,0),T_Error&amp;"2",IF(L7=T_MNG,0,COUNTIF($E$6:$E7,$E7)-$AQ7)&amp;"/"&amp;(VLOOKUP($AJ7,DBPlayers,2,0))))),T_Error&amp;"1"),"")</f>
        <v>2/16</v>
      </c>
      <c r="G7" s="164">
        <f t="shared" si="0"/>
        <v>6</v>
      </c>
      <c r="H7" s="164">
        <f t="shared" si="1"/>
        <v>3</v>
      </c>
      <c r="I7" s="164">
        <f t="shared" si="2"/>
        <v>4</v>
      </c>
      <c r="J7" s="164">
        <f t="shared" si="3"/>
        <v>7</v>
      </c>
      <c r="K7" s="167" t="str">
        <f t="shared" ca="1" si="4"/>
        <v>Dodge</v>
      </c>
      <c r="L7" s="168"/>
      <c r="M7" s="169">
        <v>2</v>
      </c>
      <c r="N7" s="170"/>
      <c r="O7" s="170"/>
      <c r="P7" s="170"/>
      <c r="Q7" s="170">
        <v>1</v>
      </c>
      <c r="R7" s="171">
        <f t="shared" si="5"/>
        <v>7</v>
      </c>
      <c r="S7" s="172">
        <f t="shared" ref="S7:S21" si="19">IF(OR($E7="",LEFT($F7,LEN(T_Error))=T_Error),"",IF($L7=T_MNG,0,VLOOKUP($AJ7,DBPlayers,11,0)+SUM($AK7:$AP7)))</f>
        <v>80000</v>
      </c>
      <c r="T7" s="117"/>
      <c r="U7" s="152" t="str">
        <f t="shared" si="6"/>
        <v>G A</v>
      </c>
      <c r="V7" s="152" t="str">
        <f t="shared" si="7"/>
        <v>S P</v>
      </c>
      <c r="W7" s="153">
        <f t="shared" si="8"/>
        <v>1</v>
      </c>
      <c r="X7" s="121"/>
      <c r="Y7" s="154" t="s">
        <v>165</v>
      </c>
      <c r="Z7" s="154"/>
      <c r="AA7" s="154"/>
      <c r="AB7" s="154"/>
      <c r="AC7" s="154"/>
      <c r="AD7" s="155"/>
      <c r="AE7" s="156"/>
      <c r="AF7" s="173"/>
      <c r="AG7" s="174"/>
      <c r="AH7" s="120"/>
      <c r="AI7" s="123">
        <v>2</v>
      </c>
      <c r="AJ7" s="159" t="str">
        <f t="shared" si="9"/>
        <v>Elf1</v>
      </c>
      <c r="AK7" s="159">
        <f t="shared" ref="AK7:AK21" si="20">IF(Y7="",0,IF(Y7=T_ST&amp;"+",50000,IF(Y7=T_AG&amp;"+",40000,IF(OR(Y7=T_MA&amp;"+",Y7=T_AV&amp;"+"),30000,IF(ISERROR(FIND(VLOOKUP(Y7,DBSkills,2,0),$V7)),20000,30000)))))</f>
        <v>20000</v>
      </c>
      <c r="AL7" s="159">
        <f t="shared" si="10"/>
        <v>0</v>
      </c>
      <c r="AM7" s="159">
        <f t="shared" si="11"/>
        <v>0</v>
      </c>
      <c r="AN7" s="159">
        <f t="shared" si="12"/>
        <v>0</v>
      </c>
      <c r="AO7" s="159">
        <f t="shared" si="13"/>
        <v>0</v>
      </c>
      <c r="AP7" s="159">
        <f t="shared" si="14"/>
        <v>0</v>
      </c>
      <c r="AQ7" s="159">
        <f t="array" ref="AQ7">IF(ISERROR($AJ7),0,IF($AJ7="","",SUM(IF($AJ7=$AJ$6:$AJ7,IF($L$6:$L7=T_MNG,1,0),0))))</f>
        <v>0</v>
      </c>
      <c r="AR7" s="160">
        <f t="shared" si="15"/>
        <v>6</v>
      </c>
      <c r="AS7" s="160">
        <f t="shared" si="16"/>
        <v>3</v>
      </c>
      <c r="AT7" s="160">
        <f t="shared" si="17"/>
        <v>4</v>
      </c>
      <c r="AU7" s="160">
        <f t="shared" si="18"/>
        <v>7</v>
      </c>
      <c r="AV7" s="102"/>
      <c r="AW7" s="123"/>
      <c r="AX7" s="123"/>
      <c r="AY7" s="123"/>
    </row>
    <row r="8" spans="1:51" ht="13.5" customHeight="1">
      <c r="A8" s="102"/>
      <c r="B8" s="114"/>
      <c r="C8" s="161">
        <v>3</v>
      </c>
      <c r="D8" s="162" t="s">
        <v>330</v>
      </c>
      <c r="E8" s="143" t="s">
        <v>777</v>
      </c>
      <c r="F8" s="163" t="str">
        <f>IF($E8&lt;&gt;"",IF($AJ8&lt;&gt;"",IF(AND($L8=T_Journey,VLOOKUP($AJ8,DBPlayers,2,0)&lt;12),T_Error&amp;"7",IF("Journeymen not available"=0,T_Error&amp;"8",IF(COUNTIF($E$6:$E8,$E8)-$AQ8&gt;VLOOKUP($AJ8,DBPlayers,2,0),T_Error&amp;"2",IF(L8=T_MNG,0,COUNTIF($E$6:$E8,$E8)-$AQ8)&amp;"/"&amp;(VLOOKUP($AJ8,DBPlayers,2,0))))),T_Error&amp;"1"),"")</f>
        <v>3/16</v>
      </c>
      <c r="G8" s="164">
        <f t="shared" si="0"/>
        <v>6</v>
      </c>
      <c r="H8" s="164">
        <f t="shared" si="1"/>
        <v>3</v>
      </c>
      <c r="I8" s="164">
        <f t="shared" si="2"/>
        <v>4</v>
      </c>
      <c r="J8" s="164">
        <f t="shared" si="3"/>
        <v>7</v>
      </c>
      <c r="K8" s="167" t="str">
        <f t="shared" ca="1" si="4"/>
        <v>Guard</v>
      </c>
      <c r="L8" s="168"/>
      <c r="M8" s="169"/>
      <c r="N8" s="170"/>
      <c r="O8" s="170"/>
      <c r="P8" s="170">
        <v>1</v>
      </c>
      <c r="Q8" s="170">
        <v>1</v>
      </c>
      <c r="R8" s="171">
        <f t="shared" si="5"/>
        <v>7</v>
      </c>
      <c r="S8" s="172">
        <f t="shared" si="19"/>
        <v>90000</v>
      </c>
      <c r="T8" s="117"/>
      <c r="U8" s="152" t="str">
        <f t="shared" si="6"/>
        <v>G A</v>
      </c>
      <c r="V8" s="152" t="str">
        <f t="shared" si="7"/>
        <v>S P</v>
      </c>
      <c r="W8" s="153">
        <f t="shared" si="8"/>
        <v>1</v>
      </c>
      <c r="X8" s="121"/>
      <c r="Y8" s="154" t="s">
        <v>270</v>
      </c>
      <c r="Z8" s="154"/>
      <c r="AA8" s="154"/>
      <c r="AB8" s="154"/>
      <c r="AC8" s="154"/>
      <c r="AD8" s="155"/>
      <c r="AE8" s="156"/>
      <c r="AF8" s="154"/>
      <c r="AG8" s="155"/>
      <c r="AH8" s="120"/>
      <c r="AI8" s="123">
        <v>3</v>
      </c>
      <c r="AJ8" s="159" t="str">
        <f t="shared" si="9"/>
        <v>Elf1</v>
      </c>
      <c r="AK8" s="159">
        <f t="shared" si="20"/>
        <v>30000</v>
      </c>
      <c r="AL8" s="159">
        <f t="shared" si="10"/>
        <v>0</v>
      </c>
      <c r="AM8" s="159">
        <f t="shared" si="11"/>
        <v>0</v>
      </c>
      <c r="AN8" s="159">
        <f t="shared" si="12"/>
        <v>0</v>
      </c>
      <c r="AO8" s="159">
        <f t="shared" si="13"/>
        <v>0</v>
      </c>
      <c r="AP8" s="159">
        <f t="shared" si="14"/>
        <v>0</v>
      </c>
      <c r="AQ8" s="159">
        <f t="array" ref="AQ8">IF(ISERROR($AJ8),0,IF($AJ8="","",SUM(IF($AJ8=$AJ$6:$AJ8,IF($L$6:$L8=T_MNG,1,0),0))))</f>
        <v>0</v>
      </c>
      <c r="AR8" s="160">
        <f t="shared" si="15"/>
        <v>6</v>
      </c>
      <c r="AS8" s="160">
        <f t="shared" si="16"/>
        <v>3</v>
      </c>
      <c r="AT8" s="160">
        <f t="shared" si="17"/>
        <v>4</v>
      </c>
      <c r="AU8" s="160">
        <f t="shared" si="18"/>
        <v>7</v>
      </c>
      <c r="AV8" s="102"/>
      <c r="AW8" s="102"/>
      <c r="AX8" s="102"/>
      <c r="AY8" s="102"/>
    </row>
    <row r="9" spans="1:51" ht="13.5" customHeight="1">
      <c r="A9" s="102"/>
      <c r="B9" s="114"/>
      <c r="C9" s="161">
        <v>4</v>
      </c>
      <c r="D9" s="162"/>
      <c r="E9" s="162"/>
      <c r="F9" s="163" t="str">
        <f>IF($E9&lt;&gt;"",IF($AJ9&lt;&gt;"",IF(AND($L9=T_Journey,VLOOKUP($AJ9,DBPlayers,2,0)&lt;12),T_Error&amp;"7",IF("Journeymen not available"=0,T_Error&amp;"8",IF(COUNTIF($E$6:$E9,$E9)-$AQ9&gt;VLOOKUP($AJ9,DBPlayers,2,0),T_Error&amp;"2",IF(L9=T_MNG,0,COUNTIF($E$6:$E9,$E9)-$AQ9)&amp;"/"&amp;(VLOOKUP($AJ9,DBPlayers,2,0))))),T_Error&amp;"1"),"")</f>
        <v/>
      </c>
      <c r="G9" s="164" t="str">
        <f t="shared" si="0"/>
        <v/>
      </c>
      <c r="H9" s="164" t="str">
        <f t="shared" si="1"/>
        <v/>
      </c>
      <c r="I9" s="164" t="str">
        <f t="shared" si="2"/>
        <v/>
      </c>
      <c r="J9" s="164" t="str">
        <f t="shared" si="3"/>
        <v/>
      </c>
      <c r="K9" s="167" t="str">
        <f t="shared" ca="1" si="4"/>
        <v/>
      </c>
      <c r="L9" s="168"/>
      <c r="M9" s="169"/>
      <c r="N9" s="170"/>
      <c r="O9" s="170"/>
      <c r="P9" s="170"/>
      <c r="Q9" s="170"/>
      <c r="R9" s="171" t="str">
        <f t="shared" si="5"/>
        <v/>
      </c>
      <c r="S9" s="172" t="str">
        <f t="shared" si="19"/>
        <v/>
      </c>
      <c r="T9" s="117"/>
      <c r="U9" s="152" t="str">
        <f t="shared" si="6"/>
        <v/>
      </c>
      <c r="V9" s="152" t="str">
        <f t="shared" si="7"/>
        <v/>
      </c>
      <c r="W9" s="153" t="str">
        <f t="shared" si="8"/>
        <v/>
      </c>
      <c r="X9" s="121"/>
      <c r="Y9" s="154"/>
      <c r="Z9" s="154"/>
      <c r="AA9" s="154"/>
      <c r="AB9" s="154"/>
      <c r="AC9" s="154"/>
      <c r="AD9" s="155"/>
      <c r="AE9" s="156"/>
      <c r="AF9" s="154"/>
      <c r="AG9" s="155"/>
      <c r="AH9" s="120"/>
      <c r="AI9" s="123">
        <v>4</v>
      </c>
      <c r="AJ9" s="159" t="str">
        <f t="shared" si="9"/>
        <v/>
      </c>
      <c r="AK9" s="159">
        <f t="shared" si="20"/>
        <v>0</v>
      </c>
      <c r="AL9" s="159">
        <f t="shared" si="10"/>
        <v>0</v>
      </c>
      <c r="AM9" s="159">
        <f t="shared" si="11"/>
        <v>0</v>
      </c>
      <c r="AN9" s="159">
        <f t="shared" si="12"/>
        <v>0</v>
      </c>
      <c r="AO9" s="159">
        <f t="shared" si="13"/>
        <v>0</v>
      </c>
      <c r="AP9" s="159">
        <f t="shared" si="14"/>
        <v>0</v>
      </c>
      <c r="AQ9" s="159" t="str">
        <f t="array" ref="AQ9">IF(ISERROR($AJ9),0,IF($AJ9="","",SUM(IF($AJ9=$AJ$6:$AJ9,IF($L$6:$L9=T_MNG,1,0),0))))</f>
        <v/>
      </c>
      <c r="AR9" s="160" t="str">
        <f t="shared" si="15"/>
        <v/>
      </c>
      <c r="AS9" s="160" t="str">
        <f t="shared" si="16"/>
        <v/>
      </c>
      <c r="AT9" s="160" t="str">
        <f t="shared" si="17"/>
        <v/>
      </c>
      <c r="AU9" s="160" t="str">
        <f t="shared" si="18"/>
        <v/>
      </c>
      <c r="AV9" s="102"/>
      <c r="AW9" s="102"/>
      <c r="AX9" s="102"/>
      <c r="AY9" s="102"/>
    </row>
    <row r="10" spans="1:51" ht="13.5" customHeight="1">
      <c r="A10" s="102"/>
      <c r="B10" s="114"/>
      <c r="C10" s="161">
        <v>5</v>
      </c>
      <c r="D10" s="162" t="s">
        <v>332</v>
      </c>
      <c r="E10" s="143" t="s">
        <v>777</v>
      </c>
      <c r="F10" s="163" t="str">
        <f>IF($E10&lt;&gt;"",IF($AJ10&lt;&gt;"",IF(AND($L10=T_Journey,VLOOKUP($AJ10,DBPlayers,2,0)&lt;12),T_Error&amp;"7",IF("Journeymen not available"=0,T_Error&amp;"8",IF(COUNTIF($E$6:$E10,$E10)-$AQ10&gt;VLOOKUP($AJ10,DBPlayers,2,0),T_Error&amp;"2",IF(L10=T_MNG,0,COUNTIF($E$6:$E10,$E10)-$AQ10)&amp;"/"&amp;(VLOOKUP($AJ10,DBPlayers,2,0))))),T_Error&amp;"1"),"")</f>
        <v>4/16</v>
      </c>
      <c r="G10" s="164">
        <f t="shared" si="0"/>
        <v>6</v>
      </c>
      <c r="H10" s="164">
        <f t="shared" si="1"/>
        <v>3</v>
      </c>
      <c r="I10" s="164">
        <f t="shared" si="2"/>
        <v>4</v>
      </c>
      <c r="J10" s="164">
        <f t="shared" si="3"/>
        <v>7</v>
      </c>
      <c r="K10" s="167" t="str">
        <f t="shared" ca="1" si="4"/>
        <v>Dodge</v>
      </c>
      <c r="L10" s="168"/>
      <c r="M10" s="169"/>
      <c r="N10" s="170"/>
      <c r="O10" s="170"/>
      <c r="P10" s="170">
        <v>1</v>
      </c>
      <c r="Q10" s="170">
        <v>1</v>
      </c>
      <c r="R10" s="171">
        <f t="shared" si="5"/>
        <v>7</v>
      </c>
      <c r="S10" s="172">
        <f t="shared" si="19"/>
        <v>80000</v>
      </c>
      <c r="T10" s="117"/>
      <c r="U10" s="152" t="str">
        <f t="shared" si="6"/>
        <v>G A</v>
      </c>
      <c r="V10" s="152" t="str">
        <f t="shared" si="7"/>
        <v>S P</v>
      </c>
      <c r="W10" s="153">
        <f t="shared" si="8"/>
        <v>1</v>
      </c>
      <c r="X10" s="121"/>
      <c r="Y10" s="154" t="s">
        <v>165</v>
      </c>
      <c r="Z10" s="154"/>
      <c r="AA10" s="154"/>
      <c r="AB10" s="154"/>
      <c r="AC10" s="154"/>
      <c r="AD10" s="155"/>
      <c r="AE10" s="156"/>
      <c r="AF10" s="154"/>
      <c r="AG10" s="155"/>
      <c r="AH10" s="120"/>
      <c r="AI10" s="123">
        <v>5</v>
      </c>
      <c r="AJ10" s="159" t="str">
        <f t="shared" si="9"/>
        <v>Elf1</v>
      </c>
      <c r="AK10" s="159">
        <f t="shared" si="20"/>
        <v>20000</v>
      </c>
      <c r="AL10" s="159">
        <f t="shared" si="10"/>
        <v>0</v>
      </c>
      <c r="AM10" s="159">
        <f t="shared" si="11"/>
        <v>0</v>
      </c>
      <c r="AN10" s="159">
        <f t="shared" si="12"/>
        <v>0</v>
      </c>
      <c r="AO10" s="159">
        <f t="shared" si="13"/>
        <v>0</v>
      </c>
      <c r="AP10" s="159">
        <f t="shared" si="14"/>
        <v>0</v>
      </c>
      <c r="AQ10" s="159">
        <f t="array" ref="AQ10">IF(ISERROR($AJ10),0,IF($AJ10="","",SUM(IF($AJ10=$AJ$6:$AJ10,IF($L$6:$L10=T_MNG,1,0),0))))</f>
        <v>0</v>
      </c>
      <c r="AR10" s="160">
        <f t="shared" si="15"/>
        <v>6</v>
      </c>
      <c r="AS10" s="160">
        <f t="shared" si="16"/>
        <v>3</v>
      </c>
      <c r="AT10" s="160">
        <f t="shared" si="17"/>
        <v>4</v>
      </c>
      <c r="AU10" s="160">
        <f t="shared" si="18"/>
        <v>7</v>
      </c>
      <c r="AV10" s="102"/>
      <c r="AW10" s="102"/>
      <c r="AX10" s="102"/>
      <c r="AY10" s="102"/>
    </row>
    <row r="11" spans="1:51" ht="13.5" customHeight="1">
      <c r="A11" s="102"/>
      <c r="B11" s="114"/>
      <c r="C11" s="161">
        <v>6</v>
      </c>
      <c r="D11" s="162" t="s">
        <v>337</v>
      </c>
      <c r="E11" s="143" t="s">
        <v>777</v>
      </c>
      <c r="F11" s="163" t="str">
        <f>IF($E11&lt;&gt;"",IF($AJ11&lt;&gt;"",IF(AND($L11=T_Journey,VLOOKUP($AJ11,DBPlayers,2,0)&lt;12),T_Error&amp;"7",IF("Journeymen not available"=0,T_Error&amp;"8",IF(COUNTIF($E$6:$E11,$E11)-$AQ11&gt;VLOOKUP($AJ11,DBPlayers,2,0),T_Error&amp;"2",IF(L11=T_MNG,0,COUNTIF($E$6:$E11,$E11)-$AQ11)&amp;"/"&amp;(VLOOKUP($AJ11,DBPlayers,2,0))))),T_Error&amp;"1"),"")</f>
        <v>5/16</v>
      </c>
      <c r="G11" s="164">
        <f t="shared" si="0"/>
        <v>6</v>
      </c>
      <c r="H11" s="164">
        <f t="shared" si="1"/>
        <v>3</v>
      </c>
      <c r="I11" s="164">
        <f t="shared" si="2"/>
        <v>4</v>
      </c>
      <c r="J11" s="164">
        <f t="shared" si="3"/>
        <v>7</v>
      </c>
      <c r="K11" s="167" t="str">
        <f t="shared" ca="1" si="4"/>
        <v>Dodge</v>
      </c>
      <c r="L11" s="168"/>
      <c r="M11" s="169">
        <v>1</v>
      </c>
      <c r="N11" s="170"/>
      <c r="O11" s="170"/>
      <c r="P11" s="170">
        <v>1</v>
      </c>
      <c r="Q11" s="170">
        <v>1</v>
      </c>
      <c r="R11" s="171">
        <f t="shared" si="5"/>
        <v>8</v>
      </c>
      <c r="S11" s="172">
        <f t="shared" si="19"/>
        <v>80000</v>
      </c>
      <c r="T11" s="117"/>
      <c r="U11" s="152" t="str">
        <f t="shared" si="6"/>
        <v>G A</v>
      </c>
      <c r="V11" s="152" t="str">
        <f t="shared" si="7"/>
        <v>S P</v>
      </c>
      <c r="W11" s="153">
        <f t="shared" si="8"/>
        <v>1</v>
      </c>
      <c r="X11" s="121"/>
      <c r="Y11" s="154" t="s">
        <v>165</v>
      </c>
      <c r="Z11" s="154"/>
      <c r="AA11" s="154"/>
      <c r="AB11" s="154"/>
      <c r="AC11" s="154"/>
      <c r="AD11" s="155"/>
      <c r="AE11" s="156"/>
      <c r="AF11" s="154"/>
      <c r="AG11" s="155"/>
      <c r="AH11" s="120"/>
      <c r="AI11" s="123">
        <v>6</v>
      </c>
      <c r="AJ11" s="159" t="str">
        <f t="shared" si="9"/>
        <v>Elf1</v>
      </c>
      <c r="AK11" s="159">
        <f t="shared" si="20"/>
        <v>20000</v>
      </c>
      <c r="AL11" s="159">
        <f t="shared" si="10"/>
        <v>0</v>
      </c>
      <c r="AM11" s="159">
        <f t="shared" si="11"/>
        <v>0</v>
      </c>
      <c r="AN11" s="159">
        <f t="shared" si="12"/>
        <v>0</v>
      </c>
      <c r="AO11" s="159">
        <f t="shared" si="13"/>
        <v>0</v>
      </c>
      <c r="AP11" s="159">
        <f t="shared" si="14"/>
        <v>0</v>
      </c>
      <c r="AQ11" s="159">
        <f t="array" ref="AQ11">IF(ISERROR($AJ11),0,IF($AJ11="","",SUM(IF($AJ11=$AJ$6:$AJ11,IF($L$6:$L11=T_MNG,1,0),0))))</f>
        <v>0</v>
      </c>
      <c r="AR11" s="160">
        <f t="shared" si="15"/>
        <v>6</v>
      </c>
      <c r="AS11" s="160">
        <f t="shared" si="16"/>
        <v>3</v>
      </c>
      <c r="AT11" s="160">
        <f t="shared" si="17"/>
        <v>4</v>
      </c>
      <c r="AU11" s="160">
        <f t="shared" si="18"/>
        <v>7</v>
      </c>
      <c r="AV11" s="102"/>
      <c r="AW11" s="102"/>
      <c r="AX11" s="102"/>
      <c r="AY11" s="102"/>
    </row>
    <row r="12" spans="1:51" ht="13.5" customHeight="1">
      <c r="A12" s="102"/>
      <c r="B12" s="114"/>
      <c r="C12" s="161">
        <v>7</v>
      </c>
      <c r="D12" s="162"/>
      <c r="E12" s="162"/>
      <c r="F12" s="163" t="str">
        <f>IF($E12&lt;&gt;"",IF($AJ12&lt;&gt;"",IF(AND($L12=T_Journey,VLOOKUP($AJ12,DBPlayers,2,0)&lt;12),T_Error&amp;"7",IF("Journeymen not available"=0,T_Error&amp;"8",IF(COUNTIF($E$6:$E12,$E12)-$AQ12&gt;VLOOKUP($AJ12,DBPlayers,2,0),T_Error&amp;"2",IF(L12=T_MNG,0,COUNTIF($E$6:$E12,$E12)-$AQ12)&amp;"/"&amp;(VLOOKUP($AJ12,DBPlayers,2,0))))),T_Error&amp;"1"),"")</f>
        <v/>
      </c>
      <c r="G12" s="164" t="str">
        <f t="shared" si="0"/>
        <v/>
      </c>
      <c r="H12" s="164" t="str">
        <f t="shared" si="1"/>
        <v/>
      </c>
      <c r="I12" s="164" t="str">
        <f t="shared" si="2"/>
        <v/>
      </c>
      <c r="J12" s="164" t="str">
        <f t="shared" si="3"/>
        <v/>
      </c>
      <c r="K12" s="167" t="str">
        <f t="shared" ca="1" si="4"/>
        <v/>
      </c>
      <c r="L12" s="168"/>
      <c r="M12" s="169"/>
      <c r="N12" s="170"/>
      <c r="O12" s="170"/>
      <c r="P12" s="170"/>
      <c r="Q12" s="170"/>
      <c r="R12" s="171" t="str">
        <f t="shared" si="5"/>
        <v/>
      </c>
      <c r="S12" s="172" t="str">
        <f t="shared" si="19"/>
        <v/>
      </c>
      <c r="T12" s="117"/>
      <c r="U12" s="152" t="str">
        <f t="shared" si="6"/>
        <v/>
      </c>
      <c r="V12" s="152" t="str">
        <f t="shared" si="7"/>
        <v/>
      </c>
      <c r="W12" s="153" t="str">
        <f t="shared" si="8"/>
        <v/>
      </c>
      <c r="X12" s="121"/>
      <c r="Y12" s="154"/>
      <c r="Z12" s="154"/>
      <c r="AA12" s="154"/>
      <c r="AB12" s="154"/>
      <c r="AC12" s="154"/>
      <c r="AD12" s="155"/>
      <c r="AE12" s="156"/>
      <c r="AF12" s="154"/>
      <c r="AG12" s="155"/>
      <c r="AH12" s="120"/>
      <c r="AI12" s="123">
        <v>7</v>
      </c>
      <c r="AJ12" s="159" t="str">
        <f t="shared" si="9"/>
        <v/>
      </c>
      <c r="AK12" s="159">
        <f t="shared" si="20"/>
        <v>0</v>
      </c>
      <c r="AL12" s="159">
        <f t="shared" si="10"/>
        <v>0</v>
      </c>
      <c r="AM12" s="159">
        <f t="shared" si="11"/>
        <v>0</v>
      </c>
      <c r="AN12" s="159">
        <f t="shared" si="12"/>
        <v>0</v>
      </c>
      <c r="AO12" s="159">
        <f t="shared" si="13"/>
        <v>0</v>
      </c>
      <c r="AP12" s="159">
        <f t="shared" si="14"/>
        <v>0</v>
      </c>
      <c r="AQ12" s="159" t="str">
        <f t="array" ref="AQ12">IF(ISERROR($AJ12),0,IF($AJ12="","",SUM(IF($AJ12=$AJ$6:$AJ12,IF($L$6:$L12=T_MNG,1,0),0))))</f>
        <v/>
      </c>
      <c r="AR12" s="160" t="str">
        <f t="shared" si="15"/>
        <v/>
      </c>
      <c r="AS12" s="160" t="str">
        <f t="shared" si="16"/>
        <v/>
      </c>
      <c r="AT12" s="160" t="str">
        <f t="shared" si="17"/>
        <v/>
      </c>
      <c r="AU12" s="160" t="str">
        <f t="shared" si="18"/>
        <v/>
      </c>
      <c r="AV12" s="102"/>
      <c r="AW12" s="102"/>
      <c r="AX12" s="102"/>
      <c r="AY12" s="102"/>
    </row>
    <row r="13" spans="1:51" ht="13.5" customHeight="1">
      <c r="A13" s="102"/>
      <c r="B13" s="114"/>
      <c r="C13" s="161">
        <v>8</v>
      </c>
      <c r="D13" s="162"/>
      <c r="E13" s="162"/>
      <c r="F13" s="163" t="str">
        <f>IF($E13&lt;&gt;"",IF($AJ13&lt;&gt;"",IF(AND($L13=T_Journey,VLOOKUP($AJ13,DBPlayers,2,0)&lt;12),T_Error&amp;"7",IF("Journeymen not available"=0,T_Error&amp;"8",IF(COUNTIF($E$6:$E13,$E13)-$AQ13&gt;VLOOKUP($AJ13,DBPlayers,2,0),T_Error&amp;"2",IF(L13=T_MNG,0,COUNTIF($E$6:$E13,$E13)-$AQ13)&amp;"/"&amp;(VLOOKUP($AJ13,DBPlayers,2,0))))),T_Error&amp;"1"),"")</f>
        <v/>
      </c>
      <c r="G13" s="164" t="str">
        <f t="shared" si="0"/>
        <v/>
      </c>
      <c r="H13" s="164" t="str">
        <f t="shared" si="1"/>
        <v/>
      </c>
      <c r="I13" s="164" t="str">
        <f t="shared" si="2"/>
        <v/>
      </c>
      <c r="J13" s="164" t="str">
        <f t="shared" si="3"/>
        <v/>
      </c>
      <c r="K13" s="167" t="str">
        <f t="shared" ca="1" si="4"/>
        <v/>
      </c>
      <c r="L13" s="168"/>
      <c r="M13" s="169"/>
      <c r="N13" s="170"/>
      <c r="O13" s="170"/>
      <c r="P13" s="170"/>
      <c r="Q13" s="170"/>
      <c r="R13" s="171" t="str">
        <f t="shared" si="5"/>
        <v/>
      </c>
      <c r="S13" s="172" t="str">
        <f t="shared" si="19"/>
        <v/>
      </c>
      <c r="T13" s="117"/>
      <c r="U13" s="152" t="str">
        <f t="shared" si="6"/>
        <v/>
      </c>
      <c r="V13" s="152" t="str">
        <f t="shared" si="7"/>
        <v/>
      </c>
      <c r="W13" s="153" t="str">
        <f t="shared" si="8"/>
        <v/>
      </c>
      <c r="X13" s="121"/>
      <c r="Y13" s="154"/>
      <c r="Z13" s="154"/>
      <c r="AA13" s="154"/>
      <c r="AB13" s="154"/>
      <c r="AC13" s="154"/>
      <c r="AD13" s="155"/>
      <c r="AE13" s="156"/>
      <c r="AF13" s="154"/>
      <c r="AG13" s="155"/>
      <c r="AH13" s="120"/>
      <c r="AI13" s="123">
        <v>8</v>
      </c>
      <c r="AJ13" s="159" t="str">
        <f t="shared" si="9"/>
        <v/>
      </c>
      <c r="AK13" s="159">
        <f t="shared" si="20"/>
        <v>0</v>
      </c>
      <c r="AL13" s="159">
        <f t="shared" si="10"/>
        <v>0</v>
      </c>
      <c r="AM13" s="159">
        <f t="shared" si="11"/>
        <v>0</v>
      </c>
      <c r="AN13" s="159">
        <f t="shared" si="12"/>
        <v>0</v>
      </c>
      <c r="AO13" s="159">
        <f t="shared" si="13"/>
        <v>0</v>
      </c>
      <c r="AP13" s="159">
        <f t="shared" si="14"/>
        <v>0</v>
      </c>
      <c r="AQ13" s="159" t="str">
        <f t="array" ref="AQ13">IF(ISERROR($AJ13),0,IF($AJ13="","",SUM(IF($AJ13=$AJ$6:$AJ13,IF($L$6:$L13=T_MNG,1,0),0))))</f>
        <v/>
      </c>
      <c r="AR13" s="160" t="str">
        <f t="shared" si="15"/>
        <v/>
      </c>
      <c r="AS13" s="160" t="str">
        <f t="shared" si="16"/>
        <v/>
      </c>
      <c r="AT13" s="160" t="str">
        <f t="shared" si="17"/>
        <v/>
      </c>
      <c r="AU13" s="160" t="str">
        <f t="shared" si="18"/>
        <v/>
      </c>
      <c r="AV13" s="102"/>
      <c r="AW13" s="102"/>
      <c r="AX13" s="102"/>
      <c r="AY13" s="102"/>
    </row>
    <row r="14" spans="1:51" ht="13.5" customHeight="1">
      <c r="A14" s="102"/>
      <c r="B14" s="114"/>
      <c r="C14" s="161">
        <v>9</v>
      </c>
      <c r="D14" s="162"/>
      <c r="E14" s="162"/>
      <c r="F14" s="163" t="str">
        <f>IF($E14&lt;&gt;"",IF($AJ14&lt;&gt;"",IF(AND($L14=T_Journey,VLOOKUP($AJ14,DBPlayers,2,0)&lt;12),T_Error&amp;"7",IF("Journeymen not available"=0,T_Error&amp;"8",IF(COUNTIF($E$6:$E14,$E14)-$AQ14&gt;VLOOKUP($AJ14,DBPlayers,2,0),T_Error&amp;"2",IF(L14=T_MNG,0,COUNTIF($E$6:$E14,$E14)-$AQ14)&amp;"/"&amp;(VLOOKUP($AJ14,DBPlayers,2,0))))),T_Error&amp;"1"),"")</f>
        <v/>
      </c>
      <c r="G14" s="164" t="str">
        <f t="shared" si="0"/>
        <v/>
      </c>
      <c r="H14" s="164" t="str">
        <f t="shared" si="1"/>
        <v/>
      </c>
      <c r="I14" s="164" t="str">
        <f t="shared" si="2"/>
        <v/>
      </c>
      <c r="J14" s="164" t="str">
        <f t="shared" si="3"/>
        <v/>
      </c>
      <c r="K14" s="167" t="str">
        <f t="shared" ca="1" si="4"/>
        <v/>
      </c>
      <c r="L14" s="168"/>
      <c r="M14" s="169"/>
      <c r="N14" s="170"/>
      <c r="O14" s="170"/>
      <c r="P14" s="170"/>
      <c r="Q14" s="170"/>
      <c r="R14" s="171" t="str">
        <f t="shared" si="5"/>
        <v/>
      </c>
      <c r="S14" s="172" t="str">
        <f t="shared" si="19"/>
        <v/>
      </c>
      <c r="T14" s="117"/>
      <c r="U14" s="152" t="str">
        <f t="shared" si="6"/>
        <v/>
      </c>
      <c r="V14" s="152" t="str">
        <f t="shared" si="7"/>
        <v/>
      </c>
      <c r="W14" s="153" t="str">
        <f t="shared" si="8"/>
        <v/>
      </c>
      <c r="X14" s="121"/>
      <c r="Y14" s="154"/>
      <c r="Z14" s="154"/>
      <c r="AA14" s="154"/>
      <c r="AB14" s="154"/>
      <c r="AC14" s="154"/>
      <c r="AD14" s="155"/>
      <c r="AE14" s="156"/>
      <c r="AF14" s="154"/>
      <c r="AG14" s="155"/>
      <c r="AH14" s="120"/>
      <c r="AI14" s="123">
        <v>9</v>
      </c>
      <c r="AJ14" s="159" t="str">
        <f t="shared" si="9"/>
        <v/>
      </c>
      <c r="AK14" s="159">
        <f t="shared" si="20"/>
        <v>0</v>
      </c>
      <c r="AL14" s="159">
        <f t="shared" si="10"/>
        <v>0</v>
      </c>
      <c r="AM14" s="159">
        <f t="shared" si="11"/>
        <v>0</v>
      </c>
      <c r="AN14" s="159">
        <f t="shared" si="12"/>
        <v>0</v>
      </c>
      <c r="AO14" s="159">
        <f t="shared" si="13"/>
        <v>0</v>
      </c>
      <c r="AP14" s="159">
        <f t="shared" si="14"/>
        <v>0</v>
      </c>
      <c r="AQ14" s="159" t="str">
        <f t="array" ref="AQ14">IF(ISERROR($AJ14),0,IF($AJ14="","",SUM(IF($AJ14=$AJ$6:$AJ14,IF($L$6:$L14=T_MNG,1,0),0))))</f>
        <v/>
      </c>
      <c r="AR14" s="160" t="str">
        <f t="shared" si="15"/>
        <v/>
      </c>
      <c r="AS14" s="160" t="str">
        <f t="shared" si="16"/>
        <v/>
      </c>
      <c r="AT14" s="160" t="str">
        <f t="shared" si="17"/>
        <v/>
      </c>
      <c r="AU14" s="160" t="str">
        <f t="shared" si="18"/>
        <v/>
      </c>
      <c r="AV14" s="102"/>
      <c r="AW14" s="102"/>
      <c r="AX14" s="102"/>
      <c r="AY14" s="102"/>
    </row>
    <row r="15" spans="1:51" ht="13.5" customHeight="1">
      <c r="A15" s="102"/>
      <c r="B15" s="114"/>
      <c r="C15" s="161">
        <v>10</v>
      </c>
      <c r="D15" s="162"/>
      <c r="E15" s="162"/>
      <c r="F15" s="163" t="str">
        <f>IF($E15&lt;&gt;"",IF($AJ15&lt;&gt;"",IF(AND($L15=T_Journey,VLOOKUP($AJ15,DBPlayers,2,0)&lt;12),T_Error&amp;"7",IF("Journeymen not available"=0,T_Error&amp;"8",IF(COUNTIF($E$6:$E15,$E15)-$AQ15&gt;VLOOKUP($AJ15,DBPlayers,2,0),T_Error&amp;"2",IF(L15=T_MNG,0,COUNTIF($E$6:$E15,$E15)-$AQ15)&amp;"/"&amp;(VLOOKUP($AJ15,DBPlayers,2,0))))),T_Error&amp;"1"),"")</f>
        <v/>
      </c>
      <c r="G15" s="164" t="str">
        <f t="shared" si="0"/>
        <v/>
      </c>
      <c r="H15" s="164" t="str">
        <f t="shared" si="1"/>
        <v/>
      </c>
      <c r="I15" s="164" t="str">
        <f t="shared" si="2"/>
        <v/>
      </c>
      <c r="J15" s="164" t="str">
        <f t="shared" si="3"/>
        <v/>
      </c>
      <c r="K15" s="167" t="str">
        <f t="shared" ca="1" si="4"/>
        <v/>
      </c>
      <c r="L15" s="168"/>
      <c r="M15" s="169"/>
      <c r="N15" s="170"/>
      <c r="O15" s="170"/>
      <c r="P15" s="170"/>
      <c r="Q15" s="170"/>
      <c r="R15" s="171" t="str">
        <f t="shared" si="5"/>
        <v/>
      </c>
      <c r="S15" s="172" t="str">
        <f t="shared" si="19"/>
        <v/>
      </c>
      <c r="T15" s="117"/>
      <c r="U15" s="152" t="str">
        <f t="shared" si="6"/>
        <v/>
      </c>
      <c r="V15" s="152" t="str">
        <f t="shared" si="7"/>
        <v/>
      </c>
      <c r="W15" s="153" t="str">
        <f t="shared" si="8"/>
        <v/>
      </c>
      <c r="X15" s="121"/>
      <c r="Y15" s="154"/>
      <c r="Z15" s="154"/>
      <c r="AA15" s="154"/>
      <c r="AB15" s="154"/>
      <c r="AC15" s="154"/>
      <c r="AD15" s="155"/>
      <c r="AE15" s="156"/>
      <c r="AF15" s="154"/>
      <c r="AG15" s="155"/>
      <c r="AH15" s="120"/>
      <c r="AI15" s="123">
        <v>10</v>
      </c>
      <c r="AJ15" s="159" t="str">
        <f t="shared" si="9"/>
        <v/>
      </c>
      <c r="AK15" s="159">
        <f t="shared" si="20"/>
        <v>0</v>
      </c>
      <c r="AL15" s="159">
        <f t="shared" si="10"/>
        <v>0</v>
      </c>
      <c r="AM15" s="159">
        <f t="shared" si="11"/>
        <v>0</v>
      </c>
      <c r="AN15" s="159">
        <f t="shared" si="12"/>
        <v>0</v>
      </c>
      <c r="AO15" s="159">
        <f t="shared" si="13"/>
        <v>0</v>
      </c>
      <c r="AP15" s="159">
        <f t="shared" si="14"/>
        <v>0</v>
      </c>
      <c r="AQ15" s="159" t="str">
        <f t="array" ref="AQ15">IF(ISERROR($AJ15),0,IF($AJ15="","",SUM(IF($AJ15=$AJ$6:$AJ15,IF($L$6:$L15=T_MNG,1,0),0))))</f>
        <v/>
      </c>
      <c r="AR15" s="160" t="str">
        <f t="shared" si="15"/>
        <v/>
      </c>
      <c r="AS15" s="160" t="str">
        <f t="shared" si="16"/>
        <v/>
      </c>
      <c r="AT15" s="160" t="str">
        <f t="shared" si="17"/>
        <v/>
      </c>
      <c r="AU15" s="160" t="str">
        <f t="shared" si="18"/>
        <v/>
      </c>
      <c r="AV15" s="102"/>
      <c r="AW15" s="102"/>
      <c r="AX15" s="102"/>
      <c r="AY15" s="102"/>
    </row>
    <row r="16" spans="1:51" ht="13.5" customHeight="1">
      <c r="A16" s="102"/>
      <c r="B16" s="114"/>
      <c r="C16" s="161">
        <v>11</v>
      </c>
      <c r="D16" s="162"/>
      <c r="E16" s="162"/>
      <c r="F16" s="163" t="str">
        <f>IF($E16&lt;&gt;"",IF($AJ16&lt;&gt;"",IF(AND($L16=T_Journey,VLOOKUP($AJ16,DBPlayers,2,0)&lt;12),T_Error&amp;"7",IF("Journeymen not available"=0,T_Error&amp;"8",IF(COUNTIF($E$6:$E16,$E16)-$AQ16&gt;VLOOKUP($AJ16,DBPlayers,2,0),T_Error&amp;"2",IF(L16=T_MNG,0,COUNTIF($E$6:$E16,$E16)-$AQ16)&amp;"/"&amp;(VLOOKUP($AJ16,DBPlayers,2,0))))),T_Error&amp;"1"),"")</f>
        <v/>
      </c>
      <c r="G16" s="164" t="str">
        <f t="shared" si="0"/>
        <v/>
      </c>
      <c r="H16" s="164" t="str">
        <f t="shared" si="1"/>
        <v/>
      </c>
      <c r="I16" s="164" t="str">
        <f t="shared" si="2"/>
        <v/>
      </c>
      <c r="J16" s="164" t="str">
        <f t="shared" si="3"/>
        <v/>
      </c>
      <c r="K16" s="167" t="str">
        <f t="shared" ca="1" si="4"/>
        <v/>
      </c>
      <c r="L16" s="168"/>
      <c r="M16" s="169"/>
      <c r="N16" s="170"/>
      <c r="O16" s="170"/>
      <c r="P16" s="170"/>
      <c r="Q16" s="170"/>
      <c r="R16" s="171" t="str">
        <f t="shared" si="5"/>
        <v/>
      </c>
      <c r="S16" s="172" t="str">
        <f t="shared" si="19"/>
        <v/>
      </c>
      <c r="T16" s="117"/>
      <c r="U16" s="152" t="str">
        <f t="shared" si="6"/>
        <v/>
      </c>
      <c r="V16" s="152" t="str">
        <f t="shared" si="7"/>
        <v/>
      </c>
      <c r="W16" s="153" t="str">
        <f t="shared" si="8"/>
        <v/>
      </c>
      <c r="X16" s="121"/>
      <c r="Y16" s="154"/>
      <c r="Z16" s="154"/>
      <c r="AA16" s="154"/>
      <c r="AB16" s="154"/>
      <c r="AC16" s="154"/>
      <c r="AD16" s="155"/>
      <c r="AE16" s="156"/>
      <c r="AF16" s="154"/>
      <c r="AG16" s="155"/>
      <c r="AH16" s="120"/>
      <c r="AI16" s="123">
        <v>11</v>
      </c>
      <c r="AJ16" s="159" t="str">
        <f t="shared" si="9"/>
        <v/>
      </c>
      <c r="AK16" s="159">
        <f t="shared" si="20"/>
        <v>0</v>
      </c>
      <c r="AL16" s="159">
        <f t="shared" si="10"/>
        <v>0</v>
      </c>
      <c r="AM16" s="159">
        <f t="shared" si="11"/>
        <v>0</v>
      </c>
      <c r="AN16" s="159">
        <f t="shared" si="12"/>
        <v>0</v>
      </c>
      <c r="AO16" s="159">
        <f t="shared" si="13"/>
        <v>0</v>
      </c>
      <c r="AP16" s="159">
        <f t="shared" si="14"/>
        <v>0</v>
      </c>
      <c r="AQ16" s="159" t="str">
        <f t="array" ref="AQ16">IF(ISERROR($AJ16),0,IF($AJ16="","",SUM(IF($AJ16=$AJ$6:$AJ16,IF($L$6:$L16=T_MNG,1,0),0))))</f>
        <v/>
      </c>
      <c r="AR16" s="160" t="str">
        <f t="shared" si="15"/>
        <v/>
      </c>
      <c r="AS16" s="160" t="str">
        <f t="shared" si="16"/>
        <v/>
      </c>
      <c r="AT16" s="160" t="str">
        <f t="shared" si="17"/>
        <v/>
      </c>
      <c r="AU16" s="160" t="str">
        <f t="shared" si="18"/>
        <v/>
      </c>
      <c r="AV16" s="102"/>
      <c r="AW16" s="102"/>
      <c r="AX16" s="102"/>
      <c r="AY16" s="102"/>
    </row>
    <row r="17" spans="1:51" ht="13.5" customHeight="1">
      <c r="A17" s="102"/>
      <c r="B17" s="114"/>
      <c r="C17" s="161">
        <v>12</v>
      </c>
      <c r="D17" s="162" t="s">
        <v>344</v>
      </c>
      <c r="E17" s="162" t="s">
        <v>284</v>
      </c>
      <c r="F17" s="163" t="str">
        <f>IF($E17&lt;&gt;"",IF($AJ17&lt;&gt;"",IF(AND($L17=T_Journey,VLOOKUP($AJ17,DBPlayers,2,0)&lt;12),T_Error&amp;"7",IF("Journeymen not available"=0,T_Error&amp;"8",IF(COUNTIF($E$6:$E17,$E17)-$AQ17&gt;VLOOKUP($AJ17,DBPlayers,2,0),T_Error&amp;"2",IF(L17=T_MNG,0,COUNTIF($E$6:$E17,$E17)-$AQ17)&amp;"/"&amp;(VLOOKUP($AJ17,DBPlayers,2,0))))),T_Error&amp;"1"),"")</f>
        <v>1/4</v>
      </c>
      <c r="G17" s="164">
        <f t="shared" si="0"/>
        <v>8</v>
      </c>
      <c r="H17" s="164">
        <f t="shared" si="1"/>
        <v>3</v>
      </c>
      <c r="I17" s="164">
        <f t="shared" si="2"/>
        <v>4</v>
      </c>
      <c r="J17" s="164">
        <f t="shared" si="3"/>
        <v>7</v>
      </c>
      <c r="K17" s="167" t="str">
        <f t="shared" ca="1" si="4"/>
        <v>Catch, Nerves of Steel</v>
      </c>
      <c r="L17" s="168"/>
      <c r="M17" s="169">
        <v>2</v>
      </c>
      <c r="N17" s="170"/>
      <c r="O17" s="170"/>
      <c r="P17" s="170"/>
      <c r="Q17" s="170"/>
      <c r="R17" s="171">
        <f t="shared" si="5"/>
        <v>2</v>
      </c>
      <c r="S17" s="172">
        <f t="shared" si="19"/>
        <v>100000</v>
      </c>
      <c r="T17" s="117"/>
      <c r="U17" s="152" t="str">
        <f t="shared" si="6"/>
        <v>G A</v>
      </c>
      <c r="V17" s="152" t="str">
        <f t="shared" si="7"/>
        <v>S P</v>
      </c>
      <c r="W17" s="153">
        <f t="shared" si="8"/>
        <v>0</v>
      </c>
      <c r="X17" s="121"/>
      <c r="Y17" s="154"/>
      <c r="Z17" s="154"/>
      <c r="AA17" s="154"/>
      <c r="AB17" s="154"/>
      <c r="AC17" s="154"/>
      <c r="AD17" s="155"/>
      <c r="AE17" s="156"/>
      <c r="AF17" s="154"/>
      <c r="AG17" s="155"/>
      <c r="AH17" s="120"/>
      <c r="AI17" s="123">
        <v>12</v>
      </c>
      <c r="AJ17" s="159" t="str">
        <f t="shared" si="9"/>
        <v>Elf3</v>
      </c>
      <c r="AK17" s="159">
        <f t="shared" si="20"/>
        <v>0</v>
      </c>
      <c r="AL17" s="159">
        <f t="shared" si="10"/>
        <v>0</v>
      </c>
      <c r="AM17" s="159">
        <f t="shared" si="11"/>
        <v>0</v>
      </c>
      <c r="AN17" s="159">
        <f t="shared" si="12"/>
        <v>0</v>
      </c>
      <c r="AO17" s="159">
        <f t="shared" si="13"/>
        <v>0</v>
      </c>
      <c r="AP17" s="159">
        <f t="shared" si="14"/>
        <v>0</v>
      </c>
      <c r="AQ17" s="159">
        <f t="array" ref="AQ17">IF(ISERROR($AJ17),0,IF($AJ17="","",SUM(IF($AJ17=$AJ$6:$AJ17,IF($L$6:$L17=T_MNG,1,0),0))))</f>
        <v>0</v>
      </c>
      <c r="AR17" s="160">
        <f t="shared" si="15"/>
        <v>8</v>
      </c>
      <c r="AS17" s="160">
        <f t="shared" si="16"/>
        <v>3</v>
      </c>
      <c r="AT17" s="160">
        <f t="shared" si="17"/>
        <v>4</v>
      </c>
      <c r="AU17" s="160">
        <f t="shared" si="18"/>
        <v>7</v>
      </c>
      <c r="AV17" s="102"/>
      <c r="AW17" s="102"/>
      <c r="AX17" s="102"/>
      <c r="AY17" s="102"/>
    </row>
    <row r="18" spans="1:51" ht="13.5" customHeight="1">
      <c r="A18" s="102"/>
      <c r="B18" s="114"/>
      <c r="C18" s="161">
        <v>13</v>
      </c>
      <c r="D18" s="162" t="s">
        <v>346</v>
      </c>
      <c r="E18" s="162" t="s">
        <v>284</v>
      </c>
      <c r="F18" s="163" t="str">
        <f>IF($E18&lt;&gt;"",IF($AJ18&lt;&gt;"",IF(AND($L18=T_Journey,VLOOKUP($AJ18,DBPlayers,2,0)&lt;12),T_Error&amp;"7",IF("Journeymen not available"=0,T_Error&amp;"8",IF(COUNTIF($E$6:$E18,$E18)-$AQ18&gt;VLOOKUP($AJ18,DBPlayers,2,0),T_Error&amp;"2",IF(L18=T_MNG,0,COUNTIF($E$6:$E18,$E18)-$AQ18)&amp;"/"&amp;(VLOOKUP($AJ18,DBPlayers,2,0))))),T_Error&amp;"1"),"")</f>
        <v>2/4</v>
      </c>
      <c r="G18" s="164">
        <f t="shared" si="0"/>
        <v>8</v>
      </c>
      <c r="H18" s="164">
        <f t="shared" si="1"/>
        <v>3</v>
      </c>
      <c r="I18" s="164">
        <f t="shared" si="2"/>
        <v>5</v>
      </c>
      <c r="J18" s="164">
        <f t="shared" si="3"/>
        <v>7</v>
      </c>
      <c r="K18" s="167" t="str">
        <f t="shared" ca="1" si="4"/>
        <v>Catch, Nerves of Steel, Guard, AG+</v>
      </c>
      <c r="L18" s="168"/>
      <c r="M18" s="169">
        <v>1</v>
      </c>
      <c r="N18" s="170">
        <v>6</v>
      </c>
      <c r="O18" s="170"/>
      <c r="P18" s="170"/>
      <c r="Q18" s="170"/>
      <c r="R18" s="171">
        <f t="shared" si="5"/>
        <v>19</v>
      </c>
      <c r="S18" s="172">
        <f t="shared" si="19"/>
        <v>170000</v>
      </c>
      <c r="T18" s="117"/>
      <c r="U18" s="152" t="str">
        <f t="shared" si="6"/>
        <v>G A</v>
      </c>
      <c r="V18" s="152" t="str">
        <f t="shared" si="7"/>
        <v>S P</v>
      </c>
      <c r="W18" s="153">
        <f t="shared" si="8"/>
        <v>2</v>
      </c>
      <c r="X18" s="121"/>
      <c r="Y18" s="154" t="s">
        <v>270</v>
      </c>
      <c r="Z18" s="154" t="s">
        <v>324</v>
      </c>
      <c r="AA18" s="154"/>
      <c r="AB18" s="154"/>
      <c r="AC18" s="154"/>
      <c r="AD18" s="155"/>
      <c r="AE18" s="156"/>
      <c r="AF18" s="154"/>
      <c r="AG18" s="155"/>
      <c r="AH18" s="120"/>
      <c r="AI18" s="123">
        <v>13</v>
      </c>
      <c r="AJ18" s="159" t="str">
        <f t="shared" si="9"/>
        <v>Elf3</v>
      </c>
      <c r="AK18" s="159">
        <f t="shared" si="20"/>
        <v>30000</v>
      </c>
      <c r="AL18" s="159">
        <f t="shared" si="10"/>
        <v>40000</v>
      </c>
      <c r="AM18" s="159">
        <f t="shared" si="11"/>
        <v>0</v>
      </c>
      <c r="AN18" s="159">
        <f t="shared" si="12"/>
        <v>0</v>
      </c>
      <c r="AO18" s="159">
        <f t="shared" si="13"/>
        <v>0</v>
      </c>
      <c r="AP18" s="159">
        <f t="shared" si="14"/>
        <v>0</v>
      </c>
      <c r="AQ18" s="159">
        <f t="array" ref="AQ18">IF(ISERROR($AJ18),0,IF($AJ18="","",SUM(IF($AJ18=$AJ$6:$AJ18,IF($L$6:$L18=T_MNG,1,0),0))))</f>
        <v>0</v>
      </c>
      <c r="AR18" s="160">
        <f t="shared" si="15"/>
        <v>8</v>
      </c>
      <c r="AS18" s="160">
        <f t="shared" si="16"/>
        <v>3</v>
      </c>
      <c r="AT18" s="160">
        <f t="shared" si="17"/>
        <v>4</v>
      </c>
      <c r="AU18" s="160">
        <f t="shared" si="18"/>
        <v>7</v>
      </c>
      <c r="AV18" s="102"/>
      <c r="AW18" s="102"/>
      <c r="AX18" s="102"/>
      <c r="AY18" s="102"/>
    </row>
    <row r="19" spans="1:51" ht="13.5" customHeight="1">
      <c r="A19" s="102"/>
      <c r="B19" s="114"/>
      <c r="C19" s="161">
        <v>14</v>
      </c>
      <c r="D19" s="162" t="s">
        <v>350</v>
      </c>
      <c r="E19" s="162" t="s">
        <v>284</v>
      </c>
      <c r="F19" s="163" t="str">
        <f>IF($E19&lt;&gt;"",IF($AJ19&lt;&gt;"",IF(AND($L19=T_Journey,VLOOKUP($AJ19,DBPlayers,2,0)&lt;12),T_Error&amp;"7",IF("Journeymen not available"=0,T_Error&amp;"8",IF(COUNTIF($E$6:$E19,$E19)-$AQ19&gt;VLOOKUP($AJ19,DBPlayers,2,0),T_Error&amp;"2",IF(L19=T_MNG,0,COUNTIF($E$6:$E19,$E19)-$AQ19)&amp;"/"&amp;(VLOOKUP($AJ19,DBPlayers,2,0))))),T_Error&amp;"1"),"")</f>
        <v>3/4</v>
      </c>
      <c r="G19" s="164">
        <f t="shared" si="0"/>
        <v>8</v>
      </c>
      <c r="H19" s="164">
        <f t="shared" si="1"/>
        <v>3</v>
      </c>
      <c r="I19" s="164">
        <f t="shared" si="2"/>
        <v>4</v>
      </c>
      <c r="J19" s="164">
        <f t="shared" si="3"/>
        <v>7</v>
      </c>
      <c r="K19" s="167" t="str">
        <f t="shared" ca="1" si="4"/>
        <v>Catch, Nerves of Steel, Dodge, Block</v>
      </c>
      <c r="L19" s="168"/>
      <c r="M19" s="169">
        <v>4</v>
      </c>
      <c r="N19" s="170">
        <v>2</v>
      </c>
      <c r="O19" s="170"/>
      <c r="P19" s="170"/>
      <c r="Q19" s="170">
        <v>2</v>
      </c>
      <c r="R19" s="171">
        <f t="shared" si="5"/>
        <v>20</v>
      </c>
      <c r="S19" s="172">
        <f t="shared" si="19"/>
        <v>140000</v>
      </c>
      <c r="T19" s="117"/>
      <c r="U19" s="152" t="str">
        <f t="shared" si="6"/>
        <v>G A</v>
      </c>
      <c r="V19" s="152" t="str">
        <f t="shared" si="7"/>
        <v>S P</v>
      </c>
      <c r="W19" s="153">
        <f t="shared" si="8"/>
        <v>2</v>
      </c>
      <c r="X19" s="121"/>
      <c r="Y19" s="154" t="s">
        <v>165</v>
      </c>
      <c r="Z19" s="154" t="s">
        <v>162</v>
      </c>
      <c r="AA19" s="154"/>
      <c r="AB19" s="154"/>
      <c r="AC19" s="154"/>
      <c r="AD19" s="155"/>
      <c r="AE19" s="156"/>
      <c r="AF19" s="154"/>
      <c r="AG19" s="155"/>
      <c r="AH19" s="120"/>
      <c r="AI19" s="123">
        <v>14</v>
      </c>
      <c r="AJ19" s="159" t="str">
        <f t="shared" si="9"/>
        <v>Elf3</v>
      </c>
      <c r="AK19" s="159">
        <f t="shared" si="20"/>
        <v>20000</v>
      </c>
      <c r="AL19" s="159">
        <f t="shared" si="10"/>
        <v>20000</v>
      </c>
      <c r="AM19" s="159">
        <f t="shared" si="11"/>
        <v>0</v>
      </c>
      <c r="AN19" s="159">
        <f t="shared" si="12"/>
        <v>0</v>
      </c>
      <c r="AO19" s="159">
        <f t="shared" si="13"/>
        <v>0</v>
      </c>
      <c r="AP19" s="159">
        <f t="shared" si="14"/>
        <v>0</v>
      </c>
      <c r="AQ19" s="159">
        <f t="array" ref="AQ19">IF(ISERROR($AJ19),0,IF($AJ19="","",SUM(IF($AJ19=$AJ$6:$AJ19,IF($L$6:$L19=T_MNG,1,0),0))))</f>
        <v>0</v>
      </c>
      <c r="AR19" s="160">
        <f t="shared" si="15"/>
        <v>8</v>
      </c>
      <c r="AS19" s="160">
        <f t="shared" si="16"/>
        <v>3</v>
      </c>
      <c r="AT19" s="160">
        <f t="shared" si="17"/>
        <v>4</v>
      </c>
      <c r="AU19" s="160">
        <f t="shared" si="18"/>
        <v>7</v>
      </c>
      <c r="AV19" s="102"/>
      <c r="AW19" s="102"/>
      <c r="AX19" s="102"/>
      <c r="AY19" s="102"/>
    </row>
    <row r="20" spans="1:51" ht="13.5" customHeight="1">
      <c r="A20" s="102"/>
      <c r="B20" s="114"/>
      <c r="C20" s="161">
        <v>15</v>
      </c>
      <c r="D20" s="162" t="s">
        <v>352</v>
      </c>
      <c r="E20" s="162" t="s">
        <v>269</v>
      </c>
      <c r="F20" s="163" t="str">
        <f>IF($E20&lt;&gt;"",IF($AJ20&lt;&gt;"",IF(AND($L20=T_Journey,VLOOKUP($AJ20,DBPlayers,2,0)&lt;12),T_Error&amp;"7",IF("Journeymen not available"=0,T_Error&amp;"8",IF(COUNTIF($E$6:$E20,$E20)-$AQ20&gt;VLOOKUP($AJ20,DBPlayers,2,0),T_Error&amp;"2",IF(L20=T_MNG,0,COUNTIF($E$6:$E20,$E20)-$AQ20)&amp;"/"&amp;(VLOOKUP($AJ20,DBPlayers,2,0))))),T_Error&amp;"1"),"")</f>
        <v>1/2</v>
      </c>
      <c r="G20" s="164">
        <f t="shared" si="0"/>
        <v>7</v>
      </c>
      <c r="H20" s="164">
        <f t="shared" si="1"/>
        <v>3</v>
      </c>
      <c r="I20" s="164">
        <f t="shared" si="2"/>
        <v>4</v>
      </c>
      <c r="J20" s="164">
        <f t="shared" si="3"/>
        <v>8</v>
      </c>
      <c r="K20" s="167" t="str">
        <f t="shared" ca="1" si="4"/>
        <v>Block, Sidestep, Dodge</v>
      </c>
      <c r="L20" s="168"/>
      <c r="M20" s="169"/>
      <c r="N20" s="170">
        <v>2</v>
      </c>
      <c r="O20" s="170"/>
      <c r="P20" s="170"/>
      <c r="Q20" s="170"/>
      <c r="R20" s="171">
        <f t="shared" si="5"/>
        <v>6</v>
      </c>
      <c r="S20" s="172">
        <f t="shared" si="19"/>
        <v>130000</v>
      </c>
      <c r="T20" s="117"/>
      <c r="U20" s="152" t="str">
        <f t="shared" si="6"/>
        <v>G A</v>
      </c>
      <c r="V20" s="152" t="str">
        <f t="shared" si="7"/>
        <v>S P</v>
      </c>
      <c r="W20" s="153">
        <f t="shared" si="8"/>
        <v>1</v>
      </c>
      <c r="X20" s="121"/>
      <c r="Y20" s="154" t="s">
        <v>165</v>
      </c>
      <c r="Z20" s="154"/>
      <c r="AA20" s="154"/>
      <c r="AB20" s="154"/>
      <c r="AC20" s="154"/>
      <c r="AD20" s="155"/>
      <c r="AE20" s="156"/>
      <c r="AF20" s="154"/>
      <c r="AG20" s="155"/>
      <c r="AH20" s="120"/>
      <c r="AI20" s="123">
        <v>15</v>
      </c>
      <c r="AJ20" s="159" t="str">
        <f t="shared" si="9"/>
        <v>Elf4</v>
      </c>
      <c r="AK20" s="159">
        <f t="shared" si="20"/>
        <v>20000</v>
      </c>
      <c r="AL20" s="159">
        <f t="shared" si="10"/>
        <v>0</v>
      </c>
      <c r="AM20" s="159">
        <f t="shared" si="11"/>
        <v>0</v>
      </c>
      <c r="AN20" s="159">
        <f t="shared" si="12"/>
        <v>0</v>
      </c>
      <c r="AO20" s="159">
        <f t="shared" si="13"/>
        <v>0</v>
      </c>
      <c r="AP20" s="159">
        <f t="shared" si="14"/>
        <v>0</v>
      </c>
      <c r="AQ20" s="159">
        <f t="array" ref="AQ20">IF(ISERROR($AJ20),0,IF($AJ20="","",SUM(IF($AJ20=$AJ$6:$AJ20,IF($L$6:$L20=T_MNG,1,0),0))))</f>
        <v>0</v>
      </c>
      <c r="AR20" s="160">
        <f t="shared" si="15"/>
        <v>7</v>
      </c>
      <c r="AS20" s="160">
        <f t="shared" si="16"/>
        <v>3</v>
      </c>
      <c r="AT20" s="160">
        <f t="shared" si="17"/>
        <v>4</v>
      </c>
      <c r="AU20" s="160">
        <f t="shared" si="18"/>
        <v>8</v>
      </c>
      <c r="AV20" s="102"/>
      <c r="AW20" s="102"/>
      <c r="AX20" s="102"/>
      <c r="AY20" s="102"/>
    </row>
    <row r="21" spans="1:51" ht="13.5" customHeight="1">
      <c r="A21" s="102"/>
      <c r="B21" s="114"/>
      <c r="C21" s="176">
        <v>16</v>
      </c>
      <c r="D21" s="175" t="s">
        <v>354</v>
      </c>
      <c r="E21" s="175" t="s">
        <v>269</v>
      </c>
      <c r="F21" s="177" t="str">
        <f>IF($E21&lt;&gt;"",IF($AJ21&lt;&gt;"",IF(AND($L21=T_Journey,VLOOKUP($AJ21,DBPlayers,2,0)&lt;12),T_Error&amp;"7",IF("Journeymen not available"=0,T_Error&amp;"8",IF(COUNTIF($E$6:$E21,$E21)-$AQ21&gt;VLOOKUP($AJ21,DBPlayers,2,0),T_Error&amp;"2",IF(L21=T_MNG,0,COUNTIF($E$6:$E21,$E21)-$AQ21)&amp;"/"&amp;(VLOOKUP($AJ21,DBPlayers,2,0))))),T_Error&amp;"1"),"")</f>
        <v>2/2</v>
      </c>
      <c r="G21" s="178">
        <f t="shared" si="0"/>
        <v>6</v>
      </c>
      <c r="H21" s="178">
        <f t="shared" si="1"/>
        <v>3</v>
      </c>
      <c r="I21" s="178">
        <f t="shared" si="2"/>
        <v>4</v>
      </c>
      <c r="J21" s="178">
        <f t="shared" si="3"/>
        <v>7</v>
      </c>
      <c r="K21" s="179" t="str">
        <f t="shared" ca="1" si="4"/>
        <v>Block, Sidestep, Guard, AV-, MA-</v>
      </c>
      <c r="L21" s="180"/>
      <c r="M21" s="181">
        <v>1</v>
      </c>
      <c r="N21" s="182">
        <v>1</v>
      </c>
      <c r="O21" s="182"/>
      <c r="P21" s="182">
        <v>1</v>
      </c>
      <c r="Q21" s="182"/>
      <c r="R21" s="183">
        <f t="shared" si="5"/>
        <v>6</v>
      </c>
      <c r="S21" s="184">
        <f t="shared" si="19"/>
        <v>140000</v>
      </c>
      <c r="T21" s="117"/>
      <c r="U21" s="152" t="str">
        <f t="shared" si="6"/>
        <v>G A</v>
      </c>
      <c r="V21" s="152" t="str">
        <f t="shared" si="7"/>
        <v>S P</v>
      </c>
      <c r="W21" s="153">
        <f t="shared" si="8"/>
        <v>1</v>
      </c>
      <c r="X21" s="121"/>
      <c r="Y21" s="154" t="s">
        <v>270</v>
      </c>
      <c r="Z21" s="154"/>
      <c r="AA21" s="154"/>
      <c r="AB21" s="154"/>
      <c r="AC21" s="154"/>
      <c r="AD21" s="185"/>
      <c r="AE21" s="186" t="s">
        <v>355</v>
      </c>
      <c r="AF21" s="154"/>
      <c r="AG21" s="185"/>
      <c r="AH21" s="120"/>
      <c r="AI21" s="123">
        <v>16</v>
      </c>
      <c r="AJ21" s="159" t="str">
        <f t="shared" si="9"/>
        <v>Elf4</v>
      </c>
      <c r="AK21" s="159">
        <f t="shared" si="20"/>
        <v>30000</v>
      </c>
      <c r="AL21" s="159">
        <f t="shared" si="10"/>
        <v>0</v>
      </c>
      <c r="AM21" s="159">
        <f t="shared" si="11"/>
        <v>0</v>
      </c>
      <c r="AN21" s="159">
        <f t="shared" si="12"/>
        <v>0</v>
      </c>
      <c r="AO21" s="159">
        <f t="shared" si="13"/>
        <v>0</v>
      </c>
      <c r="AP21" s="159">
        <f t="shared" si="14"/>
        <v>0</v>
      </c>
      <c r="AQ21" s="159">
        <f t="array" ref="AQ21">IF(ISERROR($AJ21),0,IF($AJ21="","",SUM(IF($AJ21=$AJ$6:$AJ21,IF($L$6:$L21=T_MNG,1,0),0))))</f>
        <v>0</v>
      </c>
      <c r="AR21" s="160">
        <f t="shared" si="15"/>
        <v>7</v>
      </c>
      <c r="AS21" s="160">
        <f t="shared" si="16"/>
        <v>3</v>
      </c>
      <c r="AT21" s="160">
        <f t="shared" si="17"/>
        <v>4</v>
      </c>
      <c r="AU21" s="160">
        <f t="shared" si="18"/>
        <v>8</v>
      </c>
      <c r="AV21" s="102"/>
      <c r="AW21" s="102"/>
      <c r="AX21" s="102"/>
      <c r="AY21" s="102"/>
    </row>
    <row r="22" spans="1:51" ht="18" customHeight="1">
      <c r="A22" s="102"/>
      <c r="B22" s="114"/>
      <c r="C22" s="187"/>
      <c r="D22" s="188"/>
      <c r="E22" s="189" t="s">
        <v>186</v>
      </c>
      <c r="F22" s="190" t="str">
        <f>COUNTIF(S6:S21,"&gt;0")&amp;"/16"</f>
        <v>10/16</v>
      </c>
      <c r="G22" s="191"/>
      <c r="H22" s="192" t="str">
        <f>IF(AND(AQ22&gt;0,AQ22+AM22&gt;11),T_Error8,IF(AM22&lt;11,AQ22&amp;" / "&amp;11-AM22&amp;" "&amp;T_AllowedJourney,""))</f>
        <v>0 / 1 allowed Journeymen used</v>
      </c>
      <c r="I22" s="190"/>
      <c r="J22" s="190"/>
      <c r="K22" s="193"/>
      <c r="L22" s="189" t="s">
        <v>187</v>
      </c>
      <c r="M22" s="190">
        <f t="shared" ref="M22:Q22" si="21">SUMIF($R$6:$R$21,"&gt;=0",M$6:M$21)</f>
        <v>13</v>
      </c>
      <c r="N22" s="190">
        <f t="shared" si="21"/>
        <v>11</v>
      </c>
      <c r="O22" s="190">
        <f t="shared" si="21"/>
        <v>0</v>
      </c>
      <c r="P22" s="190">
        <f t="shared" si="21"/>
        <v>4</v>
      </c>
      <c r="Q22" s="190">
        <f t="shared" si="21"/>
        <v>6</v>
      </c>
      <c r="R22" s="190">
        <f t="shared" ref="R22:S22" si="22">SUM(R6:R21)</f>
        <v>84</v>
      </c>
      <c r="S22" s="194">
        <f t="shared" si="22"/>
        <v>1070000</v>
      </c>
      <c r="T22" s="117"/>
      <c r="U22" s="195"/>
      <c r="V22" s="196"/>
      <c r="W22" s="197"/>
      <c r="X22" s="198"/>
      <c r="Y22" s="198"/>
      <c r="Z22" s="198"/>
      <c r="AA22" s="198"/>
      <c r="AB22" s="198"/>
      <c r="AC22" s="198"/>
      <c r="AD22" s="198"/>
      <c r="AE22" s="198"/>
      <c r="AF22" s="198"/>
      <c r="AG22" s="198"/>
      <c r="AH22" s="102"/>
      <c r="AI22" s="123"/>
      <c r="AJ22" s="102"/>
      <c r="AK22" s="102"/>
      <c r="AL22" s="199" t="s">
        <v>188</v>
      </c>
      <c r="AM22" s="200">
        <f>COUNTIF($S$6:$S$21,"&gt;0")-$AQ$22</f>
        <v>10</v>
      </c>
      <c r="AN22" s="123"/>
      <c r="AO22" s="123"/>
      <c r="AP22" s="199" t="s">
        <v>189</v>
      </c>
      <c r="AQ22" s="159">
        <f t="array" ref="AQ22">SUM(IF(L6:L21=T_Journey,IF(S6:S21&lt;&gt;"",1,0),0))</f>
        <v>0</v>
      </c>
      <c r="AR22" s="105"/>
      <c r="AS22" s="105"/>
      <c r="AT22" s="105"/>
      <c r="AU22" s="105"/>
      <c r="AV22" s="102"/>
      <c r="AW22" s="102"/>
      <c r="AX22" s="102"/>
      <c r="AY22" s="102"/>
    </row>
    <row r="23" spans="1:51" ht="3" customHeight="1">
      <c r="A23" s="102"/>
      <c r="B23" s="107"/>
      <c r="C23" s="108"/>
      <c r="D23" s="109"/>
      <c r="E23" s="109"/>
      <c r="F23" s="110"/>
      <c r="G23" s="108"/>
      <c r="H23" s="108"/>
      <c r="I23" s="108"/>
      <c r="J23" s="108"/>
      <c r="K23" s="109"/>
      <c r="L23" s="109"/>
      <c r="M23" s="109"/>
      <c r="N23" s="109"/>
      <c r="O23" s="109"/>
      <c r="P23" s="109"/>
      <c r="Q23" s="109"/>
      <c r="R23" s="109"/>
      <c r="S23" s="201"/>
      <c r="T23" s="111"/>
      <c r="U23" s="121"/>
      <c r="V23" s="202"/>
      <c r="W23" s="121"/>
      <c r="X23" s="121"/>
      <c r="Y23" s="102"/>
      <c r="Z23" s="113"/>
      <c r="AA23" s="113"/>
      <c r="AB23" s="102"/>
      <c r="AC23" s="102"/>
      <c r="AD23" s="102"/>
      <c r="AE23" s="102"/>
      <c r="AF23" s="102"/>
      <c r="AG23" s="102"/>
      <c r="AH23" s="102"/>
      <c r="AI23" s="123"/>
      <c r="AJ23" s="123"/>
      <c r="AK23" s="123"/>
      <c r="AL23" s="123"/>
      <c r="AM23" s="123"/>
      <c r="AN23" s="123"/>
      <c r="AO23" s="123"/>
      <c r="AP23" s="123"/>
      <c r="AQ23" s="123"/>
      <c r="AR23" s="105"/>
      <c r="AS23" s="105"/>
      <c r="AT23" s="105"/>
      <c r="AU23" s="105"/>
      <c r="AV23" s="102"/>
      <c r="AW23" s="102"/>
      <c r="AX23" s="102"/>
      <c r="AY23" s="102"/>
    </row>
    <row r="24" spans="1:51" ht="13.5" customHeight="1">
      <c r="A24" s="102"/>
      <c r="B24" s="114"/>
      <c r="C24" s="203"/>
      <c r="D24" s="351" t="s">
        <v>190</v>
      </c>
      <c r="E24" s="316"/>
      <c r="F24" s="127" t="s">
        <v>142</v>
      </c>
      <c r="G24" s="127" t="str">
        <f>T_MA</f>
        <v>MA</v>
      </c>
      <c r="H24" s="127" t="str">
        <f>T_ST</f>
        <v>ST</v>
      </c>
      <c r="I24" s="127" t="str">
        <f>T_AG</f>
        <v>AG</v>
      </c>
      <c r="J24" s="127" t="str">
        <f>T_AV</f>
        <v>AV</v>
      </c>
      <c r="K24" s="348" t="s">
        <v>191</v>
      </c>
      <c r="L24" s="316"/>
      <c r="M24" s="316"/>
      <c r="N24" s="316"/>
      <c r="O24" s="316"/>
      <c r="P24" s="316"/>
      <c r="Q24" s="316"/>
      <c r="R24" s="316"/>
      <c r="S24" s="204"/>
      <c r="T24" s="117"/>
      <c r="U24" s="133" t="s">
        <v>146</v>
      </c>
      <c r="V24" s="341" t="s">
        <v>192</v>
      </c>
      <c r="W24" s="316"/>
      <c r="X24" s="121"/>
      <c r="Y24" s="113"/>
      <c r="Z24" s="102"/>
      <c r="AA24" s="102"/>
      <c r="AB24" s="102"/>
      <c r="AC24" s="102"/>
      <c r="AD24" s="102"/>
      <c r="AE24" s="102"/>
      <c r="AF24" s="102"/>
      <c r="AG24" s="102"/>
      <c r="AH24" s="102"/>
      <c r="AI24" s="123"/>
      <c r="AJ24" s="123"/>
      <c r="AK24" s="123"/>
      <c r="AL24" s="123"/>
      <c r="AM24" s="123"/>
      <c r="AN24" s="123"/>
      <c r="AO24" s="123"/>
      <c r="AP24" s="141"/>
      <c r="AQ24" s="141" t="s">
        <v>160</v>
      </c>
      <c r="AR24" s="105"/>
      <c r="AS24" s="105"/>
      <c r="AT24" s="105"/>
      <c r="AU24" s="105"/>
      <c r="AV24" s="102"/>
      <c r="AW24" s="102"/>
      <c r="AX24" s="102"/>
      <c r="AY24" s="102"/>
    </row>
    <row r="25" spans="1:51" ht="13.5" customHeight="1">
      <c r="A25" s="102"/>
      <c r="B25" s="114"/>
      <c r="C25" s="115"/>
      <c r="D25" s="346"/>
      <c r="E25" s="316"/>
      <c r="F25" s="205" t="str">
        <f>IF($D25="","",IF($AJ25="",T_Error&amp;"1",IF(COUNTIF($D$25:$D25,"&lt;&gt;")&gt;$R$31,T_Error&amp;"3",IF(ISERROR(FIND(T_Merc,$D25)),IF(COUNTIF($D$25:$D25,D25)&gt;1,T_Error&amp;"4",IF(COUNTIF($AJ$25:$AJ25,"=Star")&gt;2,T_Error&amp;"5",IF(AND($D25=Brick,$F$31&lt;&gt;"1/1"),T_Error&amp;"6","1/1"))),IF(COUNTIF($AJ$6:$AJ25,$AJ25)-$AQ25&gt;VLOOKUP($AJ25,DBPlayers,2,0)+VLOOKUP($AJ25,$AL$58:$AM$67,2,0),T_Error&amp;"2",COUNTIF($AJ$6:$AJ25,$AJ25)-$AQ25&amp;"/"&amp;(VLOOKUP($AJ25,DBPlayers,2,0)))))))</f>
        <v/>
      </c>
      <c r="G25" s="205" t="str">
        <f t="shared" ref="G25:G30" si="23">IF(OR(LEFT($F25,LEN(T_Error))=T_Error,$D25=""),"",IF(ISERROR(FIND(T_Merc,$D25)),VLOOKUP($D25,DBStars,2,0),VLOOKUP($AJ25,DBPlayers,4,0)))</f>
        <v/>
      </c>
      <c r="H25" s="205" t="str">
        <f t="shared" ref="H25:H30" si="24">IF(OR(LEFT($F25,LEN(T_Error))=T_Error,$D25=""),"",IF(ISERROR(FIND(T_Merc,$D25)),VLOOKUP($D25,DBStars,3,0),VLOOKUP($AJ25,DBPlayers,5,0)))</f>
        <v/>
      </c>
      <c r="I25" s="205" t="str">
        <f t="shared" ref="I25:I30" si="25">IF(OR(LEFT($F25,LEN(T_Error))=T_Error,$D25=""),"",IF(ISERROR(FIND(T_Merc,$D25)),VLOOKUP($D25,DBStars,4,0),VLOOKUP($AJ25,DBPlayers,6,0)))</f>
        <v/>
      </c>
      <c r="J25" s="205" t="str">
        <f t="shared" ref="J25:J30" si="26">IF(OR(LEFT($F25,LEN(T_Error))=T_Error,$D25=""),"",IF(ISERROR(FIND(T_Merc,$D25)),VLOOKUP($D25,DBStars,5,0),VLOOKUP($AJ25,DBPlayers,7,0)))</f>
        <v/>
      </c>
      <c r="K25" s="347" t="str">
        <f t="shared" ref="K25:K30" ca="1" si="27">IF($D25="","",IF(LEFT($F25,LEN(T_Error))=T_Error,INDIRECT("T_Error"&amp;RIGHT($F25,1)),IF(ISERROR(FIND(T_Merc,$D25)),VLOOKUP($D25,DBStars,6,0),T_Loner&amp;", "&amp;VLOOKUP($AJ25,DBPlayers,8,0)&amp;IF($V25="","",", "&amp;$V25))))</f>
        <v/>
      </c>
      <c r="L25" s="316"/>
      <c r="M25" s="316"/>
      <c r="N25" s="316"/>
      <c r="O25" s="316"/>
      <c r="P25" s="316"/>
      <c r="Q25" s="316"/>
      <c r="R25" s="316"/>
      <c r="S25" s="206" t="str">
        <f t="shared" ref="S25:S30" si="28">IF(OR(LEFT($F25,LEN(T_Error))=T_Error,$D25=""),"",IF(ISERROR(FIND(T_Merc,$D25)),VLOOKUP($D25,DBStars,7,0),VLOOKUP($AJ25,DBPlayers,11,0)+30000+IF(V25&lt;&gt;"",50000,0)))</f>
        <v/>
      </c>
      <c r="T25" s="117"/>
      <c r="U25" s="207" t="str">
        <f t="shared" ref="U25:U30" si="29">IF(OR(LEFT($F25,LEN(T_Error))=T_Error,$D25=""),"",IF(ISERROR(FIND("Mercenary",$D25)),"none",VLOOKUP($AJ25,DBPlayers,9,0)))</f>
        <v/>
      </c>
      <c r="V25" s="334"/>
      <c r="W25" s="316"/>
      <c r="X25" s="121"/>
      <c r="Y25" s="102"/>
      <c r="Z25" s="102"/>
      <c r="AA25" s="102"/>
      <c r="AB25" s="102"/>
      <c r="AC25" s="102"/>
      <c r="AD25" s="102"/>
      <c r="AE25" s="102"/>
      <c r="AF25" s="102"/>
      <c r="AG25" s="102"/>
      <c r="AH25" s="102"/>
      <c r="AI25" s="199" t="s">
        <v>193</v>
      </c>
      <c r="AJ25" s="159" t="str">
        <f t="shared" ref="AJ25:AJ30" si="30">IF(ISERROR(VLOOKUP(MID($D25,1,LEN($D25)-LEN(" Mercenary")),$AJ$58:$AL$67,3,0)),IF(ISERROR(VLOOKUP(D25,AK48:AK57,1,0)),"","Star"),VLOOKUP(MID($D25,1,LEN($D25)-LEN(" Mercenary")),$AJ$58:$AL$67,3,0))</f>
        <v/>
      </c>
      <c r="AK25" s="123"/>
      <c r="AL25" s="123"/>
      <c r="AM25" s="123"/>
      <c r="AN25" s="123"/>
      <c r="AO25" s="123"/>
      <c r="AP25" s="123"/>
      <c r="AQ25" s="159" t="str">
        <f t="array" ref="AQ25">IF($AJ25&lt;&gt;"",SUM(IF($AJ25=$AJ$6:$AJ25,IF($L$6:$L25=T_MNG,1,0),0)),"")</f>
        <v/>
      </c>
      <c r="AR25" s="105"/>
      <c r="AS25" s="105"/>
      <c r="AT25" s="105"/>
      <c r="AU25" s="105"/>
      <c r="AV25" s="102"/>
      <c r="AW25" s="102"/>
      <c r="AX25" s="102"/>
      <c r="AY25" s="102"/>
    </row>
    <row r="26" spans="1:51" ht="13.5" customHeight="1">
      <c r="A26" s="102"/>
      <c r="B26" s="114"/>
      <c r="C26" s="208"/>
      <c r="D26" s="346"/>
      <c r="E26" s="316"/>
      <c r="F26" s="205" t="str">
        <f>IF($D26="","",IF($AJ26="",T_Error&amp;"1",IF(COUNTIF($D$25:$D26,"&lt;&gt;")&gt;$R$31,T_Error&amp;"3",IF(ISERROR(FIND(T_Merc,$D26)),IF(COUNTIF($D$25:$D26,D26)&gt;1,T_Error&amp;"4",IF(COUNTIF($AJ$25:$AJ26,"=Star")&gt;2,T_Error&amp;"5",IF(AND($D26=Brick,$F$31&lt;&gt;"1/1"),T_Error&amp;"6","1/1"))),IF(COUNTIF($AJ$6:$AJ26,$AJ26)-$AQ26&gt;VLOOKUP($AJ26,DBPlayers,2,0)+VLOOKUP($AJ26,$AL$58:$AM$67,2,0),T_Error&amp;"2",COUNTIF($AJ$6:$AJ26,$AJ26)-$AQ26&amp;"/"&amp;(VLOOKUP($AJ26,DBPlayers,2,0)))))))</f>
        <v/>
      </c>
      <c r="G26" s="205" t="str">
        <f t="shared" si="23"/>
        <v/>
      </c>
      <c r="H26" s="205" t="str">
        <f t="shared" si="24"/>
        <v/>
      </c>
      <c r="I26" s="205" t="str">
        <f t="shared" si="25"/>
        <v/>
      </c>
      <c r="J26" s="205" t="str">
        <f t="shared" si="26"/>
        <v/>
      </c>
      <c r="K26" s="347" t="str">
        <f t="shared" ca="1" si="27"/>
        <v/>
      </c>
      <c r="L26" s="316"/>
      <c r="M26" s="316"/>
      <c r="N26" s="316"/>
      <c r="O26" s="316"/>
      <c r="P26" s="316"/>
      <c r="Q26" s="316"/>
      <c r="R26" s="316"/>
      <c r="S26" s="206" t="str">
        <f t="shared" si="28"/>
        <v/>
      </c>
      <c r="T26" s="117"/>
      <c r="U26" s="207" t="str">
        <f t="shared" si="29"/>
        <v/>
      </c>
      <c r="V26" s="334"/>
      <c r="W26" s="316"/>
      <c r="X26" s="121"/>
      <c r="Y26" s="102"/>
      <c r="Z26" s="102"/>
      <c r="AA26" s="102"/>
      <c r="AB26" s="102"/>
      <c r="AC26" s="102"/>
      <c r="AD26" s="102"/>
      <c r="AE26" s="102"/>
      <c r="AF26" s="102"/>
      <c r="AG26" s="102"/>
      <c r="AH26" s="102"/>
      <c r="AI26" s="199" t="s">
        <v>194</v>
      </c>
      <c r="AJ26" s="159" t="str">
        <f t="shared" si="30"/>
        <v/>
      </c>
      <c r="AK26" s="123"/>
      <c r="AL26" s="123"/>
      <c r="AM26" s="123"/>
      <c r="AN26" s="123"/>
      <c r="AO26" s="123"/>
      <c r="AP26" s="123"/>
      <c r="AQ26" s="159" t="str">
        <f t="array" ref="AQ26">IF($AJ26&lt;&gt;"",SUM(IF($AJ26=$AJ$6:$AJ26,IF($L$6:$L26=T_MNG,1,0),0)),"")</f>
        <v/>
      </c>
      <c r="AR26" s="105"/>
      <c r="AS26" s="105"/>
      <c r="AT26" s="105"/>
      <c r="AU26" s="105"/>
      <c r="AV26" s="102"/>
      <c r="AW26" s="102"/>
      <c r="AX26" s="102"/>
      <c r="AY26" s="102"/>
    </row>
    <row r="27" spans="1:51" ht="13.5" customHeight="1">
      <c r="A27" s="102"/>
      <c r="B27" s="114"/>
      <c r="C27" s="208"/>
      <c r="D27" s="346"/>
      <c r="E27" s="316"/>
      <c r="F27" s="205" t="str">
        <f>IF($D27="","",IF($AJ27="",T_Error&amp;"1",IF(COUNTIF($D$25:$D27,"&lt;&gt;")&gt;$R$31,T_Error&amp;"3",IF(ISERROR(FIND(T_Merc,$D27)),IF(COUNTIF($D$25:$D27,D27)&gt;1,T_Error&amp;"4",IF(COUNTIF($AJ$25:$AJ27,"=Star")&gt;2,T_Error&amp;"5",IF(AND($D27=Brick,$F$31&lt;&gt;"1/1"),T_Error&amp;"6","1/1"))),IF(COUNTIF($AJ$6:$AJ27,$AJ27)-$AQ27&gt;VLOOKUP($AJ27,DBPlayers,2,0)+VLOOKUP($AJ27,$AL$58:$AM$67,2,0),T_Error&amp;"2",COUNTIF($AJ$6:$AJ27,$AJ27)-$AQ27&amp;"/"&amp;(VLOOKUP($AJ27,DBPlayers,2,0)))))))</f>
        <v/>
      </c>
      <c r="G27" s="205" t="str">
        <f t="shared" si="23"/>
        <v/>
      </c>
      <c r="H27" s="205" t="str">
        <f t="shared" si="24"/>
        <v/>
      </c>
      <c r="I27" s="205" t="str">
        <f t="shared" si="25"/>
        <v/>
      </c>
      <c r="J27" s="205" t="str">
        <f t="shared" si="26"/>
        <v/>
      </c>
      <c r="K27" s="347" t="str">
        <f t="shared" ca="1" si="27"/>
        <v/>
      </c>
      <c r="L27" s="316"/>
      <c r="M27" s="316"/>
      <c r="N27" s="316"/>
      <c r="O27" s="316"/>
      <c r="P27" s="316"/>
      <c r="Q27" s="316"/>
      <c r="R27" s="316"/>
      <c r="S27" s="206" t="str">
        <f t="shared" si="28"/>
        <v/>
      </c>
      <c r="T27" s="117"/>
      <c r="U27" s="207" t="str">
        <f t="shared" si="29"/>
        <v/>
      </c>
      <c r="V27" s="334"/>
      <c r="W27" s="316"/>
      <c r="X27" s="121"/>
      <c r="Y27" s="102"/>
      <c r="Z27" s="102"/>
      <c r="AA27" s="102"/>
      <c r="AB27" s="102"/>
      <c r="AC27" s="102"/>
      <c r="AD27" s="102"/>
      <c r="AE27" s="102"/>
      <c r="AF27" s="102"/>
      <c r="AG27" s="102"/>
      <c r="AH27" s="102"/>
      <c r="AI27" s="199" t="s">
        <v>195</v>
      </c>
      <c r="AJ27" s="159" t="str">
        <f t="shared" si="30"/>
        <v/>
      </c>
      <c r="AK27" s="123"/>
      <c r="AL27" s="123"/>
      <c r="AM27" s="123"/>
      <c r="AN27" s="123"/>
      <c r="AO27" s="123"/>
      <c r="AP27" s="123"/>
      <c r="AQ27" s="159" t="str">
        <f t="array" ref="AQ27">IF($AJ27&lt;&gt;"",SUM(IF($AJ27=$AJ$6:$AJ27,IF($L$6:$L27=T_MNG,1,0),0)),"")</f>
        <v/>
      </c>
      <c r="AR27" s="105"/>
      <c r="AS27" s="105"/>
      <c r="AT27" s="105"/>
      <c r="AU27" s="105"/>
      <c r="AV27" s="102"/>
      <c r="AW27" s="102"/>
      <c r="AX27" s="102"/>
      <c r="AY27" s="102"/>
    </row>
    <row r="28" spans="1:51" ht="13.5" customHeight="1">
      <c r="A28" s="102"/>
      <c r="B28" s="114"/>
      <c r="C28" s="187"/>
      <c r="D28" s="346"/>
      <c r="E28" s="316"/>
      <c r="F28" s="205" t="str">
        <f>IF($D28="","",IF($AJ28="",T_Error&amp;"1",IF(COUNTIF($D$25:$D28,"&lt;&gt;")&gt;$R$31,T_Error&amp;"3",IF(ISERROR(FIND(T_Merc,$D28)),IF(COUNTIF($D$25:$D28,D28)&gt;1,T_Error&amp;"4",IF(COUNTIF($AJ$25:$AJ28,"=Star")&gt;2,T_Error&amp;"5",IF(AND($D28=Brick,$F$31&lt;&gt;"1/1"),T_Error&amp;"6","1/1"))),IF(COUNTIF($AJ$6:$AJ28,$AJ28)-$AQ28&gt;VLOOKUP($AJ28,DBPlayers,2,0)+VLOOKUP($AJ28,$AL$58:$AM$67,2,0),T_Error&amp;"2",COUNTIF($AJ$6:$AJ28,$AJ28)-$AQ28&amp;"/"&amp;(VLOOKUP($AJ28,DBPlayers,2,0)))))))</f>
        <v/>
      </c>
      <c r="G28" s="205" t="str">
        <f t="shared" si="23"/>
        <v/>
      </c>
      <c r="H28" s="205" t="str">
        <f t="shared" si="24"/>
        <v/>
      </c>
      <c r="I28" s="205" t="str">
        <f t="shared" si="25"/>
        <v/>
      </c>
      <c r="J28" s="205" t="str">
        <f t="shared" si="26"/>
        <v/>
      </c>
      <c r="K28" s="347" t="str">
        <f t="shared" ca="1" si="27"/>
        <v/>
      </c>
      <c r="L28" s="316"/>
      <c r="M28" s="316"/>
      <c r="N28" s="316"/>
      <c r="O28" s="316"/>
      <c r="P28" s="316"/>
      <c r="Q28" s="316"/>
      <c r="R28" s="316"/>
      <c r="S28" s="206" t="str">
        <f t="shared" si="28"/>
        <v/>
      </c>
      <c r="T28" s="117"/>
      <c r="U28" s="207" t="str">
        <f t="shared" si="29"/>
        <v/>
      </c>
      <c r="V28" s="334"/>
      <c r="W28" s="316"/>
      <c r="X28" s="121"/>
      <c r="Y28" s="102"/>
      <c r="Z28" s="102"/>
      <c r="AA28" s="102"/>
      <c r="AB28" s="102"/>
      <c r="AC28" s="102"/>
      <c r="AD28" s="102"/>
      <c r="AE28" s="102"/>
      <c r="AF28" s="102"/>
      <c r="AG28" s="102"/>
      <c r="AH28" s="102"/>
      <c r="AI28" s="199" t="s">
        <v>196</v>
      </c>
      <c r="AJ28" s="159" t="str">
        <f t="shared" si="30"/>
        <v/>
      </c>
      <c r="AK28" s="123"/>
      <c r="AL28" s="123"/>
      <c r="AM28" s="123"/>
      <c r="AN28" s="123"/>
      <c r="AO28" s="123"/>
      <c r="AP28" s="123"/>
      <c r="AQ28" s="159" t="str">
        <f t="array" ref="AQ28">IF($AJ28&lt;&gt;"",SUM(IF($AJ28=$AJ$6:$AJ28,IF($L$6:$L28=T_MNG,1,0),0)),"")</f>
        <v/>
      </c>
      <c r="AR28" s="105"/>
      <c r="AS28" s="105"/>
      <c r="AT28" s="105"/>
      <c r="AU28" s="105"/>
      <c r="AV28" s="102"/>
      <c r="AW28" s="102"/>
      <c r="AX28" s="102"/>
      <c r="AY28" s="102"/>
    </row>
    <row r="29" spans="1:51" ht="13.5" customHeight="1">
      <c r="A29" s="102"/>
      <c r="B29" s="114"/>
      <c r="C29" s="190"/>
      <c r="D29" s="346"/>
      <c r="E29" s="316"/>
      <c r="F29" s="205" t="str">
        <f>IF($D29="","",IF($AJ29="",T_Error&amp;"1",IF(COUNTIF($D$25:$D29,"&lt;&gt;")&gt;$R$31,T_Error&amp;"3",IF(ISERROR(FIND(T_Merc,$D29)),IF(COUNTIF($D$25:$D29,D29)&gt;1,T_Error&amp;"4",IF(COUNTIF($AJ$25:$AJ29,"=Star")&gt;2,T_Error&amp;"5",IF(AND($D29=Brick,$F$31&lt;&gt;"1/1"),T_Error&amp;"6","1/1"))),IF(COUNTIF($AJ$6:$AJ29,$AJ29)-$AQ29&gt;VLOOKUP($AJ29,DBPlayers,2,0)+VLOOKUP($AJ29,$AL$58:$AM$67,2,0),T_Error&amp;"2",COUNTIF($AJ$6:$AJ29,$AJ29)-$AQ29&amp;"/"&amp;(VLOOKUP($AJ29,DBPlayers,2,0)))))))</f>
        <v/>
      </c>
      <c r="G29" s="205" t="str">
        <f t="shared" si="23"/>
        <v/>
      </c>
      <c r="H29" s="205" t="str">
        <f t="shared" si="24"/>
        <v/>
      </c>
      <c r="I29" s="205" t="str">
        <f t="shared" si="25"/>
        <v/>
      </c>
      <c r="J29" s="205" t="str">
        <f t="shared" si="26"/>
        <v/>
      </c>
      <c r="K29" s="347" t="str">
        <f t="shared" ca="1" si="27"/>
        <v/>
      </c>
      <c r="L29" s="316"/>
      <c r="M29" s="316"/>
      <c r="N29" s="316"/>
      <c r="O29" s="316"/>
      <c r="P29" s="316"/>
      <c r="Q29" s="316"/>
      <c r="R29" s="316"/>
      <c r="S29" s="206" t="str">
        <f t="shared" si="28"/>
        <v/>
      </c>
      <c r="T29" s="117"/>
      <c r="U29" s="207" t="str">
        <f t="shared" si="29"/>
        <v/>
      </c>
      <c r="V29" s="334"/>
      <c r="W29" s="316"/>
      <c r="X29" s="121"/>
      <c r="Y29" s="102"/>
      <c r="Z29" s="102"/>
      <c r="AA29" s="102"/>
      <c r="AB29" s="102"/>
      <c r="AC29" s="102"/>
      <c r="AD29" s="102"/>
      <c r="AE29" s="102"/>
      <c r="AF29" s="102"/>
      <c r="AG29" s="102"/>
      <c r="AH29" s="102"/>
      <c r="AI29" s="199" t="s">
        <v>197</v>
      </c>
      <c r="AJ29" s="159" t="str">
        <f t="shared" si="30"/>
        <v/>
      </c>
      <c r="AK29" s="123"/>
      <c r="AL29" s="123"/>
      <c r="AM29" s="123"/>
      <c r="AN29" s="123"/>
      <c r="AO29" s="123"/>
      <c r="AP29" s="123"/>
      <c r="AQ29" s="159" t="str">
        <f t="array" ref="AQ29">IF($AJ29&lt;&gt;"",SUM(IF($AJ29=$AJ$6:$AJ29,IF($L$6:$L29=T_MNG,1,0),0)),"")</f>
        <v/>
      </c>
      <c r="AR29" s="105"/>
      <c r="AS29" s="105"/>
      <c r="AT29" s="105"/>
      <c r="AU29" s="105"/>
      <c r="AV29" s="102"/>
      <c r="AW29" s="102"/>
      <c r="AX29" s="102"/>
      <c r="AY29" s="102"/>
    </row>
    <row r="30" spans="1:51" ht="13.5" customHeight="1">
      <c r="A30" s="102"/>
      <c r="B30" s="114"/>
      <c r="C30" s="190"/>
      <c r="D30" s="346"/>
      <c r="E30" s="316"/>
      <c r="F30" s="205" t="str">
        <f>IF($D30="","",IF($AJ30="",T_Error&amp;"1",IF(COUNTIF($D$25:$D30,"&lt;&gt;")&gt;$R$31,T_Error&amp;"3",IF(ISERROR(FIND(T_Merc,$D30)),IF(COUNTIF($D$25:$D30,D30)&gt;1,T_Error&amp;"4",IF(COUNTIF($AJ$25:$AJ30,"=Star")&gt;2,T_Error&amp;"5",IF(AND($D30=Brick,$F$31&lt;&gt;"1/1"),T_Error&amp;"6","1/1"))),IF(COUNTIF($AJ$6:$AJ30,$AJ30)-$AQ30&gt;VLOOKUP($AJ30,DBPlayers,2,0)+VLOOKUP($AJ30,$AL$58:$AM$67,2,0),T_Error&amp;"2",COUNTIF($AJ$6:$AJ30,$AJ30)-$AQ30&amp;"/"&amp;(VLOOKUP($AJ30,DBPlayers,2,0)))))))</f>
        <v/>
      </c>
      <c r="G30" s="205" t="str">
        <f t="shared" si="23"/>
        <v/>
      </c>
      <c r="H30" s="205" t="str">
        <f t="shared" si="24"/>
        <v/>
      </c>
      <c r="I30" s="205" t="str">
        <f t="shared" si="25"/>
        <v/>
      </c>
      <c r="J30" s="205" t="str">
        <f t="shared" si="26"/>
        <v/>
      </c>
      <c r="K30" s="347" t="str">
        <f t="shared" ca="1" si="27"/>
        <v/>
      </c>
      <c r="L30" s="316"/>
      <c r="M30" s="316"/>
      <c r="N30" s="316"/>
      <c r="O30" s="316"/>
      <c r="P30" s="316"/>
      <c r="Q30" s="316"/>
      <c r="R30" s="316"/>
      <c r="S30" s="206" t="str">
        <f t="shared" si="28"/>
        <v/>
      </c>
      <c r="T30" s="117"/>
      <c r="U30" s="207" t="str">
        <f t="shared" si="29"/>
        <v/>
      </c>
      <c r="V30" s="334"/>
      <c r="W30" s="316"/>
      <c r="X30" s="121"/>
      <c r="Y30" s="209"/>
      <c r="Z30" s="102"/>
      <c r="AA30" s="102"/>
      <c r="AB30" s="102"/>
      <c r="AC30" s="102"/>
      <c r="AD30" s="102"/>
      <c r="AE30" s="102"/>
      <c r="AF30" s="102"/>
      <c r="AG30" s="102"/>
      <c r="AH30" s="102"/>
      <c r="AI30" s="199" t="s">
        <v>198</v>
      </c>
      <c r="AJ30" s="159" t="str">
        <f t="shared" si="30"/>
        <v/>
      </c>
      <c r="AK30" s="123"/>
      <c r="AL30" s="123"/>
      <c r="AM30" s="123"/>
      <c r="AN30" s="123"/>
      <c r="AO30" s="123"/>
      <c r="AP30" s="123"/>
      <c r="AQ30" s="159" t="str">
        <f t="array" ref="AQ30">IF($AJ30&lt;&gt;"",SUM(IF($AJ30=$AJ$6:$AJ30,IF($L$6:$L30=T_MNG,1,0),0)),"")</f>
        <v/>
      </c>
      <c r="AR30" s="105"/>
      <c r="AS30" s="105"/>
      <c r="AT30" s="105"/>
      <c r="AU30" s="105"/>
      <c r="AV30" s="102"/>
      <c r="AW30" s="102"/>
      <c r="AX30" s="102"/>
      <c r="AY30" s="102"/>
    </row>
    <row r="31" spans="1:51" ht="13.5" customHeight="1">
      <c r="A31" s="102"/>
      <c r="B31" s="114"/>
      <c r="C31" s="190"/>
      <c r="D31" s="210"/>
      <c r="E31" s="210"/>
      <c r="F31" s="205" t="str">
        <f>IF($D31="","",IF(COUNTIF($D$25:$D31,"&lt;&gt;")&gt;$R$31,T_Error&amp;"3",IF(COUNTIF($AJ$25:$AJ30,"=Star")&gt;2,T_Error&amp;"5","1/1")))</f>
        <v/>
      </c>
      <c r="G31" s="205" t="str">
        <f>IF(OR(LEFT($F31,LEN(T_Error))=T_Error,$D31=""),"",VLOOKUP($D31,DBStars,2,0))</f>
        <v/>
      </c>
      <c r="H31" s="205" t="str">
        <f>IF(OR(LEFT($F31,LEN(T_Error))=T_Error,$D31=""),"",VLOOKUP($D31,DBStars,3,0))</f>
        <v/>
      </c>
      <c r="I31" s="205" t="str">
        <f>IF(OR(LEFT($F31,LEN(T_Error))=T_Error,$D31=""),"",VLOOKUP($D31,DBStars,4,0))</f>
        <v/>
      </c>
      <c r="J31" s="205" t="str">
        <f>IF(OR(LEFT($F31,LEN(T_Error))=T_Error,$D31=""),"",VLOOKUP($D31,DBStars,5,0))</f>
        <v/>
      </c>
      <c r="K31" s="193" t="str">
        <f ca="1">IF($D31="","",IF(LEFT($F31,LEN(T_Error))=T_Error,INDIRECT("T_"&amp;$F31),VLOOKUP($D31,DBStars,6,0)))</f>
        <v/>
      </c>
      <c r="L31" s="343" t="s">
        <v>199</v>
      </c>
      <c r="M31" s="316"/>
      <c r="N31" s="316"/>
      <c r="O31" s="316"/>
      <c r="P31" s="316"/>
      <c r="Q31" s="189" t="str">
        <f>COUNTIF(J25:J31,"&gt;0")&amp;" /"</f>
        <v>0 /</v>
      </c>
      <c r="R31" s="211">
        <f>16-COUNTIF(S6:S21,"&gt;0")</f>
        <v>6</v>
      </c>
      <c r="S31" s="206"/>
      <c r="T31" s="117"/>
      <c r="U31" s="207" t="str">
        <f>IF($D31="","",IF(ISERROR(FIND("Mercenary",$D31)),"",VLOOKUP($AJ31,DBPlayers,9,0)))</f>
        <v/>
      </c>
      <c r="V31" s="154"/>
      <c r="W31" s="154"/>
      <c r="X31" s="121"/>
      <c r="Y31" s="102"/>
      <c r="Z31" s="102"/>
      <c r="AA31" s="102"/>
      <c r="AB31" s="102"/>
      <c r="AC31" s="102"/>
      <c r="AD31" s="102"/>
      <c r="AE31" s="102"/>
      <c r="AF31" s="102"/>
      <c r="AG31" s="102"/>
      <c r="AH31" s="102"/>
      <c r="AI31" s="102"/>
      <c r="AJ31" s="102"/>
      <c r="AK31" s="102"/>
      <c r="AL31" s="102"/>
      <c r="AM31" s="102"/>
      <c r="AN31" s="102"/>
      <c r="AO31" s="102"/>
      <c r="AP31" s="102"/>
      <c r="AQ31" s="102"/>
      <c r="AR31" s="105"/>
      <c r="AS31" s="105"/>
      <c r="AT31" s="105"/>
      <c r="AU31" s="105"/>
      <c r="AV31" s="102"/>
      <c r="AW31" s="102"/>
      <c r="AX31" s="102"/>
      <c r="AY31" s="102"/>
    </row>
    <row r="32" spans="1:51" ht="3" customHeight="1">
      <c r="A32" s="102"/>
      <c r="B32" s="107"/>
      <c r="C32" s="108"/>
      <c r="D32" s="109"/>
      <c r="E32" s="109"/>
      <c r="F32" s="110"/>
      <c r="G32" s="108"/>
      <c r="H32" s="108"/>
      <c r="I32" s="108"/>
      <c r="J32" s="108"/>
      <c r="K32" s="109"/>
      <c r="L32" s="109"/>
      <c r="M32" s="109"/>
      <c r="N32" s="109"/>
      <c r="O32" s="109"/>
      <c r="P32" s="109"/>
      <c r="Q32" s="109"/>
      <c r="R32" s="109"/>
      <c r="S32" s="201"/>
      <c r="T32" s="111"/>
      <c r="U32" s="121"/>
      <c r="V32" s="121"/>
      <c r="W32" s="121"/>
      <c r="X32" s="121"/>
      <c r="Y32" s="102"/>
      <c r="Z32" s="102"/>
      <c r="AA32" s="102"/>
      <c r="AB32" s="102"/>
      <c r="AC32" s="102"/>
      <c r="AD32" s="102"/>
      <c r="AE32" s="102"/>
      <c r="AF32" s="102"/>
      <c r="AG32" s="102"/>
      <c r="AH32" s="102"/>
      <c r="AI32" s="102"/>
      <c r="AJ32" s="102"/>
      <c r="AK32" s="102"/>
      <c r="AL32" s="102"/>
      <c r="AM32" s="102"/>
      <c r="AN32" s="102"/>
      <c r="AO32" s="102"/>
      <c r="AP32" s="102"/>
      <c r="AQ32" s="102"/>
      <c r="AR32" s="105"/>
      <c r="AS32" s="105"/>
      <c r="AT32" s="105"/>
      <c r="AU32" s="105"/>
      <c r="AV32" s="102"/>
      <c r="AW32" s="102"/>
      <c r="AX32" s="102"/>
      <c r="AY32" s="102"/>
    </row>
    <row r="33" spans="1:51" ht="13.5" customHeight="1">
      <c r="A33" s="102"/>
      <c r="B33" s="114"/>
      <c r="C33" s="115"/>
      <c r="D33" s="345" t="s">
        <v>357</v>
      </c>
      <c r="E33" s="316"/>
      <c r="F33" s="316"/>
      <c r="G33" s="316"/>
      <c r="H33" s="316"/>
      <c r="I33" s="316"/>
      <c r="J33" s="115"/>
      <c r="K33" s="212"/>
      <c r="L33" s="345" t="s">
        <v>201</v>
      </c>
      <c r="M33" s="316"/>
      <c r="N33" s="316"/>
      <c r="O33" s="316"/>
      <c r="P33" s="316"/>
      <c r="Q33" s="316"/>
      <c r="R33" s="316"/>
      <c r="S33" s="213"/>
      <c r="T33" s="117"/>
      <c r="U33" s="102"/>
      <c r="V33" s="106"/>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5"/>
      <c r="AS33" s="105"/>
      <c r="AT33" s="105"/>
      <c r="AU33" s="105"/>
      <c r="AV33" s="102"/>
      <c r="AW33" s="102"/>
      <c r="AX33" s="102"/>
      <c r="AY33" s="102"/>
    </row>
    <row r="34" spans="1:51" ht="13.5" customHeight="1">
      <c r="A34" s="102"/>
      <c r="B34" s="114"/>
      <c r="C34" s="191"/>
      <c r="D34" s="343" t="s">
        <v>202</v>
      </c>
      <c r="E34" s="316"/>
      <c r="F34" s="116">
        <v>0</v>
      </c>
      <c r="G34" s="189" t="s">
        <v>203</v>
      </c>
      <c r="H34" s="344">
        <v>50000</v>
      </c>
      <c r="I34" s="316"/>
      <c r="J34" s="190"/>
      <c r="K34" s="191"/>
      <c r="L34" s="189" t="s">
        <v>204</v>
      </c>
      <c r="M34" s="187">
        <v>3</v>
      </c>
      <c r="N34" s="189" t="s">
        <v>203</v>
      </c>
      <c r="O34" s="352">
        <f>IF(ISERROR(VLOOKUP($E$3,Database!$B$6:$C$30,2,0)),0,VLOOKUP($E$3,Database!$B$6:$C$30,2,0))</f>
        <v>50000</v>
      </c>
      <c r="P34" s="316"/>
      <c r="Q34" s="316"/>
      <c r="R34" s="191" t="s">
        <v>205</v>
      </c>
      <c r="S34" s="194">
        <f>M34*O34</f>
        <v>150000</v>
      </c>
      <c r="T34" s="117"/>
      <c r="U34" s="214"/>
      <c r="V34" s="106"/>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5"/>
      <c r="AS34" s="105"/>
      <c r="AT34" s="105"/>
      <c r="AU34" s="105"/>
      <c r="AV34" s="102"/>
      <c r="AW34" s="102"/>
      <c r="AX34" s="102"/>
      <c r="AY34" s="102"/>
    </row>
    <row r="35" spans="1:51" ht="13.5" customHeight="1">
      <c r="A35" s="102"/>
      <c r="B35" s="114"/>
      <c r="C35" s="191"/>
      <c r="D35" s="343" t="s">
        <v>206</v>
      </c>
      <c r="E35" s="316"/>
      <c r="F35" s="116">
        <v>0</v>
      </c>
      <c r="G35" s="189" t="s">
        <v>203</v>
      </c>
      <c r="H35" s="344">
        <f>IF($E$3=Goblin,50000,100000)</f>
        <v>100000</v>
      </c>
      <c r="I35" s="316"/>
      <c r="J35" s="190"/>
      <c r="K35" s="191"/>
      <c r="L35" s="189" t="s">
        <v>207</v>
      </c>
      <c r="M35" s="187">
        <v>2</v>
      </c>
      <c r="N35" s="189" t="s">
        <v>203</v>
      </c>
      <c r="O35" s="352">
        <v>10000</v>
      </c>
      <c r="P35" s="316"/>
      <c r="Q35" s="316"/>
      <c r="R35" s="191" t="s">
        <v>205</v>
      </c>
      <c r="S35" s="194">
        <f t="shared" ref="S35:S38" si="31">O35*M35</f>
        <v>20000</v>
      </c>
      <c r="T35" s="117"/>
      <c r="U35" s="11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5"/>
      <c r="AS35" s="105"/>
      <c r="AT35" s="105"/>
      <c r="AU35" s="105"/>
      <c r="AV35" s="102"/>
      <c r="AW35" s="102"/>
      <c r="AX35" s="102"/>
      <c r="AY35" s="102"/>
    </row>
    <row r="36" spans="1:51" ht="13.5" customHeight="1">
      <c r="A36" s="102"/>
      <c r="B36" s="114"/>
      <c r="C36" s="191"/>
      <c r="D36" s="343" t="s">
        <v>208</v>
      </c>
      <c r="E36" s="316"/>
      <c r="F36" s="116">
        <v>0</v>
      </c>
      <c r="G36" s="189" t="s">
        <v>203</v>
      </c>
      <c r="H36" s="344">
        <v>100000</v>
      </c>
      <c r="I36" s="316"/>
      <c r="J36" s="190"/>
      <c r="K36" s="191"/>
      <c r="L36" s="189" t="s">
        <v>209</v>
      </c>
      <c r="M36" s="187">
        <v>0</v>
      </c>
      <c r="N36" s="189" t="s">
        <v>203</v>
      </c>
      <c r="O36" s="352">
        <v>10000</v>
      </c>
      <c r="P36" s="316"/>
      <c r="Q36" s="316"/>
      <c r="R36" s="191" t="s">
        <v>205</v>
      </c>
      <c r="S36" s="194">
        <f t="shared" si="31"/>
        <v>0</v>
      </c>
      <c r="T36" s="117"/>
      <c r="U36" s="214"/>
      <c r="V36" s="106"/>
      <c r="W36" s="102"/>
      <c r="X36" s="102"/>
      <c r="Y36" s="113"/>
      <c r="Z36" s="113"/>
      <c r="AA36" s="113"/>
      <c r="AB36" s="102"/>
      <c r="AC36" s="102"/>
      <c r="AD36" s="102"/>
      <c r="AE36" s="102"/>
      <c r="AF36" s="102"/>
      <c r="AG36" s="102"/>
      <c r="AH36" s="102"/>
      <c r="AI36" s="102"/>
      <c r="AJ36" s="102"/>
      <c r="AK36" s="102"/>
      <c r="AL36" s="102"/>
      <c r="AM36" s="102"/>
      <c r="AN36" s="102"/>
      <c r="AO36" s="102"/>
      <c r="AP36" s="102"/>
      <c r="AQ36" s="102"/>
      <c r="AR36" s="105"/>
      <c r="AS36" s="105"/>
      <c r="AT36" s="105"/>
      <c r="AU36" s="105"/>
      <c r="AV36" s="102"/>
      <c r="AW36" s="102"/>
      <c r="AX36" s="102"/>
      <c r="AY36" s="102"/>
    </row>
    <row r="37" spans="1:51" ht="13.5" customHeight="1">
      <c r="A37" s="102"/>
      <c r="B37" s="114"/>
      <c r="C37" s="191"/>
      <c r="D37" s="343" t="s">
        <v>210</v>
      </c>
      <c r="E37" s="316"/>
      <c r="F37" s="116">
        <v>0</v>
      </c>
      <c r="G37" s="189" t="s">
        <v>203</v>
      </c>
      <c r="H37" s="344">
        <f>IF($E$3=Halfling,100000,300000)</f>
        <v>300000</v>
      </c>
      <c r="I37" s="316"/>
      <c r="J37" s="190"/>
      <c r="K37" s="191"/>
      <c r="L37" s="189" t="s">
        <v>211</v>
      </c>
      <c r="M37" s="187">
        <v>0</v>
      </c>
      <c r="N37" s="189" t="s">
        <v>203</v>
      </c>
      <c r="O37" s="352">
        <v>10000</v>
      </c>
      <c r="P37" s="316"/>
      <c r="Q37" s="316"/>
      <c r="R37" s="191" t="s">
        <v>205</v>
      </c>
      <c r="S37" s="194">
        <f t="shared" si="31"/>
        <v>0</v>
      </c>
      <c r="T37" s="117"/>
      <c r="U37" s="214"/>
      <c r="V37" s="215"/>
      <c r="W37" s="113"/>
      <c r="X37" s="113"/>
      <c r="Y37" s="216"/>
      <c r="Z37" s="113"/>
      <c r="AA37" s="217"/>
      <c r="AB37" s="102"/>
      <c r="AC37" s="102"/>
      <c r="AD37" s="102"/>
      <c r="AE37" s="102"/>
      <c r="AF37" s="102"/>
      <c r="AG37" s="102"/>
      <c r="AH37" s="102"/>
      <c r="AI37" s="102"/>
      <c r="AJ37" s="102"/>
      <c r="AK37" s="102"/>
      <c r="AL37" s="102"/>
      <c r="AM37" s="102"/>
      <c r="AN37" s="102"/>
      <c r="AO37" s="102"/>
      <c r="AP37" s="102"/>
      <c r="AQ37" s="102"/>
      <c r="AR37" s="105"/>
      <c r="AS37" s="105"/>
      <c r="AT37" s="105"/>
      <c r="AU37" s="105"/>
      <c r="AV37" s="102"/>
      <c r="AW37" s="102"/>
      <c r="AX37" s="102"/>
      <c r="AY37" s="102"/>
    </row>
    <row r="38" spans="1:51" ht="13.5" customHeight="1">
      <c r="A38" s="102"/>
      <c r="B38" s="114"/>
      <c r="C38" s="191"/>
      <c r="D38" s="343" t="s">
        <v>212</v>
      </c>
      <c r="E38" s="316"/>
      <c r="F38" s="116">
        <v>0</v>
      </c>
      <c r="G38" s="189" t="s">
        <v>203</v>
      </c>
      <c r="H38" s="344">
        <v>100000</v>
      </c>
      <c r="I38" s="316"/>
      <c r="J38" s="190"/>
      <c r="K38" s="191"/>
      <c r="L38" s="189" t="s">
        <v>213</v>
      </c>
      <c r="M38" s="187">
        <v>1</v>
      </c>
      <c r="N38" s="189" t="s">
        <v>203</v>
      </c>
      <c r="O38" s="352">
        <v>50000</v>
      </c>
      <c r="P38" s="316"/>
      <c r="Q38" s="316"/>
      <c r="R38" s="191" t="s">
        <v>205</v>
      </c>
      <c r="S38" s="194">
        <f t="shared" si="31"/>
        <v>50000</v>
      </c>
      <c r="T38" s="117"/>
      <c r="U38" s="214"/>
      <c r="V38" s="112"/>
      <c r="W38" s="113"/>
      <c r="X38" s="113"/>
      <c r="Y38" s="113"/>
      <c r="Z38" s="113"/>
      <c r="AA38" s="113"/>
      <c r="AB38" s="102"/>
      <c r="AC38" s="102"/>
      <c r="AD38" s="102"/>
      <c r="AE38" s="102"/>
      <c r="AF38" s="102"/>
      <c r="AG38" s="102"/>
      <c r="AH38" s="102"/>
      <c r="AI38" s="102"/>
      <c r="AJ38" s="102"/>
      <c r="AK38" s="102"/>
      <c r="AL38" s="102"/>
      <c r="AM38" s="102"/>
      <c r="AN38" s="102"/>
      <c r="AO38" s="102"/>
      <c r="AP38" s="102"/>
      <c r="AQ38" s="102"/>
      <c r="AR38" s="105"/>
      <c r="AS38" s="105"/>
      <c r="AT38" s="105"/>
      <c r="AU38" s="105"/>
      <c r="AV38" s="102"/>
      <c r="AW38" s="102"/>
      <c r="AX38" s="102"/>
      <c r="AY38" s="102"/>
    </row>
    <row r="39" spans="1:51" ht="13.5" customHeight="1">
      <c r="A39" s="102"/>
      <c r="B39" s="114"/>
      <c r="C39" s="191"/>
      <c r="D39" s="343" t="s">
        <v>214</v>
      </c>
      <c r="E39" s="316"/>
      <c r="F39" s="116">
        <v>0</v>
      </c>
      <c r="G39" s="189" t="s">
        <v>203</v>
      </c>
      <c r="H39" s="344">
        <v>150000</v>
      </c>
      <c r="I39" s="316"/>
      <c r="J39" s="190"/>
      <c r="K39" s="212"/>
      <c r="L39" s="189" t="s">
        <v>215</v>
      </c>
      <c r="M39" s="353">
        <v>110000</v>
      </c>
      <c r="N39" s="316"/>
      <c r="O39" s="316"/>
      <c r="P39" s="316"/>
      <c r="Q39" s="212"/>
      <c r="R39" s="212"/>
      <c r="S39" s="115"/>
      <c r="T39" s="117"/>
      <c r="U39" s="214"/>
      <c r="V39" s="215"/>
      <c r="W39" s="113"/>
      <c r="X39" s="113"/>
      <c r="Y39" s="113"/>
      <c r="Z39" s="113"/>
      <c r="AA39" s="113"/>
      <c r="AB39" s="102"/>
      <c r="AC39" s="102"/>
      <c r="AD39" s="102"/>
      <c r="AE39" s="102"/>
      <c r="AF39" s="102"/>
      <c r="AG39" s="102"/>
      <c r="AH39" s="102"/>
      <c r="AI39" s="102"/>
      <c r="AJ39" s="102"/>
      <c r="AK39" s="102"/>
      <c r="AL39" s="102"/>
      <c r="AM39" s="102"/>
      <c r="AN39" s="102"/>
      <c r="AO39" s="102"/>
      <c r="AP39" s="102"/>
      <c r="AQ39" s="102"/>
      <c r="AR39" s="105"/>
      <c r="AS39" s="105"/>
      <c r="AT39" s="105"/>
      <c r="AU39" s="105"/>
      <c r="AV39" s="102"/>
      <c r="AW39" s="102"/>
      <c r="AX39" s="102"/>
      <c r="AY39" s="102"/>
    </row>
    <row r="40" spans="1:51" ht="13.5" customHeight="1">
      <c r="A40" s="102"/>
      <c r="B40" s="114"/>
      <c r="C40" s="191"/>
      <c r="D40" s="343" t="s">
        <v>216</v>
      </c>
      <c r="E40" s="316"/>
      <c r="F40" s="116">
        <v>0</v>
      </c>
      <c r="G40" s="189" t="s">
        <v>203</v>
      </c>
      <c r="H40" s="344">
        <v>100000</v>
      </c>
      <c r="I40" s="316"/>
      <c r="J40" s="190"/>
      <c r="K40" s="212"/>
      <c r="L40" s="189"/>
      <c r="M40" s="115"/>
      <c r="N40" s="218"/>
      <c r="O40" s="218"/>
      <c r="P40" s="218"/>
      <c r="Q40" s="132" t="s">
        <v>217</v>
      </c>
      <c r="R40" s="350">
        <f>SUM(S6:S21,S34:S38)</f>
        <v>1290000</v>
      </c>
      <c r="S40" s="316"/>
      <c r="T40" s="117"/>
      <c r="U40" s="214"/>
      <c r="V40" s="215"/>
      <c r="W40" s="113"/>
      <c r="X40" s="113"/>
      <c r="Y40" s="113"/>
      <c r="Z40" s="113"/>
      <c r="AA40" s="113"/>
      <c r="AB40" s="102"/>
      <c r="AC40" s="102"/>
      <c r="AD40" s="102"/>
      <c r="AE40" s="102"/>
      <c r="AF40" s="102"/>
      <c r="AG40" s="102"/>
      <c r="AH40" s="102"/>
      <c r="AI40" s="102"/>
      <c r="AJ40" s="102"/>
      <c r="AK40" s="102"/>
      <c r="AL40" s="102"/>
      <c r="AM40" s="102"/>
      <c r="AN40" s="102"/>
      <c r="AO40" s="102"/>
      <c r="AP40" s="102"/>
      <c r="AQ40" s="102"/>
      <c r="AR40" s="105"/>
      <c r="AS40" s="105"/>
      <c r="AT40" s="105"/>
      <c r="AU40" s="105"/>
      <c r="AV40" s="102"/>
      <c r="AW40" s="102"/>
      <c r="AX40" s="102"/>
      <c r="AY40" s="102"/>
    </row>
    <row r="41" spans="1:51" ht="13.5" customHeight="1">
      <c r="A41" s="102"/>
      <c r="B41" s="114"/>
      <c r="C41" s="212"/>
      <c r="D41" s="343" t="s">
        <v>218</v>
      </c>
      <c r="E41" s="316"/>
      <c r="F41" s="349">
        <v>0</v>
      </c>
      <c r="G41" s="316"/>
      <c r="H41" s="316"/>
      <c r="I41" s="316"/>
      <c r="J41" s="212"/>
      <c r="K41" s="212"/>
      <c r="L41" s="212"/>
      <c r="M41" s="212"/>
      <c r="N41" s="191"/>
      <c r="O41" s="191"/>
      <c r="P41" s="191"/>
      <c r="Q41" s="132" t="s">
        <v>219</v>
      </c>
      <c r="R41" s="350">
        <f>SUMPRODUCT(F34:F40,H34:H40)+F41+F42</f>
        <v>0</v>
      </c>
      <c r="S41" s="316"/>
      <c r="T41" s="117"/>
      <c r="U41" s="214"/>
      <c r="V41" s="215"/>
      <c r="W41" s="113"/>
      <c r="X41" s="113"/>
      <c r="Y41" s="113"/>
      <c r="Z41" s="113"/>
      <c r="AA41" s="113"/>
      <c r="AB41" s="102"/>
      <c r="AC41" s="102"/>
      <c r="AD41" s="102"/>
      <c r="AE41" s="102"/>
      <c r="AF41" s="102"/>
      <c r="AG41" s="102"/>
      <c r="AH41" s="102"/>
      <c r="AI41" s="102"/>
      <c r="AJ41" s="102"/>
      <c r="AK41" s="102"/>
      <c r="AL41" s="102"/>
      <c r="AM41" s="102"/>
      <c r="AN41" s="102"/>
      <c r="AO41" s="102"/>
      <c r="AP41" s="102"/>
      <c r="AQ41" s="102"/>
      <c r="AR41" s="105"/>
      <c r="AS41" s="105"/>
      <c r="AT41" s="105"/>
      <c r="AU41" s="105"/>
      <c r="AV41" s="102"/>
      <c r="AW41" s="102"/>
      <c r="AX41" s="102"/>
      <c r="AY41" s="102"/>
    </row>
    <row r="42" spans="1:51" ht="13.5" customHeight="1">
      <c r="A42" s="102"/>
      <c r="B42" s="114"/>
      <c r="C42" s="191"/>
      <c r="D42" s="189"/>
      <c r="E42" s="189" t="s">
        <v>220</v>
      </c>
      <c r="F42" s="344">
        <f>SUM(S25:S30)</f>
        <v>0</v>
      </c>
      <c r="G42" s="316"/>
      <c r="H42" s="316"/>
      <c r="I42" s="316"/>
      <c r="J42" s="191"/>
      <c r="K42" s="191"/>
      <c r="L42" s="212"/>
      <c r="M42" s="212"/>
      <c r="N42" s="191"/>
      <c r="O42" s="191"/>
      <c r="P42" s="191"/>
      <c r="Q42" s="132" t="s">
        <v>221</v>
      </c>
      <c r="R42" s="350">
        <f>R40+R41</f>
        <v>1290000</v>
      </c>
      <c r="S42" s="316"/>
      <c r="T42" s="117"/>
      <c r="U42" s="214"/>
      <c r="V42" s="215"/>
      <c r="W42" s="113"/>
      <c r="X42" s="113"/>
      <c r="Y42" s="113"/>
      <c r="Z42" s="113"/>
      <c r="AA42" s="113"/>
      <c r="AB42" s="102"/>
      <c r="AC42" s="102"/>
      <c r="AD42" s="102"/>
      <c r="AE42" s="102"/>
      <c r="AF42" s="102"/>
      <c r="AG42" s="102"/>
      <c r="AH42" s="102"/>
      <c r="AI42" s="102"/>
      <c r="AJ42" s="102"/>
      <c r="AK42" s="102"/>
      <c r="AL42" s="102"/>
      <c r="AM42" s="102"/>
      <c r="AN42" s="102"/>
      <c r="AO42" s="102"/>
      <c r="AP42" s="102"/>
      <c r="AQ42" s="102"/>
      <c r="AR42" s="105"/>
      <c r="AS42" s="105"/>
      <c r="AT42" s="105"/>
      <c r="AU42" s="105"/>
      <c r="AV42" s="102"/>
      <c r="AW42" s="102"/>
      <c r="AX42" s="102"/>
      <c r="AY42" s="102"/>
    </row>
    <row r="43" spans="1:51" ht="3" customHeight="1">
      <c r="A43" s="102"/>
      <c r="B43" s="219"/>
      <c r="C43" s="220"/>
      <c r="D43" s="221"/>
      <c r="E43" s="221"/>
      <c r="F43" s="222"/>
      <c r="G43" s="220"/>
      <c r="H43" s="220"/>
      <c r="I43" s="220"/>
      <c r="J43" s="220"/>
      <c r="K43" s="221"/>
      <c r="L43" s="221"/>
      <c r="M43" s="221"/>
      <c r="N43" s="221"/>
      <c r="O43" s="221"/>
      <c r="P43" s="221"/>
      <c r="Q43" s="221"/>
      <c r="R43" s="221"/>
      <c r="S43" s="220"/>
      <c r="T43" s="223"/>
      <c r="U43" s="214"/>
      <c r="V43" s="215"/>
      <c r="W43" s="113"/>
      <c r="X43" s="113"/>
      <c r="Y43" s="113"/>
      <c r="Z43" s="113"/>
      <c r="AA43" s="113"/>
      <c r="AB43" s="102"/>
      <c r="AC43" s="102"/>
      <c r="AD43" s="102"/>
      <c r="AE43" s="102"/>
      <c r="AF43" s="102"/>
      <c r="AG43" s="102"/>
      <c r="AH43" s="102"/>
      <c r="AI43" s="102"/>
      <c r="AJ43" s="102"/>
      <c r="AK43" s="102"/>
      <c r="AL43" s="102"/>
      <c r="AM43" s="102"/>
      <c r="AN43" s="102"/>
      <c r="AO43" s="102"/>
      <c r="AP43" s="102"/>
      <c r="AQ43" s="102"/>
      <c r="AR43" s="105"/>
      <c r="AS43" s="105"/>
      <c r="AT43" s="105"/>
      <c r="AU43" s="105"/>
      <c r="AV43" s="102"/>
      <c r="AW43" s="102"/>
      <c r="AX43" s="102"/>
      <c r="AY43" s="102"/>
    </row>
    <row r="44" spans="1:51" ht="13.5" customHeight="1">
      <c r="A44" s="102"/>
      <c r="B44" s="102"/>
      <c r="C44" s="102"/>
      <c r="D44" s="102"/>
      <c r="E44" s="102"/>
      <c r="F44" s="102"/>
      <c r="G44" s="102"/>
      <c r="H44" s="102"/>
      <c r="I44" s="102"/>
      <c r="J44" s="102"/>
      <c r="K44" s="102"/>
      <c r="L44" s="102"/>
      <c r="M44" s="102"/>
      <c r="N44" s="102"/>
      <c r="O44" s="102"/>
      <c r="P44" s="102"/>
      <c r="Q44" s="102"/>
      <c r="R44" s="102"/>
      <c r="S44" s="105"/>
      <c r="T44" s="102"/>
      <c r="U44" s="102"/>
      <c r="V44" s="215"/>
      <c r="W44" s="113"/>
      <c r="X44" s="113"/>
      <c r="Y44" s="113"/>
      <c r="Z44" s="113"/>
      <c r="AA44" s="113"/>
      <c r="AB44" s="102"/>
      <c r="AC44" s="102"/>
      <c r="AD44" s="102"/>
      <c r="AE44" s="102"/>
      <c r="AF44" s="102"/>
      <c r="AG44" s="102"/>
      <c r="AH44" s="102"/>
      <c r="AI44" s="102"/>
      <c r="AJ44" s="102"/>
      <c r="AK44" s="102"/>
      <c r="AL44" s="102"/>
      <c r="AM44" s="102"/>
      <c r="AN44" s="102"/>
      <c r="AO44" s="102"/>
      <c r="AP44" s="102"/>
      <c r="AQ44" s="102"/>
      <c r="AR44" s="105"/>
      <c r="AS44" s="105"/>
      <c r="AT44" s="105"/>
      <c r="AU44" s="105"/>
      <c r="AV44" s="102"/>
      <c r="AW44" s="102"/>
      <c r="AX44" s="102"/>
      <c r="AY44" s="102"/>
    </row>
    <row r="45" spans="1:51" ht="13.5" customHeight="1">
      <c r="A45" s="102"/>
      <c r="B45" s="102"/>
      <c r="C45" s="105"/>
      <c r="D45" s="102"/>
      <c r="E45" s="102"/>
      <c r="F45" s="104"/>
      <c r="G45" s="105"/>
      <c r="H45" s="105"/>
      <c r="I45" s="105"/>
      <c r="J45" s="105"/>
      <c r="K45" s="102"/>
      <c r="L45" s="102"/>
      <c r="M45" s="102"/>
      <c r="N45" s="102"/>
      <c r="O45" s="102"/>
      <c r="P45" s="102"/>
      <c r="Q45" s="102"/>
      <c r="R45" s="102"/>
      <c r="S45" s="105"/>
      <c r="T45" s="102"/>
      <c r="U45" s="102"/>
      <c r="V45" s="106"/>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5"/>
      <c r="AS45" s="105"/>
      <c r="AT45" s="105"/>
      <c r="AU45" s="105"/>
      <c r="AV45" s="102"/>
      <c r="AW45" s="102"/>
      <c r="AX45" s="102"/>
      <c r="AY45" s="102"/>
    </row>
    <row r="46" spans="1:51" ht="13.5" customHeight="1">
      <c r="A46" s="102"/>
      <c r="B46" s="102"/>
      <c r="C46" s="105"/>
      <c r="D46" s="102"/>
      <c r="E46" s="102"/>
      <c r="F46" s="104"/>
      <c r="G46" s="105"/>
      <c r="H46" s="105"/>
      <c r="I46" s="105"/>
      <c r="J46" s="105"/>
      <c r="K46" s="102"/>
      <c r="L46" s="102"/>
      <c r="M46" s="102"/>
      <c r="N46" s="102"/>
      <c r="O46" s="102"/>
      <c r="P46" s="102"/>
      <c r="Q46" s="102"/>
      <c r="R46" s="102"/>
      <c r="S46" s="105"/>
      <c r="T46" s="102"/>
      <c r="U46" s="102"/>
      <c r="V46" s="106"/>
      <c r="W46" s="102"/>
      <c r="X46" s="102"/>
      <c r="Y46" s="102"/>
      <c r="Z46" s="102"/>
      <c r="AA46" s="102"/>
      <c r="AB46" s="102"/>
      <c r="AC46" s="102"/>
      <c r="AD46" s="102"/>
      <c r="AE46" s="102"/>
      <c r="AF46" s="102"/>
      <c r="AG46" s="102"/>
      <c r="AH46" s="102"/>
      <c r="AI46" s="102"/>
      <c r="AJ46" s="102"/>
      <c r="AK46" s="106"/>
      <c r="AL46" s="102"/>
      <c r="AM46" s="102"/>
      <c r="AN46" s="102"/>
      <c r="AO46" s="102"/>
      <c r="AP46" s="102"/>
      <c r="AQ46" s="102"/>
      <c r="AR46" s="105"/>
      <c r="AS46" s="105"/>
      <c r="AT46" s="105"/>
      <c r="AU46" s="105"/>
      <c r="AV46" s="102"/>
      <c r="AW46" s="102"/>
      <c r="AX46" s="102"/>
      <c r="AY46" s="102"/>
    </row>
    <row r="47" spans="1:51" ht="13.5" customHeight="1">
      <c r="A47" s="102"/>
      <c r="B47" s="102"/>
      <c r="C47" s="105"/>
      <c r="D47" s="102"/>
      <c r="E47" s="102"/>
      <c r="F47" s="104"/>
      <c r="G47" s="105"/>
      <c r="H47" s="105"/>
      <c r="I47" s="105"/>
      <c r="J47" s="105"/>
      <c r="K47" s="102"/>
      <c r="L47" s="102"/>
      <c r="M47" s="102"/>
      <c r="N47" s="102"/>
      <c r="O47" s="102"/>
      <c r="P47" s="102"/>
      <c r="Q47" s="102"/>
      <c r="R47" s="102"/>
      <c r="S47" s="105"/>
      <c r="T47" s="102"/>
      <c r="U47" s="102"/>
      <c r="V47" s="106"/>
      <c r="W47" s="102"/>
      <c r="X47" s="102"/>
      <c r="Y47" s="102"/>
      <c r="Z47" s="102"/>
      <c r="AA47" s="102"/>
      <c r="AB47" s="102"/>
      <c r="AC47" s="102"/>
      <c r="AD47" s="102"/>
      <c r="AE47" s="102"/>
      <c r="AF47" s="102"/>
      <c r="AG47" s="102"/>
      <c r="AH47" s="102"/>
      <c r="AI47" s="102"/>
      <c r="AJ47" s="102"/>
      <c r="AK47" s="106" t="s">
        <v>222</v>
      </c>
      <c r="AL47" s="102" t="s">
        <v>223</v>
      </c>
      <c r="AM47" s="102"/>
      <c r="AN47" s="102"/>
      <c r="AO47" s="102"/>
      <c r="AP47" s="102"/>
      <c r="AQ47" s="102"/>
      <c r="AR47" s="105"/>
      <c r="AS47" s="105"/>
      <c r="AT47" s="105"/>
      <c r="AU47" s="105"/>
      <c r="AV47" s="102"/>
      <c r="AW47" s="102"/>
      <c r="AX47" s="102"/>
      <c r="AY47" s="102"/>
    </row>
    <row r="48" spans="1:51" ht="13.5" customHeight="1">
      <c r="A48" s="102"/>
      <c r="B48" s="102"/>
      <c r="C48" s="105"/>
      <c r="D48" s="102"/>
      <c r="E48" s="102"/>
      <c r="F48" s="104"/>
      <c r="G48" s="105"/>
      <c r="H48" s="105"/>
      <c r="I48" s="105"/>
      <c r="J48" s="105"/>
      <c r="K48" s="102"/>
      <c r="L48" s="102"/>
      <c r="M48" s="102"/>
      <c r="N48" s="102"/>
      <c r="O48" s="102"/>
      <c r="P48" s="102"/>
      <c r="Q48" s="102"/>
      <c r="R48" s="102"/>
      <c r="S48" s="105"/>
      <c r="T48" s="102"/>
      <c r="U48" s="102"/>
      <c r="V48" s="106"/>
      <c r="W48" s="102"/>
      <c r="X48" s="102"/>
      <c r="Y48" s="102"/>
      <c r="Z48" s="102"/>
      <c r="AA48" s="102"/>
      <c r="AB48" s="102"/>
      <c r="AC48" s="102"/>
      <c r="AD48" s="102"/>
      <c r="AE48" s="102"/>
      <c r="AF48" s="102"/>
      <c r="AG48" s="102"/>
      <c r="AH48" s="102"/>
      <c r="AI48" s="102"/>
      <c r="AJ48" s="102"/>
      <c r="AK48" s="234" t="e">
        <f t="shared" ref="AK48:AK57" si="32">VLOOKUP(AL48,DBTeamStars,2,0)</f>
        <v>#N/A</v>
      </c>
      <c r="AL48" s="234" t="str">
        <f>$E$3&amp;"10"</f>
        <v>Elf10</v>
      </c>
      <c r="AM48" s="102"/>
      <c r="AN48" s="102"/>
      <c r="AO48" s="102"/>
      <c r="AP48" s="102"/>
      <c r="AQ48" s="102"/>
      <c r="AR48" s="105"/>
      <c r="AS48" s="105"/>
      <c r="AT48" s="105"/>
      <c r="AU48" s="105"/>
      <c r="AV48" s="102"/>
      <c r="AW48" s="102"/>
      <c r="AX48" s="102"/>
      <c r="AY48" s="102"/>
    </row>
    <row r="49" spans="1:51" ht="13.5" customHeight="1">
      <c r="A49" s="102"/>
      <c r="B49" s="102"/>
      <c r="C49" s="105"/>
      <c r="D49" s="102"/>
      <c r="E49" s="102"/>
      <c r="F49" s="104"/>
      <c r="G49" s="105"/>
      <c r="H49" s="105"/>
      <c r="I49" s="105"/>
      <c r="J49" s="105"/>
      <c r="K49" s="102"/>
      <c r="L49" s="102"/>
      <c r="M49" s="102"/>
      <c r="N49" s="102"/>
      <c r="O49" s="102"/>
      <c r="P49" s="102"/>
      <c r="Q49" s="102"/>
      <c r="R49" s="102"/>
      <c r="S49" s="105"/>
      <c r="T49" s="102"/>
      <c r="U49" s="102"/>
      <c r="V49" s="106"/>
      <c r="W49" s="102"/>
      <c r="X49" s="102"/>
      <c r="Y49" s="102"/>
      <c r="Z49" s="102"/>
      <c r="AA49" s="102"/>
      <c r="AB49" s="102"/>
      <c r="AC49" s="102"/>
      <c r="AD49" s="102"/>
      <c r="AE49" s="102"/>
      <c r="AF49" s="102"/>
      <c r="AG49" s="102"/>
      <c r="AH49" s="102"/>
      <c r="AI49" s="102"/>
      <c r="AJ49" s="102"/>
      <c r="AK49" s="234" t="e">
        <f t="shared" si="32"/>
        <v>#N/A</v>
      </c>
      <c r="AL49" s="234" t="str">
        <f>$E$3&amp;"9"</f>
        <v>Elf9</v>
      </c>
      <c r="AM49" s="102"/>
      <c r="AN49" s="102"/>
      <c r="AO49" s="102"/>
      <c r="AP49" s="102"/>
      <c r="AQ49" s="102"/>
      <c r="AR49" s="105"/>
      <c r="AS49" s="105"/>
      <c r="AT49" s="105"/>
      <c r="AU49" s="105"/>
      <c r="AV49" s="102"/>
      <c r="AW49" s="102"/>
      <c r="AX49" s="102"/>
      <c r="AY49" s="102"/>
    </row>
    <row r="50" spans="1:51" ht="13.5" customHeight="1">
      <c r="A50" s="102"/>
      <c r="B50" s="102"/>
      <c r="C50" s="105"/>
      <c r="D50" s="102"/>
      <c r="E50" s="102"/>
      <c r="F50" s="104"/>
      <c r="G50" s="105"/>
      <c r="H50" s="105"/>
      <c r="I50" s="105"/>
      <c r="J50" s="105"/>
      <c r="K50" s="102"/>
      <c r="L50" s="102"/>
      <c r="M50" s="102"/>
      <c r="N50" s="102"/>
      <c r="O50" s="102"/>
      <c r="P50" s="102"/>
      <c r="Q50" s="102"/>
      <c r="R50" s="102"/>
      <c r="S50" s="105"/>
      <c r="T50" s="102"/>
      <c r="U50" s="102"/>
      <c r="V50" s="106"/>
      <c r="W50" s="102"/>
      <c r="X50" s="102"/>
      <c r="Y50" s="102"/>
      <c r="Z50" s="102"/>
      <c r="AA50" s="102"/>
      <c r="AB50" s="102"/>
      <c r="AC50" s="102"/>
      <c r="AD50" s="102"/>
      <c r="AE50" s="102"/>
      <c r="AF50" s="102"/>
      <c r="AG50" s="102"/>
      <c r="AH50" s="102"/>
      <c r="AI50" s="102"/>
      <c r="AJ50" s="102"/>
      <c r="AK50" s="234" t="e">
        <f t="shared" si="32"/>
        <v>#N/A</v>
      </c>
      <c r="AL50" s="234" t="str">
        <f>$E$3&amp;"8"</f>
        <v>Elf8</v>
      </c>
      <c r="AM50" s="102"/>
      <c r="AN50" s="102"/>
      <c r="AO50" s="102"/>
      <c r="AP50" s="102"/>
      <c r="AQ50" s="102"/>
      <c r="AR50" s="105"/>
      <c r="AS50" s="105"/>
      <c r="AT50" s="105"/>
      <c r="AU50" s="105"/>
      <c r="AV50" s="102"/>
      <c r="AW50" s="102"/>
      <c r="AX50" s="102"/>
      <c r="AY50" s="102"/>
    </row>
    <row r="51" spans="1:51" ht="13.5" customHeight="1">
      <c r="A51" s="102"/>
      <c r="B51" s="102"/>
      <c r="C51" s="105"/>
      <c r="D51" s="102"/>
      <c r="E51" s="102"/>
      <c r="F51" s="104"/>
      <c r="G51" s="105"/>
      <c r="H51" s="105"/>
      <c r="I51" s="105"/>
      <c r="J51" s="105"/>
      <c r="K51" s="102"/>
      <c r="L51" s="102"/>
      <c r="M51" s="102"/>
      <c r="N51" s="102"/>
      <c r="O51" s="102"/>
      <c r="P51" s="102"/>
      <c r="Q51" s="102"/>
      <c r="R51" s="102"/>
      <c r="S51" s="105"/>
      <c r="T51" s="102"/>
      <c r="U51" s="102"/>
      <c r="V51" s="106"/>
      <c r="W51" s="102"/>
      <c r="X51" s="102"/>
      <c r="Y51" s="102"/>
      <c r="Z51" s="102"/>
      <c r="AA51" s="102"/>
      <c r="AB51" s="102"/>
      <c r="AC51" s="102"/>
      <c r="AD51" s="102"/>
      <c r="AE51" s="102"/>
      <c r="AF51" s="102"/>
      <c r="AG51" s="102"/>
      <c r="AH51" s="102"/>
      <c r="AI51" s="102"/>
      <c r="AJ51" s="102"/>
      <c r="AK51" s="234" t="e">
        <f t="shared" si="32"/>
        <v>#N/A</v>
      </c>
      <c r="AL51" s="234" t="str">
        <f>$E$3&amp;"7"</f>
        <v>Elf7</v>
      </c>
      <c r="AM51" s="102"/>
      <c r="AN51" s="102"/>
      <c r="AO51" s="102"/>
      <c r="AP51" s="102"/>
      <c r="AQ51" s="102"/>
      <c r="AR51" s="105"/>
      <c r="AS51" s="105"/>
      <c r="AT51" s="105"/>
      <c r="AU51" s="105"/>
      <c r="AV51" s="102"/>
      <c r="AW51" s="102"/>
      <c r="AX51" s="102"/>
      <c r="AY51" s="102"/>
    </row>
    <row r="52" spans="1:51" ht="13.5" customHeight="1">
      <c r="A52" s="102"/>
      <c r="B52" s="102"/>
      <c r="C52" s="105"/>
      <c r="D52" s="102"/>
      <c r="E52" s="102"/>
      <c r="F52" s="104"/>
      <c r="G52" s="105"/>
      <c r="H52" s="105"/>
      <c r="I52" s="105"/>
      <c r="J52" s="105"/>
      <c r="K52" s="102"/>
      <c r="L52" s="102"/>
      <c r="M52" s="102"/>
      <c r="N52" s="102"/>
      <c r="O52" s="102"/>
      <c r="P52" s="102"/>
      <c r="Q52" s="102"/>
      <c r="R52" s="102"/>
      <c r="S52" s="105"/>
      <c r="T52" s="102"/>
      <c r="U52" s="102"/>
      <c r="V52" s="106"/>
      <c r="W52" s="102"/>
      <c r="X52" s="102"/>
      <c r="Y52" s="102"/>
      <c r="Z52" s="102"/>
      <c r="AA52" s="102"/>
      <c r="AB52" s="102"/>
      <c r="AC52" s="102"/>
      <c r="AD52" s="102"/>
      <c r="AE52" s="102"/>
      <c r="AF52" s="102"/>
      <c r="AG52" s="102"/>
      <c r="AH52" s="102"/>
      <c r="AI52" s="102"/>
      <c r="AJ52" s="102"/>
      <c r="AK52" s="234" t="str">
        <f t="shared" si="32"/>
        <v>Dolfar Longstride</v>
      </c>
      <c r="AL52" s="234" t="str">
        <f>$E$3&amp;"6"</f>
        <v>Elf6</v>
      </c>
      <c r="AM52" s="102"/>
      <c r="AN52" s="102"/>
      <c r="AO52" s="102"/>
      <c r="AP52" s="102"/>
      <c r="AQ52" s="102"/>
      <c r="AR52" s="105"/>
      <c r="AS52" s="105"/>
      <c r="AT52" s="105"/>
      <c r="AU52" s="105"/>
      <c r="AV52" s="102"/>
      <c r="AW52" s="102"/>
      <c r="AX52" s="102"/>
      <c r="AY52" s="102"/>
    </row>
    <row r="53" spans="1:51" ht="13.5" customHeight="1">
      <c r="A53" s="102"/>
      <c r="B53" s="102"/>
      <c r="C53" s="105"/>
      <c r="D53" s="102"/>
      <c r="E53" s="102"/>
      <c r="F53" s="104"/>
      <c r="G53" s="105"/>
      <c r="H53" s="105"/>
      <c r="I53" s="105"/>
      <c r="J53" s="105"/>
      <c r="K53" s="102"/>
      <c r="L53" s="102"/>
      <c r="M53" s="102"/>
      <c r="N53" s="102"/>
      <c r="O53" s="102"/>
      <c r="P53" s="102"/>
      <c r="Q53" s="102"/>
      <c r="R53" s="102"/>
      <c r="S53" s="105"/>
      <c r="T53" s="102"/>
      <c r="U53" s="102"/>
      <c r="V53" s="106"/>
      <c r="W53" s="102"/>
      <c r="X53" s="102"/>
      <c r="Y53" s="102"/>
      <c r="Z53" s="102"/>
      <c r="AA53" s="102"/>
      <c r="AB53" s="102"/>
      <c r="AC53" s="102"/>
      <c r="AD53" s="102"/>
      <c r="AE53" s="102"/>
      <c r="AF53" s="102"/>
      <c r="AG53" s="102"/>
      <c r="AH53" s="102"/>
      <c r="AI53" s="102"/>
      <c r="AJ53" s="102"/>
      <c r="AK53" s="234" t="str">
        <f t="shared" si="32"/>
        <v>Eldril Sidewinder</v>
      </c>
      <c r="AL53" s="234" t="str">
        <f>$E$3&amp;"5"</f>
        <v>Elf5</v>
      </c>
      <c r="AM53" s="102"/>
      <c r="AN53" s="102"/>
      <c r="AO53" s="102"/>
      <c r="AP53" s="102"/>
      <c r="AQ53" s="102"/>
      <c r="AR53" s="105"/>
      <c r="AS53" s="105"/>
      <c r="AT53" s="105"/>
      <c r="AU53" s="105"/>
      <c r="AV53" s="102"/>
      <c r="AW53" s="102"/>
      <c r="AX53" s="102"/>
      <c r="AY53" s="102"/>
    </row>
    <row r="54" spans="1:51" ht="13.5" customHeight="1">
      <c r="A54" s="102"/>
      <c r="B54" s="102"/>
      <c r="C54" s="105"/>
      <c r="D54" s="102"/>
      <c r="E54" s="102"/>
      <c r="F54" s="104"/>
      <c r="G54" s="105"/>
      <c r="H54" s="105"/>
      <c r="I54" s="105"/>
      <c r="J54" s="105"/>
      <c r="K54" s="102"/>
      <c r="L54" s="102"/>
      <c r="M54" s="102"/>
      <c r="N54" s="102"/>
      <c r="O54" s="102"/>
      <c r="P54" s="102"/>
      <c r="Q54" s="102"/>
      <c r="R54" s="102"/>
      <c r="S54" s="105"/>
      <c r="T54" s="102"/>
      <c r="U54" s="102"/>
      <c r="V54" s="106"/>
      <c r="W54" s="102"/>
      <c r="X54" s="102"/>
      <c r="Y54" s="102"/>
      <c r="Z54" s="102"/>
      <c r="AA54" s="102"/>
      <c r="AB54" s="102"/>
      <c r="AC54" s="102"/>
      <c r="AD54" s="102"/>
      <c r="AE54" s="102"/>
      <c r="AF54" s="102"/>
      <c r="AG54" s="102"/>
      <c r="AH54" s="102"/>
      <c r="AI54" s="102"/>
      <c r="AJ54" s="102"/>
      <c r="AK54" s="234" t="str">
        <f t="shared" si="32"/>
        <v>Hubris Rakarth</v>
      </c>
      <c r="AL54" s="234" t="str">
        <f>$E$3&amp;"4"</f>
        <v>Elf4</v>
      </c>
      <c r="AM54" s="102"/>
      <c r="AN54" s="102"/>
      <c r="AO54" s="102"/>
      <c r="AP54" s="102"/>
      <c r="AQ54" s="102"/>
      <c r="AR54" s="105"/>
      <c r="AS54" s="105"/>
      <c r="AT54" s="105"/>
      <c r="AU54" s="105"/>
      <c r="AV54" s="102"/>
      <c r="AW54" s="102"/>
      <c r="AX54" s="102"/>
      <c r="AY54" s="102"/>
    </row>
    <row r="55" spans="1:51" ht="13.5" customHeight="1">
      <c r="A55" s="102"/>
      <c r="B55" s="102"/>
      <c r="C55" s="105"/>
      <c r="D55" s="102"/>
      <c r="E55" s="102"/>
      <c r="F55" s="104"/>
      <c r="G55" s="105"/>
      <c r="H55" s="105"/>
      <c r="I55" s="105"/>
      <c r="J55" s="105"/>
      <c r="K55" s="102"/>
      <c r="L55" s="102"/>
      <c r="M55" s="102"/>
      <c r="N55" s="102"/>
      <c r="O55" s="102"/>
      <c r="P55" s="102"/>
      <c r="Q55" s="102"/>
      <c r="R55" s="102"/>
      <c r="S55" s="105"/>
      <c r="T55" s="102"/>
      <c r="U55" s="102"/>
      <c r="V55" s="106"/>
      <c r="W55" s="102"/>
      <c r="X55" s="102"/>
      <c r="Y55" s="102"/>
      <c r="Z55" s="102"/>
      <c r="AA55" s="102"/>
      <c r="AB55" s="102"/>
      <c r="AC55" s="102"/>
      <c r="AD55" s="102"/>
      <c r="AE55" s="102"/>
      <c r="AF55" s="102"/>
      <c r="AG55" s="102"/>
      <c r="AH55" s="102"/>
      <c r="AI55" s="102"/>
      <c r="AJ55" s="102"/>
      <c r="AK55" s="234" t="str">
        <f t="shared" si="32"/>
        <v>Jordell Freshbreeze</v>
      </c>
      <c r="AL55" s="234" t="str">
        <f>$E$3&amp;"3"</f>
        <v>Elf3</v>
      </c>
      <c r="AM55" s="102"/>
      <c r="AN55" s="102"/>
      <c r="AO55" s="102"/>
      <c r="AP55" s="102"/>
      <c r="AQ55" s="102"/>
      <c r="AR55" s="105"/>
      <c r="AS55" s="105"/>
      <c r="AT55" s="105"/>
      <c r="AU55" s="105"/>
      <c r="AV55" s="102"/>
      <c r="AW55" s="102"/>
      <c r="AX55" s="102"/>
      <c r="AY55" s="102"/>
    </row>
    <row r="56" spans="1:51" ht="13.5" customHeight="1">
      <c r="A56" s="102"/>
      <c r="B56" s="102"/>
      <c r="C56" s="105"/>
      <c r="D56" s="102"/>
      <c r="E56" s="102"/>
      <c r="F56" s="104"/>
      <c r="G56" s="105"/>
      <c r="H56" s="105"/>
      <c r="I56" s="105"/>
      <c r="J56" s="105"/>
      <c r="K56" s="102"/>
      <c r="L56" s="102"/>
      <c r="M56" s="102"/>
      <c r="N56" s="102"/>
      <c r="O56" s="102"/>
      <c r="P56" s="102"/>
      <c r="Q56" s="102"/>
      <c r="R56" s="102"/>
      <c r="S56" s="105"/>
      <c r="T56" s="102"/>
      <c r="U56" s="102"/>
      <c r="V56" s="106"/>
      <c r="W56" s="102"/>
      <c r="X56" s="102"/>
      <c r="Y56" s="102"/>
      <c r="Z56" s="102"/>
      <c r="AA56" s="102"/>
      <c r="AB56" s="102"/>
      <c r="AC56" s="102"/>
      <c r="AD56" s="102"/>
      <c r="AE56" s="102"/>
      <c r="AF56" s="102"/>
      <c r="AG56" s="102"/>
      <c r="AH56" s="102"/>
      <c r="AI56" s="102"/>
      <c r="AJ56" s="102"/>
      <c r="AK56" s="234" t="str">
        <f t="shared" si="32"/>
        <v>Morg 'n' Thorg</v>
      </c>
      <c r="AL56" s="234" t="str">
        <f>$E$3&amp;"2"</f>
        <v>Elf2</v>
      </c>
      <c r="AM56" s="102"/>
      <c r="AN56" s="102"/>
      <c r="AO56" s="102"/>
      <c r="AP56" s="102"/>
      <c r="AQ56" s="102"/>
      <c r="AR56" s="105"/>
      <c r="AS56" s="105"/>
      <c r="AT56" s="105"/>
      <c r="AU56" s="105"/>
      <c r="AV56" s="102"/>
      <c r="AW56" s="102"/>
      <c r="AX56" s="102"/>
      <c r="AY56" s="102"/>
    </row>
    <row r="57" spans="1:51" ht="13.5" customHeight="1">
      <c r="A57" s="102"/>
      <c r="B57" s="102"/>
      <c r="C57" s="105"/>
      <c r="D57" s="102"/>
      <c r="E57" s="102"/>
      <c r="F57" s="104"/>
      <c r="G57" s="105"/>
      <c r="H57" s="105"/>
      <c r="I57" s="105"/>
      <c r="J57" s="105"/>
      <c r="K57" s="102"/>
      <c r="L57" s="102"/>
      <c r="M57" s="102"/>
      <c r="N57" s="102"/>
      <c r="O57" s="102"/>
      <c r="P57" s="102"/>
      <c r="Q57" s="102"/>
      <c r="R57" s="102"/>
      <c r="S57" s="105"/>
      <c r="T57" s="102"/>
      <c r="U57" s="102"/>
      <c r="V57" s="106"/>
      <c r="W57" s="102"/>
      <c r="X57" s="102"/>
      <c r="Y57" s="102"/>
      <c r="Z57" s="102"/>
      <c r="AA57" s="102"/>
      <c r="AB57" s="102"/>
      <c r="AC57" s="102"/>
      <c r="AD57" s="102"/>
      <c r="AE57" s="102"/>
      <c r="AF57" s="102"/>
      <c r="AG57" s="102"/>
      <c r="AH57" s="102"/>
      <c r="AI57" s="102"/>
      <c r="AJ57" s="106" t="s">
        <v>224</v>
      </c>
      <c r="AK57" s="234" t="str">
        <f t="shared" si="32"/>
        <v>Prince Moranion</v>
      </c>
      <c r="AL57" s="234" t="str">
        <f t="shared" ref="AL57:AL58" si="33">$E$3&amp;"1"</f>
        <v>Elf1</v>
      </c>
      <c r="AM57" s="102"/>
      <c r="AN57" s="102"/>
      <c r="AO57" s="102"/>
      <c r="AP57" s="102"/>
      <c r="AQ57" s="102"/>
      <c r="AR57" s="105"/>
      <c r="AS57" s="105"/>
      <c r="AT57" s="105"/>
      <c r="AU57" s="105"/>
      <c r="AV57" s="102"/>
      <c r="AW57" s="102"/>
      <c r="AX57" s="102"/>
      <c r="AY57" s="102"/>
    </row>
    <row r="58" spans="1:51" ht="13.5" customHeight="1">
      <c r="A58" s="102"/>
      <c r="B58" s="102"/>
      <c r="C58" s="105"/>
      <c r="D58" s="102"/>
      <c r="E58" s="102"/>
      <c r="F58" s="104"/>
      <c r="G58" s="105"/>
      <c r="H58" s="105"/>
      <c r="I58" s="105"/>
      <c r="J58" s="105"/>
      <c r="K58" s="102"/>
      <c r="L58" s="102"/>
      <c r="M58" s="102"/>
      <c r="N58" s="102"/>
      <c r="O58" s="102"/>
      <c r="P58" s="102"/>
      <c r="Q58" s="102"/>
      <c r="R58" s="102"/>
      <c r="S58" s="105"/>
      <c r="T58" s="102"/>
      <c r="U58" s="102"/>
      <c r="V58" s="106"/>
      <c r="W58" s="102"/>
      <c r="X58" s="102"/>
      <c r="Y58" s="102"/>
      <c r="Z58" s="102"/>
      <c r="AA58" s="102"/>
      <c r="AB58" s="102"/>
      <c r="AC58" s="102"/>
      <c r="AD58" s="102"/>
      <c r="AE58" s="102"/>
      <c r="AF58" s="102"/>
      <c r="AG58" s="102"/>
      <c r="AH58" s="102"/>
      <c r="AI58" s="102"/>
      <c r="AJ58" s="234" t="str">
        <f t="shared" ref="AJ58:AJ67" si="34">VLOOKUP(AL58,DBPlayers,3,0)</f>
        <v>Lineman</v>
      </c>
      <c r="AK58" s="234" t="str">
        <f t="shared" ref="AK58:AK67" si="35">AJ58&amp;" "&amp;T_Merc</f>
        <v>Lineman Mercenary</v>
      </c>
      <c r="AL58" s="234" t="str">
        <f t="shared" si="33"/>
        <v>Elf1</v>
      </c>
      <c r="AM58" s="102"/>
      <c r="AN58" s="235"/>
      <c r="AO58" s="102"/>
      <c r="AP58" s="102"/>
      <c r="AQ58" s="102"/>
      <c r="AR58" s="105"/>
      <c r="AS58" s="105"/>
      <c r="AT58" s="105"/>
      <c r="AU58" s="105"/>
      <c r="AV58" s="102"/>
      <c r="AW58" s="102"/>
      <c r="AX58" s="102"/>
      <c r="AY58" s="102"/>
    </row>
    <row r="59" spans="1:51" ht="13.5" customHeight="1">
      <c r="A59" s="102"/>
      <c r="B59" s="102"/>
      <c r="C59" s="105"/>
      <c r="D59" s="102"/>
      <c r="E59" s="102"/>
      <c r="F59" s="104"/>
      <c r="G59" s="105"/>
      <c r="H59" s="105"/>
      <c r="I59" s="105"/>
      <c r="J59" s="105"/>
      <c r="K59" s="102"/>
      <c r="L59" s="102"/>
      <c r="M59" s="102"/>
      <c r="N59" s="102"/>
      <c r="O59" s="102"/>
      <c r="P59" s="102"/>
      <c r="Q59" s="102"/>
      <c r="R59" s="102"/>
      <c r="S59" s="105"/>
      <c r="T59" s="102"/>
      <c r="U59" s="102"/>
      <c r="V59" s="106"/>
      <c r="W59" s="102"/>
      <c r="X59" s="102"/>
      <c r="Y59" s="102"/>
      <c r="Z59" s="102"/>
      <c r="AA59" s="102"/>
      <c r="AB59" s="102"/>
      <c r="AC59" s="102"/>
      <c r="AD59" s="102"/>
      <c r="AE59" s="102"/>
      <c r="AF59" s="102"/>
      <c r="AG59" s="102"/>
      <c r="AH59" s="102"/>
      <c r="AI59" s="102"/>
      <c r="AJ59" s="234" t="str">
        <f t="shared" si="34"/>
        <v>Thrower</v>
      </c>
      <c r="AK59" s="234" t="str">
        <f t="shared" si="35"/>
        <v>Thrower Mercenary</v>
      </c>
      <c r="AL59" s="234" t="str">
        <f>$E$3&amp;"2"</f>
        <v>Elf2</v>
      </c>
      <c r="AM59" s="102"/>
      <c r="AN59" s="102"/>
      <c r="AO59" s="102"/>
      <c r="AP59" s="102"/>
      <c r="AQ59" s="102"/>
      <c r="AR59" s="105"/>
      <c r="AS59" s="105"/>
      <c r="AT59" s="105"/>
      <c r="AU59" s="105"/>
      <c r="AV59" s="102"/>
      <c r="AW59" s="102"/>
      <c r="AX59" s="102"/>
      <c r="AY59" s="102"/>
    </row>
    <row r="60" spans="1:51" ht="12.75" customHeight="1">
      <c r="A60" s="102"/>
      <c r="B60" s="102"/>
      <c r="C60" s="105"/>
      <c r="D60" s="102"/>
      <c r="E60" s="102"/>
      <c r="F60" s="104"/>
      <c r="G60" s="105"/>
      <c r="H60" s="105"/>
      <c r="I60" s="105"/>
      <c r="J60" s="105"/>
      <c r="K60" s="102"/>
      <c r="L60" s="102"/>
      <c r="M60" s="102"/>
      <c r="N60" s="102"/>
      <c r="O60" s="102"/>
      <c r="P60" s="102"/>
      <c r="Q60" s="102"/>
      <c r="R60" s="102"/>
      <c r="S60" s="105"/>
      <c r="T60" s="102"/>
      <c r="U60" s="102"/>
      <c r="V60" s="106"/>
      <c r="W60" s="102"/>
      <c r="X60" s="102"/>
      <c r="Y60" s="102"/>
      <c r="Z60" s="102"/>
      <c r="AA60" s="102"/>
      <c r="AB60" s="102"/>
      <c r="AC60" s="102"/>
      <c r="AD60" s="102"/>
      <c r="AE60" s="102"/>
      <c r="AF60" s="102"/>
      <c r="AG60" s="102"/>
      <c r="AH60" s="102"/>
      <c r="AI60" s="102"/>
      <c r="AJ60" s="234" t="str">
        <f t="shared" si="34"/>
        <v>Catcher</v>
      </c>
      <c r="AK60" s="234" t="str">
        <f t="shared" si="35"/>
        <v>Catcher Mercenary</v>
      </c>
      <c r="AL60" s="234" t="str">
        <f>$E$3&amp;"3"</f>
        <v>Elf3</v>
      </c>
      <c r="AM60" s="102"/>
      <c r="AN60" s="102"/>
      <c r="AO60" s="102"/>
      <c r="AP60" s="102"/>
      <c r="AQ60" s="102"/>
      <c r="AR60" s="105"/>
      <c r="AS60" s="105"/>
      <c r="AT60" s="105"/>
      <c r="AU60" s="105"/>
      <c r="AV60" s="102"/>
      <c r="AW60" s="102"/>
      <c r="AX60" s="102"/>
      <c r="AY60" s="102"/>
    </row>
    <row r="61" spans="1:51" ht="12.75" customHeight="1">
      <c r="A61" s="102"/>
      <c r="B61" s="102"/>
      <c r="C61" s="105"/>
      <c r="D61" s="102"/>
      <c r="E61" s="102"/>
      <c r="F61" s="104"/>
      <c r="G61" s="105"/>
      <c r="H61" s="105"/>
      <c r="I61" s="105"/>
      <c r="J61" s="105"/>
      <c r="K61" s="102"/>
      <c r="L61" s="102"/>
      <c r="M61" s="102"/>
      <c r="N61" s="102"/>
      <c r="O61" s="102"/>
      <c r="P61" s="102"/>
      <c r="Q61" s="102"/>
      <c r="R61" s="102"/>
      <c r="S61" s="105"/>
      <c r="T61" s="102"/>
      <c r="U61" s="102"/>
      <c r="V61" s="106"/>
      <c r="W61" s="102"/>
      <c r="X61" s="102"/>
      <c r="Y61" s="102"/>
      <c r="Z61" s="102"/>
      <c r="AA61" s="102"/>
      <c r="AB61" s="102"/>
      <c r="AC61" s="102"/>
      <c r="AD61" s="102"/>
      <c r="AE61" s="102"/>
      <c r="AF61" s="102"/>
      <c r="AG61" s="102"/>
      <c r="AH61" s="102"/>
      <c r="AI61" s="102"/>
      <c r="AJ61" s="234" t="str">
        <f t="shared" si="34"/>
        <v>Blitzer</v>
      </c>
      <c r="AK61" s="234" t="str">
        <f t="shared" si="35"/>
        <v>Blitzer Mercenary</v>
      </c>
      <c r="AL61" s="234" t="str">
        <f>$E$3&amp;"4"</f>
        <v>Elf4</v>
      </c>
      <c r="AM61" s="102"/>
      <c r="AN61" s="102"/>
      <c r="AO61" s="102"/>
      <c r="AP61" s="102"/>
      <c r="AQ61" s="102"/>
      <c r="AR61" s="105"/>
      <c r="AS61" s="105"/>
      <c r="AT61" s="105"/>
      <c r="AU61" s="105"/>
      <c r="AV61" s="102"/>
      <c r="AW61" s="102"/>
      <c r="AX61" s="102"/>
      <c r="AY61" s="102"/>
    </row>
    <row r="62" spans="1:51" ht="12.75" customHeight="1">
      <c r="A62" s="102"/>
      <c r="B62" s="102"/>
      <c r="C62" s="105"/>
      <c r="D62" s="102"/>
      <c r="E62" s="102"/>
      <c r="F62" s="104"/>
      <c r="G62" s="105"/>
      <c r="H62" s="105"/>
      <c r="I62" s="105"/>
      <c r="J62" s="105"/>
      <c r="K62" s="102"/>
      <c r="L62" s="102"/>
      <c r="M62" s="102"/>
      <c r="N62" s="102"/>
      <c r="O62" s="102"/>
      <c r="P62" s="102"/>
      <c r="Q62" s="102"/>
      <c r="R62" s="102"/>
      <c r="S62" s="105"/>
      <c r="T62" s="102"/>
      <c r="U62" s="102"/>
      <c r="V62" s="106"/>
      <c r="W62" s="102"/>
      <c r="X62" s="102"/>
      <c r="Y62" s="102"/>
      <c r="Z62" s="102"/>
      <c r="AA62" s="102"/>
      <c r="AB62" s="102"/>
      <c r="AC62" s="102"/>
      <c r="AD62" s="102"/>
      <c r="AE62" s="102"/>
      <c r="AF62" s="102"/>
      <c r="AG62" s="102"/>
      <c r="AH62" s="102"/>
      <c r="AI62" s="102"/>
      <c r="AJ62" s="234" t="e">
        <f t="shared" si="34"/>
        <v>#N/A</v>
      </c>
      <c r="AK62" s="234" t="e">
        <f t="shared" si="35"/>
        <v>#N/A</v>
      </c>
      <c r="AL62" s="234" t="str">
        <f>$E$3&amp;"5"</f>
        <v>Elf5</v>
      </c>
      <c r="AM62" s="102"/>
      <c r="AN62" s="102"/>
      <c r="AO62" s="102"/>
      <c r="AP62" s="102"/>
      <c r="AQ62" s="102"/>
      <c r="AR62" s="105"/>
      <c r="AS62" s="105"/>
      <c r="AT62" s="105"/>
      <c r="AU62" s="105"/>
      <c r="AV62" s="102"/>
      <c r="AW62" s="102"/>
      <c r="AX62" s="102"/>
      <c r="AY62" s="102"/>
    </row>
    <row r="63" spans="1:51" ht="12.75" customHeight="1">
      <c r="A63" s="102"/>
      <c r="B63" s="102"/>
      <c r="C63" s="105"/>
      <c r="D63" s="102"/>
      <c r="E63" s="102"/>
      <c r="F63" s="104"/>
      <c r="G63" s="105"/>
      <c r="H63" s="105"/>
      <c r="I63" s="105"/>
      <c r="J63" s="105"/>
      <c r="K63" s="102"/>
      <c r="L63" s="102"/>
      <c r="M63" s="102"/>
      <c r="N63" s="102"/>
      <c r="O63" s="102"/>
      <c r="P63" s="102"/>
      <c r="Q63" s="102"/>
      <c r="R63" s="102"/>
      <c r="S63" s="105"/>
      <c r="T63" s="102"/>
      <c r="U63" s="102"/>
      <c r="V63" s="106"/>
      <c r="W63" s="102"/>
      <c r="X63" s="102"/>
      <c r="Y63" s="102"/>
      <c r="Z63" s="102"/>
      <c r="AA63" s="102"/>
      <c r="AB63" s="102"/>
      <c r="AC63" s="102"/>
      <c r="AD63" s="102"/>
      <c r="AE63" s="102"/>
      <c r="AF63" s="102"/>
      <c r="AG63" s="102"/>
      <c r="AH63" s="102"/>
      <c r="AI63" s="102"/>
      <c r="AJ63" s="234" t="e">
        <f t="shared" si="34"/>
        <v>#N/A</v>
      </c>
      <c r="AK63" s="234" t="e">
        <f t="shared" si="35"/>
        <v>#N/A</v>
      </c>
      <c r="AL63" s="234" t="str">
        <f>$E$3&amp;"6"</f>
        <v>Elf6</v>
      </c>
      <c r="AM63" s="102"/>
      <c r="AN63" s="102"/>
      <c r="AO63" s="102"/>
      <c r="AP63" s="102"/>
      <c r="AQ63" s="102"/>
      <c r="AR63" s="105"/>
      <c r="AS63" s="105"/>
      <c r="AT63" s="105"/>
      <c r="AU63" s="105"/>
      <c r="AV63" s="102"/>
      <c r="AW63" s="102"/>
      <c r="AX63" s="102"/>
      <c r="AY63" s="102"/>
    </row>
    <row r="64" spans="1:51" ht="12.75" customHeight="1">
      <c r="A64" s="102"/>
      <c r="B64" s="102"/>
      <c r="C64" s="105"/>
      <c r="D64" s="102"/>
      <c r="E64" s="102"/>
      <c r="F64" s="104"/>
      <c r="G64" s="105"/>
      <c r="H64" s="105"/>
      <c r="I64" s="105"/>
      <c r="J64" s="105"/>
      <c r="K64" s="102"/>
      <c r="L64" s="102"/>
      <c r="M64" s="102"/>
      <c r="N64" s="102"/>
      <c r="O64" s="102"/>
      <c r="P64" s="102"/>
      <c r="Q64" s="102"/>
      <c r="R64" s="102"/>
      <c r="S64" s="105"/>
      <c r="T64" s="102"/>
      <c r="U64" s="102"/>
      <c r="V64" s="106"/>
      <c r="W64" s="102"/>
      <c r="X64" s="102"/>
      <c r="Y64" s="102"/>
      <c r="Z64" s="102"/>
      <c r="AA64" s="102"/>
      <c r="AB64" s="102"/>
      <c r="AC64" s="102"/>
      <c r="AD64" s="102"/>
      <c r="AE64" s="102"/>
      <c r="AF64" s="102"/>
      <c r="AG64" s="102"/>
      <c r="AH64" s="102"/>
      <c r="AI64" s="102"/>
      <c r="AJ64" s="234" t="e">
        <f t="shared" si="34"/>
        <v>#N/A</v>
      </c>
      <c r="AK64" s="234" t="e">
        <f t="shared" si="35"/>
        <v>#N/A</v>
      </c>
      <c r="AL64" s="234" t="str">
        <f>$E$3&amp;"7"</f>
        <v>Elf7</v>
      </c>
      <c r="AM64" s="102"/>
      <c r="AN64" s="102"/>
      <c r="AO64" s="102"/>
      <c r="AP64" s="102"/>
      <c r="AQ64" s="102"/>
      <c r="AR64" s="105"/>
      <c r="AS64" s="105"/>
      <c r="AT64" s="105"/>
      <c r="AU64" s="105"/>
      <c r="AV64" s="102"/>
      <c r="AW64" s="102"/>
      <c r="AX64" s="102"/>
      <c r="AY64" s="102"/>
    </row>
    <row r="65" spans="1:51" ht="12.75" customHeight="1">
      <c r="A65" s="102"/>
      <c r="B65" s="102"/>
      <c r="C65" s="105"/>
      <c r="D65" s="102"/>
      <c r="E65" s="102"/>
      <c r="F65" s="104"/>
      <c r="G65" s="105"/>
      <c r="H65" s="105"/>
      <c r="I65" s="105"/>
      <c r="J65" s="105"/>
      <c r="K65" s="102"/>
      <c r="L65" s="102"/>
      <c r="M65" s="102"/>
      <c r="N65" s="102"/>
      <c r="O65" s="102"/>
      <c r="P65" s="102"/>
      <c r="Q65" s="102"/>
      <c r="R65" s="102"/>
      <c r="S65" s="105"/>
      <c r="T65" s="102"/>
      <c r="U65" s="102"/>
      <c r="V65" s="106"/>
      <c r="W65" s="102"/>
      <c r="X65" s="102"/>
      <c r="Y65" s="102"/>
      <c r="Z65" s="102"/>
      <c r="AA65" s="102"/>
      <c r="AB65" s="102"/>
      <c r="AC65" s="102"/>
      <c r="AD65" s="102"/>
      <c r="AE65" s="102"/>
      <c r="AF65" s="102"/>
      <c r="AG65" s="102"/>
      <c r="AH65" s="102"/>
      <c r="AI65" s="102"/>
      <c r="AJ65" s="234" t="e">
        <f t="shared" si="34"/>
        <v>#N/A</v>
      </c>
      <c r="AK65" s="234" t="e">
        <f t="shared" si="35"/>
        <v>#N/A</v>
      </c>
      <c r="AL65" s="234" t="str">
        <f>$E$3&amp;"8"</f>
        <v>Elf8</v>
      </c>
      <c r="AM65" s="102"/>
      <c r="AN65" s="102"/>
      <c r="AO65" s="102"/>
      <c r="AP65" s="102"/>
      <c r="AQ65" s="102"/>
      <c r="AR65" s="105"/>
      <c r="AS65" s="105"/>
      <c r="AT65" s="105"/>
      <c r="AU65" s="105"/>
      <c r="AV65" s="102"/>
      <c r="AW65" s="102"/>
      <c r="AX65" s="102"/>
      <c r="AY65" s="102"/>
    </row>
    <row r="66" spans="1:51" ht="12.75" customHeight="1">
      <c r="A66" s="102"/>
      <c r="B66" s="102"/>
      <c r="C66" s="105"/>
      <c r="D66" s="102"/>
      <c r="E66" s="102"/>
      <c r="F66" s="104"/>
      <c r="G66" s="105"/>
      <c r="H66" s="105"/>
      <c r="I66" s="105"/>
      <c r="J66" s="105"/>
      <c r="K66" s="102"/>
      <c r="L66" s="102"/>
      <c r="M66" s="102"/>
      <c r="N66" s="102"/>
      <c r="O66" s="102"/>
      <c r="P66" s="102"/>
      <c r="Q66" s="102"/>
      <c r="R66" s="102"/>
      <c r="S66" s="105"/>
      <c r="T66" s="102"/>
      <c r="U66" s="102"/>
      <c r="V66" s="106"/>
      <c r="W66" s="102"/>
      <c r="X66" s="102"/>
      <c r="Y66" s="102"/>
      <c r="Z66" s="102"/>
      <c r="AA66" s="102"/>
      <c r="AB66" s="102"/>
      <c r="AC66" s="102"/>
      <c r="AD66" s="102"/>
      <c r="AE66" s="102"/>
      <c r="AF66" s="102"/>
      <c r="AG66" s="102"/>
      <c r="AH66" s="102"/>
      <c r="AI66" s="102"/>
      <c r="AJ66" s="234" t="e">
        <f t="shared" si="34"/>
        <v>#N/A</v>
      </c>
      <c r="AK66" s="234" t="e">
        <f t="shared" si="35"/>
        <v>#N/A</v>
      </c>
      <c r="AL66" s="234" t="str">
        <f>$E$3&amp;"9"</f>
        <v>Elf9</v>
      </c>
      <c r="AM66" s="102"/>
      <c r="AN66" s="102"/>
      <c r="AO66" s="102"/>
      <c r="AP66" s="102"/>
      <c r="AQ66" s="102"/>
      <c r="AR66" s="105"/>
      <c r="AS66" s="105"/>
      <c r="AT66" s="105"/>
      <c r="AU66" s="105"/>
      <c r="AV66" s="102"/>
      <c r="AW66" s="102"/>
      <c r="AX66" s="102"/>
      <c r="AY66" s="102"/>
    </row>
    <row r="67" spans="1:51" ht="12.75" customHeight="1">
      <c r="A67" s="102"/>
      <c r="B67" s="102"/>
      <c r="C67" s="105"/>
      <c r="D67" s="102"/>
      <c r="E67" s="102"/>
      <c r="F67" s="104"/>
      <c r="G67" s="105"/>
      <c r="H67" s="105"/>
      <c r="I67" s="105"/>
      <c r="J67" s="105"/>
      <c r="K67" s="102"/>
      <c r="L67" s="102"/>
      <c r="M67" s="102"/>
      <c r="N67" s="102"/>
      <c r="O67" s="102"/>
      <c r="P67" s="102"/>
      <c r="Q67" s="102"/>
      <c r="R67" s="102"/>
      <c r="S67" s="105"/>
      <c r="T67" s="102"/>
      <c r="U67" s="102"/>
      <c r="V67" s="106"/>
      <c r="W67" s="102"/>
      <c r="X67" s="102"/>
      <c r="Y67" s="102"/>
      <c r="Z67" s="102"/>
      <c r="AA67" s="102"/>
      <c r="AB67" s="102"/>
      <c r="AC67" s="102"/>
      <c r="AD67" s="102"/>
      <c r="AE67" s="102"/>
      <c r="AF67" s="102"/>
      <c r="AG67" s="102"/>
      <c r="AH67" s="102"/>
      <c r="AI67" s="102"/>
      <c r="AJ67" s="234" t="e">
        <f t="shared" si="34"/>
        <v>#N/A</v>
      </c>
      <c r="AK67" s="234" t="e">
        <f t="shared" si="35"/>
        <v>#N/A</v>
      </c>
      <c r="AL67" s="234" t="str">
        <f>$E$3&amp;"10"</f>
        <v>Elf10</v>
      </c>
      <c r="AM67" s="102"/>
      <c r="AN67" s="102"/>
      <c r="AO67" s="102"/>
      <c r="AP67" s="102"/>
      <c r="AQ67" s="102"/>
      <c r="AR67" s="105"/>
      <c r="AS67" s="105"/>
      <c r="AT67" s="105"/>
      <c r="AU67" s="105"/>
      <c r="AV67" s="102"/>
      <c r="AW67" s="102"/>
      <c r="AX67" s="102"/>
      <c r="AY67" s="102"/>
    </row>
    <row r="68" spans="1:51" ht="12.75" customHeight="1">
      <c r="A68" s="102"/>
      <c r="B68" s="102"/>
      <c r="C68" s="105"/>
      <c r="D68" s="102"/>
      <c r="E68" s="102"/>
      <c r="F68" s="104"/>
      <c r="G68" s="105"/>
      <c r="H68" s="105"/>
      <c r="I68" s="105"/>
      <c r="J68" s="105"/>
      <c r="K68" s="102"/>
      <c r="L68" s="102"/>
      <c r="M68" s="102"/>
      <c r="N68" s="102"/>
      <c r="O68" s="102"/>
      <c r="P68" s="102"/>
      <c r="Q68" s="102"/>
      <c r="R68" s="102"/>
      <c r="S68" s="105"/>
      <c r="T68" s="102"/>
      <c r="U68" s="102"/>
      <c r="V68" s="106"/>
      <c r="W68" s="102"/>
      <c r="X68" s="102"/>
      <c r="Y68" s="102"/>
      <c r="Z68" s="102"/>
      <c r="AA68" s="102"/>
      <c r="AB68" s="102"/>
      <c r="AC68" s="102"/>
      <c r="AD68" s="102"/>
      <c r="AE68" s="102"/>
      <c r="AF68" s="102"/>
      <c r="AG68" s="102"/>
      <c r="AH68" s="102"/>
      <c r="AI68" s="102"/>
      <c r="AJ68" s="102"/>
      <c r="AK68" s="102"/>
      <c r="AL68" s="102"/>
      <c r="AM68" s="102"/>
      <c r="AN68" s="102"/>
      <c r="AO68" s="102"/>
      <c r="AP68" s="102"/>
      <c r="AQ68" s="102"/>
      <c r="AR68" s="105"/>
      <c r="AS68" s="105"/>
      <c r="AT68" s="105"/>
      <c r="AU68" s="105"/>
      <c r="AV68" s="102"/>
      <c r="AW68" s="102"/>
      <c r="AX68" s="102"/>
      <c r="AY68" s="102"/>
    </row>
    <row r="69" spans="1:51" ht="12.75" customHeight="1">
      <c r="A69" s="102"/>
      <c r="B69" s="102"/>
      <c r="C69" s="105"/>
      <c r="D69" s="102"/>
      <c r="E69" s="102"/>
      <c r="F69" s="104"/>
      <c r="G69" s="105"/>
      <c r="H69" s="105"/>
      <c r="I69" s="105"/>
      <c r="J69" s="105"/>
      <c r="K69" s="102"/>
      <c r="L69" s="102"/>
      <c r="M69" s="102"/>
      <c r="N69" s="102"/>
      <c r="O69" s="102"/>
      <c r="P69" s="102"/>
      <c r="Q69" s="102"/>
      <c r="R69" s="102"/>
      <c r="S69" s="105"/>
      <c r="T69" s="102"/>
      <c r="U69" s="102"/>
      <c r="V69" s="106"/>
      <c r="W69" s="102"/>
      <c r="X69" s="102"/>
      <c r="Y69" s="102"/>
      <c r="Z69" s="102"/>
      <c r="AA69" s="102"/>
      <c r="AB69" s="102"/>
      <c r="AC69" s="102"/>
      <c r="AD69" s="102"/>
      <c r="AE69" s="102"/>
      <c r="AF69" s="102"/>
      <c r="AG69" s="102"/>
      <c r="AH69" s="102"/>
      <c r="AI69" s="102"/>
      <c r="AJ69" s="235" t="s">
        <v>225</v>
      </c>
      <c r="AK69" s="234">
        <f t="array" ref="AK69">SUM(IF(ISERROR($AK$58:$AK$67),0,1))</f>
        <v>4</v>
      </c>
      <c r="AL69" s="102"/>
      <c r="AM69" s="102"/>
      <c r="AN69" s="102"/>
      <c r="AO69" s="102"/>
      <c r="AP69" s="102"/>
      <c r="AQ69" s="102"/>
      <c r="AR69" s="105"/>
      <c r="AS69" s="105"/>
      <c r="AT69" s="105"/>
      <c r="AU69" s="105"/>
      <c r="AV69" s="102"/>
      <c r="AW69" s="102"/>
      <c r="AX69" s="102"/>
      <c r="AY69" s="102"/>
    </row>
    <row r="70" spans="1:51" ht="12.75" customHeight="1">
      <c r="A70" s="102"/>
      <c r="B70" s="102"/>
      <c r="C70" s="105"/>
      <c r="D70" s="102"/>
      <c r="E70" s="102"/>
      <c r="F70" s="104"/>
      <c r="G70" s="105"/>
      <c r="H70" s="105"/>
      <c r="I70" s="105"/>
      <c r="J70" s="105"/>
      <c r="K70" s="102"/>
      <c r="L70" s="102"/>
      <c r="M70" s="102"/>
      <c r="N70" s="102"/>
      <c r="O70" s="102"/>
      <c r="P70" s="102"/>
      <c r="Q70" s="102"/>
      <c r="R70" s="102"/>
      <c r="S70" s="105"/>
      <c r="T70" s="102"/>
      <c r="U70" s="102"/>
      <c r="V70" s="106"/>
      <c r="W70" s="102"/>
      <c r="X70" s="102"/>
      <c r="Y70" s="102"/>
      <c r="Z70" s="102"/>
      <c r="AA70" s="102"/>
      <c r="AB70" s="102"/>
      <c r="AC70" s="102"/>
      <c r="AD70" s="102"/>
      <c r="AE70" s="102"/>
      <c r="AF70" s="102"/>
      <c r="AG70" s="102"/>
      <c r="AH70" s="102"/>
      <c r="AI70" s="102"/>
      <c r="AJ70" s="235" t="s">
        <v>226</v>
      </c>
      <c r="AK70" s="234">
        <f t="array" ref="AK70">SUM(IF(ISERROR($AK$48:$AK$57),0,1))</f>
        <v>6</v>
      </c>
      <c r="AL70" s="102"/>
      <c r="AM70" s="102"/>
      <c r="AN70" s="102"/>
      <c r="AO70" s="102"/>
      <c r="AP70" s="102"/>
      <c r="AQ70" s="102"/>
      <c r="AR70" s="105"/>
      <c r="AS70" s="105"/>
      <c r="AT70" s="105"/>
      <c r="AU70" s="105"/>
      <c r="AV70" s="102"/>
      <c r="AW70" s="102"/>
      <c r="AX70" s="102"/>
      <c r="AY70" s="102"/>
    </row>
  </sheetData>
  <mergeCells count="58">
    <mergeCell ref="H39:I39"/>
    <mergeCell ref="H40:I40"/>
    <mergeCell ref="F42:I42"/>
    <mergeCell ref="D41:E41"/>
    <mergeCell ref="F41:I41"/>
    <mergeCell ref="D40:E40"/>
    <mergeCell ref="D39:E39"/>
    <mergeCell ref="D34:E34"/>
    <mergeCell ref="D35:E35"/>
    <mergeCell ref="H34:I34"/>
    <mergeCell ref="H35:I35"/>
    <mergeCell ref="D38:E38"/>
    <mergeCell ref="D37:E37"/>
    <mergeCell ref="H38:I38"/>
    <mergeCell ref="D36:E36"/>
    <mergeCell ref="H37:I37"/>
    <mergeCell ref="H36:I36"/>
    <mergeCell ref="N3:S3"/>
    <mergeCell ref="L3:M3"/>
    <mergeCell ref="E3:F3"/>
    <mergeCell ref="G3:I3"/>
    <mergeCell ref="J3:K3"/>
    <mergeCell ref="U3:W3"/>
    <mergeCell ref="AF3:AG3"/>
    <mergeCell ref="AR3:AU3"/>
    <mergeCell ref="V25:W25"/>
    <mergeCell ref="V24:W24"/>
    <mergeCell ref="V29:W29"/>
    <mergeCell ref="V30:W30"/>
    <mergeCell ref="V26:W26"/>
    <mergeCell ref="V27:W27"/>
    <mergeCell ref="V28:W28"/>
    <mergeCell ref="R42:S42"/>
    <mergeCell ref="R40:S40"/>
    <mergeCell ref="R41:S41"/>
    <mergeCell ref="K28:R28"/>
    <mergeCell ref="K29:R29"/>
    <mergeCell ref="K30:R30"/>
    <mergeCell ref="O35:Q35"/>
    <mergeCell ref="O36:Q36"/>
    <mergeCell ref="M39:P39"/>
    <mergeCell ref="L33:R33"/>
    <mergeCell ref="O37:Q37"/>
    <mergeCell ref="O34:Q34"/>
    <mergeCell ref="O38:Q38"/>
    <mergeCell ref="D33:I33"/>
    <mergeCell ref="K25:R25"/>
    <mergeCell ref="K24:R24"/>
    <mergeCell ref="K26:R26"/>
    <mergeCell ref="K27:R27"/>
    <mergeCell ref="L31:P31"/>
    <mergeCell ref="D29:E29"/>
    <mergeCell ref="D30:E30"/>
    <mergeCell ref="D24:E24"/>
    <mergeCell ref="D25:E25"/>
    <mergeCell ref="D26:E26"/>
    <mergeCell ref="D27:E27"/>
    <mergeCell ref="D28:E28"/>
  </mergeCells>
  <conditionalFormatting sqref="G6:J21">
    <cfRule type="cellIs" dxfId="10" priority="1" stopIfTrue="1" operator="greaterThan">
      <formula>AR6</formula>
    </cfRule>
  </conditionalFormatting>
  <conditionalFormatting sqref="G6:J21">
    <cfRule type="cellIs" dxfId="9" priority="2" stopIfTrue="1" operator="lessThan">
      <formula>AR6</formula>
    </cfRule>
  </conditionalFormatting>
  <dataValidations count="13">
    <dataValidation type="list" allowBlank="1" showErrorMessage="1" sqref="E3">
      <formula1>TeamList</formula1>
    </dataValidation>
    <dataValidation type="decimal" allowBlank="1" showInputMessage="1" showErrorMessage="1" prompt="Wrong Entry - Please enter only numbers between 0 and 2!" sqref="F34 F38">
      <formula1>0</formula1>
      <formula2>2</formula2>
    </dataValidation>
    <dataValidation type="list" allowBlank="1" showInputMessage="1" showErrorMessage="1" prompt="Wrong Entry - Please enter a value from the dropdown list!" sqref="E6:E21">
      <formula1>OFFSET($AJ$58:$AJ$67,0,0,$AK$69,1)</formula1>
    </dataValidation>
    <dataValidation type="list" allowBlank="1" showErrorMessage="1" sqref="D44">
      <formula1>#REF!</formula1>
    </dataValidation>
    <dataValidation type="list" allowBlank="1" showInputMessage="1" showErrorMessage="1" prompt="Wrong Entry - Please enter a value from the dropdown list!" sqref="L6:L21">
      <formula1>StatusDropdown</formula1>
    </dataValidation>
    <dataValidation type="list" allowBlank="1" showInputMessage="1" showErrorMessage="1" prompt="Wrong Entry - Please enter a value from the dropdown list!" sqref="D25:D30">
      <formula1>OFFSET($AK$48:$AK$67,(10-$AK$70),0,$AK$69+$AK$70,1)</formula1>
    </dataValidation>
    <dataValidation type="decimal" allowBlank="1" showInputMessage="1" showErrorMessage="1" prompt="Wrong Entry - Please enter only numbers between 0 and 3!" sqref="F35">
      <formula1>0</formula1>
      <formula2>3</formula2>
    </dataValidation>
    <dataValidation type="decimal" allowBlank="1" showInputMessage="1" showErrorMessage="1" prompt="Wrong Entry - Please enter only numbers!" sqref="M34:M37">
      <formula1>0</formula1>
      <formula2>99</formula2>
    </dataValidation>
    <dataValidation type="list" allowBlank="1" showErrorMessage="1" sqref="Y6:AD21 V25:V30 Y30">
      <formula1>OFFSET(DBSkills,0,0,ROWS(DBSkills),1)</formula1>
    </dataValidation>
    <dataValidation type="decimal" allowBlank="1" showInputMessage="1" showErrorMessage="1" prompt="Wrong Entry - Please enter only numbers!" sqref="M39 F41">
      <formula1>-10000000</formula1>
      <formula2>1000000</formula2>
    </dataValidation>
    <dataValidation type="decimal" allowBlank="1" showInputMessage="1" showErrorMessage="1" prompt="Wrong Entry - Please enter only numbers between 0 and 4!" sqref="F36">
      <formula1>0</formula1>
      <formula2>4</formula2>
    </dataValidation>
    <dataValidation type="decimal" allowBlank="1" showInputMessage="1" showErrorMessage="1" prompt="Wrong Entry - Please do only enter numbers!" sqref="M6:Q21">
      <formula1>0</formula1>
      <formula2>9999</formula2>
    </dataValidation>
    <dataValidation type="decimal" allowBlank="1" showInputMessage="1" showErrorMessage="1" prompt="Wrong Entry - Please enter only 0 or 1!" sqref="F37 M38 F39:F40">
      <formula1>0</formula1>
      <formula2>1</formula2>
    </dataValidation>
  </dataValidation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Y70"/>
  <sheetViews>
    <sheetView workbookViewId="0"/>
  </sheetViews>
  <sheetFormatPr defaultColWidth="14.42578125" defaultRowHeight="15" customHeight="1"/>
  <cols>
    <col min="1" max="1" width="0.7109375" customWidth="1"/>
    <col min="2" max="2" width="0.5703125" customWidth="1"/>
    <col min="3" max="3" width="3.7109375" customWidth="1"/>
    <col min="4" max="4" width="15.7109375" customWidth="1"/>
    <col min="5" max="5" width="12.140625" customWidth="1"/>
    <col min="6" max="6" width="5.85546875" customWidth="1"/>
    <col min="7" max="7" width="3.140625" customWidth="1"/>
    <col min="8" max="10" width="3.42578125" customWidth="1"/>
    <col min="11" max="11" width="55.42578125" customWidth="1"/>
    <col min="12" max="12" width="5.85546875" customWidth="1"/>
    <col min="13" max="18" width="3.42578125" customWidth="1"/>
    <col min="19" max="19" width="8" customWidth="1"/>
    <col min="20" max="20" width="0.5703125" customWidth="1"/>
    <col min="21" max="22" width="7.140625" customWidth="1"/>
    <col min="23" max="23" width="7.42578125" customWidth="1"/>
    <col min="24" max="24" width="0.5703125" customWidth="1"/>
    <col min="25" max="30" width="12.42578125" customWidth="1"/>
    <col min="31" max="31" width="13.28515625" customWidth="1"/>
    <col min="32" max="32" width="17.42578125" customWidth="1"/>
    <col min="33" max="33" width="6.42578125" customWidth="1"/>
    <col min="34" max="34" width="24.140625" customWidth="1"/>
    <col min="35" max="35" width="10.140625" hidden="1" customWidth="1"/>
    <col min="36" max="43" width="11.42578125" hidden="1" customWidth="1"/>
    <col min="44" max="47" width="3.5703125" hidden="1" customWidth="1"/>
    <col min="48" max="51" width="11.42578125" hidden="1" customWidth="1"/>
  </cols>
  <sheetData>
    <row r="1" spans="1:51" ht="3.75" customHeight="1">
      <c r="A1" s="102"/>
      <c r="B1" s="102"/>
      <c r="C1" s="103"/>
      <c r="D1" s="102"/>
      <c r="E1" s="102"/>
      <c r="F1" s="104"/>
      <c r="G1" s="105"/>
      <c r="H1" s="105"/>
      <c r="I1" s="105"/>
      <c r="J1" s="105"/>
      <c r="K1" s="102"/>
      <c r="L1" s="102"/>
      <c r="M1" s="102"/>
      <c r="N1" s="102"/>
      <c r="O1" s="102"/>
      <c r="P1" s="102"/>
      <c r="Q1" s="102"/>
      <c r="R1" s="102"/>
      <c r="S1" s="105"/>
      <c r="T1" s="102"/>
      <c r="U1" s="102"/>
      <c r="V1" s="106"/>
      <c r="W1" s="102"/>
      <c r="X1" s="102"/>
      <c r="Y1" s="102"/>
      <c r="Z1" s="102"/>
      <c r="AA1" s="102"/>
      <c r="AB1" s="102"/>
      <c r="AC1" s="102"/>
      <c r="AD1" s="102"/>
      <c r="AE1" s="102"/>
      <c r="AF1" s="102"/>
      <c r="AG1" s="102"/>
      <c r="AH1" s="102"/>
      <c r="AI1" s="102"/>
      <c r="AJ1" s="102"/>
      <c r="AK1" s="102"/>
      <c r="AL1" s="102"/>
      <c r="AM1" s="102"/>
      <c r="AN1" s="102"/>
      <c r="AO1" s="102"/>
      <c r="AP1" s="102"/>
      <c r="AQ1" s="102"/>
      <c r="AR1" s="105"/>
      <c r="AS1" s="105"/>
      <c r="AT1" s="105"/>
      <c r="AU1" s="105"/>
      <c r="AV1" s="102"/>
      <c r="AW1" s="102"/>
      <c r="AX1" s="102"/>
      <c r="AY1" s="102"/>
    </row>
    <row r="2" spans="1:51" ht="3" customHeight="1">
      <c r="A2" s="102"/>
      <c r="B2" s="107"/>
      <c r="C2" s="108"/>
      <c r="D2" s="109"/>
      <c r="E2" s="109"/>
      <c r="F2" s="110"/>
      <c r="G2" s="108"/>
      <c r="H2" s="108"/>
      <c r="I2" s="108"/>
      <c r="J2" s="108"/>
      <c r="K2" s="109"/>
      <c r="L2" s="109"/>
      <c r="M2" s="109"/>
      <c r="N2" s="109"/>
      <c r="O2" s="109"/>
      <c r="P2" s="109"/>
      <c r="Q2" s="109"/>
      <c r="R2" s="109"/>
      <c r="S2" s="109"/>
      <c r="T2" s="111"/>
      <c r="U2" s="102"/>
      <c r="V2" s="112"/>
      <c r="W2" s="113"/>
      <c r="X2" s="113"/>
      <c r="Y2" s="102"/>
      <c r="Z2" s="102"/>
      <c r="AA2" s="102"/>
      <c r="AB2" s="102"/>
      <c r="AC2" s="102"/>
      <c r="AD2" s="102"/>
      <c r="AE2" s="102"/>
      <c r="AF2" s="102"/>
      <c r="AG2" s="102"/>
      <c r="AH2" s="102"/>
      <c r="AI2" s="102"/>
      <c r="AJ2" s="102"/>
      <c r="AK2" s="102"/>
      <c r="AL2" s="102"/>
      <c r="AM2" s="102"/>
      <c r="AN2" s="102"/>
      <c r="AO2" s="102"/>
      <c r="AP2" s="102"/>
      <c r="AQ2" s="102"/>
      <c r="AR2" s="105"/>
      <c r="AS2" s="105"/>
      <c r="AT2" s="105"/>
      <c r="AU2" s="105"/>
      <c r="AV2" s="102"/>
      <c r="AW2" s="102"/>
      <c r="AX2" s="102"/>
      <c r="AY2" s="102"/>
    </row>
    <row r="3" spans="1:51" ht="18" customHeight="1">
      <c r="A3" s="102"/>
      <c r="B3" s="114"/>
      <c r="C3" s="115"/>
      <c r="D3" s="116" t="s">
        <v>131</v>
      </c>
      <c r="E3" s="339" t="s">
        <v>333</v>
      </c>
      <c r="F3" s="340"/>
      <c r="G3" s="342" t="s">
        <v>133</v>
      </c>
      <c r="H3" s="316"/>
      <c r="I3" s="316"/>
      <c r="J3" s="339" t="s">
        <v>53</v>
      </c>
      <c r="K3" s="340"/>
      <c r="L3" s="342" t="s">
        <v>134</v>
      </c>
      <c r="M3" s="316"/>
      <c r="N3" s="339" t="s">
        <v>334</v>
      </c>
      <c r="O3" s="340"/>
      <c r="P3" s="340"/>
      <c r="Q3" s="340"/>
      <c r="R3" s="340"/>
      <c r="S3" s="340"/>
      <c r="T3" s="117"/>
      <c r="U3" s="338" t="s">
        <v>136</v>
      </c>
      <c r="V3" s="316"/>
      <c r="W3" s="316"/>
      <c r="X3" s="118"/>
      <c r="Y3" s="119" t="s">
        <v>137</v>
      </c>
      <c r="Z3" s="102"/>
      <c r="AA3" s="102"/>
      <c r="AB3" s="102"/>
      <c r="AC3" s="102"/>
      <c r="AD3" s="102"/>
      <c r="AE3" s="102"/>
      <c r="AF3" s="336" t="s">
        <v>138</v>
      </c>
      <c r="AG3" s="337"/>
      <c r="AH3" s="120"/>
      <c r="AI3" s="102"/>
      <c r="AJ3" s="102"/>
      <c r="AK3" s="102"/>
      <c r="AL3" s="102"/>
      <c r="AM3" s="102"/>
      <c r="AN3" s="102"/>
      <c r="AO3" s="102"/>
      <c r="AP3" s="102"/>
      <c r="AQ3" s="102"/>
      <c r="AR3" s="335" t="s">
        <v>139</v>
      </c>
      <c r="AS3" s="316"/>
      <c r="AT3" s="316"/>
      <c r="AU3" s="316"/>
      <c r="AV3" s="102"/>
      <c r="AW3" s="102"/>
      <c r="AX3" s="102"/>
      <c r="AY3" s="102"/>
    </row>
    <row r="4" spans="1:51" ht="3" customHeight="1">
      <c r="A4" s="102"/>
      <c r="B4" s="107"/>
      <c r="C4" s="108"/>
      <c r="D4" s="109"/>
      <c r="E4" s="109"/>
      <c r="F4" s="110"/>
      <c r="G4" s="108"/>
      <c r="H4" s="108"/>
      <c r="I4" s="108"/>
      <c r="J4" s="108"/>
      <c r="K4" s="109"/>
      <c r="L4" s="109"/>
      <c r="M4" s="109"/>
      <c r="N4" s="109"/>
      <c r="O4" s="109"/>
      <c r="P4" s="109"/>
      <c r="Q4" s="109"/>
      <c r="R4" s="109"/>
      <c r="S4" s="108"/>
      <c r="T4" s="111"/>
      <c r="U4" s="121"/>
      <c r="V4" s="122"/>
      <c r="W4" s="121"/>
      <c r="X4" s="121"/>
      <c r="Y4" s="121"/>
      <c r="Z4" s="121"/>
      <c r="AA4" s="121"/>
      <c r="AB4" s="121"/>
      <c r="AC4" s="121"/>
      <c r="AD4" s="121"/>
      <c r="AE4" s="121"/>
      <c r="AF4" s="121"/>
      <c r="AG4" s="121"/>
      <c r="AH4" s="120"/>
      <c r="AI4" s="102"/>
      <c r="AJ4" s="102"/>
      <c r="AK4" s="102"/>
      <c r="AL4" s="102"/>
      <c r="AM4" s="102"/>
      <c r="AN4" s="102"/>
      <c r="AO4" s="102"/>
      <c r="AP4" s="102"/>
      <c r="AQ4" s="102"/>
      <c r="AR4" s="105"/>
      <c r="AS4" s="105"/>
      <c r="AT4" s="105"/>
      <c r="AU4" s="105"/>
      <c r="AV4" s="102"/>
      <c r="AW4" s="102"/>
      <c r="AX4" s="102"/>
      <c r="AY4" s="102"/>
    </row>
    <row r="5" spans="1:51" ht="13.5" customHeight="1">
      <c r="A5" s="123"/>
      <c r="B5" s="124"/>
      <c r="C5" s="125" t="s">
        <v>140</v>
      </c>
      <c r="D5" s="126" t="s">
        <v>141</v>
      </c>
      <c r="E5" s="126" t="s">
        <v>126</v>
      </c>
      <c r="F5" s="127" t="s">
        <v>142</v>
      </c>
      <c r="G5" s="127" t="str">
        <f>T_MA</f>
        <v>MA</v>
      </c>
      <c r="H5" s="127" t="str">
        <f>T_ST</f>
        <v>ST</v>
      </c>
      <c r="I5" s="127" t="str">
        <f>T_AG</f>
        <v>AG</v>
      </c>
      <c r="J5" s="127" t="str">
        <f>T_AV</f>
        <v>AV</v>
      </c>
      <c r="K5" s="128" t="s">
        <v>143</v>
      </c>
      <c r="L5" s="125" t="s">
        <v>144</v>
      </c>
      <c r="M5" s="129" t="s">
        <v>120</v>
      </c>
      <c r="N5" s="130" t="s">
        <v>20</v>
      </c>
      <c r="O5" s="130" t="s">
        <v>121</v>
      </c>
      <c r="P5" s="130" t="s">
        <v>122</v>
      </c>
      <c r="Q5" s="130" t="s">
        <v>123</v>
      </c>
      <c r="R5" s="131" t="s">
        <v>124</v>
      </c>
      <c r="S5" s="132" t="s">
        <v>145</v>
      </c>
      <c r="T5" s="117"/>
      <c r="U5" s="133" t="s">
        <v>146</v>
      </c>
      <c r="V5" s="133" t="s">
        <v>147</v>
      </c>
      <c r="W5" s="134" t="s">
        <v>148</v>
      </c>
      <c r="X5" s="135"/>
      <c r="Y5" s="136" t="s">
        <v>149</v>
      </c>
      <c r="Z5" s="136" t="s">
        <v>150</v>
      </c>
      <c r="AA5" s="136" t="s">
        <v>151</v>
      </c>
      <c r="AB5" s="136" t="s">
        <v>152</v>
      </c>
      <c r="AC5" s="136" t="s">
        <v>153</v>
      </c>
      <c r="AD5" s="137" t="s">
        <v>154</v>
      </c>
      <c r="AE5" s="138" t="s">
        <v>155</v>
      </c>
      <c r="AF5" s="139" t="s">
        <v>156</v>
      </c>
      <c r="AG5" s="140" t="s">
        <v>157</v>
      </c>
      <c r="AH5" s="120"/>
      <c r="AI5" s="123"/>
      <c r="AJ5" s="141" t="s">
        <v>158</v>
      </c>
      <c r="AK5" s="141" t="s">
        <v>159</v>
      </c>
      <c r="AL5" s="123"/>
      <c r="AM5" s="123"/>
      <c r="AN5" s="123"/>
      <c r="AO5" s="123"/>
      <c r="AP5" s="123"/>
      <c r="AQ5" s="141" t="s">
        <v>160</v>
      </c>
      <c r="AR5" s="104" t="str">
        <f>T_MA</f>
        <v>MA</v>
      </c>
      <c r="AS5" s="104" t="str">
        <f>T_ST</f>
        <v>ST</v>
      </c>
      <c r="AT5" s="104" t="str">
        <f>T_AG</f>
        <v>AG</v>
      </c>
      <c r="AU5" s="104" t="str">
        <f>T_AV</f>
        <v>AV</v>
      </c>
      <c r="AV5" s="123"/>
      <c r="AW5" s="102"/>
      <c r="AX5" s="102"/>
      <c r="AY5" s="102"/>
    </row>
    <row r="6" spans="1:51" ht="13.5" customHeight="1">
      <c r="A6" s="102"/>
      <c r="B6" s="114"/>
      <c r="C6" s="142">
        <v>1</v>
      </c>
      <c r="D6" s="143" t="s">
        <v>335</v>
      </c>
      <c r="E6" s="143" t="s">
        <v>336</v>
      </c>
      <c r="F6" s="144" t="str">
        <f>IF($E6&lt;&gt;"",IF($AJ6&lt;&gt;"",IF(AND($L6=T_Journey,VLOOKUP($AJ6,DBPlayers,2,0)&lt;12),T_Error&amp;"7",IF("Journeymen not available"=0,T_Error&amp;"8",IF(COUNTIF($E$6:$E6,$E6)-$AQ6&gt;VLOOKUP($AJ6,DBPlayers,2,0),T_Error&amp;"2",IF(L6=T_MNG,0,COUNTIF($E$6:$E6,$E6)-$AQ6)&amp;"/"&amp;(VLOOKUP($AJ6,DBPlayers,2,0))))),T_Error&amp;"1"),"")</f>
        <v>1/2</v>
      </c>
      <c r="G6" s="145">
        <f t="shared" ref="G6:G21" si="0">IF(OR($E6="",LEFT($F6,LEN(T_Error))=T_Error),"",MAX(1,VLOOKUP($AJ6,DBPlayers,4,0)+COUNTIF($Y6:$AD6,T_MA&amp;"+")-IF(ISERROR(FIND(T_MA&amp;"-",$AE6)),0,IF(ISERROR(FIND(T_MA&amp;"-",$AE6,FIND(T_MA&amp;"-",$AE6)+LEN(T_MA)+1)),1,2))))</f>
        <v>3</v>
      </c>
      <c r="H6" s="145">
        <f t="shared" ref="H6:H21" si="1">IF(OR(($E6=""),(LEFT($F6,LEN(T_Error))=T_Error)),"",MAX(1,VLOOKUP($AJ6,DBPlayers,5,0)+COUNTIF($Y6:$AD6,T_ST&amp;"+")-IF(ISERROR(FIND(T_ST&amp;"-",$AE6)),0,IF(ISERROR(FIND(T_ST&amp;"-",$AE6,FIND(T_ST&amp;"-",$AE6)+LEN(T_ST)+1)),1,2))))</f>
        <v>5</v>
      </c>
      <c r="I6" s="145">
        <f t="shared" ref="I6:I21" si="2">IF(OR(($E6=""),(LEFT($F6,LEN(T_Error))=T_Error)),"",MAX(1,VLOOKUP($AJ6,DBPlayers,6,0)+COUNTIF($Y6:$AD6,T_AG&amp;"+")-IF(ISERROR(FIND(T_AG&amp;"-",$AE6)),0,IF(ISERROR(FIND(T_AG&amp;"-",$AE6,FIND(T_AG&amp;"-",$AE6)+LEN(T_AG)+1)),1,2))))</f>
        <v>1</v>
      </c>
      <c r="J6" s="145">
        <f t="shared" ref="J6:J21" si="3">IF(OR(($E6=""),(LEFT($F6,LEN(T_Error))=T_Error)),"",MAX(1,VLOOKUP($AJ6,DBPlayers,7,0)+COUNTIF($Y6:$AD6,T_AV&amp;"+")-IF(ISERROR(FIND(T_AV&amp;"-",$AE6)),0,IF(ISERROR(FIND(T_AV&amp;"-",$AE6,FIND(T_AV&amp;"-",$AE6)+LEN(T_AV)+1)),1,2))))</f>
        <v>9</v>
      </c>
      <c r="K6" s="146" t="str">
        <f t="shared" ref="K6:K21" ca="1" si="4">IF($E6="","",IF(LEFT($F6,LEN(T_Error))=T_Error,INDIRECT("T_Error"&amp;RIGHT($F6,1)),IF(VLOOKUP($AJ6,DBPlayers,8,0)&lt;&gt;0,IF($L6=T_Journey,T_Loner&amp;", ","")&amp;VLOOKUP($AJ6,DBPlayers,8,0)&amp;IF($W6&gt;0,", ",""),IF($L6=T_Journey,T_Loner,""))&amp;IF($W6&gt;0,IF(Y6&lt;&gt;"",Y6,T_MS),"")&amp;IF($W6&gt;1,", "&amp;IF(Z6&lt;&gt;"",Z6,T_MS),"")&amp;IF($W6&gt;2,", "&amp;IF(AA6&lt;&gt;"",AA6,T_MS),"")&amp;IF($W6&gt;3,", "&amp;IF(AB6&lt;&gt;"",AB6,T_MS),"")&amp;IF($W6&gt;4,", "&amp;IF(AC6&lt;&gt;"",AC6,T_MS),"")&amp;IF($W6&gt;5,", "&amp;IF(AD6&lt;&gt;"",AD6,T_MS),"")&amp;IF(AF6&lt;&gt;"",IF(OR($W6&gt;0,VLOOKUP($AJ6,DBPlayers,8,0)&lt;&gt;0),", ","")&amp;AF6,"")&amp;IF(AE6&lt;&gt;"",IF(OR($W6&gt;0,AF6&lt;&gt;"",VLOOKUP($AJ6,DBPlayers,8,0)&lt;&gt;0),", ","")&amp;AE6,"")))</f>
        <v>Mighty Blow, Regeneration, Stand Firm</v>
      </c>
      <c r="L6" s="147"/>
      <c r="M6" s="148"/>
      <c r="N6" s="149"/>
      <c r="O6" s="149"/>
      <c r="P6" s="149">
        <v>2</v>
      </c>
      <c r="Q6" s="149">
        <v>1</v>
      </c>
      <c r="R6" s="150">
        <f t="shared" ref="R6:R21" si="5">IF(OR(($E6=""),(LEFT($F6,LEN(T_Error))=T_Error)),"",M6*SPP_CP+N6*SPP_TD+O6*SPP_IN+P6*SPP_CS+Q6*SPP_VP)</f>
        <v>9</v>
      </c>
      <c r="S6" s="151">
        <f>IF(OR($E6="",LEFT($F6,LEN(T_Error))=T_Error),"",IF($L6=T_MNG,0,VLOOKUP($AJ6,DBPlayers,11,0)+SUM($AK6:$AP6)+AG6))</f>
        <v>140000</v>
      </c>
      <c r="T6" s="117"/>
      <c r="U6" s="152" t="str">
        <f t="shared" ref="U6:U21" si="6">IF(OR(($E6=""),(LEFT($F6,LEN(T_Error))=T_Error)),"",VLOOKUP($AJ6,DBPlayers,9,0))</f>
        <v>S</v>
      </c>
      <c r="V6" s="152" t="str">
        <f t="shared" ref="V6:V21" si="7">IF(OR(($E6=""),(LEFT($F6,LEN(T_Error))=T_Error)),"",VLOOKUP($AJ6,DBPlayers,10,0))</f>
        <v>G A P</v>
      </c>
      <c r="W6" s="153">
        <f t="shared" ref="W6:W21" si="8">IF(R6="","",IF($R6&gt;=SPP_6,6,IF($R6&gt;=SPP_5,5,IF($R6&gt;=SPP_4,4,IF($R6&gt;=SPP_3,3,IF($R6&gt;=SPP_2,2,IF($R6&gt;=SPP_1,1,0)))))))</f>
        <v>1</v>
      </c>
      <c r="X6" s="121"/>
      <c r="Y6" s="154" t="s">
        <v>338</v>
      </c>
      <c r="Z6" s="154"/>
      <c r="AA6" s="154"/>
      <c r="AB6" s="154"/>
      <c r="AC6" s="154"/>
      <c r="AD6" s="155"/>
      <c r="AE6" s="156"/>
      <c r="AF6" s="157"/>
      <c r="AG6" s="158"/>
      <c r="AH6" s="120"/>
      <c r="AI6" s="123">
        <v>1</v>
      </c>
      <c r="AJ6" s="159" t="str">
        <f t="shared" ref="AJ6:AJ21" si="9">IF(OR(E6="",ISERROR(VLOOKUP(E6,$AJ$58:$AL$67,3,0))),"",VLOOKUP(E6,$AJ$58:$AL$67,3,0))</f>
        <v>Undead5</v>
      </c>
      <c r="AK6" s="159">
        <f>IF(Y6="",0,IF(ISERROR(FIND(VLOOKUP(Y6,DBSkills,2,0),$U6)),0,IMP_REGULAR)+IF(ISERROR(FIND(VLOOKUP(Y6,DBSkills,2,0),$V6)),0,IMP_DOUBLE)+IF(Y6=T_ST&amp;"+",IMP_ST,0)+IF(Y6=T_AG&amp;"+",IMP_AG,0)+IF(Y6=T_MA&amp;"+",IMP_MA,0)+IF(Y6=T_AV&amp;"+",IMP_MA,0))</f>
        <v>20000</v>
      </c>
      <c r="AL6" s="159">
        <f t="shared" ref="AL6:AL21" si="10">IF(Z6="",0,IF(Z6=T_ST&amp;"+",50000,IF(Z6=T_AG&amp;"+",40000,IF(OR(Z6=T_MA&amp;"+",Z6=T_AV&amp;"+"),30000,IF(ISERROR(FIND(VLOOKUP(Z6,DBSkills,2,0),$V6)),20000,30000)))))</f>
        <v>0</v>
      </c>
      <c r="AM6" s="159">
        <f t="shared" ref="AM6:AM21" si="11">IF(AA6="",0,IF(AA6=T_ST&amp;"+",50000,IF(AA6=T_AG&amp;"+",40000,IF(OR(AA6=T_MA&amp;"+",AA6=T_AV&amp;"+"),30000,IF(ISERROR(FIND(VLOOKUP(AA6,DBSkills,2,0),$V6)),20000,30000)))))</f>
        <v>0</v>
      </c>
      <c r="AN6" s="159">
        <f t="shared" ref="AN6:AN21" si="12">IF(AB6="",0,IF(AB6=T_ST&amp;"+",50000,IF(AB6=T_AG&amp;"+",40000,IF(OR(AB6=T_MA&amp;"+",AB6=T_AV&amp;"+"),30000,IF(ISERROR(FIND(VLOOKUP(AB6,DBSkills,2,0),$V6)),20000,30000)))))</f>
        <v>0</v>
      </c>
      <c r="AO6" s="159">
        <f t="shared" ref="AO6:AO21" si="13">IF(AC6="",0,IF(AC6=T_ST&amp;"+",50000,IF(AC6=T_AG&amp;"+",40000,IF(OR(AC6=T_MA&amp;"+",AC6=T_AV&amp;"+"),30000,IF(ISERROR(FIND(VLOOKUP(AC6,DBSkills,2,0),$V6)),20000,30000)))))</f>
        <v>0</v>
      </c>
      <c r="AP6" s="159">
        <f t="shared" ref="AP6:AP21" si="14">IF(AD6="",0,IF(AD6=T_ST&amp;"+",50000,IF(AD6=T_AG&amp;"+",40000,IF(OR(AD6=T_MA&amp;"+",AD6=T_AV&amp;"+"),30000,IF(ISERROR(FIND(VLOOKUP(AD6,DBSkills,2,0),$V6)),20000,30000)))))</f>
        <v>0</v>
      </c>
      <c r="AQ6" s="159">
        <f t="array" ref="AQ6">IF(ISERROR($AJ6),0,IF($AJ6="","",SUM(IF($AJ6=$AJ$6:$AJ6,IF($L$6:$L6=T_MNG,1,0),0))))</f>
        <v>0</v>
      </c>
      <c r="AR6" s="160">
        <f t="shared" ref="AR6:AR21" si="15">IF(OR($E6="",LEFT($F6,LEN(T_Error))=T_Error),"",MAX(1,VLOOKUP($AJ6,DBPlayers,4,0)))</f>
        <v>3</v>
      </c>
      <c r="AS6" s="160">
        <f t="shared" ref="AS6:AS21" si="16">IF(OR(($E6=""),(LEFT($F6,LEN(T_Error))=T_Error)),"",MAX(1,VLOOKUP($AJ6,DBPlayers,5,0)))</f>
        <v>5</v>
      </c>
      <c r="AT6" s="160">
        <f t="shared" ref="AT6:AT21" si="17">IF(OR(($E6=""),(LEFT($F6,LEN(T_Error))=T_Error)),"",MAX(1,VLOOKUP($AJ6,DBPlayers,6,0)))</f>
        <v>1</v>
      </c>
      <c r="AU6" s="160">
        <f t="shared" ref="AU6:AU21" si="18">IF(OR(($E6=""),(LEFT($F6,LEN(T_Error))=T_Error)),"",MAX(1,VLOOKUP($AJ6,DBPlayers,7,0)))</f>
        <v>9</v>
      </c>
      <c r="AV6" s="102"/>
      <c r="AW6" s="102"/>
      <c r="AX6" s="102"/>
      <c r="AY6" s="102"/>
    </row>
    <row r="7" spans="1:51" ht="13.5" customHeight="1">
      <c r="A7" s="102"/>
      <c r="B7" s="114"/>
      <c r="C7" s="161">
        <v>2</v>
      </c>
      <c r="D7" s="162" t="s">
        <v>339</v>
      </c>
      <c r="E7" s="162" t="s">
        <v>336</v>
      </c>
      <c r="F7" s="163" t="str">
        <f>IF($E7&lt;&gt;"",IF($AJ7&lt;&gt;"",IF(AND($L7=T_Journey,VLOOKUP($AJ7,DBPlayers,2,0)&lt;12),T_Error&amp;"7",IF("Journeymen not available"=0,T_Error&amp;"8",IF(COUNTIF($E$6:$E7,$E7)-$AQ7&gt;VLOOKUP($AJ7,DBPlayers,2,0),T_Error&amp;"2",IF(L7=T_MNG,0,COUNTIF($E$6:$E7,$E7)-$AQ7)&amp;"/"&amp;(VLOOKUP($AJ7,DBPlayers,2,0))))),T_Error&amp;"1"),"")</f>
        <v>2/2</v>
      </c>
      <c r="G7" s="164">
        <f t="shared" si="0"/>
        <v>3</v>
      </c>
      <c r="H7" s="164">
        <f t="shared" si="1"/>
        <v>5</v>
      </c>
      <c r="I7" s="164">
        <f t="shared" si="2"/>
        <v>1</v>
      </c>
      <c r="J7" s="164">
        <f t="shared" si="3"/>
        <v>9</v>
      </c>
      <c r="K7" s="167" t="str">
        <f t="shared" ca="1" si="4"/>
        <v>Mighty Blow, Regeneration, Stand Firm</v>
      </c>
      <c r="L7" s="168"/>
      <c r="M7" s="169"/>
      <c r="N7" s="170"/>
      <c r="O7" s="170"/>
      <c r="P7" s="170">
        <v>1</v>
      </c>
      <c r="Q7" s="170">
        <v>1</v>
      </c>
      <c r="R7" s="171">
        <f t="shared" si="5"/>
        <v>7</v>
      </c>
      <c r="S7" s="172">
        <f t="shared" ref="S7:S21" si="19">IF(OR($E7="",LEFT($F7,LEN(T_Error))=T_Error),"",IF($L7=T_MNG,0,VLOOKUP($AJ7,DBPlayers,11,0)+SUM($AK7:$AP7)))</f>
        <v>140000</v>
      </c>
      <c r="T7" s="117"/>
      <c r="U7" s="152" t="str">
        <f t="shared" si="6"/>
        <v>S</v>
      </c>
      <c r="V7" s="152" t="str">
        <f t="shared" si="7"/>
        <v>G A P</v>
      </c>
      <c r="W7" s="153">
        <f t="shared" si="8"/>
        <v>1</v>
      </c>
      <c r="X7" s="121"/>
      <c r="Y7" s="154" t="s">
        <v>338</v>
      </c>
      <c r="Z7" s="154"/>
      <c r="AA7" s="154"/>
      <c r="AB7" s="154"/>
      <c r="AC7" s="154"/>
      <c r="AD7" s="155"/>
      <c r="AE7" s="156"/>
      <c r="AF7" s="173"/>
      <c r="AG7" s="174"/>
      <c r="AH7" s="120"/>
      <c r="AI7" s="123">
        <v>2</v>
      </c>
      <c r="AJ7" s="159" t="str">
        <f t="shared" si="9"/>
        <v>Undead5</v>
      </c>
      <c r="AK7" s="159">
        <f t="shared" ref="AK7:AK21" si="20">IF(Y7="",0,IF(Y7=T_ST&amp;"+",50000,IF(Y7=T_AG&amp;"+",40000,IF(OR(Y7=T_MA&amp;"+",Y7=T_AV&amp;"+"),30000,IF(ISERROR(FIND(VLOOKUP(Y7,DBSkills,2,0),$V7)),20000,30000)))))</f>
        <v>20000</v>
      </c>
      <c r="AL7" s="159">
        <f t="shared" si="10"/>
        <v>0</v>
      </c>
      <c r="AM7" s="159">
        <f t="shared" si="11"/>
        <v>0</v>
      </c>
      <c r="AN7" s="159">
        <f t="shared" si="12"/>
        <v>0</v>
      </c>
      <c r="AO7" s="159">
        <f t="shared" si="13"/>
        <v>0</v>
      </c>
      <c r="AP7" s="159">
        <f t="shared" si="14"/>
        <v>0</v>
      </c>
      <c r="AQ7" s="159">
        <f t="array" ref="AQ7">IF(ISERROR($AJ7),0,IF($AJ7="","",SUM(IF($AJ7=$AJ$6:$AJ7,IF($L$6:$L7=T_MNG,1,0),0))))</f>
        <v>0</v>
      </c>
      <c r="AR7" s="160">
        <f t="shared" si="15"/>
        <v>3</v>
      </c>
      <c r="AS7" s="160">
        <f t="shared" si="16"/>
        <v>5</v>
      </c>
      <c r="AT7" s="160">
        <f t="shared" si="17"/>
        <v>1</v>
      </c>
      <c r="AU7" s="160">
        <f t="shared" si="18"/>
        <v>9</v>
      </c>
      <c r="AV7" s="102"/>
      <c r="AW7" s="123"/>
      <c r="AX7" s="123"/>
      <c r="AY7" s="123"/>
    </row>
    <row r="8" spans="1:51" ht="13.5" customHeight="1">
      <c r="A8" s="102"/>
      <c r="B8" s="114"/>
      <c r="C8" s="161">
        <v>3</v>
      </c>
      <c r="D8" s="162"/>
      <c r="E8" s="162"/>
      <c r="F8" s="163" t="str">
        <f>IF($E8&lt;&gt;"",IF($AJ8&lt;&gt;"",IF(AND($L8=T_Journey,VLOOKUP($AJ8,DBPlayers,2,0)&lt;12),T_Error&amp;"7",IF("Journeymen not available"=0,T_Error&amp;"8",IF(COUNTIF($E$6:$E8,$E8)-$AQ8&gt;VLOOKUP($AJ8,DBPlayers,2,0),T_Error&amp;"2",IF(L8=T_MNG,0,COUNTIF($E$6:$E8,$E8)-$AQ8)&amp;"/"&amp;(VLOOKUP($AJ8,DBPlayers,2,0))))),T_Error&amp;"1"),"")</f>
        <v/>
      </c>
      <c r="G8" s="164" t="str">
        <f t="shared" si="0"/>
        <v/>
      </c>
      <c r="H8" s="164" t="str">
        <f t="shared" si="1"/>
        <v/>
      </c>
      <c r="I8" s="164" t="str">
        <f t="shared" si="2"/>
        <v/>
      </c>
      <c r="J8" s="164" t="str">
        <f t="shared" si="3"/>
        <v/>
      </c>
      <c r="K8" s="167" t="str">
        <f t="shared" ca="1" si="4"/>
        <v/>
      </c>
      <c r="L8" s="168"/>
      <c r="M8" s="169"/>
      <c r="N8" s="170"/>
      <c r="O8" s="170"/>
      <c r="P8" s="170"/>
      <c r="Q8" s="170"/>
      <c r="R8" s="171" t="str">
        <f t="shared" si="5"/>
        <v/>
      </c>
      <c r="S8" s="172" t="str">
        <f t="shared" si="19"/>
        <v/>
      </c>
      <c r="T8" s="117"/>
      <c r="U8" s="152" t="str">
        <f t="shared" si="6"/>
        <v/>
      </c>
      <c r="V8" s="152" t="str">
        <f t="shared" si="7"/>
        <v/>
      </c>
      <c r="W8" s="153" t="str">
        <f t="shared" si="8"/>
        <v/>
      </c>
      <c r="X8" s="121"/>
      <c r="Y8" s="154"/>
      <c r="Z8" s="154"/>
      <c r="AA8" s="154"/>
      <c r="AB8" s="154"/>
      <c r="AC8" s="154"/>
      <c r="AD8" s="155"/>
      <c r="AE8" s="156"/>
      <c r="AF8" s="154"/>
      <c r="AG8" s="155"/>
      <c r="AH8" s="120"/>
      <c r="AI8" s="123">
        <v>3</v>
      </c>
      <c r="AJ8" s="159" t="str">
        <f t="shared" si="9"/>
        <v/>
      </c>
      <c r="AK8" s="159">
        <f t="shared" si="20"/>
        <v>0</v>
      </c>
      <c r="AL8" s="159">
        <f t="shared" si="10"/>
        <v>0</v>
      </c>
      <c r="AM8" s="159">
        <f t="shared" si="11"/>
        <v>0</v>
      </c>
      <c r="AN8" s="159">
        <f t="shared" si="12"/>
        <v>0</v>
      </c>
      <c r="AO8" s="159">
        <f t="shared" si="13"/>
        <v>0</v>
      </c>
      <c r="AP8" s="159">
        <f t="shared" si="14"/>
        <v>0</v>
      </c>
      <c r="AQ8" s="159" t="str">
        <f t="array" ref="AQ8">IF(ISERROR($AJ8),0,IF($AJ8="","",SUM(IF($AJ8=$AJ$6:$AJ8,IF($L$6:$L8=T_MNG,1,0),0))))</f>
        <v/>
      </c>
      <c r="AR8" s="160" t="str">
        <f t="shared" si="15"/>
        <v/>
      </c>
      <c r="AS8" s="160" t="str">
        <f t="shared" si="16"/>
        <v/>
      </c>
      <c r="AT8" s="160" t="str">
        <f t="shared" si="17"/>
        <v/>
      </c>
      <c r="AU8" s="160" t="str">
        <f t="shared" si="18"/>
        <v/>
      </c>
      <c r="AV8" s="102"/>
      <c r="AW8" s="102"/>
      <c r="AX8" s="102"/>
      <c r="AY8" s="102"/>
    </row>
    <row r="9" spans="1:51" ht="13.5" customHeight="1">
      <c r="A9" s="102"/>
      <c r="B9" s="114"/>
      <c r="C9" s="161">
        <v>4</v>
      </c>
      <c r="D9" s="162" t="s">
        <v>340</v>
      </c>
      <c r="E9" s="162" t="s">
        <v>341</v>
      </c>
      <c r="F9" s="163" t="str">
        <f>IF($E9&lt;&gt;"",IF($AJ9&lt;&gt;"",IF(AND($L9=T_Journey,VLOOKUP($AJ9,DBPlayers,2,0)&lt;12),T_Error&amp;"7",IF("Journeymen not available"=0,T_Error&amp;"8",IF(COUNTIF($E$6:$E9,$E9)-$AQ9&gt;VLOOKUP($AJ9,DBPlayers,2,0),T_Error&amp;"2",IF(L9=T_MNG,0,COUNTIF($E$6:$E9,$E9)-$AQ9)&amp;"/"&amp;(VLOOKUP($AJ9,DBPlayers,2,0))))),T_Error&amp;"1"),"")</f>
        <v>1/4</v>
      </c>
      <c r="G9" s="164">
        <f t="shared" si="0"/>
        <v>7</v>
      </c>
      <c r="H9" s="164">
        <f t="shared" si="1"/>
        <v>3</v>
      </c>
      <c r="I9" s="164">
        <f t="shared" si="2"/>
        <v>3</v>
      </c>
      <c r="J9" s="164">
        <f t="shared" si="3"/>
        <v>7</v>
      </c>
      <c r="K9" s="167" t="str">
        <f t="shared" ca="1" si="4"/>
        <v>Dodge</v>
      </c>
      <c r="L9" s="168"/>
      <c r="M9" s="169"/>
      <c r="N9" s="170">
        <v>1</v>
      </c>
      <c r="O9" s="170"/>
      <c r="P9" s="170">
        <v>1</v>
      </c>
      <c r="Q9" s="170"/>
      <c r="R9" s="171">
        <f t="shared" si="5"/>
        <v>5</v>
      </c>
      <c r="S9" s="172">
        <f t="shared" si="19"/>
        <v>70000</v>
      </c>
      <c r="T9" s="117"/>
      <c r="U9" s="152" t="str">
        <f t="shared" si="6"/>
        <v>G A</v>
      </c>
      <c r="V9" s="152" t="str">
        <f t="shared" si="7"/>
        <v>S P</v>
      </c>
      <c r="W9" s="153">
        <f t="shared" si="8"/>
        <v>0</v>
      </c>
      <c r="X9" s="121"/>
      <c r="Y9" s="154"/>
      <c r="Z9" s="154"/>
      <c r="AA9" s="154"/>
      <c r="AB9" s="154"/>
      <c r="AC9" s="154"/>
      <c r="AD9" s="155"/>
      <c r="AE9" s="156"/>
      <c r="AF9" s="154"/>
      <c r="AG9" s="155"/>
      <c r="AH9" s="120"/>
      <c r="AI9" s="123">
        <v>4</v>
      </c>
      <c r="AJ9" s="159" t="str">
        <f t="shared" si="9"/>
        <v>Undead3</v>
      </c>
      <c r="AK9" s="159">
        <f t="shared" si="20"/>
        <v>0</v>
      </c>
      <c r="AL9" s="159">
        <f t="shared" si="10"/>
        <v>0</v>
      </c>
      <c r="AM9" s="159">
        <f t="shared" si="11"/>
        <v>0</v>
      </c>
      <c r="AN9" s="159">
        <f t="shared" si="12"/>
        <v>0</v>
      </c>
      <c r="AO9" s="159">
        <f t="shared" si="13"/>
        <v>0</v>
      </c>
      <c r="AP9" s="159">
        <f t="shared" si="14"/>
        <v>0</v>
      </c>
      <c r="AQ9" s="159">
        <f t="array" ref="AQ9">IF(ISERROR($AJ9),0,IF($AJ9="","",SUM(IF($AJ9=$AJ$6:$AJ9,IF($L$6:$L9=T_MNG,1,0),0))))</f>
        <v>0</v>
      </c>
      <c r="AR9" s="160">
        <f t="shared" si="15"/>
        <v>7</v>
      </c>
      <c r="AS9" s="160">
        <f t="shared" si="16"/>
        <v>3</v>
      </c>
      <c r="AT9" s="160">
        <f t="shared" si="17"/>
        <v>3</v>
      </c>
      <c r="AU9" s="160">
        <f t="shared" si="18"/>
        <v>7</v>
      </c>
      <c r="AV9" s="102"/>
      <c r="AW9" s="102"/>
      <c r="AX9" s="102"/>
      <c r="AY9" s="102"/>
    </row>
    <row r="10" spans="1:51" ht="13.5" customHeight="1">
      <c r="A10" s="102"/>
      <c r="B10" s="114"/>
      <c r="C10" s="161">
        <v>5</v>
      </c>
      <c r="D10" s="162" t="s">
        <v>342</v>
      </c>
      <c r="E10" s="162" t="s">
        <v>341</v>
      </c>
      <c r="F10" s="163" t="str">
        <f>IF($E10&lt;&gt;"",IF($AJ10&lt;&gt;"",IF(AND($L10=T_Journey,VLOOKUP($AJ10,DBPlayers,2,0)&lt;12),T_Error&amp;"7",IF("Journeymen not available"=0,T_Error&amp;"8",IF(COUNTIF($E$6:$E10,$E10)-$AQ10&gt;VLOOKUP($AJ10,DBPlayers,2,0),T_Error&amp;"2",IF(L10=T_MNG,0,COUNTIF($E$6:$E10,$E10)-$AQ10)&amp;"/"&amp;(VLOOKUP($AJ10,DBPlayers,2,0))))),T_Error&amp;"1"),"")</f>
        <v>2/4</v>
      </c>
      <c r="G10" s="164">
        <f t="shared" si="0"/>
        <v>7</v>
      </c>
      <c r="H10" s="164">
        <f t="shared" si="1"/>
        <v>3</v>
      </c>
      <c r="I10" s="164">
        <f t="shared" si="2"/>
        <v>3</v>
      </c>
      <c r="J10" s="164">
        <f t="shared" si="3"/>
        <v>7</v>
      </c>
      <c r="K10" s="167" t="str">
        <f t="shared" ca="1" si="4"/>
        <v>Dodge, Block</v>
      </c>
      <c r="L10" s="168"/>
      <c r="M10" s="169"/>
      <c r="N10" s="170">
        <v>2</v>
      </c>
      <c r="O10" s="170"/>
      <c r="P10" s="170"/>
      <c r="Q10" s="170"/>
      <c r="R10" s="171">
        <f t="shared" si="5"/>
        <v>6</v>
      </c>
      <c r="S10" s="172">
        <f t="shared" si="19"/>
        <v>90000</v>
      </c>
      <c r="T10" s="117"/>
      <c r="U10" s="152" t="str">
        <f t="shared" si="6"/>
        <v>G A</v>
      </c>
      <c r="V10" s="152" t="str">
        <f t="shared" si="7"/>
        <v>S P</v>
      </c>
      <c r="W10" s="153">
        <f t="shared" si="8"/>
        <v>1</v>
      </c>
      <c r="X10" s="121"/>
      <c r="Y10" s="154" t="s">
        <v>162</v>
      </c>
      <c r="Z10" s="154"/>
      <c r="AA10" s="154"/>
      <c r="AB10" s="154"/>
      <c r="AC10" s="154"/>
      <c r="AD10" s="155"/>
      <c r="AE10" s="156"/>
      <c r="AF10" s="154"/>
      <c r="AG10" s="155"/>
      <c r="AH10" s="120"/>
      <c r="AI10" s="123">
        <v>5</v>
      </c>
      <c r="AJ10" s="159" t="str">
        <f t="shared" si="9"/>
        <v>Undead3</v>
      </c>
      <c r="AK10" s="159">
        <f t="shared" si="20"/>
        <v>20000</v>
      </c>
      <c r="AL10" s="159">
        <f t="shared" si="10"/>
        <v>0</v>
      </c>
      <c r="AM10" s="159">
        <f t="shared" si="11"/>
        <v>0</v>
      </c>
      <c r="AN10" s="159">
        <f t="shared" si="12"/>
        <v>0</v>
      </c>
      <c r="AO10" s="159">
        <f t="shared" si="13"/>
        <v>0</v>
      </c>
      <c r="AP10" s="159">
        <f t="shared" si="14"/>
        <v>0</v>
      </c>
      <c r="AQ10" s="159">
        <f t="array" ref="AQ10">IF(ISERROR($AJ10),0,IF($AJ10="","",SUM(IF($AJ10=$AJ$6:$AJ10,IF($L$6:$L10=T_MNG,1,0),0))))</f>
        <v>0</v>
      </c>
      <c r="AR10" s="160">
        <f t="shared" si="15"/>
        <v>7</v>
      </c>
      <c r="AS10" s="160">
        <f t="shared" si="16"/>
        <v>3</v>
      </c>
      <c r="AT10" s="160">
        <f t="shared" si="17"/>
        <v>3</v>
      </c>
      <c r="AU10" s="160">
        <f t="shared" si="18"/>
        <v>7</v>
      </c>
      <c r="AV10" s="102"/>
      <c r="AW10" s="102"/>
      <c r="AX10" s="102"/>
      <c r="AY10" s="102"/>
    </row>
    <row r="11" spans="1:51" ht="13.5" customHeight="1">
      <c r="A11" s="102"/>
      <c r="B11" s="114"/>
      <c r="C11" s="161">
        <v>6</v>
      </c>
      <c r="D11" s="162" t="s">
        <v>343</v>
      </c>
      <c r="E11" s="162" t="s">
        <v>341</v>
      </c>
      <c r="F11" s="163" t="str">
        <f>IF($E11&lt;&gt;"",IF($AJ11&lt;&gt;"",IF(AND($L11=T_Journey,VLOOKUP($AJ11,DBPlayers,2,0)&lt;12),T_Error&amp;"7",IF("Journeymen not available"=0,T_Error&amp;"8",IF(COUNTIF($E$6:$E11,$E11)-$AQ11&gt;VLOOKUP($AJ11,DBPlayers,2,0),T_Error&amp;"2",IF(L11=T_MNG,0,COUNTIF($E$6:$E11,$E11)-$AQ11)&amp;"/"&amp;(VLOOKUP($AJ11,DBPlayers,2,0))))),T_Error&amp;"1"),"")</f>
        <v>3/4</v>
      </c>
      <c r="G11" s="164">
        <f t="shared" si="0"/>
        <v>7</v>
      </c>
      <c r="H11" s="164">
        <f t="shared" si="1"/>
        <v>3</v>
      </c>
      <c r="I11" s="164">
        <f t="shared" si="2"/>
        <v>3</v>
      </c>
      <c r="J11" s="164">
        <f t="shared" si="3"/>
        <v>7</v>
      </c>
      <c r="K11" s="167" t="str">
        <f t="shared" ca="1" si="4"/>
        <v>Dodge</v>
      </c>
      <c r="L11" s="168"/>
      <c r="M11" s="169"/>
      <c r="N11" s="170"/>
      <c r="O11" s="170"/>
      <c r="P11" s="170"/>
      <c r="Q11" s="170"/>
      <c r="R11" s="171">
        <f t="shared" si="5"/>
        <v>0</v>
      </c>
      <c r="S11" s="172">
        <f t="shared" si="19"/>
        <v>70000</v>
      </c>
      <c r="T11" s="117"/>
      <c r="U11" s="152" t="str">
        <f t="shared" si="6"/>
        <v>G A</v>
      </c>
      <c r="V11" s="152" t="str">
        <f t="shared" si="7"/>
        <v>S P</v>
      </c>
      <c r="W11" s="153">
        <f t="shared" si="8"/>
        <v>0</v>
      </c>
      <c r="X11" s="121"/>
      <c r="Y11" s="154"/>
      <c r="Z11" s="154"/>
      <c r="AA11" s="154"/>
      <c r="AB11" s="154"/>
      <c r="AC11" s="154"/>
      <c r="AD11" s="155"/>
      <c r="AE11" s="156"/>
      <c r="AF11" s="154"/>
      <c r="AG11" s="155"/>
      <c r="AH11" s="120"/>
      <c r="AI11" s="123">
        <v>6</v>
      </c>
      <c r="AJ11" s="159" t="str">
        <f t="shared" si="9"/>
        <v>Undead3</v>
      </c>
      <c r="AK11" s="159">
        <f t="shared" si="20"/>
        <v>0</v>
      </c>
      <c r="AL11" s="159">
        <f t="shared" si="10"/>
        <v>0</v>
      </c>
      <c r="AM11" s="159">
        <f t="shared" si="11"/>
        <v>0</v>
      </c>
      <c r="AN11" s="159">
        <f t="shared" si="12"/>
        <v>0</v>
      </c>
      <c r="AO11" s="159">
        <f t="shared" si="13"/>
        <v>0</v>
      </c>
      <c r="AP11" s="159">
        <f t="shared" si="14"/>
        <v>0</v>
      </c>
      <c r="AQ11" s="159">
        <f t="array" ref="AQ11">IF(ISERROR($AJ11),0,IF($AJ11="","",SUM(IF($AJ11=$AJ$6:$AJ11,IF($L$6:$L11=T_MNG,1,0),0))))</f>
        <v>0</v>
      </c>
      <c r="AR11" s="160">
        <f t="shared" si="15"/>
        <v>7</v>
      </c>
      <c r="AS11" s="160">
        <f t="shared" si="16"/>
        <v>3</v>
      </c>
      <c r="AT11" s="160">
        <f t="shared" si="17"/>
        <v>3</v>
      </c>
      <c r="AU11" s="160">
        <f t="shared" si="18"/>
        <v>7</v>
      </c>
      <c r="AV11" s="102"/>
      <c r="AW11" s="102"/>
      <c r="AX11" s="102"/>
      <c r="AY11" s="102"/>
    </row>
    <row r="12" spans="1:51" ht="13.5" customHeight="1">
      <c r="A12" s="102"/>
      <c r="B12" s="114"/>
      <c r="C12" s="161">
        <v>7</v>
      </c>
      <c r="D12" s="162" t="s">
        <v>345</v>
      </c>
      <c r="E12" s="162" t="s">
        <v>341</v>
      </c>
      <c r="F12" s="163" t="str">
        <f>IF($E12&lt;&gt;"",IF($AJ12&lt;&gt;"",IF(AND($L12=T_Journey,VLOOKUP($AJ12,DBPlayers,2,0)&lt;12),T_Error&amp;"7",IF("Journeymen not available"=0,T_Error&amp;"8",IF(COUNTIF($E$6:$E12,$E12)-$AQ12&gt;VLOOKUP($AJ12,DBPlayers,2,0),T_Error&amp;"2",IF(L12=T_MNG,0,COUNTIF($E$6:$E12,$E12)-$AQ12)&amp;"/"&amp;(VLOOKUP($AJ12,DBPlayers,2,0))))),T_Error&amp;"1"),"")</f>
        <v>4/4</v>
      </c>
      <c r="G12" s="164">
        <f t="shared" si="0"/>
        <v>7</v>
      </c>
      <c r="H12" s="164">
        <f t="shared" si="1"/>
        <v>3</v>
      </c>
      <c r="I12" s="164">
        <f t="shared" si="2"/>
        <v>3</v>
      </c>
      <c r="J12" s="164">
        <f t="shared" si="3"/>
        <v>7</v>
      </c>
      <c r="K12" s="167" t="str">
        <f t="shared" ca="1" si="4"/>
        <v>Dodge, Sure Hands</v>
      </c>
      <c r="L12" s="168"/>
      <c r="M12" s="169">
        <v>1</v>
      </c>
      <c r="N12" s="170"/>
      <c r="O12" s="170"/>
      <c r="P12" s="170"/>
      <c r="Q12" s="170">
        <v>1</v>
      </c>
      <c r="R12" s="171">
        <f t="shared" si="5"/>
        <v>6</v>
      </c>
      <c r="S12" s="172">
        <f t="shared" si="19"/>
        <v>90000</v>
      </c>
      <c r="T12" s="117"/>
      <c r="U12" s="152" t="str">
        <f t="shared" si="6"/>
        <v>G A</v>
      </c>
      <c r="V12" s="152" t="str">
        <f t="shared" si="7"/>
        <v>S P</v>
      </c>
      <c r="W12" s="153">
        <f t="shared" si="8"/>
        <v>1</v>
      </c>
      <c r="X12" s="121"/>
      <c r="Y12" s="154" t="s">
        <v>347</v>
      </c>
      <c r="Z12" s="154"/>
      <c r="AA12" s="154"/>
      <c r="AB12" s="154"/>
      <c r="AC12" s="154"/>
      <c r="AD12" s="155"/>
      <c r="AE12" s="156"/>
      <c r="AF12" s="154"/>
      <c r="AG12" s="155"/>
      <c r="AH12" s="120"/>
      <c r="AI12" s="123">
        <v>7</v>
      </c>
      <c r="AJ12" s="159" t="str">
        <f t="shared" si="9"/>
        <v>Undead3</v>
      </c>
      <c r="AK12" s="159">
        <f t="shared" si="20"/>
        <v>20000</v>
      </c>
      <c r="AL12" s="159">
        <f t="shared" si="10"/>
        <v>0</v>
      </c>
      <c r="AM12" s="159">
        <f t="shared" si="11"/>
        <v>0</v>
      </c>
      <c r="AN12" s="159">
        <f t="shared" si="12"/>
        <v>0</v>
      </c>
      <c r="AO12" s="159">
        <f t="shared" si="13"/>
        <v>0</v>
      </c>
      <c r="AP12" s="159">
        <f t="shared" si="14"/>
        <v>0</v>
      </c>
      <c r="AQ12" s="159">
        <f t="array" ref="AQ12">IF(ISERROR($AJ12),0,IF($AJ12="","",SUM(IF($AJ12=$AJ$6:$AJ12,IF($L$6:$L12=T_MNG,1,0),0))))</f>
        <v>0</v>
      </c>
      <c r="AR12" s="160">
        <f t="shared" si="15"/>
        <v>7</v>
      </c>
      <c r="AS12" s="160">
        <f t="shared" si="16"/>
        <v>3</v>
      </c>
      <c r="AT12" s="160">
        <f t="shared" si="17"/>
        <v>3</v>
      </c>
      <c r="AU12" s="160">
        <f t="shared" si="18"/>
        <v>7</v>
      </c>
      <c r="AV12" s="102"/>
      <c r="AW12" s="102"/>
      <c r="AX12" s="102"/>
      <c r="AY12" s="102"/>
    </row>
    <row r="13" spans="1:51" ht="13.5" customHeight="1">
      <c r="A13" s="102"/>
      <c r="B13" s="114"/>
      <c r="C13" s="161">
        <v>8</v>
      </c>
      <c r="D13" s="162" t="s">
        <v>348</v>
      </c>
      <c r="E13" s="162" t="s">
        <v>349</v>
      </c>
      <c r="F13" s="163" t="str">
        <f>IF($E13&lt;&gt;"",IF($AJ13&lt;&gt;"",IF(AND($L13=T_Journey,VLOOKUP($AJ13,DBPlayers,2,0)&lt;12),T_Error&amp;"7",IF("Journeymen not available"=0,T_Error&amp;"8",IF(COUNTIF($E$6:$E13,$E13)-$AQ13&gt;VLOOKUP($AJ13,DBPlayers,2,0),T_Error&amp;"2",IF(L13=T_MNG,0,COUNTIF($E$6:$E13,$E13)-$AQ13)&amp;"/"&amp;(VLOOKUP($AJ13,DBPlayers,2,0))))),T_Error&amp;"1"),"")</f>
        <v>1/2</v>
      </c>
      <c r="G13" s="164">
        <f t="shared" si="0"/>
        <v>6</v>
      </c>
      <c r="H13" s="164">
        <f t="shared" si="1"/>
        <v>3</v>
      </c>
      <c r="I13" s="164">
        <f t="shared" si="2"/>
        <v>3</v>
      </c>
      <c r="J13" s="164">
        <f t="shared" si="3"/>
        <v>8</v>
      </c>
      <c r="K13" s="167" t="str">
        <f t="shared" ca="1" si="4"/>
        <v>Block, Regeneration, Mighty Blow</v>
      </c>
      <c r="L13" s="168"/>
      <c r="M13" s="169"/>
      <c r="N13" s="170"/>
      <c r="O13" s="170"/>
      <c r="P13" s="170">
        <v>3</v>
      </c>
      <c r="Q13" s="170"/>
      <c r="R13" s="171">
        <f t="shared" si="5"/>
        <v>6</v>
      </c>
      <c r="S13" s="172">
        <f t="shared" si="19"/>
        <v>110000</v>
      </c>
      <c r="T13" s="117"/>
      <c r="U13" s="152" t="str">
        <f t="shared" si="6"/>
        <v>G S</v>
      </c>
      <c r="V13" s="152" t="str">
        <f t="shared" si="7"/>
        <v>A P</v>
      </c>
      <c r="W13" s="153">
        <f t="shared" si="8"/>
        <v>1</v>
      </c>
      <c r="X13" s="121"/>
      <c r="Y13" s="154" t="s">
        <v>294</v>
      </c>
      <c r="Z13" s="154"/>
      <c r="AA13" s="154"/>
      <c r="AB13" s="154"/>
      <c r="AC13" s="154"/>
      <c r="AD13" s="155"/>
      <c r="AE13" s="156"/>
      <c r="AF13" s="154"/>
      <c r="AG13" s="155"/>
      <c r="AH13" s="120"/>
      <c r="AI13" s="123">
        <v>8</v>
      </c>
      <c r="AJ13" s="159" t="str">
        <f t="shared" si="9"/>
        <v>Undead4</v>
      </c>
      <c r="AK13" s="159">
        <f t="shared" si="20"/>
        <v>20000</v>
      </c>
      <c r="AL13" s="159">
        <f t="shared" si="10"/>
        <v>0</v>
      </c>
      <c r="AM13" s="159">
        <f t="shared" si="11"/>
        <v>0</v>
      </c>
      <c r="AN13" s="159">
        <f t="shared" si="12"/>
        <v>0</v>
      </c>
      <c r="AO13" s="159">
        <f t="shared" si="13"/>
        <v>0</v>
      </c>
      <c r="AP13" s="159">
        <f t="shared" si="14"/>
        <v>0</v>
      </c>
      <c r="AQ13" s="159">
        <f t="array" ref="AQ13">IF(ISERROR($AJ13),0,IF($AJ13="","",SUM(IF($AJ13=$AJ$6:$AJ13,IF($L$6:$L13=T_MNG,1,0),0))))</f>
        <v>0</v>
      </c>
      <c r="AR13" s="160">
        <f t="shared" si="15"/>
        <v>6</v>
      </c>
      <c r="AS13" s="160">
        <f t="shared" si="16"/>
        <v>3</v>
      </c>
      <c r="AT13" s="160">
        <f t="shared" si="17"/>
        <v>3</v>
      </c>
      <c r="AU13" s="160">
        <f t="shared" si="18"/>
        <v>8</v>
      </c>
      <c r="AV13" s="102"/>
      <c r="AW13" s="102"/>
      <c r="AX13" s="102"/>
      <c r="AY13" s="102"/>
    </row>
    <row r="14" spans="1:51" ht="13.5" customHeight="1">
      <c r="A14" s="102"/>
      <c r="B14" s="114"/>
      <c r="C14" s="161">
        <v>9</v>
      </c>
      <c r="D14" s="162" t="s">
        <v>351</v>
      </c>
      <c r="E14" s="162" t="s">
        <v>349</v>
      </c>
      <c r="F14" s="163" t="str">
        <f>IF($E14&lt;&gt;"",IF($AJ14&lt;&gt;"",IF(AND($L14=T_Journey,VLOOKUP($AJ14,DBPlayers,2,0)&lt;12),T_Error&amp;"7",IF("Journeymen not available"=0,T_Error&amp;"8",IF(COUNTIF($E$6:$E14,$E14)-$AQ14&gt;VLOOKUP($AJ14,DBPlayers,2,0),T_Error&amp;"2",IF(L14=T_MNG,0,COUNTIF($E$6:$E14,$E14)-$AQ14)&amp;"/"&amp;(VLOOKUP($AJ14,DBPlayers,2,0))))),T_Error&amp;"1"),"")</f>
        <v>2/2</v>
      </c>
      <c r="G14" s="164">
        <f t="shared" si="0"/>
        <v>6</v>
      </c>
      <c r="H14" s="164">
        <f t="shared" si="1"/>
        <v>3</v>
      </c>
      <c r="I14" s="164">
        <f t="shared" si="2"/>
        <v>3</v>
      </c>
      <c r="J14" s="164">
        <f t="shared" si="3"/>
        <v>8</v>
      </c>
      <c r="K14" s="167" t="str">
        <f t="shared" ca="1" si="4"/>
        <v>Block, Regeneration</v>
      </c>
      <c r="L14" s="168"/>
      <c r="M14" s="169"/>
      <c r="N14" s="170">
        <v>1</v>
      </c>
      <c r="O14" s="170"/>
      <c r="P14" s="170">
        <v>1</v>
      </c>
      <c r="Q14" s="170"/>
      <c r="R14" s="171">
        <f t="shared" si="5"/>
        <v>5</v>
      </c>
      <c r="S14" s="172">
        <f t="shared" si="19"/>
        <v>90000</v>
      </c>
      <c r="T14" s="117"/>
      <c r="U14" s="152" t="str">
        <f t="shared" si="6"/>
        <v>G S</v>
      </c>
      <c r="V14" s="152" t="str">
        <f t="shared" si="7"/>
        <v>A P</v>
      </c>
      <c r="W14" s="153">
        <f t="shared" si="8"/>
        <v>0</v>
      </c>
      <c r="X14" s="121"/>
      <c r="Y14" s="154"/>
      <c r="Z14" s="154"/>
      <c r="AA14" s="154"/>
      <c r="AB14" s="154"/>
      <c r="AC14" s="154"/>
      <c r="AD14" s="155"/>
      <c r="AE14" s="156"/>
      <c r="AF14" s="154"/>
      <c r="AG14" s="155"/>
      <c r="AH14" s="120"/>
      <c r="AI14" s="123">
        <v>9</v>
      </c>
      <c r="AJ14" s="159" t="str">
        <f t="shared" si="9"/>
        <v>Undead4</v>
      </c>
      <c r="AK14" s="159">
        <f t="shared" si="20"/>
        <v>0</v>
      </c>
      <c r="AL14" s="159">
        <f t="shared" si="10"/>
        <v>0</v>
      </c>
      <c r="AM14" s="159">
        <f t="shared" si="11"/>
        <v>0</v>
      </c>
      <c r="AN14" s="159">
        <f t="shared" si="12"/>
        <v>0</v>
      </c>
      <c r="AO14" s="159">
        <f t="shared" si="13"/>
        <v>0</v>
      </c>
      <c r="AP14" s="159">
        <f t="shared" si="14"/>
        <v>0</v>
      </c>
      <c r="AQ14" s="159">
        <f t="array" ref="AQ14">IF(ISERROR($AJ14),0,IF($AJ14="","",SUM(IF($AJ14=$AJ$6:$AJ14,IF($L$6:$L14=T_MNG,1,0),0))))</f>
        <v>0</v>
      </c>
      <c r="AR14" s="160">
        <f t="shared" si="15"/>
        <v>6</v>
      </c>
      <c r="AS14" s="160">
        <f t="shared" si="16"/>
        <v>3</v>
      </c>
      <c r="AT14" s="160">
        <f t="shared" si="17"/>
        <v>3</v>
      </c>
      <c r="AU14" s="160">
        <f t="shared" si="18"/>
        <v>8</v>
      </c>
      <c r="AV14" s="102"/>
      <c r="AW14" s="102"/>
      <c r="AX14" s="102"/>
      <c r="AY14" s="102"/>
    </row>
    <row r="15" spans="1:51" ht="13.5" customHeight="1">
      <c r="A15" s="102"/>
      <c r="B15" s="114"/>
      <c r="C15" s="161">
        <v>10</v>
      </c>
      <c r="D15" s="162" t="s">
        <v>353</v>
      </c>
      <c r="E15" s="162" t="s">
        <v>232</v>
      </c>
      <c r="F15" s="163" t="str">
        <f>IF($E15&lt;&gt;"",IF($AJ15&lt;&gt;"",IF(AND($L15=T_Journey,VLOOKUP($AJ15,DBPlayers,2,0)&lt;12),T_Error&amp;"7",IF("Journeymen not available"=0,T_Error&amp;"8",IF(COUNTIF($E$6:$E15,$E15)-$AQ15&gt;VLOOKUP($AJ15,DBPlayers,2,0),T_Error&amp;"2",IF(L15=T_MNG,0,COUNTIF($E$6:$E15,$E15)-$AQ15)&amp;"/"&amp;(VLOOKUP($AJ15,DBPlayers,2,0))))),T_Error&amp;"1"),"")</f>
        <v>1/16</v>
      </c>
      <c r="G15" s="164">
        <f t="shared" si="0"/>
        <v>4</v>
      </c>
      <c r="H15" s="164">
        <f t="shared" si="1"/>
        <v>3</v>
      </c>
      <c r="I15" s="164">
        <f t="shared" si="2"/>
        <v>2</v>
      </c>
      <c r="J15" s="164">
        <f t="shared" si="3"/>
        <v>8</v>
      </c>
      <c r="K15" s="167" t="str">
        <f t="shared" ca="1" si="4"/>
        <v>Regeneration</v>
      </c>
      <c r="L15" s="168"/>
      <c r="M15" s="169"/>
      <c r="N15" s="170"/>
      <c r="O15" s="170"/>
      <c r="P15" s="170"/>
      <c r="Q15" s="170"/>
      <c r="R15" s="171">
        <f t="shared" si="5"/>
        <v>0</v>
      </c>
      <c r="S15" s="172">
        <f t="shared" si="19"/>
        <v>40000</v>
      </c>
      <c r="T15" s="117"/>
      <c r="U15" s="152" t="str">
        <f t="shared" si="6"/>
        <v>G</v>
      </c>
      <c r="V15" s="152" t="str">
        <f t="shared" si="7"/>
        <v>A S P</v>
      </c>
      <c r="W15" s="153">
        <f t="shared" si="8"/>
        <v>0</v>
      </c>
      <c r="X15" s="121"/>
      <c r="Y15" s="154"/>
      <c r="Z15" s="154"/>
      <c r="AA15" s="154"/>
      <c r="AB15" s="154"/>
      <c r="AC15" s="154"/>
      <c r="AD15" s="155"/>
      <c r="AE15" s="156"/>
      <c r="AF15" s="154"/>
      <c r="AG15" s="155"/>
      <c r="AH15" s="120"/>
      <c r="AI15" s="123">
        <v>10</v>
      </c>
      <c r="AJ15" s="159" t="str">
        <f t="shared" si="9"/>
        <v>Undead2</v>
      </c>
      <c r="AK15" s="159">
        <f t="shared" si="20"/>
        <v>0</v>
      </c>
      <c r="AL15" s="159">
        <f t="shared" si="10"/>
        <v>0</v>
      </c>
      <c r="AM15" s="159">
        <f t="shared" si="11"/>
        <v>0</v>
      </c>
      <c r="AN15" s="159">
        <f t="shared" si="12"/>
        <v>0</v>
      </c>
      <c r="AO15" s="159">
        <f t="shared" si="13"/>
        <v>0</v>
      </c>
      <c r="AP15" s="159">
        <f t="shared" si="14"/>
        <v>0</v>
      </c>
      <c r="AQ15" s="159">
        <f t="array" ref="AQ15">IF(ISERROR($AJ15),0,IF($AJ15="","",SUM(IF($AJ15=$AJ$6:$AJ15,IF($L$6:$L15=T_MNG,1,0),0))))</f>
        <v>0</v>
      </c>
      <c r="AR15" s="160">
        <f t="shared" si="15"/>
        <v>4</v>
      </c>
      <c r="AS15" s="160">
        <f t="shared" si="16"/>
        <v>3</v>
      </c>
      <c r="AT15" s="160">
        <f t="shared" si="17"/>
        <v>2</v>
      </c>
      <c r="AU15" s="160">
        <f t="shared" si="18"/>
        <v>8</v>
      </c>
      <c r="AV15" s="102"/>
      <c r="AW15" s="102"/>
      <c r="AX15" s="102"/>
      <c r="AY15" s="102"/>
    </row>
    <row r="16" spans="1:51" ht="13.5" customHeight="1">
      <c r="A16" s="102"/>
      <c r="B16" s="114"/>
      <c r="C16" s="161">
        <v>11</v>
      </c>
      <c r="D16" s="162"/>
      <c r="E16" s="162" t="s">
        <v>232</v>
      </c>
      <c r="F16" s="163" t="str">
        <f>IF($E16&lt;&gt;"",IF($AJ16&lt;&gt;"",IF(AND($L16=T_Journey,VLOOKUP($AJ16,DBPlayers,2,0)&lt;12),T_Error&amp;"7",IF("Journeymen not available"=0,T_Error&amp;"8",IF(COUNTIF($E$6:$E16,$E16)-$AQ16&gt;VLOOKUP($AJ16,DBPlayers,2,0),T_Error&amp;"2",IF(L16=T_MNG,0,COUNTIF($E$6:$E16,$E16)-$AQ16)&amp;"/"&amp;(VLOOKUP($AJ16,DBPlayers,2,0))))),T_Error&amp;"1"),"")</f>
        <v>2/16</v>
      </c>
      <c r="G16" s="164">
        <f t="shared" si="0"/>
        <v>4</v>
      </c>
      <c r="H16" s="164">
        <f t="shared" si="1"/>
        <v>3</v>
      </c>
      <c r="I16" s="164">
        <f t="shared" si="2"/>
        <v>2</v>
      </c>
      <c r="J16" s="164">
        <f t="shared" si="3"/>
        <v>8</v>
      </c>
      <c r="K16" s="167" t="str">
        <f t="shared" ca="1" si="4"/>
        <v>Regeneration</v>
      </c>
      <c r="L16" s="168"/>
      <c r="M16" s="169"/>
      <c r="N16" s="170"/>
      <c r="O16" s="170"/>
      <c r="P16" s="170"/>
      <c r="Q16" s="170"/>
      <c r="R16" s="171">
        <f t="shared" si="5"/>
        <v>0</v>
      </c>
      <c r="S16" s="172">
        <f t="shared" si="19"/>
        <v>40000</v>
      </c>
      <c r="T16" s="117"/>
      <c r="U16" s="152" t="str">
        <f t="shared" si="6"/>
        <v>G</v>
      </c>
      <c r="V16" s="152" t="str">
        <f t="shared" si="7"/>
        <v>A S P</v>
      </c>
      <c r="W16" s="153">
        <f t="shared" si="8"/>
        <v>0</v>
      </c>
      <c r="X16" s="121"/>
      <c r="Y16" s="154"/>
      <c r="Z16" s="154"/>
      <c r="AA16" s="154"/>
      <c r="AB16" s="154"/>
      <c r="AC16" s="154"/>
      <c r="AD16" s="155"/>
      <c r="AE16" s="156"/>
      <c r="AF16" s="154"/>
      <c r="AG16" s="155"/>
      <c r="AH16" s="120"/>
      <c r="AI16" s="123">
        <v>11</v>
      </c>
      <c r="AJ16" s="159" t="str">
        <f t="shared" si="9"/>
        <v>Undead2</v>
      </c>
      <c r="AK16" s="159">
        <f t="shared" si="20"/>
        <v>0</v>
      </c>
      <c r="AL16" s="159">
        <f t="shared" si="10"/>
        <v>0</v>
      </c>
      <c r="AM16" s="159">
        <f t="shared" si="11"/>
        <v>0</v>
      </c>
      <c r="AN16" s="159">
        <f t="shared" si="12"/>
        <v>0</v>
      </c>
      <c r="AO16" s="159">
        <f t="shared" si="13"/>
        <v>0</v>
      </c>
      <c r="AP16" s="159">
        <f t="shared" si="14"/>
        <v>0</v>
      </c>
      <c r="AQ16" s="159">
        <f t="array" ref="AQ16">IF(ISERROR($AJ16),0,IF($AJ16="","",SUM(IF($AJ16=$AJ$6:$AJ16,IF($L$6:$L16=T_MNG,1,0),0))))</f>
        <v>0</v>
      </c>
      <c r="AR16" s="160">
        <f t="shared" si="15"/>
        <v>4</v>
      </c>
      <c r="AS16" s="160">
        <f t="shared" si="16"/>
        <v>3</v>
      </c>
      <c r="AT16" s="160">
        <f t="shared" si="17"/>
        <v>2</v>
      </c>
      <c r="AU16" s="160">
        <f t="shared" si="18"/>
        <v>8</v>
      </c>
      <c r="AV16" s="102"/>
      <c r="AW16" s="102"/>
      <c r="AX16" s="102"/>
      <c r="AY16" s="102"/>
    </row>
    <row r="17" spans="1:51" ht="13.5" customHeight="1">
      <c r="A17" s="102"/>
      <c r="B17" s="114"/>
      <c r="C17" s="161">
        <v>12</v>
      </c>
      <c r="D17" s="162"/>
      <c r="E17" s="162"/>
      <c r="F17" s="163" t="str">
        <f>IF($E17&lt;&gt;"",IF($AJ17&lt;&gt;"",IF(AND($L17=T_Journey,VLOOKUP($AJ17,DBPlayers,2,0)&lt;12),T_Error&amp;"7",IF("Journeymen not available"=0,T_Error&amp;"8",IF(COUNTIF($E$6:$E17,$E17)-$AQ17&gt;VLOOKUP($AJ17,DBPlayers,2,0),T_Error&amp;"2",IF(L17=T_MNG,0,COUNTIF($E$6:$E17,$E17)-$AQ17)&amp;"/"&amp;(VLOOKUP($AJ17,DBPlayers,2,0))))),T_Error&amp;"1"),"")</f>
        <v/>
      </c>
      <c r="G17" s="164" t="str">
        <f t="shared" si="0"/>
        <v/>
      </c>
      <c r="H17" s="164" t="str">
        <f t="shared" si="1"/>
        <v/>
      </c>
      <c r="I17" s="164" t="str">
        <f t="shared" si="2"/>
        <v/>
      </c>
      <c r="J17" s="164" t="str">
        <f t="shared" si="3"/>
        <v/>
      </c>
      <c r="K17" s="167" t="str">
        <f t="shared" ca="1" si="4"/>
        <v/>
      </c>
      <c r="L17" s="168"/>
      <c r="M17" s="169"/>
      <c r="N17" s="170"/>
      <c r="O17" s="170"/>
      <c r="P17" s="170"/>
      <c r="Q17" s="170"/>
      <c r="R17" s="171" t="str">
        <f t="shared" si="5"/>
        <v/>
      </c>
      <c r="S17" s="172" t="str">
        <f t="shared" si="19"/>
        <v/>
      </c>
      <c r="T17" s="117"/>
      <c r="U17" s="152" t="str">
        <f t="shared" si="6"/>
        <v/>
      </c>
      <c r="V17" s="152" t="str">
        <f t="shared" si="7"/>
        <v/>
      </c>
      <c r="W17" s="153" t="str">
        <f t="shared" si="8"/>
        <v/>
      </c>
      <c r="X17" s="121"/>
      <c r="Y17" s="154"/>
      <c r="Z17" s="154"/>
      <c r="AA17" s="154"/>
      <c r="AB17" s="154"/>
      <c r="AC17" s="154"/>
      <c r="AD17" s="155"/>
      <c r="AE17" s="156"/>
      <c r="AF17" s="154"/>
      <c r="AG17" s="155"/>
      <c r="AH17" s="120"/>
      <c r="AI17" s="123">
        <v>12</v>
      </c>
      <c r="AJ17" s="159" t="str">
        <f t="shared" si="9"/>
        <v/>
      </c>
      <c r="AK17" s="159">
        <f t="shared" si="20"/>
        <v>0</v>
      </c>
      <c r="AL17" s="159">
        <f t="shared" si="10"/>
        <v>0</v>
      </c>
      <c r="AM17" s="159">
        <f t="shared" si="11"/>
        <v>0</v>
      </c>
      <c r="AN17" s="159">
        <f t="shared" si="12"/>
        <v>0</v>
      </c>
      <c r="AO17" s="159">
        <f t="shared" si="13"/>
        <v>0</v>
      </c>
      <c r="AP17" s="159">
        <f t="shared" si="14"/>
        <v>0</v>
      </c>
      <c r="AQ17" s="159" t="str">
        <f t="array" ref="AQ17">IF(ISERROR($AJ17),0,IF($AJ17="","",SUM(IF($AJ17=$AJ$6:$AJ17,IF($L$6:$L17=T_MNG,1,0),0))))</f>
        <v/>
      </c>
      <c r="AR17" s="160" t="str">
        <f t="shared" si="15"/>
        <v/>
      </c>
      <c r="AS17" s="160" t="str">
        <f t="shared" si="16"/>
        <v/>
      </c>
      <c r="AT17" s="160" t="str">
        <f t="shared" si="17"/>
        <v/>
      </c>
      <c r="AU17" s="160" t="str">
        <f t="shared" si="18"/>
        <v/>
      </c>
      <c r="AV17" s="102"/>
      <c r="AW17" s="102"/>
      <c r="AX17" s="102"/>
      <c r="AY17" s="102"/>
    </row>
    <row r="18" spans="1:51" ht="13.5" customHeight="1">
      <c r="A18" s="102"/>
      <c r="B18" s="114"/>
      <c r="C18" s="161">
        <v>13</v>
      </c>
      <c r="D18" s="162"/>
      <c r="E18" s="162"/>
      <c r="F18" s="163" t="str">
        <f>IF($E18&lt;&gt;"",IF($AJ18&lt;&gt;"",IF(AND($L18=T_Journey,VLOOKUP($AJ18,DBPlayers,2,0)&lt;12),T_Error&amp;"7",IF("Journeymen not available"=0,T_Error&amp;"8",IF(COUNTIF($E$6:$E18,$E18)-$AQ18&gt;VLOOKUP($AJ18,DBPlayers,2,0),T_Error&amp;"2",IF(L18=T_MNG,0,COUNTIF($E$6:$E18,$E18)-$AQ18)&amp;"/"&amp;(VLOOKUP($AJ18,DBPlayers,2,0))))),T_Error&amp;"1"),"")</f>
        <v/>
      </c>
      <c r="G18" s="164" t="str">
        <f t="shared" si="0"/>
        <v/>
      </c>
      <c r="H18" s="164" t="str">
        <f t="shared" si="1"/>
        <v/>
      </c>
      <c r="I18" s="164" t="str">
        <f t="shared" si="2"/>
        <v/>
      </c>
      <c r="J18" s="164" t="str">
        <f t="shared" si="3"/>
        <v/>
      </c>
      <c r="K18" s="167" t="str">
        <f t="shared" ca="1" si="4"/>
        <v/>
      </c>
      <c r="L18" s="168"/>
      <c r="M18" s="169"/>
      <c r="N18" s="170"/>
      <c r="O18" s="170"/>
      <c r="P18" s="170"/>
      <c r="Q18" s="170"/>
      <c r="R18" s="171" t="str">
        <f t="shared" si="5"/>
        <v/>
      </c>
      <c r="S18" s="172" t="str">
        <f t="shared" si="19"/>
        <v/>
      </c>
      <c r="T18" s="117"/>
      <c r="U18" s="152" t="str">
        <f t="shared" si="6"/>
        <v/>
      </c>
      <c r="V18" s="152" t="str">
        <f t="shared" si="7"/>
        <v/>
      </c>
      <c r="W18" s="153" t="str">
        <f t="shared" si="8"/>
        <v/>
      </c>
      <c r="X18" s="121"/>
      <c r="Y18" s="154"/>
      <c r="Z18" s="154"/>
      <c r="AA18" s="154"/>
      <c r="AB18" s="154"/>
      <c r="AC18" s="154"/>
      <c r="AD18" s="155"/>
      <c r="AE18" s="156"/>
      <c r="AF18" s="154"/>
      <c r="AG18" s="155"/>
      <c r="AH18" s="120"/>
      <c r="AI18" s="123">
        <v>13</v>
      </c>
      <c r="AJ18" s="159" t="str">
        <f t="shared" si="9"/>
        <v/>
      </c>
      <c r="AK18" s="159">
        <f t="shared" si="20"/>
        <v>0</v>
      </c>
      <c r="AL18" s="159">
        <f t="shared" si="10"/>
        <v>0</v>
      </c>
      <c r="AM18" s="159">
        <f t="shared" si="11"/>
        <v>0</v>
      </c>
      <c r="AN18" s="159">
        <f t="shared" si="12"/>
        <v>0</v>
      </c>
      <c r="AO18" s="159">
        <f t="shared" si="13"/>
        <v>0</v>
      </c>
      <c r="AP18" s="159">
        <f t="shared" si="14"/>
        <v>0</v>
      </c>
      <c r="AQ18" s="159" t="str">
        <f t="array" ref="AQ18">IF(ISERROR($AJ18),0,IF($AJ18="","",SUM(IF($AJ18=$AJ$6:$AJ18,IF($L$6:$L18=T_MNG,1,0),0))))</f>
        <v/>
      </c>
      <c r="AR18" s="160" t="str">
        <f t="shared" si="15"/>
        <v/>
      </c>
      <c r="AS18" s="160" t="str">
        <f t="shared" si="16"/>
        <v/>
      </c>
      <c r="AT18" s="160" t="str">
        <f t="shared" si="17"/>
        <v/>
      </c>
      <c r="AU18" s="160" t="str">
        <f t="shared" si="18"/>
        <v/>
      </c>
      <c r="AV18" s="102"/>
      <c r="AW18" s="102"/>
      <c r="AX18" s="102"/>
      <c r="AY18" s="102"/>
    </row>
    <row r="19" spans="1:51" ht="13.5" customHeight="1">
      <c r="A19" s="102"/>
      <c r="B19" s="114"/>
      <c r="C19" s="161">
        <v>16</v>
      </c>
      <c r="D19" s="162" t="s">
        <v>356</v>
      </c>
      <c r="E19" s="162" t="s">
        <v>232</v>
      </c>
      <c r="F19" s="163" t="str">
        <f>IF($E19&lt;&gt;"",IF($AJ19&lt;&gt;"",IF(AND($L19=T_Journey,VLOOKUP($AJ19,DBPlayers,2,0)&lt;12),T_Error&amp;"7",IF("Journeymen not available"=0,T_Error&amp;"8",IF(COUNTIF($E$6:$E19,$E19)-$AQ19&gt;VLOOKUP($AJ19,DBPlayers,2,0),T_Error&amp;"2",IF(L19=T_MNG,0,COUNTIF($E$6:$E19,$E19)-$AQ19)&amp;"/"&amp;(VLOOKUP($AJ19,DBPlayers,2,0))))),T_Error&amp;"1"),"")</f>
        <v>3/16</v>
      </c>
      <c r="G19" s="164">
        <f t="shared" si="0"/>
        <v>4</v>
      </c>
      <c r="H19" s="164">
        <f t="shared" si="1"/>
        <v>3</v>
      </c>
      <c r="I19" s="164">
        <f t="shared" si="2"/>
        <v>2</v>
      </c>
      <c r="J19" s="164">
        <f t="shared" si="3"/>
        <v>8</v>
      </c>
      <c r="K19" s="167" t="str">
        <f t="shared" ca="1" si="4"/>
        <v>Regeneration</v>
      </c>
      <c r="L19" s="168"/>
      <c r="M19" s="169"/>
      <c r="N19" s="170"/>
      <c r="O19" s="170"/>
      <c r="P19" s="170"/>
      <c r="Q19" s="170"/>
      <c r="R19" s="171">
        <f t="shared" si="5"/>
        <v>0</v>
      </c>
      <c r="S19" s="172">
        <f t="shared" si="19"/>
        <v>40000</v>
      </c>
      <c r="T19" s="117"/>
      <c r="U19" s="152" t="str">
        <f t="shared" si="6"/>
        <v>G</v>
      </c>
      <c r="V19" s="152" t="str">
        <f t="shared" si="7"/>
        <v>A S P</v>
      </c>
      <c r="W19" s="153">
        <f t="shared" si="8"/>
        <v>0</v>
      </c>
      <c r="X19" s="121"/>
      <c r="Y19" s="154"/>
      <c r="Z19" s="154"/>
      <c r="AA19" s="154"/>
      <c r="AB19" s="154"/>
      <c r="AC19" s="154"/>
      <c r="AD19" s="155"/>
      <c r="AE19" s="156"/>
      <c r="AF19" s="154"/>
      <c r="AG19" s="155"/>
      <c r="AH19" s="120"/>
      <c r="AI19" s="123">
        <v>14</v>
      </c>
      <c r="AJ19" s="159" t="str">
        <f t="shared" si="9"/>
        <v>Undead2</v>
      </c>
      <c r="AK19" s="159">
        <f t="shared" si="20"/>
        <v>0</v>
      </c>
      <c r="AL19" s="159">
        <f t="shared" si="10"/>
        <v>0</v>
      </c>
      <c r="AM19" s="159">
        <f t="shared" si="11"/>
        <v>0</v>
      </c>
      <c r="AN19" s="159">
        <f t="shared" si="12"/>
        <v>0</v>
      </c>
      <c r="AO19" s="159">
        <f t="shared" si="13"/>
        <v>0</v>
      </c>
      <c r="AP19" s="159">
        <f t="shared" si="14"/>
        <v>0</v>
      </c>
      <c r="AQ19" s="159">
        <f t="array" ref="AQ19">IF(ISERROR($AJ19),0,IF($AJ19="","",SUM(IF($AJ19=$AJ$6:$AJ19,IF($L$6:$L19=T_MNG,1,0),0))))</f>
        <v>0</v>
      </c>
      <c r="AR19" s="160">
        <f t="shared" si="15"/>
        <v>4</v>
      </c>
      <c r="AS19" s="160">
        <f t="shared" si="16"/>
        <v>3</v>
      </c>
      <c r="AT19" s="160">
        <f t="shared" si="17"/>
        <v>2</v>
      </c>
      <c r="AU19" s="160">
        <f t="shared" si="18"/>
        <v>8</v>
      </c>
      <c r="AV19" s="102"/>
      <c r="AW19" s="102"/>
      <c r="AX19" s="102"/>
      <c r="AY19" s="102"/>
    </row>
    <row r="20" spans="1:51" ht="13.5" customHeight="1">
      <c r="A20" s="102"/>
      <c r="B20" s="114"/>
      <c r="C20" s="161">
        <v>19</v>
      </c>
      <c r="D20" s="162" t="s">
        <v>358</v>
      </c>
      <c r="E20" s="162" t="s">
        <v>232</v>
      </c>
      <c r="F20" s="163" t="str">
        <f>IF($E20&lt;&gt;"",IF($AJ20&lt;&gt;"",IF(AND($L20=T_Journey,VLOOKUP($AJ20,DBPlayers,2,0)&lt;12),T_Error&amp;"7",IF("Journeymen not available"=0,T_Error&amp;"8",IF(COUNTIF($E$6:$E20,$E20)-$AQ20&gt;VLOOKUP($AJ20,DBPlayers,2,0),T_Error&amp;"2",IF(L20=T_MNG,0,COUNTIF($E$6:$E20,$E20)-$AQ20)&amp;"/"&amp;(VLOOKUP($AJ20,DBPlayers,2,0))))),T_Error&amp;"1"),"")</f>
        <v>4/16</v>
      </c>
      <c r="G20" s="164">
        <f t="shared" si="0"/>
        <v>4</v>
      </c>
      <c r="H20" s="164">
        <f t="shared" si="1"/>
        <v>3</v>
      </c>
      <c r="I20" s="164">
        <f t="shared" si="2"/>
        <v>2</v>
      </c>
      <c r="J20" s="164">
        <f t="shared" si="3"/>
        <v>8</v>
      </c>
      <c r="K20" s="167" t="str">
        <f t="shared" ca="1" si="4"/>
        <v>Regeneration</v>
      </c>
      <c r="L20" s="168"/>
      <c r="M20" s="169"/>
      <c r="N20" s="170"/>
      <c r="O20" s="170"/>
      <c r="P20" s="170"/>
      <c r="Q20" s="170"/>
      <c r="R20" s="171">
        <f t="shared" si="5"/>
        <v>0</v>
      </c>
      <c r="S20" s="172">
        <f t="shared" si="19"/>
        <v>40000</v>
      </c>
      <c r="T20" s="117"/>
      <c r="U20" s="152" t="str">
        <f t="shared" si="6"/>
        <v>G</v>
      </c>
      <c r="V20" s="152" t="str">
        <f t="shared" si="7"/>
        <v>A S P</v>
      </c>
      <c r="W20" s="153">
        <f t="shared" si="8"/>
        <v>0</v>
      </c>
      <c r="X20" s="121"/>
      <c r="Y20" s="154"/>
      <c r="Z20" s="154"/>
      <c r="AA20" s="154"/>
      <c r="AB20" s="154"/>
      <c r="AC20" s="154"/>
      <c r="AD20" s="155"/>
      <c r="AE20" s="156"/>
      <c r="AF20" s="154"/>
      <c r="AG20" s="155"/>
      <c r="AH20" s="120"/>
      <c r="AI20" s="123">
        <v>15</v>
      </c>
      <c r="AJ20" s="159" t="str">
        <f t="shared" si="9"/>
        <v>Undead2</v>
      </c>
      <c r="AK20" s="159">
        <f t="shared" si="20"/>
        <v>0</v>
      </c>
      <c r="AL20" s="159">
        <f t="shared" si="10"/>
        <v>0</v>
      </c>
      <c r="AM20" s="159">
        <f t="shared" si="11"/>
        <v>0</v>
      </c>
      <c r="AN20" s="159">
        <f t="shared" si="12"/>
        <v>0</v>
      </c>
      <c r="AO20" s="159">
        <f t="shared" si="13"/>
        <v>0</v>
      </c>
      <c r="AP20" s="159">
        <f t="shared" si="14"/>
        <v>0</v>
      </c>
      <c r="AQ20" s="159">
        <f t="array" ref="AQ20">IF(ISERROR($AJ20),0,IF($AJ20="","",SUM(IF($AJ20=$AJ$6:$AJ20,IF($L$6:$L20=T_MNG,1,0),0))))</f>
        <v>0</v>
      </c>
      <c r="AR20" s="160">
        <f t="shared" si="15"/>
        <v>4</v>
      </c>
      <c r="AS20" s="160">
        <f t="shared" si="16"/>
        <v>3</v>
      </c>
      <c r="AT20" s="160">
        <f t="shared" si="17"/>
        <v>2</v>
      </c>
      <c r="AU20" s="160">
        <f t="shared" si="18"/>
        <v>8</v>
      </c>
      <c r="AV20" s="102"/>
      <c r="AW20" s="102"/>
      <c r="AX20" s="102"/>
      <c r="AY20" s="102"/>
    </row>
    <row r="21" spans="1:51" ht="13.5" customHeight="1">
      <c r="A21" s="102"/>
      <c r="B21" s="114"/>
      <c r="C21" s="176">
        <v>20</v>
      </c>
      <c r="D21" s="175" t="s">
        <v>359</v>
      </c>
      <c r="E21" s="175" t="s">
        <v>232</v>
      </c>
      <c r="F21" s="177" t="str">
        <f>IF($E21&lt;&gt;"",IF($AJ21&lt;&gt;"",IF(AND($L21=T_Journey,VLOOKUP($AJ21,DBPlayers,2,0)&lt;12),T_Error&amp;"7",IF("Journeymen not available"=0,T_Error&amp;"8",IF(COUNTIF($E$6:$E21,$E21)-$AQ21&gt;VLOOKUP($AJ21,DBPlayers,2,0),T_Error&amp;"2",IF(L21=T_MNG,0,COUNTIF($E$6:$E21,$E21)-$AQ21)&amp;"/"&amp;(VLOOKUP($AJ21,DBPlayers,2,0))))),T_Error&amp;"1"),"")</f>
        <v>5/16</v>
      </c>
      <c r="G21" s="178">
        <f t="shared" si="0"/>
        <v>4</v>
      </c>
      <c r="H21" s="178">
        <f t="shared" si="1"/>
        <v>3</v>
      </c>
      <c r="I21" s="178">
        <f t="shared" si="2"/>
        <v>2</v>
      </c>
      <c r="J21" s="178">
        <f t="shared" si="3"/>
        <v>8</v>
      </c>
      <c r="K21" s="179" t="str">
        <f t="shared" ca="1" si="4"/>
        <v>Regeneration</v>
      </c>
      <c r="L21" s="180"/>
      <c r="M21" s="181"/>
      <c r="N21" s="182"/>
      <c r="O21" s="182"/>
      <c r="P21" s="182"/>
      <c r="Q21" s="182"/>
      <c r="R21" s="183">
        <f t="shared" si="5"/>
        <v>0</v>
      </c>
      <c r="S21" s="184">
        <f t="shared" si="19"/>
        <v>40000</v>
      </c>
      <c r="T21" s="117"/>
      <c r="U21" s="152" t="str">
        <f t="shared" si="6"/>
        <v>G</v>
      </c>
      <c r="V21" s="152" t="str">
        <f t="shared" si="7"/>
        <v>A S P</v>
      </c>
      <c r="W21" s="153">
        <f t="shared" si="8"/>
        <v>0</v>
      </c>
      <c r="X21" s="121"/>
      <c r="Y21" s="154"/>
      <c r="Z21" s="154"/>
      <c r="AA21" s="154"/>
      <c r="AB21" s="154"/>
      <c r="AC21" s="154"/>
      <c r="AD21" s="185"/>
      <c r="AE21" s="186"/>
      <c r="AF21" s="154"/>
      <c r="AG21" s="185"/>
      <c r="AH21" s="120"/>
      <c r="AI21" s="123">
        <v>16</v>
      </c>
      <c r="AJ21" s="159" t="str">
        <f t="shared" si="9"/>
        <v>Undead2</v>
      </c>
      <c r="AK21" s="159">
        <f t="shared" si="20"/>
        <v>0</v>
      </c>
      <c r="AL21" s="159">
        <f t="shared" si="10"/>
        <v>0</v>
      </c>
      <c r="AM21" s="159">
        <f t="shared" si="11"/>
        <v>0</v>
      </c>
      <c r="AN21" s="159">
        <f t="shared" si="12"/>
        <v>0</v>
      </c>
      <c r="AO21" s="159">
        <f t="shared" si="13"/>
        <v>0</v>
      </c>
      <c r="AP21" s="159">
        <f t="shared" si="14"/>
        <v>0</v>
      </c>
      <c r="AQ21" s="159">
        <f t="array" ref="AQ21">IF(ISERROR($AJ21),0,IF($AJ21="","",SUM(IF($AJ21=$AJ$6:$AJ21,IF($L$6:$L21=T_MNG,1,0),0))))</f>
        <v>0</v>
      </c>
      <c r="AR21" s="160">
        <f t="shared" si="15"/>
        <v>4</v>
      </c>
      <c r="AS21" s="160">
        <f t="shared" si="16"/>
        <v>3</v>
      </c>
      <c r="AT21" s="160">
        <f t="shared" si="17"/>
        <v>2</v>
      </c>
      <c r="AU21" s="160">
        <f t="shared" si="18"/>
        <v>8</v>
      </c>
      <c r="AV21" s="102"/>
      <c r="AW21" s="102"/>
      <c r="AX21" s="102"/>
      <c r="AY21" s="102"/>
    </row>
    <row r="22" spans="1:51" ht="18" customHeight="1">
      <c r="A22" s="102"/>
      <c r="B22" s="114"/>
      <c r="C22" s="187"/>
      <c r="D22" s="188"/>
      <c r="E22" s="189" t="s">
        <v>186</v>
      </c>
      <c r="F22" s="190" t="str">
        <f>COUNTIF(S6:S21,"&gt;0")&amp;"/16"</f>
        <v>13/16</v>
      </c>
      <c r="G22" s="191"/>
      <c r="H22" s="192" t="str">
        <f>IF(AND(AQ22&gt;0,AQ22+AM22&gt;11),T_Error8,IF(AM22&lt;11,AQ22&amp;" / "&amp;11-AM22&amp;" "&amp;T_AllowedJourney,""))</f>
        <v/>
      </c>
      <c r="I22" s="190"/>
      <c r="J22" s="190"/>
      <c r="K22" s="193"/>
      <c r="L22" s="189" t="s">
        <v>187</v>
      </c>
      <c r="M22" s="190">
        <f t="shared" ref="M22:Q22" si="21">SUMIF($R$6:$R$21,"&gt;=0",M$6:M$21)</f>
        <v>1</v>
      </c>
      <c r="N22" s="190">
        <f t="shared" si="21"/>
        <v>4</v>
      </c>
      <c r="O22" s="190">
        <f t="shared" si="21"/>
        <v>0</v>
      </c>
      <c r="P22" s="190">
        <f t="shared" si="21"/>
        <v>8</v>
      </c>
      <c r="Q22" s="190">
        <f t="shared" si="21"/>
        <v>3</v>
      </c>
      <c r="R22" s="190">
        <f t="shared" ref="R22:S22" si="22">SUM(R6:R21)</f>
        <v>44</v>
      </c>
      <c r="S22" s="194">
        <f t="shared" si="22"/>
        <v>1000000</v>
      </c>
      <c r="T22" s="117"/>
      <c r="U22" s="195"/>
      <c r="V22" s="196"/>
      <c r="W22" s="197"/>
      <c r="X22" s="198"/>
      <c r="Y22" s="198"/>
      <c r="Z22" s="198"/>
      <c r="AA22" s="198"/>
      <c r="AB22" s="198"/>
      <c r="AC22" s="198"/>
      <c r="AD22" s="198"/>
      <c r="AE22" s="198"/>
      <c r="AF22" s="198"/>
      <c r="AG22" s="198"/>
      <c r="AH22" s="102"/>
      <c r="AI22" s="123"/>
      <c r="AJ22" s="102"/>
      <c r="AK22" s="102"/>
      <c r="AL22" s="199" t="s">
        <v>188</v>
      </c>
      <c r="AM22" s="200">
        <f>COUNTIF($S$6:$S$21,"&gt;0")-$AQ$22</f>
        <v>13</v>
      </c>
      <c r="AN22" s="123"/>
      <c r="AO22" s="123"/>
      <c r="AP22" s="199" t="s">
        <v>189</v>
      </c>
      <c r="AQ22" s="159">
        <f t="array" ref="AQ22">SUM(IF(L6:L21=T_Journey,IF(S6:S21&lt;&gt;"",1,0),0))</f>
        <v>0</v>
      </c>
      <c r="AR22" s="105"/>
      <c r="AS22" s="105"/>
      <c r="AT22" s="105"/>
      <c r="AU22" s="105"/>
      <c r="AV22" s="102"/>
      <c r="AW22" s="102"/>
      <c r="AX22" s="102"/>
      <c r="AY22" s="102"/>
    </row>
    <row r="23" spans="1:51" ht="3" customHeight="1">
      <c r="A23" s="102"/>
      <c r="B23" s="107"/>
      <c r="C23" s="108"/>
      <c r="D23" s="109"/>
      <c r="E23" s="109"/>
      <c r="F23" s="110"/>
      <c r="G23" s="108"/>
      <c r="H23" s="108"/>
      <c r="I23" s="108"/>
      <c r="J23" s="108"/>
      <c r="K23" s="109"/>
      <c r="L23" s="109"/>
      <c r="M23" s="109"/>
      <c r="N23" s="109"/>
      <c r="O23" s="109"/>
      <c r="P23" s="109"/>
      <c r="Q23" s="109"/>
      <c r="R23" s="109"/>
      <c r="S23" s="201"/>
      <c r="T23" s="111"/>
      <c r="U23" s="121"/>
      <c r="V23" s="202"/>
      <c r="W23" s="121"/>
      <c r="X23" s="121"/>
      <c r="Y23" s="102"/>
      <c r="Z23" s="113"/>
      <c r="AA23" s="113"/>
      <c r="AB23" s="102"/>
      <c r="AC23" s="102"/>
      <c r="AD23" s="102"/>
      <c r="AE23" s="102"/>
      <c r="AF23" s="102"/>
      <c r="AG23" s="102"/>
      <c r="AH23" s="102"/>
      <c r="AI23" s="123"/>
      <c r="AJ23" s="123"/>
      <c r="AK23" s="123"/>
      <c r="AL23" s="123"/>
      <c r="AM23" s="123"/>
      <c r="AN23" s="123"/>
      <c r="AO23" s="123"/>
      <c r="AP23" s="123"/>
      <c r="AQ23" s="123"/>
      <c r="AR23" s="105"/>
      <c r="AS23" s="105"/>
      <c r="AT23" s="105"/>
      <c r="AU23" s="105"/>
      <c r="AV23" s="102"/>
      <c r="AW23" s="102"/>
      <c r="AX23" s="102"/>
      <c r="AY23" s="102"/>
    </row>
    <row r="24" spans="1:51" ht="13.5" customHeight="1">
      <c r="A24" s="102"/>
      <c r="B24" s="114"/>
      <c r="C24" s="203"/>
      <c r="D24" s="351" t="s">
        <v>190</v>
      </c>
      <c r="E24" s="316"/>
      <c r="F24" s="127" t="s">
        <v>142</v>
      </c>
      <c r="G24" s="127" t="str">
        <f>T_MA</f>
        <v>MA</v>
      </c>
      <c r="H24" s="127" t="str">
        <f>T_ST</f>
        <v>ST</v>
      </c>
      <c r="I24" s="127" t="str">
        <f>T_AG</f>
        <v>AG</v>
      </c>
      <c r="J24" s="127" t="str">
        <f>T_AV</f>
        <v>AV</v>
      </c>
      <c r="K24" s="348" t="s">
        <v>191</v>
      </c>
      <c r="L24" s="316"/>
      <c r="M24" s="316"/>
      <c r="N24" s="316"/>
      <c r="O24" s="316"/>
      <c r="P24" s="316"/>
      <c r="Q24" s="316"/>
      <c r="R24" s="316"/>
      <c r="S24" s="204"/>
      <c r="T24" s="117"/>
      <c r="U24" s="133" t="s">
        <v>146</v>
      </c>
      <c r="V24" s="341" t="s">
        <v>192</v>
      </c>
      <c r="W24" s="316"/>
      <c r="X24" s="121"/>
      <c r="Y24" s="113"/>
      <c r="Z24" s="102"/>
      <c r="AA24" s="102"/>
      <c r="AB24" s="102"/>
      <c r="AC24" s="102"/>
      <c r="AD24" s="102"/>
      <c r="AE24" s="102"/>
      <c r="AF24" s="102"/>
      <c r="AG24" s="102"/>
      <c r="AH24" s="102"/>
      <c r="AI24" s="123"/>
      <c r="AJ24" s="123"/>
      <c r="AK24" s="123"/>
      <c r="AL24" s="123"/>
      <c r="AM24" s="123"/>
      <c r="AN24" s="123"/>
      <c r="AO24" s="123"/>
      <c r="AP24" s="141"/>
      <c r="AQ24" s="141" t="s">
        <v>160</v>
      </c>
      <c r="AR24" s="105"/>
      <c r="AS24" s="105"/>
      <c r="AT24" s="105"/>
      <c r="AU24" s="105"/>
      <c r="AV24" s="102"/>
      <c r="AW24" s="102"/>
      <c r="AX24" s="102"/>
      <c r="AY24" s="102"/>
    </row>
    <row r="25" spans="1:51" ht="13.5" customHeight="1">
      <c r="A25" s="102"/>
      <c r="B25" s="114"/>
      <c r="C25" s="115"/>
      <c r="D25" s="346"/>
      <c r="E25" s="316"/>
      <c r="F25" s="205" t="str">
        <f>IF($D25="","",IF($AJ25="",T_Error&amp;"1",IF(COUNTIF($D$25:$D25,"&lt;&gt;")&gt;$R$31,T_Error&amp;"3",IF(ISERROR(FIND(T_Merc,$D25)),IF(COUNTIF($D$25:$D25,D25)&gt;1,T_Error&amp;"4",IF(COUNTIF($AJ$25:$AJ25,"=Star")&gt;2,T_Error&amp;"5",IF(AND($D25=Brick,$F$31&lt;&gt;"1/1"),T_Error&amp;"6","1/1"))),IF(COUNTIF($AJ$6:$AJ25,$AJ25)-$AQ25&gt;VLOOKUP($AJ25,DBPlayers,2,0)+VLOOKUP($AJ25,$AL$58:$AM$67,2,0),T_Error&amp;"2",COUNTIF($AJ$6:$AJ25,$AJ25)-$AQ25&amp;"/"&amp;(VLOOKUP($AJ25,DBPlayers,2,0)))))))</f>
        <v/>
      </c>
      <c r="G25" s="205" t="str">
        <f t="shared" ref="G25:G30" si="23">IF(OR(LEFT($F25,LEN(T_Error))=T_Error,$D25=""),"",IF(ISERROR(FIND(T_Merc,$D25)),VLOOKUP($D25,DBStars,2,0),VLOOKUP($AJ25,DBPlayers,4,0)))</f>
        <v/>
      </c>
      <c r="H25" s="205" t="str">
        <f t="shared" ref="H25:H30" si="24">IF(OR(LEFT($F25,LEN(T_Error))=T_Error,$D25=""),"",IF(ISERROR(FIND(T_Merc,$D25)),VLOOKUP($D25,DBStars,3,0),VLOOKUP($AJ25,DBPlayers,5,0)))</f>
        <v/>
      </c>
      <c r="I25" s="205" t="str">
        <f t="shared" ref="I25:I30" si="25">IF(OR(LEFT($F25,LEN(T_Error))=T_Error,$D25=""),"",IF(ISERROR(FIND(T_Merc,$D25)),VLOOKUP($D25,DBStars,4,0),VLOOKUP($AJ25,DBPlayers,6,0)))</f>
        <v/>
      </c>
      <c r="J25" s="205" t="str">
        <f t="shared" ref="J25:J30" si="26">IF(OR(LEFT($F25,LEN(T_Error))=T_Error,$D25=""),"",IF(ISERROR(FIND(T_Merc,$D25)),VLOOKUP($D25,DBStars,5,0),VLOOKUP($AJ25,DBPlayers,7,0)))</f>
        <v/>
      </c>
      <c r="K25" s="347" t="str">
        <f t="shared" ref="K25:K30" ca="1" si="27">IF($D25="","",IF(LEFT($F25,LEN(T_Error))=T_Error,INDIRECT("T_Error"&amp;RIGHT($F25,1)),IF(ISERROR(FIND(T_Merc,$D25)),VLOOKUP($D25,DBStars,6,0),T_Loner&amp;", "&amp;VLOOKUP($AJ25,DBPlayers,8,0)&amp;IF($V25="","",", "&amp;$V25))))</f>
        <v/>
      </c>
      <c r="L25" s="316"/>
      <c r="M25" s="316"/>
      <c r="N25" s="316"/>
      <c r="O25" s="316"/>
      <c r="P25" s="316"/>
      <c r="Q25" s="316"/>
      <c r="R25" s="316"/>
      <c r="S25" s="206" t="str">
        <f t="shared" ref="S25:S30" si="28">IF(OR(LEFT($F25,LEN(T_Error))=T_Error,$D25=""),"",IF(ISERROR(FIND(T_Merc,$D25)),VLOOKUP($D25,DBStars,7,0),VLOOKUP($AJ25,DBPlayers,11,0)+30000+IF(V25&lt;&gt;"",50000,0)))</f>
        <v/>
      </c>
      <c r="T25" s="117"/>
      <c r="U25" s="207" t="str">
        <f t="shared" ref="U25:U30" si="29">IF(OR(LEFT($F25,LEN(T_Error))=T_Error,$D25=""),"",IF(ISERROR(FIND("Mercenary",$D25)),"none",VLOOKUP($AJ25,DBPlayers,9,0)))</f>
        <v/>
      </c>
      <c r="V25" s="334"/>
      <c r="W25" s="316"/>
      <c r="X25" s="121"/>
      <c r="Y25" s="102"/>
      <c r="Z25" s="102"/>
      <c r="AA25" s="102"/>
      <c r="AB25" s="102"/>
      <c r="AC25" s="102"/>
      <c r="AD25" s="102"/>
      <c r="AE25" s="102"/>
      <c r="AF25" s="102"/>
      <c r="AG25" s="102"/>
      <c r="AH25" s="102"/>
      <c r="AI25" s="199" t="s">
        <v>193</v>
      </c>
      <c r="AJ25" s="159" t="str">
        <f t="shared" ref="AJ25:AJ30" si="30">IF(ISERROR(VLOOKUP(MID($D25,1,LEN($D25)-LEN(" Mercenary")),$AJ$58:$AL$67,3,0)),IF(ISERROR(VLOOKUP(D25,AK48:AK57,1,0)),"","Star"),VLOOKUP(MID($D25,1,LEN($D25)-LEN(" Mercenary")),$AJ$58:$AL$67,3,0))</f>
        <v/>
      </c>
      <c r="AK25" s="123"/>
      <c r="AL25" s="123"/>
      <c r="AM25" s="123"/>
      <c r="AN25" s="123"/>
      <c r="AO25" s="123"/>
      <c r="AP25" s="123"/>
      <c r="AQ25" s="159" t="str">
        <f t="array" ref="AQ25">IF($AJ25&lt;&gt;"",SUM(IF($AJ25=$AJ$6:$AJ25,IF($L$6:$L25=T_MNG,1,0),0)),"")</f>
        <v/>
      </c>
      <c r="AR25" s="105"/>
      <c r="AS25" s="105"/>
      <c r="AT25" s="105"/>
      <c r="AU25" s="105"/>
      <c r="AV25" s="102"/>
      <c r="AW25" s="102"/>
      <c r="AX25" s="102"/>
      <c r="AY25" s="102"/>
    </row>
    <row r="26" spans="1:51" ht="13.5" customHeight="1">
      <c r="A26" s="102"/>
      <c r="B26" s="114"/>
      <c r="C26" s="208"/>
      <c r="D26" s="346"/>
      <c r="E26" s="316"/>
      <c r="F26" s="205" t="str">
        <f>IF($D26="","",IF($AJ26="",T_Error&amp;"1",IF(COUNTIF($D$25:$D26,"&lt;&gt;")&gt;$R$31,T_Error&amp;"3",IF(ISERROR(FIND(T_Merc,$D26)),IF(COUNTIF($D$25:$D26,D26)&gt;1,T_Error&amp;"4",IF(COUNTIF($AJ$25:$AJ26,"=Star")&gt;2,T_Error&amp;"5",IF(AND($D26=Brick,$F$31&lt;&gt;"1/1"),T_Error&amp;"6","1/1"))),IF(COUNTIF($AJ$6:$AJ26,$AJ26)-$AQ26&gt;VLOOKUP($AJ26,DBPlayers,2,0)+VLOOKUP($AJ26,$AL$58:$AM$67,2,0),T_Error&amp;"2",COUNTIF($AJ$6:$AJ26,$AJ26)-$AQ26&amp;"/"&amp;(VLOOKUP($AJ26,DBPlayers,2,0)))))))</f>
        <v/>
      </c>
      <c r="G26" s="205" t="str">
        <f t="shared" si="23"/>
        <v/>
      </c>
      <c r="H26" s="205" t="str">
        <f t="shared" si="24"/>
        <v/>
      </c>
      <c r="I26" s="205" t="str">
        <f t="shared" si="25"/>
        <v/>
      </c>
      <c r="J26" s="205" t="str">
        <f t="shared" si="26"/>
        <v/>
      </c>
      <c r="K26" s="347" t="str">
        <f t="shared" ca="1" si="27"/>
        <v/>
      </c>
      <c r="L26" s="316"/>
      <c r="M26" s="316"/>
      <c r="N26" s="316"/>
      <c r="O26" s="316"/>
      <c r="P26" s="316"/>
      <c r="Q26" s="316"/>
      <c r="R26" s="316"/>
      <c r="S26" s="206" t="str">
        <f t="shared" si="28"/>
        <v/>
      </c>
      <c r="T26" s="117"/>
      <c r="U26" s="207" t="str">
        <f t="shared" si="29"/>
        <v/>
      </c>
      <c r="V26" s="334"/>
      <c r="W26" s="316"/>
      <c r="X26" s="121"/>
      <c r="Y26" s="102"/>
      <c r="Z26" s="102"/>
      <c r="AA26" s="102"/>
      <c r="AB26" s="102"/>
      <c r="AC26" s="102"/>
      <c r="AD26" s="102"/>
      <c r="AE26" s="102"/>
      <c r="AF26" s="102"/>
      <c r="AG26" s="102"/>
      <c r="AH26" s="102"/>
      <c r="AI26" s="199" t="s">
        <v>194</v>
      </c>
      <c r="AJ26" s="159" t="str">
        <f t="shared" si="30"/>
        <v/>
      </c>
      <c r="AK26" s="123"/>
      <c r="AL26" s="123"/>
      <c r="AM26" s="123"/>
      <c r="AN26" s="123"/>
      <c r="AO26" s="123"/>
      <c r="AP26" s="123"/>
      <c r="AQ26" s="159" t="str">
        <f t="array" ref="AQ26">IF($AJ26&lt;&gt;"",SUM(IF($AJ26=$AJ$6:$AJ26,IF($L$6:$L26=T_MNG,1,0),0)),"")</f>
        <v/>
      </c>
      <c r="AR26" s="105"/>
      <c r="AS26" s="105"/>
      <c r="AT26" s="105"/>
      <c r="AU26" s="105"/>
      <c r="AV26" s="102"/>
      <c r="AW26" s="102"/>
      <c r="AX26" s="102"/>
      <c r="AY26" s="102"/>
    </row>
    <row r="27" spans="1:51" ht="13.5" customHeight="1">
      <c r="A27" s="102"/>
      <c r="B27" s="114"/>
      <c r="C27" s="208"/>
      <c r="D27" s="346"/>
      <c r="E27" s="316"/>
      <c r="F27" s="205" t="str">
        <f>IF($D27="","",IF($AJ27="",T_Error&amp;"1",IF(COUNTIF($D$25:$D27,"&lt;&gt;")&gt;$R$31,T_Error&amp;"3",IF(ISERROR(FIND(T_Merc,$D27)),IF(COUNTIF($D$25:$D27,D27)&gt;1,T_Error&amp;"4",IF(COUNTIF($AJ$25:$AJ27,"=Star")&gt;2,T_Error&amp;"5",IF(AND($D27=Brick,$F$31&lt;&gt;"1/1"),T_Error&amp;"6","1/1"))),IF(COUNTIF($AJ$6:$AJ27,$AJ27)-$AQ27&gt;VLOOKUP($AJ27,DBPlayers,2,0)+VLOOKUP($AJ27,$AL$58:$AM$67,2,0),T_Error&amp;"2",COUNTIF($AJ$6:$AJ27,$AJ27)-$AQ27&amp;"/"&amp;(VLOOKUP($AJ27,DBPlayers,2,0)))))))</f>
        <v/>
      </c>
      <c r="G27" s="205" t="str">
        <f t="shared" si="23"/>
        <v/>
      </c>
      <c r="H27" s="205" t="str">
        <f t="shared" si="24"/>
        <v/>
      </c>
      <c r="I27" s="205" t="str">
        <f t="shared" si="25"/>
        <v/>
      </c>
      <c r="J27" s="205" t="str">
        <f t="shared" si="26"/>
        <v/>
      </c>
      <c r="K27" s="347" t="str">
        <f t="shared" ca="1" si="27"/>
        <v/>
      </c>
      <c r="L27" s="316"/>
      <c r="M27" s="316"/>
      <c r="N27" s="316"/>
      <c r="O27" s="316"/>
      <c r="P27" s="316"/>
      <c r="Q27" s="316"/>
      <c r="R27" s="316"/>
      <c r="S27" s="206" t="str">
        <f t="shared" si="28"/>
        <v/>
      </c>
      <c r="T27" s="117"/>
      <c r="U27" s="207" t="str">
        <f t="shared" si="29"/>
        <v/>
      </c>
      <c r="V27" s="334"/>
      <c r="W27" s="316"/>
      <c r="X27" s="121"/>
      <c r="Y27" s="102"/>
      <c r="Z27" s="102"/>
      <c r="AA27" s="102"/>
      <c r="AB27" s="102"/>
      <c r="AC27" s="102"/>
      <c r="AD27" s="102"/>
      <c r="AE27" s="102"/>
      <c r="AF27" s="102"/>
      <c r="AG27" s="102"/>
      <c r="AH27" s="102"/>
      <c r="AI27" s="199" t="s">
        <v>195</v>
      </c>
      <c r="AJ27" s="159" t="str">
        <f t="shared" si="30"/>
        <v/>
      </c>
      <c r="AK27" s="123"/>
      <c r="AL27" s="123"/>
      <c r="AM27" s="123"/>
      <c r="AN27" s="123"/>
      <c r="AO27" s="123"/>
      <c r="AP27" s="123"/>
      <c r="AQ27" s="159" t="str">
        <f t="array" ref="AQ27">IF($AJ27&lt;&gt;"",SUM(IF($AJ27=$AJ$6:$AJ27,IF($L$6:$L27=T_MNG,1,0),0)),"")</f>
        <v/>
      </c>
      <c r="AR27" s="105"/>
      <c r="AS27" s="105"/>
      <c r="AT27" s="105"/>
      <c r="AU27" s="105"/>
      <c r="AV27" s="102"/>
      <c r="AW27" s="102"/>
      <c r="AX27" s="102"/>
      <c r="AY27" s="102"/>
    </row>
    <row r="28" spans="1:51" ht="13.5" customHeight="1">
      <c r="A28" s="102"/>
      <c r="B28" s="114"/>
      <c r="C28" s="187"/>
      <c r="D28" s="346"/>
      <c r="E28" s="316"/>
      <c r="F28" s="205" t="str">
        <f>IF($D28="","",IF($AJ28="",T_Error&amp;"1",IF(COUNTIF($D$25:$D28,"&lt;&gt;")&gt;$R$31,T_Error&amp;"3",IF(ISERROR(FIND(T_Merc,$D28)),IF(COUNTIF($D$25:$D28,D28)&gt;1,T_Error&amp;"4",IF(COUNTIF($AJ$25:$AJ28,"=Star")&gt;2,T_Error&amp;"5",IF(AND($D28=Brick,$F$31&lt;&gt;"1/1"),T_Error&amp;"6","1/1"))),IF(COUNTIF($AJ$6:$AJ28,$AJ28)-$AQ28&gt;VLOOKUP($AJ28,DBPlayers,2,0)+VLOOKUP($AJ28,$AL$58:$AM$67,2,0),T_Error&amp;"2",COUNTIF($AJ$6:$AJ28,$AJ28)-$AQ28&amp;"/"&amp;(VLOOKUP($AJ28,DBPlayers,2,0)))))))</f>
        <v/>
      </c>
      <c r="G28" s="205" t="str">
        <f t="shared" si="23"/>
        <v/>
      </c>
      <c r="H28" s="205" t="str">
        <f t="shared" si="24"/>
        <v/>
      </c>
      <c r="I28" s="205" t="str">
        <f t="shared" si="25"/>
        <v/>
      </c>
      <c r="J28" s="205" t="str">
        <f t="shared" si="26"/>
        <v/>
      </c>
      <c r="K28" s="347" t="str">
        <f t="shared" ca="1" si="27"/>
        <v/>
      </c>
      <c r="L28" s="316"/>
      <c r="M28" s="316"/>
      <c r="N28" s="316"/>
      <c r="O28" s="316"/>
      <c r="P28" s="316"/>
      <c r="Q28" s="316"/>
      <c r="R28" s="316"/>
      <c r="S28" s="206" t="str">
        <f t="shared" si="28"/>
        <v/>
      </c>
      <c r="T28" s="117"/>
      <c r="U28" s="207" t="str">
        <f t="shared" si="29"/>
        <v/>
      </c>
      <c r="V28" s="334"/>
      <c r="W28" s="316"/>
      <c r="X28" s="121"/>
      <c r="Y28" s="102"/>
      <c r="Z28" s="102"/>
      <c r="AA28" s="102"/>
      <c r="AB28" s="102"/>
      <c r="AC28" s="102"/>
      <c r="AD28" s="102"/>
      <c r="AE28" s="102"/>
      <c r="AF28" s="102"/>
      <c r="AG28" s="102"/>
      <c r="AH28" s="102"/>
      <c r="AI28" s="199" t="s">
        <v>196</v>
      </c>
      <c r="AJ28" s="159" t="str">
        <f t="shared" si="30"/>
        <v/>
      </c>
      <c r="AK28" s="123"/>
      <c r="AL28" s="123"/>
      <c r="AM28" s="123"/>
      <c r="AN28" s="123"/>
      <c r="AO28" s="123"/>
      <c r="AP28" s="123"/>
      <c r="AQ28" s="159" t="str">
        <f t="array" ref="AQ28">IF($AJ28&lt;&gt;"",SUM(IF($AJ28=$AJ$6:$AJ28,IF($L$6:$L28=T_MNG,1,0),0)),"")</f>
        <v/>
      </c>
      <c r="AR28" s="105"/>
      <c r="AS28" s="105"/>
      <c r="AT28" s="105"/>
      <c r="AU28" s="105"/>
      <c r="AV28" s="102"/>
      <c r="AW28" s="102"/>
      <c r="AX28" s="102"/>
      <c r="AY28" s="102"/>
    </row>
    <row r="29" spans="1:51" ht="13.5" customHeight="1">
      <c r="A29" s="102"/>
      <c r="B29" s="114"/>
      <c r="C29" s="190"/>
      <c r="D29" s="346"/>
      <c r="E29" s="316"/>
      <c r="F29" s="205" t="str">
        <f>IF($D29="","",IF($AJ29="",T_Error&amp;"1",IF(COUNTIF($D$25:$D29,"&lt;&gt;")&gt;$R$31,T_Error&amp;"3",IF(ISERROR(FIND(T_Merc,$D29)),IF(COUNTIF($D$25:$D29,D29)&gt;1,T_Error&amp;"4",IF(COUNTIF($AJ$25:$AJ29,"=Star")&gt;2,T_Error&amp;"5",IF(AND($D29=Brick,$F$31&lt;&gt;"1/1"),T_Error&amp;"6","1/1"))),IF(COUNTIF($AJ$6:$AJ29,$AJ29)-$AQ29&gt;VLOOKUP($AJ29,DBPlayers,2,0)+VLOOKUP($AJ29,$AL$58:$AM$67,2,0),T_Error&amp;"2",COUNTIF($AJ$6:$AJ29,$AJ29)-$AQ29&amp;"/"&amp;(VLOOKUP($AJ29,DBPlayers,2,0)))))))</f>
        <v/>
      </c>
      <c r="G29" s="205" t="str">
        <f t="shared" si="23"/>
        <v/>
      </c>
      <c r="H29" s="205" t="str">
        <f t="shared" si="24"/>
        <v/>
      </c>
      <c r="I29" s="205" t="str">
        <f t="shared" si="25"/>
        <v/>
      </c>
      <c r="J29" s="205" t="str">
        <f t="shared" si="26"/>
        <v/>
      </c>
      <c r="K29" s="347" t="str">
        <f t="shared" ca="1" si="27"/>
        <v/>
      </c>
      <c r="L29" s="316"/>
      <c r="M29" s="316"/>
      <c r="N29" s="316"/>
      <c r="O29" s="316"/>
      <c r="P29" s="316"/>
      <c r="Q29" s="316"/>
      <c r="R29" s="316"/>
      <c r="S29" s="206" t="str">
        <f t="shared" si="28"/>
        <v/>
      </c>
      <c r="T29" s="117"/>
      <c r="U29" s="207" t="str">
        <f t="shared" si="29"/>
        <v/>
      </c>
      <c r="V29" s="334"/>
      <c r="W29" s="316"/>
      <c r="X29" s="121"/>
      <c r="Y29" s="102"/>
      <c r="Z29" s="102"/>
      <c r="AA29" s="102"/>
      <c r="AB29" s="102"/>
      <c r="AC29" s="102"/>
      <c r="AD29" s="102"/>
      <c r="AE29" s="102"/>
      <c r="AF29" s="102"/>
      <c r="AG29" s="102"/>
      <c r="AH29" s="102"/>
      <c r="AI29" s="199" t="s">
        <v>197</v>
      </c>
      <c r="AJ29" s="159" t="str">
        <f t="shared" si="30"/>
        <v/>
      </c>
      <c r="AK29" s="123"/>
      <c r="AL29" s="123"/>
      <c r="AM29" s="123"/>
      <c r="AN29" s="123"/>
      <c r="AO29" s="123"/>
      <c r="AP29" s="123"/>
      <c r="AQ29" s="159" t="str">
        <f t="array" ref="AQ29">IF($AJ29&lt;&gt;"",SUM(IF($AJ29=$AJ$6:$AJ29,IF($L$6:$L29=T_MNG,1,0),0)),"")</f>
        <v/>
      </c>
      <c r="AR29" s="105"/>
      <c r="AS29" s="105"/>
      <c r="AT29" s="105"/>
      <c r="AU29" s="105"/>
      <c r="AV29" s="102"/>
      <c r="AW29" s="102"/>
      <c r="AX29" s="102"/>
      <c r="AY29" s="102"/>
    </row>
    <row r="30" spans="1:51" ht="13.5" customHeight="1">
      <c r="A30" s="102"/>
      <c r="B30" s="114"/>
      <c r="C30" s="190"/>
      <c r="D30" s="346"/>
      <c r="E30" s="316"/>
      <c r="F30" s="205" t="str">
        <f>IF($D30="","",IF($AJ30="",T_Error&amp;"1",IF(COUNTIF($D$25:$D30,"&lt;&gt;")&gt;$R$31,T_Error&amp;"3",IF(ISERROR(FIND(T_Merc,$D30)),IF(COUNTIF($D$25:$D30,D30)&gt;1,T_Error&amp;"4",IF(COUNTIF($AJ$25:$AJ30,"=Star")&gt;2,T_Error&amp;"5",IF(AND($D30=Brick,$F$31&lt;&gt;"1/1"),T_Error&amp;"6","1/1"))),IF(COUNTIF($AJ$6:$AJ30,$AJ30)-$AQ30&gt;VLOOKUP($AJ30,DBPlayers,2,0)+VLOOKUP($AJ30,$AL$58:$AM$67,2,0),T_Error&amp;"2",COUNTIF($AJ$6:$AJ30,$AJ30)-$AQ30&amp;"/"&amp;(VLOOKUP($AJ30,DBPlayers,2,0)))))))</f>
        <v/>
      </c>
      <c r="G30" s="205" t="str">
        <f t="shared" si="23"/>
        <v/>
      </c>
      <c r="H30" s="205" t="str">
        <f t="shared" si="24"/>
        <v/>
      </c>
      <c r="I30" s="205" t="str">
        <f t="shared" si="25"/>
        <v/>
      </c>
      <c r="J30" s="205" t="str">
        <f t="shared" si="26"/>
        <v/>
      </c>
      <c r="K30" s="347" t="str">
        <f t="shared" ca="1" si="27"/>
        <v/>
      </c>
      <c r="L30" s="316"/>
      <c r="M30" s="316"/>
      <c r="N30" s="316"/>
      <c r="O30" s="316"/>
      <c r="P30" s="316"/>
      <c r="Q30" s="316"/>
      <c r="R30" s="316"/>
      <c r="S30" s="206" t="str">
        <f t="shared" si="28"/>
        <v/>
      </c>
      <c r="T30" s="117"/>
      <c r="U30" s="207" t="str">
        <f t="shared" si="29"/>
        <v/>
      </c>
      <c r="V30" s="334"/>
      <c r="W30" s="316"/>
      <c r="X30" s="121"/>
      <c r="Y30" s="209"/>
      <c r="Z30" s="102"/>
      <c r="AA30" s="102"/>
      <c r="AB30" s="102"/>
      <c r="AC30" s="102"/>
      <c r="AD30" s="102"/>
      <c r="AE30" s="102"/>
      <c r="AF30" s="102"/>
      <c r="AG30" s="102"/>
      <c r="AH30" s="102"/>
      <c r="AI30" s="199" t="s">
        <v>198</v>
      </c>
      <c r="AJ30" s="159" t="str">
        <f t="shared" si="30"/>
        <v/>
      </c>
      <c r="AK30" s="123"/>
      <c r="AL30" s="123"/>
      <c r="AM30" s="123"/>
      <c r="AN30" s="123"/>
      <c r="AO30" s="123"/>
      <c r="AP30" s="123"/>
      <c r="AQ30" s="159" t="str">
        <f t="array" ref="AQ30">IF($AJ30&lt;&gt;"",SUM(IF($AJ30=$AJ$6:$AJ30,IF($L$6:$L30=T_MNG,1,0),0)),"")</f>
        <v/>
      </c>
      <c r="AR30" s="105"/>
      <c r="AS30" s="105"/>
      <c r="AT30" s="105"/>
      <c r="AU30" s="105"/>
      <c r="AV30" s="102"/>
      <c r="AW30" s="102"/>
      <c r="AX30" s="102"/>
      <c r="AY30" s="102"/>
    </row>
    <row r="31" spans="1:51" ht="13.5" customHeight="1">
      <c r="A31" s="102"/>
      <c r="B31" s="114"/>
      <c r="C31" s="190"/>
      <c r="D31" s="210"/>
      <c r="E31" s="210"/>
      <c r="F31" s="205" t="str">
        <f>IF($D31="","",IF(COUNTIF($D$25:$D31,"&lt;&gt;")&gt;$R$31,T_Error&amp;"3",IF(COUNTIF($AJ$25:$AJ30,"=Star")&gt;2,T_Error&amp;"5","1/1")))</f>
        <v/>
      </c>
      <c r="G31" s="205" t="str">
        <f>IF(OR(LEFT($F31,LEN(T_Error))=T_Error,$D31=""),"",VLOOKUP($D31,DBStars,2,0))</f>
        <v/>
      </c>
      <c r="H31" s="205" t="str">
        <f>IF(OR(LEFT($F31,LEN(T_Error))=T_Error,$D31=""),"",VLOOKUP($D31,DBStars,3,0))</f>
        <v/>
      </c>
      <c r="I31" s="205" t="str">
        <f>IF(OR(LEFT($F31,LEN(T_Error))=T_Error,$D31=""),"",VLOOKUP($D31,DBStars,4,0))</f>
        <v/>
      </c>
      <c r="J31" s="205" t="str">
        <f>IF(OR(LEFT($F31,LEN(T_Error))=T_Error,$D31=""),"",VLOOKUP($D31,DBStars,5,0))</f>
        <v/>
      </c>
      <c r="K31" s="193" t="str">
        <f ca="1">IF($D31="","",IF(LEFT($F31,LEN(T_Error))=T_Error,INDIRECT("T_"&amp;$F31),VLOOKUP($D31,DBStars,6,0)))</f>
        <v/>
      </c>
      <c r="L31" s="343" t="s">
        <v>199</v>
      </c>
      <c r="M31" s="316"/>
      <c r="N31" s="316"/>
      <c r="O31" s="316"/>
      <c r="P31" s="316"/>
      <c r="Q31" s="189" t="str">
        <f>COUNTIF(J25:J31,"&gt;0")&amp;" /"</f>
        <v>0 /</v>
      </c>
      <c r="R31" s="211">
        <f>16-COUNTIF(S6:S21,"&gt;0")</f>
        <v>3</v>
      </c>
      <c r="S31" s="206"/>
      <c r="T31" s="117"/>
      <c r="U31" s="207" t="str">
        <f>IF($D31="","",IF(ISERROR(FIND("Mercenary",$D31)),"",VLOOKUP($AJ31,DBPlayers,9,0)))</f>
        <v/>
      </c>
      <c r="V31" s="154"/>
      <c r="W31" s="154"/>
      <c r="X31" s="121"/>
      <c r="Y31" s="102"/>
      <c r="Z31" s="102"/>
      <c r="AA31" s="102"/>
      <c r="AB31" s="102"/>
      <c r="AC31" s="102"/>
      <c r="AD31" s="102"/>
      <c r="AE31" s="102"/>
      <c r="AF31" s="102"/>
      <c r="AG31" s="102"/>
      <c r="AH31" s="102"/>
      <c r="AI31" s="102"/>
      <c r="AJ31" s="102"/>
      <c r="AK31" s="102"/>
      <c r="AL31" s="102"/>
      <c r="AM31" s="102"/>
      <c r="AN31" s="102"/>
      <c r="AO31" s="102"/>
      <c r="AP31" s="102"/>
      <c r="AQ31" s="102"/>
      <c r="AR31" s="105"/>
      <c r="AS31" s="105"/>
      <c r="AT31" s="105"/>
      <c r="AU31" s="105"/>
      <c r="AV31" s="102"/>
      <c r="AW31" s="102"/>
      <c r="AX31" s="102"/>
      <c r="AY31" s="102"/>
    </row>
    <row r="32" spans="1:51" ht="3" customHeight="1">
      <c r="A32" s="102"/>
      <c r="B32" s="107"/>
      <c r="C32" s="108"/>
      <c r="D32" s="109"/>
      <c r="E32" s="109"/>
      <c r="F32" s="110"/>
      <c r="G32" s="108"/>
      <c r="H32" s="108"/>
      <c r="I32" s="108"/>
      <c r="J32" s="108"/>
      <c r="K32" s="109"/>
      <c r="L32" s="109"/>
      <c r="M32" s="109"/>
      <c r="N32" s="109"/>
      <c r="O32" s="109"/>
      <c r="P32" s="109"/>
      <c r="Q32" s="109"/>
      <c r="R32" s="109"/>
      <c r="S32" s="201"/>
      <c r="T32" s="111"/>
      <c r="U32" s="121"/>
      <c r="V32" s="121"/>
      <c r="W32" s="121"/>
      <c r="X32" s="121"/>
      <c r="Y32" s="102"/>
      <c r="Z32" s="102"/>
      <c r="AA32" s="102"/>
      <c r="AB32" s="102"/>
      <c r="AC32" s="102"/>
      <c r="AD32" s="102"/>
      <c r="AE32" s="102"/>
      <c r="AF32" s="102"/>
      <c r="AG32" s="102"/>
      <c r="AH32" s="102"/>
      <c r="AI32" s="102"/>
      <c r="AJ32" s="102"/>
      <c r="AK32" s="102"/>
      <c r="AL32" s="102"/>
      <c r="AM32" s="102"/>
      <c r="AN32" s="102"/>
      <c r="AO32" s="102"/>
      <c r="AP32" s="102"/>
      <c r="AQ32" s="102"/>
      <c r="AR32" s="105"/>
      <c r="AS32" s="105"/>
      <c r="AT32" s="105"/>
      <c r="AU32" s="105"/>
      <c r="AV32" s="102"/>
      <c r="AW32" s="102"/>
      <c r="AX32" s="102"/>
      <c r="AY32" s="102"/>
    </row>
    <row r="33" spans="1:51" ht="13.5" customHeight="1">
      <c r="A33" s="102"/>
      <c r="B33" s="114"/>
      <c r="C33" s="115"/>
      <c r="D33" s="345" t="s">
        <v>361</v>
      </c>
      <c r="E33" s="316"/>
      <c r="F33" s="316"/>
      <c r="G33" s="316"/>
      <c r="H33" s="316"/>
      <c r="I33" s="316"/>
      <c r="J33" s="115"/>
      <c r="K33" s="212"/>
      <c r="L33" s="345" t="s">
        <v>201</v>
      </c>
      <c r="M33" s="316"/>
      <c r="N33" s="316"/>
      <c r="O33" s="316"/>
      <c r="P33" s="316"/>
      <c r="Q33" s="316"/>
      <c r="R33" s="316"/>
      <c r="S33" s="213"/>
      <c r="T33" s="117"/>
      <c r="U33" s="102"/>
      <c r="V33" s="106"/>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5"/>
      <c r="AS33" s="105"/>
      <c r="AT33" s="105"/>
      <c r="AU33" s="105"/>
      <c r="AV33" s="102"/>
      <c r="AW33" s="102"/>
      <c r="AX33" s="102"/>
      <c r="AY33" s="102"/>
    </row>
    <row r="34" spans="1:51" ht="13.5" customHeight="1">
      <c r="A34" s="102"/>
      <c r="B34" s="114"/>
      <c r="C34" s="191"/>
      <c r="D34" s="343" t="s">
        <v>202</v>
      </c>
      <c r="E34" s="316"/>
      <c r="F34" s="116">
        <v>0</v>
      </c>
      <c r="G34" s="189" t="s">
        <v>203</v>
      </c>
      <c r="H34" s="344">
        <v>50000</v>
      </c>
      <c r="I34" s="316"/>
      <c r="J34" s="190"/>
      <c r="K34" s="191"/>
      <c r="L34" s="189" t="s">
        <v>204</v>
      </c>
      <c r="M34" s="187">
        <v>3</v>
      </c>
      <c r="N34" s="189" t="s">
        <v>203</v>
      </c>
      <c r="O34" s="352">
        <f>IF(ISERROR(VLOOKUP($E$3,Database!$B$6:$C$30,2,0)),0,VLOOKUP($E$3,Database!$B$6:$C$30,2,0))</f>
        <v>70000</v>
      </c>
      <c r="P34" s="316"/>
      <c r="Q34" s="316"/>
      <c r="R34" s="191" t="s">
        <v>205</v>
      </c>
      <c r="S34" s="194">
        <f>M34*O34</f>
        <v>210000</v>
      </c>
      <c r="T34" s="117"/>
      <c r="U34" s="214"/>
      <c r="V34" s="106"/>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5"/>
      <c r="AS34" s="105"/>
      <c r="AT34" s="105"/>
      <c r="AU34" s="105"/>
      <c r="AV34" s="102"/>
      <c r="AW34" s="102"/>
      <c r="AX34" s="102"/>
      <c r="AY34" s="102"/>
    </row>
    <row r="35" spans="1:51" ht="13.5" customHeight="1">
      <c r="A35" s="102"/>
      <c r="B35" s="114"/>
      <c r="C35" s="191"/>
      <c r="D35" s="343" t="s">
        <v>206</v>
      </c>
      <c r="E35" s="316"/>
      <c r="F35" s="116">
        <v>0</v>
      </c>
      <c r="G35" s="189" t="s">
        <v>203</v>
      </c>
      <c r="H35" s="344">
        <f>IF($E$3=Goblin,50000,100000)</f>
        <v>100000</v>
      </c>
      <c r="I35" s="316"/>
      <c r="J35" s="190"/>
      <c r="K35" s="191"/>
      <c r="L35" s="189" t="s">
        <v>207</v>
      </c>
      <c r="M35" s="187">
        <v>2</v>
      </c>
      <c r="N35" s="189" t="s">
        <v>203</v>
      </c>
      <c r="O35" s="352">
        <v>10000</v>
      </c>
      <c r="P35" s="316"/>
      <c r="Q35" s="316"/>
      <c r="R35" s="191" t="s">
        <v>205</v>
      </c>
      <c r="S35" s="194">
        <f t="shared" ref="S35:S38" si="31">O35*M35</f>
        <v>20000</v>
      </c>
      <c r="T35" s="117"/>
      <c r="U35" s="11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5"/>
      <c r="AS35" s="105"/>
      <c r="AT35" s="105"/>
      <c r="AU35" s="105"/>
      <c r="AV35" s="102"/>
      <c r="AW35" s="102"/>
      <c r="AX35" s="102"/>
      <c r="AY35" s="102"/>
    </row>
    <row r="36" spans="1:51" ht="13.5" customHeight="1">
      <c r="A36" s="102"/>
      <c r="B36" s="114"/>
      <c r="C36" s="191"/>
      <c r="D36" s="343" t="s">
        <v>208</v>
      </c>
      <c r="E36" s="316"/>
      <c r="F36" s="116">
        <v>0</v>
      </c>
      <c r="G36" s="189" t="s">
        <v>203</v>
      </c>
      <c r="H36" s="344">
        <v>100000</v>
      </c>
      <c r="I36" s="316"/>
      <c r="J36" s="190"/>
      <c r="K36" s="191"/>
      <c r="L36" s="189" t="s">
        <v>209</v>
      </c>
      <c r="M36" s="187">
        <v>0</v>
      </c>
      <c r="N36" s="189" t="s">
        <v>203</v>
      </c>
      <c r="O36" s="352">
        <v>10000</v>
      </c>
      <c r="P36" s="316"/>
      <c r="Q36" s="316"/>
      <c r="R36" s="191" t="s">
        <v>205</v>
      </c>
      <c r="S36" s="194">
        <f t="shared" si="31"/>
        <v>0</v>
      </c>
      <c r="T36" s="117"/>
      <c r="U36" s="214"/>
      <c r="V36" s="106"/>
      <c r="W36" s="102"/>
      <c r="X36" s="102"/>
      <c r="Y36" s="113"/>
      <c r="Z36" s="113"/>
      <c r="AA36" s="113"/>
      <c r="AB36" s="102"/>
      <c r="AC36" s="102"/>
      <c r="AD36" s="102"/>
      <c r="AE36" s="102"/>
      <c r="AF36" s="102"/>
      <c r="AG36" s="102"/>
      <c r="AH36" s="102"/>
      <c r="AI36" s="102"/>
      <c r="AJ36" s="102"/>
      <c r="AK36" s="102"/>
      <c r="AL36" s="102"/>
      <c r="AM36" s="102"/>
      <c r="AN36" s="102"/>
      <c r="AO36" s="102"/>
      <c r="AP36" s="102"/>
      <c r="AQ36" s="102"/>
      <c r="AR36" s="105"/>
      <c r="AS36" s="105"/>
      <c r="AT36" s="105"/>
      <c r="AU36" s="105"/>
      <c r="AV36" s="102"/>
      <c r="AW36" s="102"/>
      <c r="AX36" s="102"/>
      <c r="AY36" s="102"/>
    </row>
    <row r="37" spans="1:51" ht="13.5" customHeight="1">
      <c r="A37" s="102"/>
      <c r="B37" s="114"/>
      <c r="C37" s="191"/>
      <c r="D37" s="343" t="s">
        <v>210</v>
      </c>
      <c r="E37" s="316"/>
      <c r="F37" s="116">
        <v>0</v>
      </c>
      <c r="G37" s="189" t="s">
        <v>203</v>
      </c>
      <c r="H37" s="344">
        <f>IF($E$3=Halfling,100000,300000)</f>
        <v>300000</v>
      </c>
      <c r="I37" s="316"/>
      <c r="J37" s="190"/>
      <c r="K37" s="191"/>
      <c r="L37" s="189" t="s">
        <v>211</v>
      </c>
      <c r="M37" s="187">
        <v>0</v>
      </c>
      <c r="N37" s="189" t="s">
        <v>203</v>
      </c>
      <c r="O37" s="352">
        <v>10000</v>
      </c>
      <c r="P37" s="316"/>
      <c r="Q37" s="316"/>
      <c r="R37" s="191" t="s">
        <v>205</v>
      </c>
      <c r="S37" s="194">
        <f t="shared" si="31"/>
        <v>0</v>
      </c>
      <c r="T37" s="117"/>
      <c r="U37" s="214"/>
      <c r="V37" s="215"/>
      <c r="W37" s="113"/>
      <c r="X37" s="113"/>
      <c r="Y37" s="216"/>
      <c r="Z37" s="113"/>
      <c r="AA37" s="217"/>
      <c r="AB37" s="102"/>
      <c r="AC37" s="102"/>
      <c r="AD37" s="102"/>
      <c r="AE37" s="102"/>
      <c r="AF37" s="102"/>
      <c r="AG37" s="102"/>
      <c r="AH37" s="102"/>
      <c r="AI37" s="102"/>
      <c r="AJ37" s="102"/>
      <c r="AK37" s="102"/>
      <c r="AL37" s="102"/>
      <c r="AM37" s="102"/>
      <c r="AN37" s="102"/>
      <c r="AO37" s="102"/>
      <c r="AP37" s="102"/>
      <c r="AQ37" s="102"/>
      <c r="AR37" s="105"/>
      <c r="AS37" s="105"/>
      <c r="AT37" s="105"/>
      <c r="AU37" s="105"/>
      <c r="AV37" s="102"/>
      <c r="AW37" s="102"/>
      <c r="AX37" s="102"/>
      <c r="AY37" s="102"/>
    </row>
    <row r="38" spans="1:51" ht="13.5" customHeight="1">
      <c r="A38" s="102"/>
      <c r="B38" s="114"/>
      <c r="C38" s="191"/>
      <c r="D38" s="343" t="s">
        <v>212</v>
      </c>
      <c r="E38" s="316"/>
      <c r="F38" s="116">
        <v>0</v>
      </c>
      <c r="G38" s="189" t="s">
        <v>203</v>
      </c>
      <c r="H38" s="344">
        <v>100000</v>
      </c>
      <c r="I38" s="316"/>
      <c r="J38" s="190"/>
      <c r="K38" s="191"/>
      <c r="L38" s="189" t="s">
        <v>213</v>
      </c>
      <c r="M38" s="187">
        <v>0</v>
      </c>
      <c r="N38" s="189" t="s">
        <v>203</v>
      </c>
      <c r="O38" s="352">
        <v>50000</v>
      </c>
      <c r="P38" s="316"/>
      <c r="Q38" s="316"/>
      <c r="R38" s="191" t="s">
        <v>205</v>
      </c>
      <c r="S38" s="194">
        <f t="shared" si="31"/>
        <v>0</v>
      </c>
      <c r="T38" s="117"/>
      <c r="U38" s="214"/>
      <c r="V38" s="112"/>
      <c r="W38" s="113"/>
      <c r="X38" s="113"/>
      <c r="Y38" s="113"/>
      <c r="Z38" s="113"/>
      <c r="AA38" s="113"/>
      <c r="AB38" s="102"/>
      <c r="AC38" s="102"/>
      <c r="AD38" s="102"/>
      <c r="AE38" s="102"/>
      <c r="AF38" s="102"/>
      <c r="AG38" s="102"/>
      <c r="AH38" s="102"/>
      <c r="AI38" s="102"/>
      <c r="AJ38" s="102"/>
      <c r="AK38" s="102"/>
      <c r="AL38" s="102"/>
      <c r="AM38" s="102"/>
      <c r="AN38" s="102"/>
      <c r="AO38" s="102"/>
      <c r="AP38" s="102"/>
      <c r="AQ38" s="102"/>
      <c r="AR38" s="105"/>
      <c r="AS38" s="105"/>
      <c r="AT38" s="105"/>
      <c r="AU38" s="105"/>
      <c r="AV38" s="102"/>
      <c r="AW38" s="102"/>
      <c r="AX38" s="102"/>
      <c r="AY38" s="102"/>
    </row>
    <row r="39" spans="1:51" ht="13.5" customHeight="1">
      <c r="A39" s="102"/>
      <c r="B39" s="114"/>
      <c r="C39" s="191"/>
      <c r="D39" s="343" t="s">
        <v>214</v>
      </c>
      <c r="E39" s="316"/>
      <c r="F39" s="116">
        <v>0</v>
      </c>
      <c r="G39" s="189" t="s">
        <v>203</v>
      </c>
      <c r="H39" s="344">
        <v>150000</v>
      </c>
      <c r="I39" s="316"/>
      <c r="J39" s="190"/>
      <c r="K39" s="212"/>
      <c r="L39" s="189" t="s">
        <v>215</v>
      </c>
      <c r="M39" s="353">
        <v>120000</v>
      </c>
      <c r="N39" s="316"/>
      <c r="O39" s="316"/>
      <c r="P39" s="316"/>
      <c r="Q39" s="212"/>
      <c r="R39" s="212"/>
      <c r="S39" s="115"/>
      <c r="T39" s="117"/>
      <c r="U39" s="214"/>
      <c r="V39" s="215"/>
      <c r="W39" s="113"/>
      <c r="X39" s="113"/>
      <c r="Y39" s="113"/>
      <c r="Z39" s="113"/>
      <c r="AA39" s="113"/>
      <c r="AB39" s="102"/>
      <c r="AC39" s="102"/>
      <c r="AD39" s="102"/>
      <c r="AE39" s="102"/>
      <c r="AF39" s="102"/>
      <c r="AG39" s="102"/>
      <c r="AH39" s="102"/>
      <c r="AI39" s="102"/>
      <c r="AJ39" s="102"/>
      <c r="AK39" s="102"/>
      <c r="AL39" s="102"/>
      <c r="AM39" s="102"/>
      <c r="AN39" s="102"/>
      <c r="AO39" s="102"/>
      <c r="AP39" s="102"/>
      <c r="AQ39" s="102"/>
      <c r="AR39" s="105"/>
      <c r="AS39" s="105"/>
      <c r="AT39" s="105"/>
      <c r="AU39" s="105"/>
      <c r="AV39" s="102"/>
      <c r="AW39" s="102"/>
      <c r="AX39" s="102"/>
      <c r="AY39" s="102"/>
    </row>
    <row r="40" spans="1:51" ht="13.5" customHeight="1">
      <c r="A40" s="102"/>
      <c r="B40" s="114"/>
      <c r="C40" s="191"/>
      <c r="D40" s="343" t="s">
        <v>216</v>
      </c>
      <c r="E40" s="316"/>
      <c r="F40" s="116">
        <v>0</v>
      </c>
      <c r="G40" s="189" t="s">
        <v>203</v>
      </c>
      <c r="H40" s="344">
        <v>100000</v>
      </c>
      <c r="I40" s="316"/>
      <c r="J40" s="190"/>
      <c r="K40" s="212"/>
      <c r="L40" s="189"/>
      <c r="M40" s="115"/>
      <c r="N40" s="218"/>
      <c r="O40" s="218"/>
      <c r="P40" s="218"/>
      <c r="Q40" s="132" t="s">
        <v>217</v>
      </c>
      <c r="R40" s="350">
        <f>SUM(S6:S21,S34:S38)</f>
        <v>1230000</v>
      </c>
      <c r="S40" s="316"/>
      <c r="T40" s="117"/>
      <c r="U40" s="214"/>
      <c r="V40" s="215"/>
      <c r="W40" s="113"/>
      <c r="X40" s="113"/>
      <c r="Y40" s="113"/>
      <c r="Z40" s="113"/>
      <c r="AA40" s="113"/>
      <c r="AB40" s="102"/>
      <c r="AC40" s="102"/>
      <c r="AD40" s="102"/>
      <c r="AE40" s="102"/>
      <c r="AF40" s="102"/>
      <c r="AG40" s="102"/>
      <c r="AH40" s="102"/>
      <c r="AI40" s="102"/>
      <c r="AJ40" s="102"/>
      <c r="AK40" s="102"/>
      <c r="AL40" s="102"/>
      <c r="AM40" s="102"/>
      <c r="AN40" s="102"/>
      <c r="AO40" s="102"/>
      <c r="AP40" s="102"/>
      <c r="AQ40" s="102"/>
      <c r="AR40" s="105"/>
      <c r="AS40" s="105"/>
      <c r="AT40" s="105"/>
      <c r="AU40" s="105"/>
      <c r="AV40" s="102"/>
      <c r="AW40" s="102"/>
      <c r="AX40" s="102"/>
      <c r="AY40" s="102"/>
    </row>
    <row r="41" spans="1:51" ht="13.5" customHeight="1">
      <c r="A41" s="102"/>
      <c r="B41" s="114"/>
      <c r="C41" s="212"/>
      <c r="D41" s="343" t="s">
        <v>218</v>
      </c>
      <c r="E41" s="316"/>
      <c r="F41" s="349">
        <v>0</v>
      </c>
      <c r="G41" s="316"/>
      <c r="H41" s="316"/>
      <c r="I41" s="316"/>
      <c r="J41" s="212"/>
      <c r="K41" s="212"/>
      <c r="L41" s="212"/>
      <c r="M41" s="212"/>
      <c r="N41" s="191"/>
      <c r="O41" s="191"/>
      <c r="P41" s="191"/>
      <c r="Q41" s="132" t="s">
        <v>219</v>
      </c>
      <c r="R41" s="350">
        <f>SUMPRODUCT(F34:F40,H34:H40)+F41+F42</f>
        <v>0</v>
      </c>
      <c r="S41" s="316"/>
      <c r="T41" s="117"/>
      <c r="U41" s="214"/>
      <c r="V41" s="215"/>
      <c r="W41" s="113"/>
      <c r="X41" s="113"/>
      <c r="Y41" s="113"/>
      <c r="Z41" s="113"/>
      <c r="AA41" s="113"/>
      <c r="AB41" s="102"/>
      <c r="AC41" s="102"/>
      <c r="AD41" s="102"/>
      <c r="AE41" s="102"/>
      <c r="AF41" s="102"/>
      <c r="AG41" s="102"/>
      <c r="AH41" s="102"/>
      <c r="AI41" s="102"/>
      <c r="AJ41" s="102"/>
      <c r="AK41" s="102"/>
      <c r="AL41" s="102"/>
      <c r="AM41" s="102"/>
      <c r="AN41" s="102"/>
      <c r="AO41" s="102"/>
      <c r="AP41" s="102"/>
      <c r="AQ41" s="102"/>
      <c r="AR41" s="105"/>
      <c r="AS41" s="105"/>
      <c r="AT41" s="105"/>
      <c r="AU41" s="105"/>
      <c r="AV41" s="102"/>
      <c r="AW41" s="102"/>
      <c r="AX41" s="102"/>
      <c r="AY41" s="102"/>
    </row>
    <row r="42" spans="1:51" ht="13.5" customHeight="1">
      <c r="A42" s="102"/>
      <c r="B42" s="114"/>
      <c r="C42" s="191"/>
      <c r="D42" s="189"/>
      <c r="E42" s="189" t="s">
        <v>220</v>
      </c>
      <c r="F42" s="344">
        <f>SUM(S25:S30)</f>
        <v>0</v>
      </c>
      <c r="G42" s="316"/>
      <c r="H42" s="316"/>
      <c r="I42" s="316"/>
      <c r="J42" s="191"/>
      <c r="K42" s="191"/>
      <c r="L42" s="212"/>
      <c r="M42" s="212"/>
      <c r="N42" s="191"/>
      <c r="O42" s="191"/>
      <c r="P42" s="191"/>
      <c r="Q42" s="132" t="s">
        <v>221</v>
      </c>
      <c r="R42" s="350">
        <f>R40+R41</f>
        <v>1230000</v>
      </c>
      <c r="S42" s="316"/>
      <c r="T42" s="117"/>
      <c r="U42" s="214"/>
      <c r="V42" s="215"/>
      <c r="W42" s="113"/>
      <c r="X42" s="113"/>
      <c r="Y42" s="113"/>
      <c r="Z42" s="113"/>
      <c r="AA42" s="113"/>
      <c r="AB42" s="102"/>
      <c r="AC42" s="102"/>
      <c r="AD42" s="102"/>
      <c r="AE42" s="102"/>
      <c r="AF42" s="102"/>
      <c r="AG42" s="102"/>
      <c r="AH42" s="102"/>
      <c r="AI42" s="102"/>
      <c r="AJ42" s="102"/>
      <c r="AK42" s="102"/>
      <c r="AL42" s="102"/>
      <c r="AM42" s="102"/>
      <c r="AN42" s="102"/>
      <c r="AO42" s="102"/>
      <c r="AP42" s="102"/>
      <c r="AQ42" s="102"/>
      <c r="AR42" s="105"/>
      <c r="AS42" s="105"/>
      <c r="AT42" s="105"/>
      <c r="AU42" s="105"/>
      <c r="AV42" s="102"/>
      <c r="AW42" s="102"/>
      <c r="AX42" s="102"/>
      <c r="AY42" s="102"/>
    </row>
    <row r="43" spans="1:51" ht="3" customHeight="1">
      <c r="A43" s="102"/>
      <c r="B43" s="219"/>
      <c r="C43" s="220"/>
      <c r="D43" s="221"/>
      <c r="E43" s="221"/>
      <c r="F43" s="222"/>
      <c r="G43" s="220"/>
      <c r="H43" s="220"/>
      <c r="I43" s="220"/>
      <c r="J43" s="220"/>
      <c r="K43" s="221"/>
      <c r="L43" s="221"/>
      <c r="M43" s="221"/>
      <c r="N43" s="221"/>
      <c r="O43" s="221"/>
      <c r="P43" s="221"/>
      <c r="Q43" s="221"/>
      <c r="R43" s="221"/>
      <c r="S43" s="220"/>
      <c r="T43" s="223"/>
      <c r="U43" s="214"/>
      <c r="V43" s="215"/>
      <c r="W43" s="113"/>
      <c r="X43" s="113"/>
      <c r="Y43" s="113"/>
      <c r="Z43" s="113"/>
      <c r="AA43" s="113"/>
      <c r="AB43" s="102"/>
      <c r="AC43" s="102"/>
      <c r="AD43" s="102"/>
      <c r="AE43" s="102"/>
      <c r="AF43" s="102"/>
      <c r="AG43" s="102"/>
      <c r="AH43" s="102"/>
      <c r="AI43" s="102"/>
      <c r="AJ43" s="102"/>
      <c r="AK43" s="102"/>
      <c r="AL43" s="102"/>
      <c r="AM43" s="102"/>
      <c r="AN43" s="102"/>
      <c r="AO43" s="102"/>
      <c r="AP43" s="102"/>
      <c r="AQ43" s="102"/>
      <c r="AR43" s="105"/>
      <c r="AS43" s="105"/>
      <c r="AT43" s="105"/>
      <c r="AU43" s="105"/>
      <c r="AV43" s="102"/>
      <c r="AW43" s="102"/>
      <c r="AX43" s="102"/>
      <c r="AY43" s="102"/>
    </row>
    <row r="44" spans="1:51" ht="13.5" customHeight="1">
      <c r="A44" s="102"/>
      <c r="B44" s="102"/>
      <c r="C44" s="102"/>
      <c r="D44" s="102"/>
      <c r="E44" s="102"/>
      <c r="F44" s="102"/>
      <c r="G44" s="102"/>
      <c r="H44" s="102"/>
      <c r="I44" s="102"/>
      <c r="J44" s="102"/>
      <c r="K44" s="102"/>
      <c r="L44" s="102"/>
      <c r="M44" s="102"/>
      <c r="N44" s="102"/>
      <c r="O44" s="102"/>
      <c r="P44" s="102"/>
      <c r="Q44" s="102"/>
      <c r="R44" s="102"/>
      <c r="S44" s="105"/>
      <c r="T44" s="102"/>
      <c r="U44" s="102"/>
      <c r="V44" s="215"/>
      <c r="W44" s="113"/>
      <c r="X44" s="113"/>
      <c r="Y44" s="113"/>
      <c r="Z44" s="113"/>
      <c r="AA44" s="113"/>
      <c r="AB44" s="102"/>
      <c r="AC44" s="102"/>
      <c r="AD44" s="102"/>
      <c r="AE44" s="102"/>
      <c r="AF44" s="102"/>
      <c r="AG44" s="102"/>
      <c r="AH44" s="102"/>
      <c r="AI44" s="102"/>
      <c r="AJ44" s="102"/>
      <c r="AK44" s="102"/>
      <c r="AL44" s="102"/>
      <c r="AM44" s="102"/>
      <c r="AN44" s="102"/>
      <c r="AO44" s="102"/>
      <c r="AP44" s="102"/>
      <c r="AQ44" s="102"/>
      <c r="AR44" s="105"/>
      <c r="AS44" s="105"/>
      <c r="AT44" s="105"/>
      <c r="AU44" s="105"/>
      <c r="AV44" s="102"/>
      <c r="AW44" s="102"/>
      <c r="AX44" s="102"/>
      <c r="AY44" s="102"/>
    </row>
    <row r="45" spans="1:51" ht="13.5" customHeight="1">
      <c r="A45" s="102"/>
      <c r="B45" s="102"/>
      <c r="C45" s="105"/>
      <c r="D45" s="102"/>
      <c r="E45" s="102"/>
      <c r="F45" s="104"/>
      <c r="G45" s="105"/>
      <c r="H45" s="105"/>
      <c r="I45" s="105"/>
      <c r="J45" s="105"/>
      <c r="K45" s="102"/>
      <c r="L45" s="102"/>
      <c r="M45" s="102"/>
      <c r="N45" s="102"/>
      <c r="O45" s="102"/>
      <c r="P45" s="102"/>
      <c r="Q45" s="102"/>
      <c r="R45" s="102"/>
      <c r="S45" s="105"/>
      <c r="T45" s="102"/>
      <c r="U45" s="102"/>
      <c r="V45" s="106"/>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5"/>
      <c r="AS45" s="105"/>
      <c r="AT45" s="105"/>
      <c r="AU45" s="105"/>
      <c r="AV45" s="102"/>
      <c r="AW45" s="102"/>
      <c r="AX45" s="102"/>
      <c r="AY45" s="102"/>
    </row>
    <row r="46" spans="1:51" ht="13.5" customHeight="1">
      <c r="A46" s="102"/>
      <c r="B46" s="102"/>
      <c r="C46" s="105"/>
      <c r="D46" s="102"/>
      <c r="E46" s="102"/>
      <c r="F46" s="104"/>
      <c r="G46" s="105"/>
      <c r="H46" s="105"/>
      <c r="I46" s="105"/>
      <c r="J46" s="105"/>
      <c r="K46" s="102"/>
      <c r="L46" s="102"/>
      <c r="M46" s="102"/>
      <c r="N46" s="102"/>
      <c r="O46" s="102"/>
      <c r="P46" s="102"/>
      <c r="Q46" s="102"/>
      <c r="R46" s="102"/>
      <c r="S46" s="105"/>
      <c r="T46" s="102"/>
      <c r="U46" s="102"/>
      <c r="V46" s="106"/>
      <c r="W46" s="102"/>
      <c r="X46" s="102"/>
      <c r="Y46" s="102"/>
      <c r="Z46" s="102"/>
      <c r="AA46" s="102"/>
      <c r="AB46" s="102"/>
      <c r="AC46" s="102"/>
      <c r="AD46" s="102"/>
      <c r="AE46" s="102"/>
      <c r="AF46" s="102"/>
      <c r="AG46" s="102"/>
      <c r="AH46" s="102"/>
      <c r="AI46" s="102"/>
      <c r="AJ46" s="102"/>
      <c r="AK46" s="106"/>
      <c r="AL46" s="102"/>
      <c r="AM46" s="102"/>
      <c r="AN46" s="102"/>
      <c r="AO46" s="102"/>
      <c r="AP46" s="102"/>
      <c r="AQ46" s="102"/>
      <c r="AR46" s="105"/>
      <c r="AS46" s="105"/>
      <c r="AT46" s="105"/>
      <c r="AU46" s="105"/>
      <c r="AV46" s="102"/>
      <c r="AW46" s="102"/>
      <c r="AX46" s="102"/>
      <c r="AY46" s="102"/>
    </row>
    <row r="47" spans="1:51" ht="13.5" customHeight="1">
      <c r="A47" s="102"/>
      <c r="B47" s="102"/>
      <c r="C47" s="105"/>
      <c r="D47" s="102"/>
      <c r="E47" s="102"/>
      <c r="F47" s="104"/>
      <c r="G47" s="105"/>
      <c r="H47" s="105"/>
      <c r="I47" s="105"/>
      <c r="J47" s="105"/>
      <c r="K47" s="102"/>
      <c r="L47" s="102"/>
      <c r="M47" s="102"/>
      <c r="N47" s="102"/>
      <c r="O47" s="102"/>
      <c r="P47" s="102"/>
      <c r="Q47" s="102"/>
      <c r="R47" s="102"/>
      <c r="S47" s="105"/>
      <c r="T47" s="102"/>
      <c r="U47" s="102"/>
      <c r="V47" s="106"/>
      <c r="W47" s="102"/>
      <c r="X47" s="102"/>
      <c r="Y47" s="102"/>
      <c r="Z47" s="102"/>
      <c r="AA47" s="102"/>
      <c r="AB47" s="102"/>
      <c r="AC47" s="102"/>
      <c r="AD47" s="102"/>
      <c r="AE47" s="102"/>
      <c r="AF47" s="102"/>
      <c r="AG47" s="102"/>
      <c r="AH47" s="102"/>
      <c r="AI47" s="102"/>
      <c r="AJ47" s="102"/>
      <c r="AK47" s="106" t="s">
        <v>222</v>
      </c>
      <c r="AL47" s="102" t="s">
        <v>223</v>
      </c>
      <c r="AM47" s="102"/>
      <c r="AN47" s="102"/>
      <c r="AO47" s="102"/>
      <c r="AP47" s="102"/>
      <c r="AQ47" s="102"/>
      <c r="AR47" s="105"/>
      <c r="AS47" s="105"/>
      <c r="AT47" s="105"/>
      <c r="AU47" s="105"/>
      <c r="AV47" s="102"/>
      <c r="AW47" s="102"/>
      <c r="AX47" s="102"/>
      <c r="AY47" s="102"/>
    </row>
    <row r="48" spans="1:51" ht="13.5" customHeight="1">
      <c r="A48" s="102"/>
      <c r="B48" s="102"/>
      <c r="C48" s="105"/>
      <c r="D48" s="102"/>
      <c r="E48" s="102"/>
      <c r="F48" s="104"/>
      <c r="G48" s="105"/>
      <c r="H48" s="105"/>
      <c r="I48" s="105"/>
      <c r="J48" s="105"/>
      <c r="K48" s="102"/>
      <c r="L48" s="102"/>
      <c r="M48" s="102"/>
      <c r="N48" s="102"/>
      <c r="O48" s="102"/>
      <c r="P48" s="102"/>
      <c r="Q48" s="102"/>
      <c r="R48" s="102"/>
      <c r="S48" s="105"/>
      <c r="T48" s="102"/>
      <c r="U48" s="102"/>
      <c r="V48" s="106"/>
      <c r="W48" s="102"/>
      <c r="X48" s="102"/>
      <c r="Y48" s="102"/>
      <c r="Z48" s="102"/>
      <c r="AA48" s="102"/>
      <c r="AB48" s="102"/>
      <c r="AC48" s="102"/>
      <c r="AD48" s="102"/>
      <c r="AE48" s="102"/>
      <c r="AF48" s="102"/>
      <c r="AG48" s="102"/>
      <c r="AH48" s="102"/>
      <c r="AI48" s="102"/>
      <c r="AJ48" s="102"/>
      <c r="AK48" s="234" t="e">
        <f t="shared" ref="AK48:AK57" si="32">VLOOKUP(AL48,DBTeamStars,2,0)</f>
        <v>#N/A</v>
      </c>
      <c r="AL48" s="234" t="str">
        <f>$E$3&amp;"10"</f>
        <v>Undead10</v>
      </c>
      <c r="AM48" s="102"/>
      <c r="AN48" s="102"/>
      <c r="AO48" s="102"/>
      <c r="AP48" s="102"/>
      <c r="AQ48" s="102"/>
      <c r="AR48" s="105"/>
      <c r="AS48" s="105"/>
      <c r="AT48" s="105"/>
      <c r="AU48" s="105"/>
      <c r="AV48" s="102"/>
      <c r="AW48" s="102"/>
      <c r="AX48" s="102"/>
      <c r="AY48" s="102"/>
    </row>
    <row r="49" spans="1:51" ht="13.5" customHeight="1">
      <c r="A49" s="102"/>
      <c r="B49" s="102"/>
      <c r="C49" s="105"/>
      <c r="D49" s="102"/>
      <c r="E49" s="102"/>
      <c r="F49" s="104"/>
      <c r="G49" s="105"/>
      <c r="H49" s="105"/>
      <c r="I49" s="105"/>
      <c r="J49" s="105"/>
      <c r="K49" s="102"/>
      <c r="L49" s="102"/>
      <c r="M49" s="102"/>
      <c r="N49" s="102"/>
      <c r="O49" s="102"/>
      <c r="P49" s="102"/>
      <c r="Q49" s="102"/>
      <c r="R49" s="102"/>
      <c r="S49" s="105"/>
      <c r="T49" s="102"/>
      <c r="U49" s="102"/>
      <c r="V49" s="106"/>
      <c r="W49" s="102"/>
      <c r="X49" s="102"/>
      <c r="Y49" s="102"/>
      <c r="Z49" s="102"/>
      <c r="AA49" s="102"/>
      <c r="AB49" s="102"/>
      <c r="AC49" s="102"/>
      <c r="AD49" s="102"/>
      <c r="AE49" s="102"/>
      <c r="AF49" s="102"/>
      <c r="AG49" s="102"/>
      <c r="AH49" s="102"/>
      <c r="AI49" s="102"/>
      <c r="AJ49" s="102"/>
      <c r="AK49" s="234" t="e">
        <f t="shared" si="32"/>
        <v>#N/A</v>
      </c>
      <c r="AL49" s="234" t="str">
        <f>$E$3&amp;"9"</f>
        <v>Undead9</v>
      </c>
      <c r="AM49" s="102"/>
      <c r="AN49" s="102"/>
      <c r="AO49" s="102"/>
      <c r="AP49" s="102"/>
      <c r="AQ49" s="102"/>
      <c r="AR49" s="105"/>
      <c r="AS49" s="105"/>
      <c r="AT49" s="105"/>
      <c r="AU49" s="105"/>
      <c r="AV49" s="102"/>
      <c r="AW49" s="102"/>
      <c r="AX49" s="102"/>
      <c r="AY49" s="102"/>
    </row>
    <row r="50" spans="1:51" ht="13.5" customHeight="1">
      <c r="A50" s="102"/>
      <c r="B50" s="102"/>
      <c r="C50" s="105"/>
      <c r="D50" s="102"/>
      <c r="E50" s="102"/>
      <c r="F50" s="104"/>
      <c r="G50" s="105"/>
      <c r="H50" s="105"/>
      <c r="I50" s="105"/>
      <c r="J50" s="105"/>
      <c r="K50" s="102"/>
      <c r="L50" s="102"/>
      <c r="M50" s="102"/>
      <c r="N50" s="102"/>
      <c r="O50" s="102"/>
      <c r="P50" s="102"/>
      <c r="Q50" s="102"/>
      <c r="R50" s="102"/>
      <c r="S50" s="105"/>
      <c r="T50" s="102"/>
      <c r="U50" s="102"/>
      <c r="V50" s="106"/>
      <c r="W50" s="102"/>
      <c r="X50" s="102"/>
      <c r="Y50" s="102"/>
      <c r="Z50" s="102"/>
      <c r="AA50" s="102"/>
      <c r="AB50" s="102"/>
      <c r="AC50" s="102"/>
      <c r="AD50" s="102"/>
      <c r="AE50" s="102"/>
      <c r="AF50" s="102"/>
      <c r="AG50" s="102"/>
      <c r="AH50" s="102"/>
      <c r="AI50" s="102"/>
      <c r="AJ50" s="102"/>
      <c r="AK50" s="234" t="e">
        <f t="shared" si="32"/>
        <v>#N/A</v>
      </c>
      <c r="AL50" s="234" t="str">
        <f>$E$3&amp;"8"</f>
        <v>Undead8</v>
      </c>
      <c r="AM50" s="102"/>
      <c r="AN50" s="102"/>
      <c r="AO50" s="102"/>
      <c r="AP50" s="102"/>
      <c r="AQ50" s="102"/>
      <c r="AR50" s="105"/>
      <c r="AS50" s="105"/>
      <c r="AT50" s="105"/>
      <c r="AU50" s="105"/>
      <c r="AV50" s="102"/>
      <c r="AW50" s="102"/>
      <c r="AX50" s="102"/>
      <c r="AY50" s="102"/>
    </row>
    <row r="51" spans="1:51" ht="13.5" customHeight="1">
      <c r="A51" s="102"/>
      <c r="B51" s="102"/>
      <c r="C51" s="105"/>
      <c r="D51" s="102"/>
      <c r="E51" s="102"/>
      <c r="F51" s="104"/>
      <c r="G51" s="105"/>
      <c r="H51" s="105"/>
      <c r="I51" s="105"/>
      <c r="J51" s="105"/>
      <c r="K51" s="102"/>
      <c r="L51" s="102"/>
      <c r="M51" s="102"/>
      <c r="N51" s="102"/>
      <c r="O51" s="102"/>
      <c r="P51" s="102"/>
      <c r="Q51" s="102"/>
      <c r="R51" s="102"/>
      <c r="S51" s="105"/>
      <c r="T51" s="102"/>
      <c r="U51" s="102"/>
      <c r="V51" s="106"/>
      <c r="W51" s="102"/>
      <c r="X51" s="102"/>
      <c r="Y51" s="102"/>
      <c r="Z51" s="102"/>
      <c r="AA51" s="102"/>
      <c r="AB51" s="102"/>
      <c r="AC51" s="102"/>
      <c r="AD51" s="102"/>
      <c r="AE51" s="102"/>
      <c r="AF51" s="102"/>
      <c r="AG51" s="102"/>
      <c r="AH51" s="102"/>
      <c r="AI51" s="102"/>
      <c r="AJ51" s="102"/>
      <c r="AK51" s="234" t="e">
        <f t="shared" si="32"/>
        <v>#N/A</v>
      </c>
      <c r="AL51" s="234" t="str">
        <f>$E$3&amp;"7"</f>
        <v>Undead7</v>
      </c>
      <c r="AM51" s="102"/>
      <c r="AN51" s="102"/>
      <c r="AO51" s="102"/>
      <c r="AP51" s="102"/>
      <c r="AQ51" s="102"/>
      <c r="AR51" s="105"/>
      <c r="AS51" s="105"/>
      <c r="AT51" s="105"/>
      <c r="AU51" s="105"/>
      <c r="AV51" s="102"/>
      <c r="AW51" s="102"/>
      <c r="AX51" s="102"/>
      <c r="AY51" s="102"/>
    </row>
    <row r="52" spans="1:51" ht="13.5" customHeight="1">
      <c r="A52" s="102"/>
      <c r="B52" s="102"/>
      <c r="C52" s="105"/>
      <c r="D52" s="102"/>
      <c r="E52" s="102"/>
      <c r="F52" s="104"/>
      <c r="G52" s="105"/>
      <c r="H52" s="105"/>
      <c r="I52" s="105"/>
      <c r="J52" s="105"/>
      <c r="K52" s="102"/>
      <c r="L52" s="102"/>
      <c r="M52" s="102"/>
      <c r="N52" s="102"/>
      <c r="O52" s="102"/>
      <c r="P52" s="102"/>
      <c r="Q52" s="102"/>
      <c r="R52" s="102"/>
      <c r="S52" s="105"/>
      <c r="T52" s="102"/>
      <c r="U52" s="102"/>
      <c r="V52" s="106"/>
      <c r="W52" s="102"/>
      <c r="X52" s="102"/>
      <c r="Y52" s="102"/>
      <c r="Z52" s="102"/>
      <c r="AA52" s="102"/>
      <c r="AB52" s="102"/>
      <c r="AC52" s="102"/>
      <c r="AD52" s="102"/>
      <c r="AE52" s="102"/>
      <c r="AF52" s="102"/>
      <c r="AG52" s="102"/>
      <c r="AH52" s="102"/>
      <c r="AI52" s="102"/>
      <c r="AJ52" s="102"/>
      <c r="AK52" s="234" t="str">
        <f t="shared" si="32"/>
        <v>Sinnedbad</v>
      </c>
      <c r="AL52" s="234" t="str">
        <f>$E$3&amp;"6"</f>
        <v>Undead6</v>
      </c>
      <c r="AM52" s="102"/>
      <c r="AN52" s="102"/>
      <c r="AO52" s="102"/>
      <c r="AP52" s="102"/>
      <c r="AQ52" s="102"/>
      <c r="AR52" s="105"/>
      <c r="AS52" s="105"/>
      <c r="AT52" s="105"/>
      <c r="AU52" s="105"/>
      <c r="AV52" s="102"/>
      <c r="AW52" s="102"/>
      <c r="AX52" s="102"/>
      <c r="AY52" s="102"/>
    </row>
    <row r="53" spans="1:51" ht="13.5" customHeight="1">
      <c r="A53" s="102"/>
      <c r="B53" s="102"/>
      <c r="C53" s="105"/>
      <c r="D53" s="102"/>
      <c r="E53" s="102"/>
      <c r="F53" s="104"/>
      <c r="G53" s="105"/>
      <c r="H53" s="105"/>
      <c r="I53" s="105"/>
      <c r="J53" s="105"/>
      <c r="K53" s="102"/>
      <c r="L53" s="102"/>
      <c r="M53" s="102"/>
      <c r="N53" s="102"/>
      <c r="O53" s="102"/>
      <c r="P53" s="102"/>
      <c r="Q53" s="102"/>
      <c r="R53" s="102"/>
      <c r="S53" s="105"/>
      <c r="T53" s="102"/>
      <c r="U53" s="102"/>
      <c r="V53" s="106"/>
      <c r="W53" s="102"/>
      <c r="X53" s="102"/>
      <c r="Y53" s="102"/>
      <c r="Z53" s="102"/>
      <c r="AA53" s="102"/>
      <c r="AB53" s="102"/>
      <c r="AC53" s="102"/>
      <c r="AD53" s="102"/>
      <c r="AE53" s="102"/>
      <c r="AF53" s="102"/>
      <c r="AG53" s="102"/>
      <c r="AH53" s="102"/>
      <c r="AI53" s="102"/>
      <c r="AJ53" s="102"/>
      <c r="AK53" s="234" t="str">
        <f t="shared" si="32"/>
        <v>J Earlice</v>
      </c>
      <c r="AL53" s="234" t="str">
        <f>$E$3&amp;"5"</f>
        <v>Undead5</v>
      </c>
      <c r="AM53" s="102"/>
      <c r="AN53" s="102"/>
      <c r="AO53" s="102"/>
      <c r="AP53" s="102"/>
      <c r="AQ53" s="102"/>
      <c r="AR53" s="105"/>
      <c r="AS53" s="105"/>
      <c r="AT53" s="105"/>
      <c r="AU53" s="105"/>
      <c r="AV53" s="102"/>
      <c r="AW53" s="102"/>
      <c r="AX53" s="102"/>
      <c r="AY53" s="102"/>
    </row>
    <row r="54" spans="1:51" ht="13.5" customHeight="1">
      <c r="A54" s="102"/>
      <c r="B54" s="102"/>
      <c r="C54" s="105"/>
      <c r="D54" s="102"/>
      <c r="E54" s="102"/>
      <c r="F54" s="104"/>
      <c r="G54" s="105"/>
      <c r="H54" s="105"/>
      <c r="I54" s="105"/>
      <c r="J54" s="105"/>
      <c r="K54" s="102"/>
      <c r="L54" s="102"/>
      <c r="M54" s="102"/>
      <c r="N54" s="102"/>
      <c r="O54" s="102"/>
      <c r="P54" s="102"/>
      <c r="Q54" s="102"/>
      <c r="R54" s="102"/>
      <c r="S54" s="105"/>
      <c r="T54" s="102"/>
      <c r="U54" s="102"/>
      <c r="V54" s="106"/>
      <c r="W54" s="102"/>
      <c r="X54" s="102"/>
      <c r="Y54" s="102"/>
      <c r="Z54" s="102"/>
      <c r="AA54" s="102"/>
      <c r="AB54" s="102"/>
      <c r="AC54" s="102"/>
      <c r="AD54" s="102"/>
      <c r="AE54" s="102"/>
      <c r="AF54" s="102"/>
      <c r="AG54" s="102"/>
      <c r="AH54" s="102"/>
      <c r="AI54" s="102"/>
      <c r="AJ54" s="102"/>
      <c r="AK54" s="234" t="str">
        <f t="shared" si="32"/>
        <v>Count Luthor von Drakenborg</v>
      </c>
      <c r="AL54" s="234" t="str">
        <f>$E$3&amp;"4"</f>
        <v>Undead4</v>
      </c>
      <c r="AM54" s="102"/>
      <c r="AN54" s="102"/>
      <c r="AO54" s="102"/>
      <c r="AP54" s="102"/>
      <c r="AQ54" s="102"/>
      <c r="AR54" s="105"/>
      <c r="AS54" s="105"/>
      <c r="AT54" s="105"/>
      <c r="AU54" s="105"/>
      <c r="AV54" s="102"/>
      <c r="AW54" s="102"/>
      <c r="AX54" s="102"/>
      <c r="AY54" s="102"/>
    </row>
    <row r="55" spans="1:51" ht="13.5" customHeight="1">
      <c r="A55" s="102"/>
      <c r="B55" s="102"/>
      <c r="C55" s="105"/>
      <c r="D55" s="102"/>
      <c r="E55" s="102"/>
      <c r="F55" s="104"/>
      <c r="G55" s="105"/>
      <c r="H55" s="105"/>
      <c r="I55" s="105"/>
      <c r="J55" s="105"/>
      <c r="K55" s="102"/>
      <c r="L55" s="102"/>
      <c r="M55" s="102"/>
      <c r="N55" s="102"/>
      <c r="O55" s="102"/>
      <c r="P55" s="102"/>
      <c r="Q55" s="102"/>
      <c r="R55" s="102"/>
      <c r="S55" s="105"/>
      <c r="T55" s="102"/>
      <c r="U55" s="102"/>
      <c r="V55" s="106"/>
      <c r="W55" s="102"/>
      <c r="X55" s="102"/>
      <c r="Y55" s="102"/>
      <c r="Z55" s="102"/>
      <c r="AA55" s="102"/>
      <c r="AB55" s="102"/>
      <c r="AC55" s="102"/>
      <c r="AD55" s="102"/>
      <c r="AE55" s="102"/>
      <c r="AF55" s="102"/>
      <c r="AG55" s="102"/>
      <c r="AH55" s="102"/>
      <c r="AI55" s="102"/>
      <c r="AJ55" s="102"/>
      <c r="AK55" s="234" t="str">
        <f t="shared" si="32"/>
        <v>Hack Enslash</v>
      </c>
      <c r="AL55" s="234" t="str">
        <f>$E$3&amp;"3"</f>
        <v>Undead3</v>
      </c>
      <c r="AM55" s="102"/>
      <c r="AN55" s="102"/>
      <c r="AO55" s="102"/>
      <c r="AP55" s="102"/>
      <c r="AQ55" s="102"/>
      <c r="AR55" s="105"/>
      <c r="AS55" s="105"/>
      <c r="AT55" s="105"/>
      <c r="AU55" s="105"/>
      <c r="AV55" s="102"/>
      <c r="AW55" s="102"/>
      <c r="AX55" s="102"/>
      <c r="AY55" s="102"/>
    </row>
    <row r="56" spans="1:51" ht="13.5" customHeight="1">
      <c r="A56" s="102"/>
      <c r="B56" s="102"/>
      <c r="C56" s="105"/>
      <c r="D56" s="102"/>
      <c r="E56" s="102"/>
      <c r="F56" s="104"/>
      <c r="G56" s="105"/>
      <c r="H56" s="105"/>
      <c r="I56" s="105"/>
      <c r="J56" s="105"/>
      <c r="K56" s="102"/>
      <c r="L56" s="102"/>
      <c r="M56" s="102"/>
      <c r="N56" s="102"/>
      <c r="O56" s="102"/>
      <c r="P56" s="102"/>
      <c r="Q56" s="102"/>
      <c r="R56" s="102"/>
      <c r="S56" s="105"/>
      <c r="T56" s="102"/>
      <c r="U56" s="102"/>
      <c r="V56" s="106"/>
      <c r="W56" s="102"/>
      <c r="X56" s="102"/>
      <c r="Y56" s="102"/>
      <c r="Z56" s="102"/>
      <c r="AA56" s="102"/>
      <c r="AB56" s="102"/>
      <c r="AC56" s="102"/>
      <c r="AD56" s="102"/>
      <c r="AE56" s="102"/>
      <c r="AF56" s="102"/>
      <c r="AG56" s="102"/>
      <c r="AH56" s="102"/>
      <c r="AI56" s="102"/>
      <c r="AJ56" s="102"/>
      <c r="AK56" s="234" t="str">
        <f t="shared" si="32"/>
        <v>Ramtut III</v>
      </c>
      <c r="AL56" s="234" t="str">
        <f>$E$3&amp;"2"</f>
        <v>Undead2</v>
      </c>
      <c r="AM56" s="102"/>
      <c r="AN56" s="102"/>
      <c r="AO56" s="102"/>
      <c r="AP56" s="102"/>
      <c r="AQ56" s="102"/>
      <c r="AR56" s="105"/>
      <c r="AS56" s="105"/>
      <c r="AT56" s="105"/>
      <c r="AU56" s="105"/>
      <c r="AV56" s="102"/>
      <c r="AW56" s="102"/>
      <c r="AX56" s="102"/>
      <c r="AY56" s="102"/>
    </row>
    <row r="57" spans="1:51" ht="13.5" customHeight="1">
      <c r="A57" s="102"/>
      <c r="B57" s="102"/>
      <c r="C57" s="105"/>
      <c r="D57" s="102"/>
      <c r="E57" s="102"/>
      <c r="F57" s="104"/>
      <c r="G57" s="105"/>
      <c r="H57" s="105"/>
      <c r="I57" s="105"/>
      <c r="J57" s="105"/>
      <c r="K57" s="102"/>
      <c r="L57" s="102"/>
      <c r="M57" s="102"/>
      <c r="N57" s="102"/>
      <c r="O57" s="102"/>
      <c r="P57" s="102"/>
      <c r="Q57" s="102"/>
      <c r="R57" s="102"/>
      <c r="S57" s="105"/>
      <c r="T57" s="102"/>
      <c r="U57" s="102"/>
      <c r="V57" s="106"/>
      <c r="W57" s="102"/>
      <c r="X57" s="102"/>
      <c r="Y57" s="102"/>
      <c r="Z57" s="102"/>
      <c r="AA57" s="102"/>
      <c r="AB57" s="102"/>
      <c r="AC57" s="102"/>
      <c r="AD57" s="102"/>
      <c r="AE57" s="102"/>
      <c r="AF57" s="102"/>
      <c r="AG57" s="102"/>
      <c r="AH57" s="102"/>
      <c r="AI57" s="102"/>
      <c r="AJ57" s="106" t="s">
        <v>224</v>
      </c>
      <c r="AK57" s="234" t="str">
        <f t="shared" si="32"/>
        <v>Setekh</v>
      </c>
      <c r="AL57" s="234" t="str">
        <f t="shared" ref="AL57:AL58" si="33">$E$3&amp;"1"</f>
        <v>Undead1</v>
      </c>
      <c r="AM57" s="102"/>
      <c r="AN57" s="102"/>
      <c r="AO57" s="102"/>
      <c r="AP57" s="102"/>
      <c r="AQ57" s="102"/>
      <c r="AR57" s="105"/>
      <c r="AS57" s="105"/>
      <c r="AT57" s="105"/>
      <c r="AU57" s="105"/>
      <c r="AV57" s="102"/>
      <c r="AW57" s="102"/>
      <c r="AX57" s="102"/>
      <c r="AY57" s="102"/>
    </row>
    <row r="58" spans="1:51" ht="13.5" customHeight="1">
      <c r="A58" s="102"/>
      <c r="B58" s="102"/>
      <c r="C58" s="105"/>
      <c r="D58" s="102"/>
      <c r="E58" s="102"/>
      <c r="F58" s="104"/>
      <c r="G58" s="105"/>
      <c r="H58" s="105"/>
      <c r="I58" s="105"/>
      <c r="J58" s="105"/>
      <c r="K58" s="102"/>
      <c r="L58" s="102"/>
      <c r="M58" s="102"/>
      <c r="N58" s="102"/>
      <c r="O58" s="102"/>
      <c r="P58" s="102"/>
      <c r="Q58" s="102"/>
      <c r="R58" s="102"/>
      <c r="S58" s="105"/>
      <c r="T58" s="102"/>
      <c r="U58" s="102"/>
      <c r="V58" s="106"/>
      <c r="W58" s="102"/>
      <c r="X58" s="102"/>
      <c r="Y58" s="102"/>
      <c r="Z58" s="102"/>
      <c r="AA58" s="102"/>
      <c r="AB58" s="102"/>
      <c r="AC58" s="102"/>
      <c r="AD58" s="102"/>
      <c r="AE58" s="102"/>
      <c r="AF58" s="102"/>
      <c r="AG58" s="102"/>
      <c r="AH58" s="102"/>
      <c r="AI58" s="102"/>
      <c r="AJ58" s="234" t="str">
        <f t="shared" ref="AJ58:AJ67" si="34">VLOOKUP(AL58,DBPlayers,3,0)</f>
        <v>Skeleton</v>
      </c>
      <c r="AK58" s="234" t="str">
        <f t="shared" ref="AK58:AK67" si="35">AJ58&amp;" "&amp;T_Merc</f>
        <v>Skeleton Mercenary</v>
      </c>
      <c r="AL58" s="234" t="str">
        <f t="shared" si="33"/>
        <v>Undead1</v>
      </c>
      <c r="AM58" s="102"/>
      <c r="AN58" s="235"/>
      <c r="AO58" s="102"/>
      <c r="AP58" s="102"/>
      <c r="AQ58" s="102"/>
      <c r="AR58" s="105"/>
      <c r="AS58" s="105"/>
      <c r="AT58" s="105"/>
      <c r="AU58" s="105"/>
      <c r="AV58" s="102"/>
      <c r="AW58" s="102"/>
      <c r="AX58" s="102"/>
      <c r="AY58" s="102"/>
    </row>
    <row r="59" spans="1:51" ht="13.5" customHeight="1">
      <c r="A59" s="102"/>
      <c r="B59" s="102"/>
      <c r="C59" s="105"/>
      <c r="D59" s="102"/>
      <c r="E59" s="102"/>
      <c r="F59" s="104"/>
      <c r="G59" s="105"/>
      <c r="H59" s="105"/>
      <c r="I59" s="105"/>
      <c r="J59" s="105"/>
      <c r="K59" s="102"/>
      <c r="L59" s="102"/>
      <c r="M59" s="102"/>
      <c r="N59" s="102"/>
      <c r="O59" s="102"/>
      <c r="P59" s="102"/>
      <c r="Q59" s="102"/>
      <c r="R59" s="102"/>
      <c r="S59" s="105"/>
      <c r="T59" s="102"/>
      <c r="U59" s="102"/>
      <c r="V59" s="106"/>
      <c r="W59" s="102"/>
      <c r="X59" s="102"/>
      <c r="Y59" s="102"/>
      <c r="Z59" s="102"/>
      <c r="AA59" s="102"/>
      <c r="AB59" s="102"/>
      <c r="AC59" s="102"/>
      <c r="AD59" s="102"/>
      <c r="AE59" s="102"/>
      <c r="AF59" s="102"/>
      <c r="AG59" s="102"/>
      <c r="AH59" s="102"/>
      <c r="AI59" s="102"/>
      <c r="AJ59" s="234" t="str">
        <f t="shared" si="34"/>
        <v>Zombie</v>
      </c>
      <c r="AK59" s="234" t="str">
        <f t="shared" si="35"/>
        <v>Zombie Mercenary</v>
      </c>
      <c r="AL59" s="234" t="str">
        <f>$E$3&amp;"2"</f>
        <v>Undead2</v>
      </c>
      <c r="AM59" s="102"/>
      <c r="AN59" s="102"/>
      <c r="AO59" s="102"/>
      <c r="AP59" s="102"/>
      <c r="AQ59" s="102"/>
      <c r="AR59" s="105"/>
      <c r="AS59" s="105"/>
      <c r="AT59" s="105"/>
      <c r="AU59" s="105"/>
      <c r="AV59" s="102"/>
      <c r="AW59" s="102"/>
      <c r="AX59" s="102"/>
      <c r="AY59" s="102"/>
    </row>
    <row r="60" spans="1:51" ht="12.75" customHeight="1">
      <c r="A60" s="102"/>
      <c r="B60" s="102"/>
      <c r="C60" s="105"/>
      <c r="D60" s="102"/>
      <c r="E60" s="102"/>
      <c r="F60" s="104"/>
      <c r="G60" s="105"/>
      <c r="H60" s="105"/>
      <c r="I60" s="105"/>
      <c r="J60" s="105"/>
      <c r="K60" s="102"/>
      <c r="L60" s="102"/>
      <c r="M60" s="102"/>
      <c r="N60" s="102"/>
      <c r="O60" s="102"/>
      <c r="P60" s="102"/>
      <c r="Q60" s="102"/>
      <c r="R60" s="102"/>
      <c r="S60" s="105"/>
      <c r="T60" s="102"/>
      <c r="U60" s="102"/>
      <c r="V60" s="106"/>
      <c r="W60" s="102"/>
      <c r="X60" s="102"/>
      <c r="Y60" s="102"/>
      <c r="Z60" s="102"/>
      <c r="AA60" s="102"/>
      <c r="AB60" s="102"/>
      <c r="AC60" s="102"/>
      <c r="AD60" s="102"/>
      <c r="AE60" s="102"/>
      <c r="AF60" s="102"/>
      <c r="AG60" s="102"/>
      <c r="AH60" s="102"/>
      <c r="AI60" s="102"/>
      <c r="AJ60" s="234" t="str">
        <f t="shared" si="34"/>
        <v>Ghoul</v>
      </c>
      <c r="AK60" s="234" t="str">
        <f t="shared" si="35"/>
        <v>Ghoul Mercenary</v>
      </c>
      <c r="AL60" s="234" t="str">
        <f>$E$3&amp;"3"</f>
        <v>Undead3</v>
      </c>
      <c r="AM60" s="102"/>
      <c r="AN60" s="102"/>
      <c r="AO60" s="102"/>
      <c r="AP60" s="102"/>
      <c r="AQ60" s="102"/>
      <c r="AR60" s="105"/>
      <c r="AS60" s="105"/>
      <c r="AT60" s="105"/>
      <c r="AU60" s="105"/>
      <c r="AV60" s="102"/>
      <c r="AW60" s="102"/>
      <c r="AX60" s="102"/>
      <c r="AY60" s="102"/>
    </row>
    <row r="61" spans="1:51" ht="12.75" customHeight="1">
      <c r="A61" s="102"/>
      <c r="B61" s="102"/>
      <c r="C61" s="105"/>
      <c r="D61" s="102"/>
      <c r="E61" s="102"/>
      <c r="F61" s="104"/>
      <c r="G61" s="105"/>
      <c r="H61" s="105"/>
      <c r="I61" s="105"/>
      <c r="J61" s="105"/>
      <c r="K61" s="102"/>
      <c r="L61" s="102"/>
      <c r="M61" s="102"/>
      <c r="N61" s="102"/>
      <c r="O61" s="102"/>
      <c r="P61" s="102"/>
      <c r="Q61" s="102"/>
      <c r="R61" s="102"/>
      <c r="S61" s="105"/>
      <c r="T61" s="102"/>
      <c r="U61" s="102"/>
      <c r="V61" s="106"/>
      <c r="W61" s="102"/>
      <c r="X61" s="102"/>
      <c r="Y61" s="102"/>
      <c r="Z61" s="102"/>
      <c r="AA61" s="102"/>
      <c r="AB61" s="102"/>
      <c r="AC61" s="102"/>
      <c r="AD61" s="102"/>
      <c r="AE61" s="102"/>
      <c r="AF61" s="102"/>
      <c r="AG61" s="102"/>
      <c r="AH61" s="102"/>
      <c r="AI61" s="102"/>
      <c r="AJ61" s="234" t="str">
        <f t="shared" si="34"/>
        <v>Wight</v>
      </c>
      <c r="AK61" s="234" t="str">
        <f t="shared" si="35"/>
        <v>Wight Mercenary</v>
      </c>
      <c r="AL61" s="234" t="str">
        <f>$E$3&amp;"4"</f>
        <v>Undead4</v>
      </c>
      <c r="AM61" s="102"/>
      <c r="AN61" s="102"/>
      <c r="AO61" s="102"/>
      <c r="AP61" s="102"/>
      <c r="AQ61" s="102"/>
      <c r="AR61" s="105"/>
      <c r="AS61" s="105"/>
      <c r="AT61" s="105"/>
      <c r="AU61" s="105"/>
      <c r="AV61" s="102"/>
      <c r="AW61" s="102"/>
      <c r="AX61" s="102"/>
      <c r="AY61" s="102"/>
    </row>
    <row r="62" spans="1:51" ht="12.75" customHeight="1">
      <c r="A62" s="102"/>
      <c r="B62" s="102"/>
      <c r="C62" s="105"/>
      <c r="D62" s="102"/>
      <c r="E62" s="102"/>
      <c r="F62" s="104"/>
      <c r="G62" s="105"/>
      <c r="H62" s="105"/>
      <c r="I62" s="105"/>
      <c r="J62" s="105"/>
      <c r="K62" s="102"/>
      <c r="L62" s="102"/>
      <c r="M62" s="102"/>
      <c r="N62" s="102"/>
      <c r="O62" s="102"/>
      <c r="P62" s="102"/>
      <c r="Q62" s="102"/>
      <c r="R62" s="102"/>
      <c r="S62" s="105"/>
      <c r="T62" s="102"/>
      <c r="U62" s="102"/>
      <c r="V62" s="106"/>
      <c r="W62" s="102"/>
      <c r="X62" s="102"/>
      <c r="Y62" s="102"/>
      <c r="Z62" s="102"/>
      <c r="AA62" s="102"/>
      <c r="AB62" s="102"/>
      <c r="AC62" s="102"/>
      <c r="AD62" s="102"/>
      <c r="AE62" s="102"/>
      <c r="AF62" s="102"/>
      <c r="AG62" s="102"/>
      <c r="AH62" s="102"/>
      <c r="AI62" s="102"/>
      <c r="AJ62" s="234" t="str">
        <f t="shared" si="34"/>
        <v>Mummy</v>
      </c>
      <c r="AK62" s="234" t="str">
        <f t="shared" si="35"/>
        <v>Mummy Mercenary</v>
      </c>
      <c r="AL62" s="234" t="str">
        <f>$E$3&amp;"5"</f>
        <v>Undead5</v>
      </c>
      <c r="AM62" s="102"/>
      <c r="AN62" s="102"/>
      <c r="AO62" s="102"/>
      <c r="AP62" s="102"/>
      <c r="AQ62" s="102"/>
      <c r="AR62" s="105"/>
      <c r="AS62" s="105"/>
      <c r="AT62" s="105"/>
      <c r="AU62" s="105"/>
      <c r="AV62" s="102"/>
      <c r="AW62" s="102"/>
      <c r="AX62" s="102"/>
      <c r="AY62" s="102"/>
    </row>
    <row r="63" spans="1:51" ht="12.75" customHeight="1">
      <c r="A63" s="102"/>
      <c r="B63" s="102"/>
      <c r="C63" s="105"/>
      <c r="D63" s="102"/>
      <c r="E63" s="102"/>
      <c r="F63" s="104"/>
      <c r="G63" s="105"/>
      <c r="H63" s="105"/>
      <c r="I63" s="105"/>
      <c r="J63" s="105"/>
      <c r="K63" s="102"/>
      <c r="L63" s="102"/>
      <c r="M63" s="102"/>
      <c r="N63" s="102"/>
      <c r="O63" s="102"/>
      <c r="P63" s="102"/>
      <c r="Q63" s="102"/>
      <c r="R63" s="102"/>
      <c r="S63" s="105"/>
      <c r="T63" s="102"/>
      <c r="U63" s="102"/>
      <c r="V63" s="106"/>
      <c r="W63" s="102"/>
      <c r="X63" s="102"/>
      <c r="Y63" s="102"/>
      <c r="Z63" s="102"/>
      <c r="AA63" s="102"/>
      <c r="AB63" s="102"/>
      <c r="AC63" s="102"/>
      <c r="AD63" s="102"/>
      <c r="AE63" s="102"/>
      <c r="AF63" s="102"/>
      <c r="AG63" s="102"/>
      <c r="AH63" s="102"/>
      <c r="AI63" s="102"/>
      <c r="AJ63" s="234" t="e">
        <f t="shared" si="34"/>
        <v>#N/A</v>
      </c>
      <c r="AK63" s="234" t="e">
        <f t="shared" si="35"/>
        <v>#N/A</v>
      </c>
      <c r="AL63" s="234" t="str">
        <f>$E$3&amp;"6"</f>
        <v>Undead6</v>
      </c>
      <c r="AM63" s="102"/>
      <c r="AN63" s="102"/>
      <c r="AO63" s="102"/>
      <c r="AP63" s="102"/>
      <c r="AQ63" s="102"/>
      <c r="AR63" s="105"/>
      <c r="AS63" s="105"/>
      <c r="AT63" s="105"/>
      <c r="AU63" s="105"/>
      <c r="AV63" s="102"/>
      <c r="AW63" s="102"/>
      <c r="AX63" s="102"/>
      <c r="AY63" s="102"/>
    </row>
    <row r="64" spans="1:51" ht="12.75" customHeight="1">
      <c r="A64" s="102"/>
      <c r="B64" s="102"/>
      <c r="C64" s="105"/>
      <c r="D64" s="102"/>
      <c r="E64" s="102"/>
      <c r="F64" s="104"/>
      <c r="G64" s="105"/>
      <c r="H64" s="105"/>
      <c r="I64" s="105"/>
      <c r="J64" s="105"/>
      <c r="K64" s="102"/>
      <c r="L64" s="102"/>
      <c r="M64" s="102"/>
      <c r="N64" s="102"/>
      <c r="O64" s="102"/>
      <c r="P64" s="102"/>
      <c r="Q64" s="102"/>
      <c r="R64" s="102"/>
      <c r="S64" s="105"/>
      <c r="T64" s="102"/>
      <c r="U64" s="102"/>
      <c r="V64" s="106"/>
      <c r="W64" s="102"/>
      <c r="X64" s="102"/>
      <c r="Y64" s="102"/>
      <c r="Z64" s="102"/>
      <c r="AA64" s="102"/>
      <c r="AB64" s="102"/>
      <c r="AC64" s="102"/>
      <c r="AD64" s="102"/>
      <c r="AE64" s="102"/>
      <c r="AF64" s="102"/>
      <c r="AG64" s="102"/>
      <c r="AH64" s="102"/>
      <c r="AI64" s="102"/>
      <c r="AJ64" s="234" t="e">
        <f t="shared" si="34"/>
        <v>#N/A</v>
      </c>
      <c r="AK64" s="234" t="e">
        <f t="shared" si="35"/>
        <v>#N/A</v>
      </c>
      <c r="AL64" s="234" t="str">
        <f>$E$3&amp;"7"</f>
        <v>Undead7</v>
      </c>
      <c r="AM64" s="102"/>
      <c r="AN64" s="102"/>
      <c r="AO64" s="102"/>
      <c r="AP64" s="102"/>
      <c r="AQ64" s="102"/>
      <c r="AR64" s="105"/>
      <c r="AS64" s="105"/>
      <c r="AT64" s="105"/>
      <c r="AU64" s="105"/>
      <c r="AV64" s="102"/>
      <c r="AW64" s="102"/>
      <c r="AX64" s="102"/>
      <c r="AY64" s="102"/>
    </row>
    <row r="65" spans="1:51" ht="12.75" customHeight="1">
      <c r="A65" s="102"/>
      <c r="B65" s="102"/>
      <c r="C65" s="105"/>
      <c r="D65" s="102"/>
      <c r="E65" s="102"/>
      <c r="F65" s="104"/>
      <c r="G65" s="105"/>
      <c r="H65" s="105"/>
      <c r="I65" s="105"/>
      <c r="J65" s="105"/>
      <c r="K65" s="102"/>
      <c r="L65" s="102"/>
      <c r="M65" s="102"/>
      <c r="N65" s="102"/>
      <c r="O65" s="102"/>
      <c r="P65" s="102"/>
      <c r="Q65" s="102"/>
      <c r="R65" s="102"/>
      <c r="S65" s="105"/>
      <c r="T65" s="102"/>
      <c r="U65" s="102"/>
      <c r="V65" s="106"/>
      <c r="W65" s="102"/>
      <c r="X65" s="102"/>
      <c r="Y65" s="102"/>
      <c r="Z65" s="102"/>
      <c r="AA65" s="102"/>
      <c r="AB65" s="102"/>
      <c r="AC65" s="102"/>
      <c r="AD65" s="102"/>
      <c r="AE65" s="102"/>
      <c r="AF65" s="102"/>
      <c r="AG65" s="102"/>
      <c r="AH65" s="102"/>
      <c r="AI65" s="102"/>
      <c r="AJ65" s="234" t="e">
        <f t="shared" si="34"/>
        <v>#N/A</v>
      </c>
      <c r="AK65" s="234" t="e">
        <f t="shared" si="35"/>
        <v>#N/A</v>
      </c>
      <c r="AL65" s="234" t="str">
        <f>$E$3&amp;"8"</f>
        <v>Undead8</v>
      </c>
      <c r="AM65" s="102"/>
      <c r="AN65" s="102"/>
      <c r="AO65" s="102"/>
      <c r="AP65" s="102"/>
      <c r="AQ65" s="102"/>
      <c r="AR65" s="105"/>
      <c r="AS65" s="105"/>
      <c r="AT65" s="105"/>
      <c r="AU65" s="105"/>
      <c r="AV65" s="102"/>
      <c r="AW65" s="102"/>
      <c r="AX65" s="102"/>
      <c r="AY65" s="102"/>
    </row>
    <row r="66" spans="1:51" ht="12.75" customHeight="1">
      <c r="A66" s="102"/>
      <c r="B66" s="102"/>
      <c r="C66" s="105"/>
      <c r="D66" s="102"/>
      <c r="E66" s="102"/>
      <c r="F66" s="104"/>
      <c r="G66" s="105"/>
      <c r="H66" s="105"/>
      <c r="I66" s="105"/>
      <c r="J66" s="105"/>
      <c r="K66" s="102"/>
      <c r="L66" s="102"/>
      <c r="M66" s="102"/>
      <c r="N66" s="102"/>
      <c r="O66" s="102"/>
      <c r="P66" s="102"/>
      <c r="Q66" s="102"/>
      <c r="R66" s="102"/>
      <c r="S66" s="105"/>
      <c r="T66" s="102"/>
      <c r="U66" s="102"/>
      <c r="V66" s="106"/>
      <c r="W66" s="102"/>
      <c r="X66" s="102"/>
      <c r="Y66" s="102"/>
      <c r="Z66" s="102"/>
      <c r="AA66" s="102"/>
      <c r="AB66" s="102"/>
      <c r="AC66" s="102"/>
      <c r="AD66" s="102"/>
      <c r="AE66" s="102"/>
      <c r="AF66" s="102"/>
      <c r="AG66" s="102"/>
      <c r="AH66" s="102"/>
      <c r="AI66" s="102"/>
      <c r="AJ66" s="234" t="e">
        <f t="shared" si="34"/>
        <v>#N/A</v>
      </c>
      <c r="AK66" s="234" t="e">
        <f t="shared" si="35"/>
        <v>#N/A</v>
      </c>
      <c r="AL66" s="234" t="str">
        <f>$E$3&amp;"9"</f>
        <v>Undead9</v>
      </c>
      <c r="AM66" s="102"/>
      <c r="AN66" s="102"/>
      <c r="AO66" s="102"/>
      <c r="AP66" s="102"/>
      <c r="AQ66" s="102"/>
      <c r="AR66" s="105"/>
      <c r="AS66" s="105"/>
      <c r="AT66" s="105"/>
      <c r="AU66" s="105"/>
      <c r="AV66" s="102"/>
      <c r="AW66" s="102"/>
      <c r="AX66" s="102"/>
      <c r="AY66" s="102"/>
    </row>
    <row r="67" spans="1:51" ht="12.75" customHeight="1">
      <c r="A67" s="102"/>
      <c r="B67" s="102"/>
      <c r="C67" s="105"/>
      <c r="D67" s="102"/>
      <c r="E67" s="102"/>
      <c r="F67" s="104"/>
      <c r="G67" s="105"/>
      <c r="H67" s="105"/>
      <c r="I67" s="105"/>
      <c r="J67" s="105"/>
      <c r="K67" s="102"/>
      <c r="L67" s="102"/>
      <c r="M67" s="102"/>
      <c r="N67" s="102"/>
      <c r="O67" s="102"/>
      <c r="P67" s="102"/>
      <c r="Q67" s="102"/>
      <c r="R67" s="102"/>
      <c r="S67" s="105"/>
      <c r="T67" s="102"/>
      <c r="U67" s="102"/>
      <c r="V67" s="106"/>
      <c r="W67" s="102"/>
      <c r="X67" s="102"/>
      <c r="Y67" s="102"/>
      <c r="Z67" s="102"/>
      <c r="AA67" s="102"/>
      <c r="AB67" s="102"/>
      <c r="AC67" s="102"/>
      <c r="AD67" s="102"/>
      <c r="AE67" s="102"/>
      <c r="AF67" s="102"/>
      <c r="AG67" s="102"/>
      <c r="AH67" s="102"/>
      <c r="AI67" s="102"/>
      <c r="AJ67" s="234" t="e">
        <f t="shared" si="34"/>
        <v>#N/A</v>
      </c>
      <c r="AK67" s="234" t="e">
        <f t="shared" si="35"/>
        <v>#N/A</v>
      </c>
      <c r="AL67" s="234" t="str">
        <f>$E$3&amp;"10"</f>
        <v>Undead10</v>
      </c>
      <c r="AM67" s="102"/>
      <c r="AN67" s="102"/>
      <c r="AO67" s="102"/>
      <c r="AP67" s="102"/>
      <c r="AQ67" s="102"/>
      <c r="AR67" s="105"/>
      <c r="AS67" s="105"/>
      <c r="AT67" s="105"/>
      <c r="AU67" s="105"/>
      <c r="AV67" s="102"/>
      <c r="AW67" s="102"/>
      <c r="AX67" s="102"/>
      <c r="AY67" s="102"/>
    </row>
    <row r="68" spans="1:51" ht="12.75" customHeight="1">
      <c r="A68" s="102"/>
      <c r="B68" s="102"/>
      <c r="C68" s="105"/>
      <c r="D68" s="102"/>
      <c r="E68" s="102"/>
      <c r="F68" s="104"/>
      <c r="G68" s="105"/>
      <c r="H68" s="105"/>
      <c r="I68" s="105"/>
      <c r="J68" s="105"/>
      <c r="K68" s="102"/>
      <c r="L68" s="102"/>
      <c r="M68" s="102"/>
      <c r="N68" s="102"/>
      <c r="O68" s="102"/>
      <c r="P68" s="102"/>
      <c r="Q68" s="102"/>
      <c r="R68" s="102"/>
      <c r="S68" s="105"/>
      <c r="T68" s="102"/>
      <c r="U68" s="102"/>
      <c r="V68" s="106"/>
      <c r="W68" s="102"/>
      <c r="X68" s="102"/>
      <c r="Y68" s="102"/>
      <c r="Z68" s="102"/>
      <c r="AA68" s="102"/>
      <c r="AB68" s="102"/>
      <c r="AC68" s="102"/>
      <c r="AD68" s="102"/>
      <c r="AE68" s="102"/>
      <c r="AF68" s="102"/>
      <c r="AG68" s="102"/>
      <c r="AH68" s="102"/>
      <c r="AI68" s="102"/>
      <c r="AJ68" s="102"/>
      <c r="AK68" s="102"/>
      <c r="AL68" s="102"/>
      <c r="AM68" s="102"/>
      <c r="AN68" s="102"/>
      <c r="AO68" s="102"/>
      <c r="AP68" s="102"/>
      <c r="AQ68" s="102"/>
      <c r="AR68" s="105"/>
      <c r="AS68" s="105"/>
      <c r="AT68" s="105"/>
      <c r="AU68" s="105"/>
      <c r="AV68" s="102"/>
      <c r="AW68" s="102"/>
      <c r="AX68" s="102"/>
      <c r="AY68" s="102"/>
    </row>
    <row r="69" spans="1:51" ht="12.75" customHeight="1">
      <c r="A69" s="102"/>
      <c r="B69" s="102"/>
      <c r="C69" s="105"/>
      <c r="D69" s="102"/>
      <c r="E69" s="102"/>
      <c r="F69" s="104"/>
      <c r="G69" s="105"/>
      <c r="H69" s="105"/>
      <c r="I69" s="105"/>
      <c r="J69" s="105"/>
      <c r="K69" s="102"/>
      <c r="L69" s="102"/>
      <c r="M69" s="102"/>
      <c r="N69" s="102"/>
      <c r="O69" s="102"/>
      <c r="P69" s="102"/>
      <c r="Q69" s="102"/>
      <c r="R69" s="102"/>
      <c r="S69" s="105"/>
      <c r="T69" s="102"/>
      <c r="U69" s="102"/>
      <c r="V69" s="106"/>
      <c r="W69" s="102"/>
      <c r="X69" s="102"/>
      <c r="Y69" s="102"/>
      <c r="Z69" s="102"/>
      <c r="AA69" s="102"/>
      <c r="AB69" s="102"/>
      <c r="AC69" s="102"/>
      <c r="AD69" s="102"/>
      <c r="AE69" s="102"/>
      <c r="AF69" s="102"/>
      <c r="AG69" s="102"/>
      <c r="AH69" s="102"/>
      <c r="AI69" s="102"/>
      <c r="AJ69" s="235" t="s">
        <v>225</v>
      </c>
      <c r="AK69" s="234">
        <f t="array" ref="AK69">SUM(IF(ISERROR($AK$58:$AK$67),0,1))</f>
        <v>5</v>
      </c>
      <c r="AL69" s="102"/>
      <c r="AM69" s="102"/>
      <c r="AN69" s="102"/>
      <c r="AO69" s="102"/>
      <c r="AP69" s="102"/>
      <c r="AQ69" s="102"/>
      <c r="AR69" s="105"/>
      <c r="AS69" s="105"/>
      <c r="AT69" s="105"/>
      <c r="AU69" s="105"/>
      <c r="AV69" s="102"/>
      <c r="AW69" s="102"/>
      <c r="AX69" s="102"/>
      <c r="AY69" s="102"/>
    </row>
    <row r="70" spans="1:51" ht="12.75" customHeight="1">
      <c r="A70" s="102"/>
      <c r="B70" s="102"/>
      <c r="C70" s="105"/>
      <c r="D70" s="102"/>
      <c r="E70" s="102"/>
      <c r="F70" s="104"/>
      <c r="G70" s="105"/>
      <c r="H70" s="105"/>
      <c r="I70" s="105"/>
      <c r="J70" s="105"/>
      <c r="K70" s="102"/>
      <c r="L70" s="102"/>
      <c r="M70" s="102"/>
      <c r="N70" s="102"/>
      <c r="O70" s="102"/>
      <c r="P70" s="102"/>
      <c r="Q70" s="102"/>
      <c r="R70" s="102"/>
      <c r="S70" s="105"/>
      <c r="T70" s="102"/>
      <c r="U70" s="102"/>
      <c r="V70" s="106"/>
      <c r="W70" s="102"/>
      <c r="X70" s="102"/>
      <c r="Y70" s="102"/>
      <c r="Z70" s="102"/>
      <c r="AA70" s="102"/>
      <c r="AB70" s="102"/>
      <c r="AC70" s="102"/>
      <c r="AD70" s="102"/>
      <c r="AE70" s="102"/>
      <c r="AF70" s="102"/>
      <c r="AG70" s="102"/>
      <c r="AH70" s="102"/>
      <c r="AI70" s="102"/>
      <c r="AJ70" s="235" t="s">
        <v>226</v>
      </c>
      <c r="AK70" s="234">
        <f t="array" ref="AK70">SUM(IF(ISERROR($AK$48:$AK$57),0,1))</f>
        <v>6</v>
      </c>
      <c r="AL70" s="102"/>
      <c r="AM70" s="102"/>
      <c r="AN70" s="102"/>
      <c r="AO70" s="102"/>
      <c r="AP70" s="102"/>
      <c r="AQ70" s="102"/>
      <c r="AR70" s="105"/>
      <c r="AS70" s="105"/>
      <c r="AT70" s="105"/>
      <c r="AU70" s="105"/>
      <c r="AV70" s="102"/>
      <c r="AW70" s="102"/>
      <c r="AX70" s="102"/>
      <c r="AY70" s="102"/>
    </row>
  </sheetData>
  <mergeCells count="58">
    <mergeCell ref="H39:I39"/>
    <mergeCell ref="H40:I40"/>
    <mergeCell ref="F42:I42"/>
    <mergeCell ref="D41:E41"/>
    <mergeCell ref="F41:I41"/>
    <mergeCell ref="D40:E40"/>
    <mergeCell ref="D39:E39"/>
    <mergeCell ref="D34:E34"/>
    <mergeCell ref="D35:E35"/>
    <mergeCell ref="H34:I34"/>
    <mergeCell ref="H35:I35"/>
    <mergeCell ref="D38:E38"/>
    <mergeCell ref="D37:E37"/>
    <mergeCell ref="H38:I38"/>
    <mergeCell ref="D36:E36"/>
    <mergeCell ref="H37:I37"/>
    <mergeCell ref="H36:I36"/>
    <mergeCell ref="N3:S3"/>
    <mergeCell ref="L3:M3"/>
    <mergeCell ref="E3:F3"/>
    <mergeCell ref="G3:I3"/>
    <mergeCell ref="J3:K3"/>
    <mergeCell ref="U3:W3"/>
    <mergeCell ref="AF3:AG3"/>
    <mergeCell ref="AR3:AU3"/>
    <mergeCell ref="V25:W25"/>
    <mergeCell ref="V24:W24"/>
    <mergeCell ref="V29:W29"/>
    <mergeCell ref="V30:W30"/>
    <mergeCell ref="V26:W26"/>
    <mergeCell ref="V27:W27"/>
    <mergeCell ref="V28:W28"/>
    <mergeCell ref="R42:S42"/>
    <mergeCell ref="R40:S40"/>
    <mergeCell ref="R41:S41"/>
    <mergeCell ref="K28:R28"/>
    <mergeCell ref="K29:R29"/>
    <mergeCell ref="K30:R30"/>
    <mergeCell ref="O35:Q35"/>
    <mergeCell ref="O36:Q36"/>
    <mergeCell ref="M39:P39"/>
    <mergeCell ref="L33:R33"/>
    <mergeCell ref="O37:Q37"/>
    <mergeCell ref="O34:Q34"/>
    <mergeCell ref="O38:Q38"/>
    <mergeCell ref="D33:I33"/>
    <mergeCell ref="K25:R25"/>
    <mergeCell ref="K24:R24"/>
    <mergeCell ref="K26:R26"/>
    <mergeCell ref="K27:R27"/>
    <mergeCell ref="L31:P31"/>
    <mergeCell ref="D29:E29"/>
    <mergeCell ref="D30:E30"/>
    <mergeCell ref="D24:E24"/>
    <mergeCell ref="D25:E25"/>
    <mergeCell ref="D26:E26"/>
    <mergeCell ref="D27:E27"/>
    <mergeCell ref="D28:E28"/>
  </mergeCells>
  <conditionalFormatting sqref="G6:J21">
    <cfRule type="cellIs" dxfId="8" priority="1" stopIfTrue="1" operator="greaterThan">
      <formula>AR6</formula>
    </cfRule>
  </conditionalFormatting>
  <conditionalFormatting sqref="G6:J21">
    <cfRule type="cellIs" dxfId="7" priority="2" stopIfTrue="1" operator="lessThan">
      <formula>AR6</formula>
    </cfRule>
  </conditionalFormatting>
  <dataValidations count="13">
    <dataValidation type="list" allowBlank="1" showErrorMessage="1" sqref="E3">
      <formula1>TeamList</formula1>
    </dataValidation>
    <dataValidation type="decimal" allowBlank="1" showInputMessage="1" showErrorMessage="1" prompt="Wrong Entry - Please enter only numbers between 0 and 2!" sqref="F34 F38">
      <formula1>0</formula1>
      <formula2>2</formula2>
    </dataValidation>
    <dataValidation type="list" allowBlank="1" showInputMessage="1" showErrorMessage="1" prompt="Wrong Entry - Please enter a value from the dropdown list!" sqref="E6:E21">
      <formula1>OFFSET($AJ$58:$AJ$67,0,0,$AK$69,1)</formula1>
    </dataValidation>
    <dataValidation type="list" allowBlank="1" showErrorMessage="1" sqref="D44">
      <formula1>#REF!</formula1>
    </dataValidation>
    <dataValidation type="list" allowBlank="1" showInputMessage="1" showErrorMessage="1" prompt="Wrong Entry - Please enter a value from the dropdown list!" sqref="L6:L21">
      <formula1>StatusDropdown</formula1>
    </dataValidation>
    <dataValidation type="list" allowBlank="1" showInputMessage="1" showErrorMessage="1" prompt="Wrong Entry - Please enter a value from the dropdown list!" sqref="D25:D30">
      <formula1>OFFSET($AK$48:$AK$67,(10-$AK$70),0,$AK$69+$AK$70,1)</formula1>
    </dataValidation>
    <dataValidation type="decimal" allowBlank="1" showInputMessage="1" showErrorMessage="1" prompt="Wrong Entry - Please enter only numbers between 0 and 3!" sqref="F35">
      <formula1>0</formula1>
      <formula2>3</formula2>
    </dataValidation>
    <dataValidation type="decimal" allowBlank="1" showInputMessage="1" showErrorMessage="1" prompt="Wrong Entry - Please enter only numbers!" sqref="M34:M37">
      <formula1>0</formula1>
      <formula2>99</formula2>
    </dataValidation>
    <dataValidation type="list" allowBlank="1" showErrorMessage="1" sqref="Y6:AD21 V25:V30 Y30">
      <formula1>OFFSET(DBSkills,0,0,ROWS(DBSkills),1)</formula1>
    </dataValidation>
    <dataValidation type="decimal" allowBlank="1" showInputMessage="1" showErrorMessage="1" prompt="Wrong Entry - Please enter only numbers!" sqref="M39 F41">
      <formula1>-10000000</formula1>
      <formula2>1000000</formula2>
    </dataValidation>
    <dataValidation type="decimal" allowBlank="1" showInputMessage="1" showErrorMessage="1" prompt="Wrong Entry - Please enter only numbers between 0 and 4!" sqref="F36">
      <formula1>0</formula1>
      <formula2>4</formula2>
    </dataValidation>
    <dataValidation type="decimal" allowBlank="1" showInputMessage="1" showErrorMessage="1" prompt="Wrong Entry - Please do only enter numbers!" sqref="M6:Q21">
      <formula1>0</formula1>
      <formula2>9999</formula2>
    </dataValidation>
    <dataValidation type="decimal" allowBlank="1" showInputMessage="1" showErrorMessage="1" prompt="Wrong Entry - Please enter only 0 or 1!" sqref="F37 M38 F39:F40">
      <formula1>0</formula1>
      <formula2>1</formula2>
    </dataValidation>
  </dataValidation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Y70"/>
  <sheetViews>
    <sheetView workbookViewId="0"/>
  </sheetViews>
  <sheetFormatPr defaultColWidth="14.42578125" defaultRowHeight="15" customHeight="1"/>
  <cols>
    <col min="1" max="1" width="0.7109375" customWidth="1"/>
    <col min="2" max="2" width="0.5703125" customWidth="1"/>
    <col min="3" max="3" width="3.7109375" customWidth="1"/>
    <col min="4" max="4" width="15.7109375" customWidth="1"/>
    <col min="5" max="5" width="12.140625" customWidth="1"/>
    <col min="6" max="6" width="5.85546875" customWidth="1"/>
    <col min="7" max="7" width="3.140625" customWidth="1"/>
    <col min="8" max="10" width="3.42578125" customWidth="1"/>
    <col min="11" max="11" width="55.42578125" customWidth="1"/>
    <col min="12" max="12" width="5.85546875" customWidth="1"/>
    <col min="13" max="18" width="3.42578125" customWidth="1"/>
    <col min="19" max="19" width="8" customWidth="1"/>
    <col min="20" max="20" width="0.5703125" customWidth="1"/>
    <col min="21" max="22" width="7.140625" customWidth="1"/>
    <col min="23" max="23" width="7.42578125" customWidth="1"/>
    <col min="24" max="24" width="0.5703125" customWidth="1"/>
    <col min="25" max="30" width="12.42578125" customWidth="1"/>
    <col min="31" max="31" width="13.28515625" customWidth="1"/>
    <col min="32" max="32" width="17.42578125" customWidth="1"/>
    <col min="33" max="33" width="6.42578125" customWidth="1"/>
    <col min="34" max="34" width="24.140625" customWidth="1"/>
    <col min="35" max="35" width="10.140625" hidden="1" customWidth="1"/>
    <col min="36" max="43" width="11.42578125" hidden="1" customWidth="1"/>
    <col min="44" max="47" width="3.5703125" hidden="1" customWidth="1"/>
    <col min="48" max="51" width="11.42578125" hidden="1" customWidth="1"/>
  </cols>
  <sheetData>
    <row r="1" spans="1:51" ht="3.75" customHeight="1">
      <c r="A1" s="102"/>
      <c r="B1" s="102"/>
      <c r="C1" s="103"/>
      <c r="D1" s="102"/>
      <c r="E1" s="102"/>
      <c r="F1" s="104"/>
      <c r="G1" s="105"/>
      <c r="H1" s="105"/>
      <c r="I1" s="105"/>
      <c r="J1" s="105"/>
      <c r="K1" s="102"/>
      <c r="L1" s="102"/>
      <c r="M1" s="102"/>
      <c r="N1" s="102"/>
      <c r="O1" s="102"/>
      <c r="P1" s="102"/>
      <c r="Q1" s="102"/>
      <c r="R1" s="102"/>
      <c r="S1" s="105"/>
      <c r="T1" s="102"/>
      <c r="U1" s="102"/>
      <c r="V1" s="106"/>
      <c r="W1" s="102"/>
      <c r="X1" s="102"/>
      <c r="Y1" s="102"/>
      <c r="Z1" s="102"/>
      <c r="AA1" s="102"/>
      <c r="AB1" s="102"/>
      <c r="AC1" s="102"/>
      <c r="AD1" s="102"/>
      <c r="AE1" s="102"/>
      <c r="AF1" s="102"/>
      <c r="AG1" s="102"/>
      <c r="AH1" s="102"/>
      <c r="AI1" s="102"/>
      <c r="AJ1" s="102"/>
      <c r="AK1" s="102"/>
      <c r="AL1" s="102"/>
      <c r="AM1" s="102"/>
      <c r="AN1" s="102"/>
      <c r="AO1" s="102"/>
      <c r="AP1" s="102"/>
      <c r="AQ1" s="102"/>
      <c r="AR1" s="105"/>
      <c r="AS1" s="105"/>
      <c r="AT1" s="105"/>
      <c r="AU1" s="105"/>
      <c r="AV1" s="102"/>
      <c r="AW1" s="102"/>
      <c r="AX1" s="102"/>
      <c r="AY1" s="102"/>
    </row>
    <row r="2" spans="1:51" ht="3" customHeight="1">
      <c r="A2" s="102"/>
      <c r="B2" s="107"/>
      <c r="C2" s="108"/>
      <c r="D2" s="109"/>
      <c r="E2" s="109"/>
      <c r="F2" s="110"/>
      <c r="G2" s="108"/>
      <c r="H2" s="108"/>
      <c r="I2" s="108"/>
      <c r="J2" s="108"/>
      <c r="K2" s="109"/>
      <c r="L2" s="109"/>
      <c r="M2" s="109"/>
      <c r="N2" s="109"/>
      <c r="O2" s="109"/>
      <c r="P2" s="109"/>
      <c r="Q2" s="109"/>
      <c r="R2" s="109"/>
      <c r="S2" s="109"/>
      <c r="T2" s="111"/>
      <c r="U2" s="102"/>
      <c r="V2" s="112"/>
      <c r="W2" s="113"/>
      <c r="X2" s="113"/>
      <c r="Y2" s="102"/>
      <c r="Z2" s="102"/>
      <c r="AA2" s="102"/>
      <c r="AB2" s="102"/>
      <c r="AC2" s="102"/>
      <c r="AD2" s="102"/>
      <c r="AE2" s="102"/>
      <c r="AF2" s="102"/>
      <c r="AG2" s="102"/>
      <c r="AH2" s="102"/>
      <c r="AI2" s="102"/>
      <c r="AJ2" s="102"/>
      <c r="AK2" s="102"/>
      <c r="AL2" s="102"/>
      <c r="AM2" s="102"/>
      <c r="AN2" s="102"/>
      <c r="AO2" s="102"/>
      <c r="AP2" s="102"/>
      <c r="AQ2" s="102"/>
      <c r="AR2" s="105"/>
      <c r="AS2" s="105"/>
      <c r="AT2" s="105"/>
      <c r="AU2" s="105"/>
      <c r="AV2" s="102"/>
      <c r="AW2" s="102"/>
      <c r="AX2" s="102"/>
      <c r="AY2" s="102"/>
    </row>
    <row r="3" spans="1:51" ht="18" customHeight="1">
      <c r="A3" s="102"/>
      <c r="B3" s="114"/>
      <c r="C3" s="115"/>
      <c r="D3" s="116" t="s">
        <v>131</v>
      </c>
      <c r="E3" s="339" t="s">
        <v>360</v>
      </c>
      <c r="F3" s="340"/>
      <c r="G3" s="342" t="s">
        <v>133</v>
      </c>
      <c r="H3" s="316"/>
      <c r="I3" s="316"/>
      <c r="J3" s="339" t="s">
        <v>55</v>
      </c>
      <c r="K3" s="340"/>
      <c r="L3" s="342" t="s">
        <v>134</v>
      </c>
      <c r="M3" s="316"/>
      <c r="N3" s="339" t="s">
        <v>300</v>
      </c>
      <c r="O3" s="340"/>
      <c r="P3" s="340"/>
      <c r="Q3" s="340"/>
      <c r="R3" s="340"/>
      <c r="S3" s="340"/>
      <c r="T3" s="117"/>
      <c r="U3" s="338" t="s">
        <v>136</v>
      </c>
      <c r="V3" s="316"/>
      <c r="W3" s="316"/>
      <c r="X3" s="118"/>
      <c r="Y3" s="119" t="s">
        <v>137</v>
      </c>
      <c r="Z3" s="102"/>
      <c r="AA3" s="102"/>
      <c r="AB3" s="102"/>
      <c r="AC3" s="102"/>
      <c r="AD3" s="102"/>
      <c r="AE3" s="102"/>
      <c r="AF3" s="336" t="s">
        <v>138</v>
      </c>
      <c r="AG3" s="337"/>
      <c r="AH3" s="120"/>
      <c r="AI3" s="102"/>
      <c r="AJ3" s="102"/>
      <c r="AK3" s="102"/>
      <c r="AL3" s="102"/>
      <c r="AM3" s="102"/>
      <c r="AN3" s="102"/>
      <c r="AO3" s="102"/>
      <c r="AP3" s="102"/>
      <c r="AQ3" s="102"/>
      <c r="AR3" s="335" t="s">
        <v>139</v>
      </c>
      <c r="AS3" s="316"/>
      <c r="AT3" s="316"/>
      <c r="AU3" s="316"/>
      <c r="AV3" s="102"/>
      <c r="AW3" s="102"/>
      <c r="AX3" s="102"/>
      <c r="AY3" s="102"/>
    </row>
    <row r="4" spans="1:51" ht="3" customHeight="1">
      <c r="A4" s="102"/>
      <c r="B4" s="107"/>
      <c r="C4" s="108"/>
      <c r="D4" s="109"/>
      <c r="E4" s="109"/>
      <c r="F4" s="110"/>
      <c r="G4" s="108"/>
      <c r="H4" s="108"/>
      <c r="I4" s="108"/>
      <c r="J4" s="108"/>
      <c r="K4" s="109"/>
      <c r="L4" s="109"/>
      <c r="M4" s="109"/>
      <c r="N4" s="109"/>
      <c r="O4" s="109"/>
      <c r="P4" s="109"/>
      <c r="Q4" s="109"/>
      <c r="R4" s="109"/>
      <c r="S4" s="108"/>
      <c r="T4" s="111"/>
      <c r="U4" s="121"/>
      <c r="V4" s="122"/>
      <c r="W4" s="121"/>
      <c r="X4" s="121"/>
      <c r="Y4" s="121"/>
      <c r="Z4" s="121"/>
      <c r="AA4" s="121"/>
      <c r="AB4" s="121"/>
      <c r="AC4" s="121"/>
      <c r="AD4" s="121"/>
      <c r="AE4" s="121"/>
      <c r="AF4" s="121"/>
      <c r="AG4" s="121"/>
      <c r="AH4" s="120"/>
      <c r="AI4" s="102"/>
      <c r="AJ4" s="102"/>
      <c r="AK4" s="102"/>
      <c r="AL4" s="102"/>
      <c r="AM4" s="102"/>
      <c r="AN4" s="102"/>
      <c r="AO4" s="102"/>
      <c r="AP4" s="102"/>
      <c r="AQ4" s="102"/>
      <c r="AR4" s="105"/>
      <c r="AS4" s="105"/>
      <c r="AT4" s="105"/>
      <c r="AU4" s="105"/>
      <c r="AV4" s="102"/>
      <c r="AW4" s="102"/>
      <c r="AX4" s="102"/>
      <c r="AY4" s="102"/>
    </row>
    <row r="5" spans="1:51" ht="13.5" customHeight="1">
      <c r="A5" s="123"/>
      <c r="B5" s="124"/>
      <c r="C5" s="125" t="s">
        <v>140</v>
      </c>
      <c r="D5" s="126" t="s">
        <v>141</v>
      </c>
      <c r="E5" s="126" t="s">
        <v>126</v>
      </c>
      <c r="F5" s="127" t="s">
        <v>142</v>
      </c>
      <c r="G5" s="127" t="str">
        <f>T_MA</f>
        <v>MA</v>
      </c>
      <c r="H5" s="127" t="str">
        <f>T_ST</f>
        <v>ST</v>
      </c>
      <c r="I5" s="127" t="str">
        <f>T_AG</f>
        <v>AG</v>
      </c>
      <c r="J5" s="127" t="str">
        <f>T_AV</f>
        <v>AV</v>
      </c>
      <c r="K5" s="128" t="s">
        <v>143</v>
      </c>
      <c r="L5" s="125" t="s">
        <v>144</v>
      </c>
      <c r="M5" s="129" t="s">
        <v>120</v>
      </c>
      <c r="N5" s="130" t="s">
        <v>20</v>
      </c>
      <c r="O5" s="130" t="s">
        <v>121</v>
      </c>
      <c r="P5" s="130" t="s">
        <v>122</v>
      </c>
      <c r="Q5" s="130" t="s">
        <v>123</v>
      </c>
      <c r="R5" s="131" t="s">
        <v>124</v>
      </c>
      <c r="S5" s="132" t="s">
        <v>145</v>
      </c>
      <c r="T5" s="117"/>
      <c r="U5" s="133" t="s">
        <v>146</v>
      </c>
      <c r="V5" s="133" t="s">
        <v>147</v>
      </c>
      <c r="W5" s="134" t="s">
        <v>148</v>
      </c>
      <c r="X5" s="135"/>
      <c r="Y5" s="136" t="s">
        <v>149</v>
      </c>
      <c r="Z5" s="136" t="s">
        <v>150</v>
      </c>
      <c r="AA5" s="136" t="s">
        <v>151</v>
      </c>
      <c r="AB5" s="136" t="s">
        <v>152</v>
      </c>
      <c r="AC5" s="136" t="s">
        <v>153</v>
      </c>
      <c r="AD5" s="137" t="s">
        <v>154</v>
      </c>
      <c r="AE5" s="138" t="s">
        <v>155</v>
      </c>
      <c r="AF5" s="139" t="s">
        <v>156</v>
      </c>
      <c r="AG5" s="140" t="s">
        <v>157</v>
      </c>
      <c r="AH5" s="120"/>
      <c r="AI5" s="123"/>
      <c r="AJ5" s="141" t="s">
        <v>158</v>
      </c>
      <c r="AK5" s="141" t="s">
        <v>159</v>
      </c>
      <c r="AL5" s="123"/>
      <c r="AM5" s="123"/>
      <c r="AN5" s="123"/>
      <c r="AO5" s="123"/>
      <c r="AP5" s="123"/>
      <c r="AQ5" s="141" t="s">
        <v>160</v>
      </c>
      <c r="AR5" s="104" t="str">
        <f>T_MA</f>
        <v>MA</v>
      </c>
      <c r="AS5" s="104" t="str">
        <f>T_ST</f>
        <v>ST</v>
      </c>
      <c r="AT5" s="104" t="str">
        <f>T_AG</f>
        <v>AG</v>
      </c>
      <c r="AU5" s="104" t="str">
        <f>T_AV</f>
        <v>AV</v>
      </c>
      <c r="AV5" s="123"/>
      <c r="AW5" s="102"/>
      <c r="AX5" s="102"/>
      <c r="AY5" s="102"/>
    </row>
    <row r="6" spans="1:51" ht="13.5" customHeight="1">
      <c r="A6" s="102"/>
      <c r="B6" s="114"/>
      <c r="C6" s="142">
        <v>1</v>
      </c>
      <c r="D6" s="143"/>
      <c r="E6" s="143"/>
      <c r="F6" s="144" t="str">
        <f>IF($E6&lt;&gt;"",IF($AJ6&lt;&gt;"",IF(AND($L6=T_Journey,VLOOKUP($AJ6,DBPlayers,2,0)&lt;12),T_Error&amp;"7",IF("Journeymen not available"=0,T_Error&amp;"8",IF(COUNTIF($E$6:$E6,$E6)-$AQ6&gt;VLOOKUP($AJ6,DBPlayers,2,0),T_Error&amp;"2",IF(L6=T_MNG,0,COUNTIF($E$6:$E6,$E6)-$AQ6)&amp;"/"&amp;(VLOOKUP($AJ6,DBPlayers,2,0))))),T_Error&amp;"1"),"")</f>
        <v/>
      </c>
      <c r="G6" s="145" t="str">
        <f t="shared" ref="G6:G21" si="0">IF(OR($E6="",LEFT($F6,LEN(T_Error))=T_Error),"",MAX(1,VLOOKUP($AJ6,DBPlayers,4,0)+COUNTIF($Y6:$AD6,T_MA&amp;"+")-IF(ISERROR(FIND(T_MA&amp;"-",$AE6)),0,IF(ISERROR(FIND(T_MA&amp;"-",$AE6,FIND(T_MA&amp;"-",$AE6)+LEN(T_MA)+1)),1,2))))</f>
        <v/>
      </c>
      <c r="H6" s="145" t="str">
        <f t="shared" ref="H6:H21" si="1">IF(OR(($E6=""),(LEFT($F6,LEN(T_Error))=T_Error)),"",MAX(1,VLOOKUP($AJ6,DBPlayers,5,0)+COUNTIF($Y6:$AD6,T_ST&amp;"+")-IF(ISERROR(FIND(T_ST&amp;"-",$AE6)),0,IF(ISERROR(FIND(T_ST&amp;"-",$AE6,FIND(T_ST&amp;"-",$AE6)+LEN(T_ST)+1)),1,2))))</f>
        <v/>
      </c>
      <c r="I6" s="145" t="str">
        <f t="shared" ref="I6:I21" si="2">IF(OR(($E6=""),(LEFT($F6,LEN(T_Error))=T_Error)),"",MAX(1,VLOOKUP($AJ6,DBPlayers,6,0)+COUNTIF($Y6:$AD6,T_AG&amp;"+")-IF(ISERROR(FIND(T_AG&amp;"-",$AE6)),0,IF(ISERROR(FIND(T_AG&amp;"-",$AE6,FIND(T_AG&amp;"-",$AE6)+LEN(T_AG)+1)),1,2))))</f>
        <v/>
      </c>
      <c r="J6" s="145" t="str">
        <f t="shared" ref="J6:J21" si="3">IF(OR(($E6=""),(LEFT($F6,LEN(T_Error))=T_Error)),"",MAX(1,VLOOKUP($AJ6,DBPlayers,7,0)+COUNTIF($Y6:$AD6,T_AV&amp;"+")-IF(ISERROR(FIND(T_AV&amp;"-",$AE6)),0,IF(ISERROR(FIND(T_AV&amp;"-",$AE6,FIND(T_AV&amp;"-",$AE6)+LEN(T_AV)+1)),1,2))))</f>
        <v/>
      </c>
      <c r="K6" s="146" t="str">
        <f t="shared" ref="K6:K21" ca="1" si="4">IF($E6="","",IF(LEFT($F6,LEN(T_Error))=T_Error,INDIRECT("T_Error"&amp;RIGHT($F6,1)),IF(VLOOKUP($AJ6,DBPlayers,8,0)&lt;&gt;0,IF($L6=T_Journey,T_Loner&amp;", ","")&amp;VLOOKUP($AJ6,DBPlayers,8,0)&amp;IF($W6&gt;0,", ",""),IF($L6=T_Journey,T_Loner,""))&amp;IF($W6&gt;0,IF(Y6&lt;&gt;"",Y6,T_MS),"")&amp;IF($W6&gt;1,", "&amp;IF(Z6&lt;&gt;"",Z6,T_MS),"")&amp;IF($W6&gt;2,", "&amp;IF(AA6&lt;&gt;"",AA6,T_MS),"")&amp;IF($W6&gt;3,", "&amp;IF(AB6&lt;&gt;"",AB6,T_MS),"")&amp;IF($W6&gt;4,", "&amp;IF(AC6&lt;&gt;"",AC6,T_MS),"")&amp;IF($W6&gt;5,", "&amp;IF(AD6&lt;&gt;"",AD6,T_MS),"")&amp;IF(AF6&lt;&gt;"",IF(OR($W6&gt;0,VLOOKUP($AJ6,DBPlayers,8,0)&lt;&gt;0),", ","")&amp;AF6,"")&amp;IF(AE6&lt;&gt;"",IF(OR($W6&gt;0,AF6&lt;&gt;"",VLOOKUP($AJ6,DBPlayers,8,0)&lt;&gt;0),", ","")&amp;AE6,"")))</f>
        <v/>
      </c>
      <c r="L6" s="147"/>
      <c r="M6" s="148"/>
      <c r="N6" s="149"/>
      <c r="O6" s="149"/>
      <c r="P6" s="149"/>
      <c r="Q6" s="149">
        <v>1</v>
      </c>
      <c r="R6" s="150" t="str">
        <f t="shared" ref="R6:R21" si="5">IF(OR(($E6=""),(LEFT($F6,LEN(T_Error))=T_Error)),"",M6*SPP_CP+N6*SPP_TD+O6*SPP_IN+P6*SPP_CS+Q6*SPP_VP)</f>
        <v/>
      </c>
      <c r="S6" s="151" t="str">
        <f>IF(OR($E6="",LEFT($F6,LEN(T_Error))=T_Error),"",IF($L6=T_MNG,0,VLOOKUP($AJ6,DBPlayers,11,0)+SUM($AK6:$AP6)+AG6))</f>
        <v/>
      </c>
      <c r="T6" s="117"/>
      <c r="U6" s="152" t="str">
        <f t="shared" ref="U6:U21" si="6">IF(OR(($E6=""),(LEFT($F6,LEN(T_Error))=T_Error)),"",VLOOKUP($AJ6,DBPlayers,9,0))</f>
        <v/>
      </c>
      <c r="V6" s="152" t="str">
        <f t="shared" ref="V6:V21" si="7">IF(OR(($E6=""),(LEFT($F6,LEN(T_Error))=T_Error)),"",VLOOKUP($AJ6,DBPlayers,10,0))</f>
        <v/>
      </c>
      <c r="W6" s="153" t="str">
        <f t="shared" ref="W6:W21" si="8">IF(R6="","",IF($R6&gt;=SPP_6,6,IF($R6&gt;=SPP_5,5,IF($R6&gt;=SPP_4,4,IF($R6&gt;=SPP_3,3,IF($R6&gt;=SPP_2,2,IF($R6&gt;=SPP_1,1,0)))))))</f>
        <v/>
      </c>
      <c r="X6" s="121"/>
      <c r="Y6" s="154"/>
      <c r="Z6" s="154"/>
      <c r="AA6" s="154"/>
      <c r="AB6" s="154"/>
      <c r="AC6" s="154"/>
      <c r="AD6" s="155"/>
      <c r="AE6" s="156"/>
      <c r="AF6" s="157"/>
      <c r="AG6" s="158"/>
      <c r="AH6" s="120"/>
      <c r="AI6" s="123">
        <v>1</v>
      </c>
      <c r="AJ6" s="159" t="str">
        <f t="shared" ref="AJ6:AJ21" si="9">IF(OR(E6="",ISERROR(VLOOKUP(E6,$AJ$58:$AL$67,3,0))),"",VLOOKUP(E6,$AJ$58:$AL$67,3,0))</f>
        <v/>
      </c>
      <c r="AK6" s="159">
        <f>IF(Y6="",0,IF(ISERROR(FIND(VLOOKUP(Y6,DBSkills,2,0),$U6)),0,IMP_REGULAR)+IF(ISERROR(FIND(VLOOKUP(Y6,DBSkills,2,0),$V6)),0,IMP_DOUBLE)+IF(Y6=T_ST&amp;"+",IMP_ST,0)+IF(Y6=T_AG&amp;"+",IMP_AG,0)+IF(Y6=T_MA&amp;"+",IMP_MA,0)+IF(Y6=T_AV&amp;"+",IMP_MA,0))</f>
        <v>0</v>
      </c>
      <c r="AL6" s="159">
        <f t="shared" ref="AL6:AL21" si="10">IF(Z6="",0,IF(Z6=T_ST&amp;"+",50000,IF(Z6=T_AG&amp;"+",40000,IF(OR(Z6=T_MA&amp;"+",Z6=T_AV&amp;"+"),30000,IF(ISERROR(FIND(VLOOKUP(Z6,DBSkills,2,0),$V6)),20000,30000)))))</f>
        <v>0</v>
      </c>
      <c r="AM6" s="159">
        <f t="shared" ref="AM6:AM21" si="11">IF(AA6="",0,IF(AA6=T_ST&amp;"+",50000,IF(AA6=T_AG&amp;"+",40000,IF(OR(AA6=T_MA&amp;"+",AA6=T_AV&amp;"+"),30000,IF(ISERROR(FIND(VLOOKUP(AA6,DBSkills,2,0),$V6)),20000,30000)))))</f>
        <v>0</v>
      </c>
      <c r="AN6" s="159">
        <f t="shared" ref="AN6:AN21" si="12">IF(AB6="",0,IF(AB6=T_ST&amp;"+",50000,IF(AB6=T_AG&amp;"+",40000,IF(OR(AB6=T_MA&amp;"+",AB6=T_AV&amp;"+"),30000,IF(ISERROR(FIND(VLOOKUP(AB6,DBSkills,2,0),$V6)),20000,30000)))))</f>
        <v>0</v>
      </c>
      <c r="AO6" s="159">
        <f t="shared" ref="AO6:AO21" si="13">IF(AC6="",0,IF(AC6=T_ST&amp;"+",50000,IF(AC6=T_AG&amp;"+",40000,IF(OR(AC6=T_MA&amp;"+",AC6=T_AV&amp;"+"),30000,IF(ISERROR(FIND(VLOOKUP(AC6,DBSkills,2,0),$V6)),20000,30000)))))</f>
        <v>0</v>
      </c>
      <c r="AP6" s="159">
        <f t="shared" ref="AP6:AP21" si="14">IF(AD6="",0,IF(AD6=T_ST&amp;"+",50000,IF(AD6=T_AG&amp;"+",40000,IF(OR(AD6=T_MA&amp;"+",AD6=T_AV&amp;"+"),30000,IF(ISERROR(FIND(VLOOKUP(AD6,DBSkills,2,0),$V6)),20000,30000)))))</f>
        <v>0</v>
      </c>
      <c r="AQ6" s="159" t="str">
        <f t="array" ref="AQ6">IF(ISERROR($AJ6),0,IF($AJ6="","",SUM(IF($AJ6=$AJ$6:$AJ6,IF($L$6:$L6=T_MNG,1,0),0))))</f>
        <v/>
      </c>
      <c r="AR6" s="160" t="str">
        <f t="shared" ref="AR6:AR21" si="15">IF(OR($E6="",LEFT($F6,LEN(T_Error))=T_Error),"",MAX(1,VLOOKUP($AJ6,DBPlayers,4,0)))</f>
        <v/>
      </c>
      <c r="AS6" s="160" t="str">
        <f t="shared" ref="AS6:AS21" si="16">IF(OR(($E6=""),(LEFT($F6,LEN(T_Error))=T_Error)),"",MAX(1,VLOOKUP($AJ6,DBPlayers,5,0)))</f>
        <v/>
      </c>
      <c r="AT6" s="160" t="str">
        <f t="shared" ref="AT6:AT21" si="17">IF(OR(($E6=""),(LEFT($F6,LEN(T_Error))=T_Error)),"",MAX(1,VLOOKUP($AJ6,DBPlayers,6,0)))</f>
        <v/>
      </c>
      <c r="AU6" s="160" t="str">
        <f t="shared" ref="AU6:AU21" si="18">IF(OR(($E6=""),(LEFT($F6,LEN(T_Error))=T_Error)),"",MAX(1,VLOOKUP($AJ6,DBPlayers,7,0)))</f>
        <v/>
      </c>
      <c r="AV6" s="102"/>
      <c r="AW6" s="102"/>
      <c r="AX6" s="102"/>
      <c r="AY6" s="102"/>
    </row>
    <row r="7" spans="1:51" ht="13.5" customHeight="1">
      <c r="A7" s="102"/>
      <c r="B7" s="114"/>
      <c r="C7" s="161">
        <v>2</v>
      </c>
      <c r="D7" s="162"/>
      <c r="E7" s="162"/>
      <c r="F7" s="163" t="str">
        <f>IF($E7&lt;&gt;"",IF($AJ7&lt;&gt;"",IF(AND($L7=T_Journey,VLOOKUP($AJ7,DBPlayers,2,0)&lt;12),T_Error&amp;"7",IF("Journeymen not available"=0,T_Error&amp;"8",IF(COUNTIF($E$6:$E7,$E7)-$AQ7&gt;VLOOKUP($AJ7,DBPlayers,2,0),T_Error&amp;"2",IF(L7=T_MNG,0,COUNTIF($E$6:$E7,$E7)-$AQ7)&amp;"/"&amp;(VLOOKUP($AJ7,DBPlayers,2,0))))),T_Error&amp;"1"),"")</f>
        <v/>
      </c>
      <c r="G7" s="164" t="str">
        <f t="shared" si="0"/>
        <v/>
      </c>
      <c r="H7" s="164" t="str">
        <f t="shared" si="1"/>
        <v/>
      </c>
      <c r="I7" s="164" t="str">
        <f t="shared" si="2"/>
        <v/>
      </c>
      <c r="J7" s="164" t="str">
        <f t="shared" si="3"/>
        <v/>
      </c>
      <c r="K7" s="167" t="str">
        <f t="shared" ca="1" si="4"/>
        <v/>
      </c>
      <c r="L7" s="168"/>
      <c r="M7" s="169"/>
      <c r="N7" s="170"/>
      <c r="O7" s="170"/>
      <c r="P7" s="170"/>
      <c r="Q7" s="170">
        <v>1</v>
      </c>
      <c r="R7" s="171" t="str">
        <f t="shared" si="5"/>
        <v/>
      </c>
      <c r="S7" s="172" t="str">
        <f t="shared" ref="S7:S21" si="19">IF(OR($E7="",LEFT($F7,LEN(T_Error))=T_Error),"",IF($L7=T_MNG,0,VLOOKUP($AJ7,DBPlayers,11,0)+SUM($AK7:$AP7)))</f>
        <v/>
      </c>
      <c r="T7" s="117"/>
      <c r="U7" s="152" t="str">
        <f t="shared" si="6"/>
        <v/>
      </c>
      <c r="V7" s="152" t="str">
        <f t="shared" si="7"/>
        <v/>
      </c>
      <c r="W7" s="153" t="str">
        <f t="shared" si="8"/>
        <v/>
      </c>
      <c r="X7" s="121"/>
      <c r="Y7" s="154"/>
      <c r="Z7" s="154"/>
      <c r="AA7" s="154"/>
      <c r="AB7" s="154"/>
      <c r="AC7" s="154"/>
      <c r="AD7" s="155"/>
      <c r="AE7" s="156"/>
      <c r="AF7" s="173"/>
      <c r="AG7" s="174"/>
      <c r="AH7" s="120"/>
      <c r="AI7" s="123">
        <v>2</v>
      </c>
      <c r="AJ7" s="159" t="str">
        <f t="shared" si="9"/>
        <v/>
      </c>
      <c r="AK7" s="159">
        <f t="shared" ref="AK7:AK21" si="20">IF(Y7="",0,IF(Y7=T_ST&amp;"+",50000,IF(Y7=T_AG&amp;"+",40000,IF(OR(Y7=T_MA&amp;"+",Y7=T_AV&amp;"+"),30000,IF(ISERROR(FIND(VLOOKUP(Y7,DBSkills,2,0),$V7)),20000,30000)))))</f>
        <v>0</v>
      </c>
      <c r="AL7" s="159">
        <f t="shared" si="10"/>
        <v>0</v>
      </c>
      <c r="AM7" s="159">
        <f t="shared" si="11"/>
        <v>0</v>
      </c>
      <c r="AN7" s="159">
        <f t="shared" si="12"/>
        <v>0</v>
      </c>
      <c r="AO7" s="159">
        <f t="shared" si="13"/>
        <v>0</v>
      </c>
      <c r="AP7" s="159">
        <f t="shared" si="14"/>
        <v>0</v>
      </c>
      <c r="AQ7" s="159" t="str">
        <f t="array" ref="AQ7">IF(ISERROR($AJ7),0,IF($AJ7="","",SUM(IF($AJ7=$AJ$6:$AJ7,IF($L$6:$L7=T_MNG,1,0),0))))</f>
        <v/>
      </c>
      <c r="AR7" s="160" t="str">
        <f t="shared" si="15"/>
        <v/>
      </c>
      <c r="AS7" s="160" t="str">
        <f t="shared" si="16"/>
        <v/>
      </c>
      <c r="AT7" s="160" t="str">
        <f t="shared" si="17"/>
        <v/>
      </c>
      <c r="AU7" s="160" t="str">
        <f t="shared" si="18"/>
        <v/>
      </c>
      <c r="AV7" s="102"/>
      <c r="AW7" s="123"/>
      <c r="AX7" s="123"/>
      <c r="AY7" s="123"/>
    </row>
    <row r="8" spans="1:51" ht="13.5" customHeight="1">
      <c r="A8" s="102"/>
      <c r="B8" s="114"/>
      <c r="C8" s="161">
        <v>3</v>
      </c>
      <c r="D8" s="162"/>
      <c r="E8" s="162"/>
      <c r="F8" s="163" t="str">
        <f>IF($E8&lt;&gt;"",IF($AJ8&lt;&gt;"",IF(AND($L8=T_Journey,VLOOKUP($AJ8,DBPlayers,2,0)&lt;12),T_Error&amp;"7",IF("Journeymen not available"=0,T_Error&amp;"8",IF(COUNTIF($E$6:$E8,$E8)-$AQ8&gt;VLOOKUP($AJ8,DBPlayers,2,0),T_Error&amp;"2",IF(L8=T_MNG,0,COUNTIF($E$6:$E8,$E8)-$AQ8)&amp;"/"&amp;(VLOOKUP($AJ8,DBPlayers,2,0))))),T_Error&amp;"1"),"")</f>
        <v/>
      </c>
      <c r="G8" s="164" t="str">
        <f t="shared" si="0"/>
        <v/>
      </c>
      <c r="H8" s="164" t="str">
        <f t="shared" si="1"/>
        <v/>
      </c>
      <c r="I8" s="164" t="str">
        <f t="shared" si="2"/>
        <v/>
      </c>
      <c r="J8" s="164" t="str">
        <f t="shared" si="3"/>
        <v/>
      </c>
      <c r="K8" s="167" t="str">
        <f t="shared" ca="1" si="4"/>
        <v/>
      </c>
      <c r="L8" s="168"/>
      <c r="M8" s="169"/>
      <c r="N8" s="170"/>
      <c r="O8" s="170"/>
      <c r="P8" s="170"/>
      <c r="Q8" s="170"/>
      <c r="R8" s="171" t="str">
        <f t="shared" si="5"/>
        <v/>
      </c>
      <c r="S8" s="172" t="str">
        <f t="shared" si="19"/>
        <v/>
      </c>
      <c r="T8" s="117"/>
      <c r="U8" s="152" t="str">
        <f t="shared" si="6"/>
        <v/>
      </c>
      <c r="V8" s="152" t="str">
        <f t="shared" si="7"/>
        <v/>
      </c>
      <c r="W8" s="153" t="str">
        <f t="shared" si="8"/>
        <v/>
      </c>
      <c r="X8" s="121"/>
      <c r="Y8" s="154"/>
      <c r="Z8" s="154"/>
      <c r="AA8" s="154"/>
      <c r="AB8" s="154"/>
      <c r="AC8" s="154"/>
      <c r="AD8" s="155"/>
      <c r="AE8" s="156"/>
      <c r="AF8" s="154"/>
      <c r="AG8" s="155"/>
      <c r="AH8" s="120"/>
      <c r="AI8" s="123">
        <v>3</v>
      </c>
      <c r="AJ8" s="159" t="str">
        <f t="shared" si="9"/>
        <v/>
      </c>
      <c r="AK8" s="159">
        <f t="shared" si="20"/>
        <v>0</v>
      </c>
      <c r="AL8" s="159">
        <f t="shared" si="10"/>
        <v>0</v>
      </c>
      <c r="AM8" s="159">
        <f t="shared" si="11"/>
        <v>0</v>
      </c>
      <c r="AN8" s="159">
        <f t="shared" si="12"/>
        <v>0</v>
      </c>
      <c r="AO8" s="159">
        <f t="shared" si="13"/>
        <v>0</v>
      </c>
      <c r="AP8" s="159">
        <f t="shared" si="14"/>
        <v>0</v>
      </c>
      <c r="AQ8" s="159" t="str">
        <f t="array" ref="AQ8">IF(ISERROR($AJ8),0,IF($AJ8="","",SUM(IF($AJ8=$AJ$6:$AJ8,IF($L$6:$L8=T_MNG,1,0),0))))</f>
        <v/>
      </c>
      <c r="AR8" s="160" t="str">
        <f t="shared" si="15"/>
        <v/>
      </c>
      <c r="AS8" s="160" t="str">
        <f t="shared" si="16"/>
        <v/>
      </c>
      <c r="AT8" s="160" t="str">
        <f t="shared" si="17"/>
        <v/>
      </c>
      <c r="AU8" s="160" t="str">
        <f t="shared" si="18"/>
        <v/>
      </c>
      <c r="AV8" s="102"/>
      <c r="AW8" s="102"/>
      <c r="AX8" s="102"/>
      <c r="AY8" s="102"/>
    </row>
    <row r="9" spans="1:51" ht="13.5" customHeight="1">
      <c r="A9" s="102"/>
      <c r="B9" s="114"/>
      <c r="C9" s="161">
        <v>4</v>
      </c>
      <c r="D9" s="162"/>
      <c r="E9" s="162"/>
      <c r="F9" s="163" t="str">
        <f>IF($E9&lt;&gt;"",IF($AJ9&lt;&gt;"",IF(AND($L9=T_Journey,VLOOKUP($AJ9,DBPlayers,2,0)&lt;12),T_Error&amp;"7",IF("Journeymen not available"=0,T_Error&amp;"8",IF(COUNTIF($E$6:$E9,$E9)-$AQ9&gt;VLOOKUP($AJ9,DBPlayers,2,0),T_Error&amp;"2",IF(L9=T_MNG,0,COUNTIF($E$6:$E9,$E9)-$AQ9)&amp;"/"&amp;(VLOOKUP($AJ9,DBPlayers,2,0))))),T_Error&amp;"1"),"")</f>
        <v/>
      </c>
      <c r="G9" s="164" t="str">
        <f t="shared" si="0"/>
        <v/>
      </c>
      <c r="H9" s="164" t="str">
        <f t="shared" si="1"/>
        <v/>
      </c>
      <c r="I9" s="164" t="str">
        <f t="shared" si="2"/>
        <v/>
      </c>
      <c r="J9" s="164" t="str">
        <f t="shared" si="3"/>
        <v/>
      </c>
      <c r="K9" s="167" t="str">
        <f t="shared" ca="1" si="4"/>
        <v/>
      </c>
      <c r="L9" s="168"/>
      <c r="M9" s="169"/>
      <c r="N9" s="170"/>
      <c r="O9" s="170"/>
      <c r="P9" s="170"/>
      <c r="Q9" s="170"/>
      <c r="R9" s="171" t="str">
        <f t="shared" si="5"/>
        <v/>
      </c>
      <c r="S9" s="172" t="str">
        <f t="shared" si="19"/>
        <v/>
      </c>
      <c r="T9" s="117"/>
      <c r="U9" s="152" t="str">
        <f t="shared" si="6"/>
        <v/>
      </c>
      <c r="V9" s="152" t="str">
        <f t="shared" si="7"/>
        <v/>
      </c>
      <c r="W9" s="153" t="str">
        <f t="shared" si="8"/>
        <v/>
      </c>
      <c r="X9" s="121"/>
      <c r="Y9" s="154"/>
      <c r="Z9" s="154"/>
      <c r="AA9" s="154"/>
      <c r="AB9" s="154"/>
      <c r="AC9" s="154"/>
      <c r="AD9" s="155"/>
      <c r="AE9" s="156"/>
      <c r="AF9" s="154"/>
      <c r="AG9" s="155"/>
      <c r="AH9" s="120"/>
      <c r="AI9" s="123">
        <v>4</v>
      </c>
      <c r="AJ9" s="159" t="str">
        <f t="shared" si="9"/>
        <v/>
      </c>
      <c r="AK9" s="159">
        <f t="shared" si="20"/>
        <v>0</v>
      </c>
      <c r="AL9" s="159">
        <f t="shared" si="10"/>
        <v>0</v>
      </c>
      <c r="AM9" s="159">
        <f t="shared" si="11"/>
        <v>0</v>
      </c>
      <c r="AN9" s="159">
        <f t="shared" si="12"/>
        <v>0</v>
      </c>
      <c r="AO9" s="159">
        <f t="shared" si="13"/>
        <v>0</v>
      </c>
      <c r="AP9" s="159">
        <f t="shared" si="14"/>
        <v>0</v>
      </c>
      <c r="AQ9" s="159" t="str">
        <f t="array" ref="AQ9">IF(ISERROR($AJ9),0,IF($AJ9="","",SUM(IF($AJ9=$AJ$6:$AJ9,IF($L$6:$L9=T_MNG,1,0),0))))</f>
        <v/>
      </c>
      <c r="AR9" s="160" t="str">
        <f t="shared" si="15"/>
        <v/>
      </c>
      <c r="AS9" s="160" t="str">
        <f t="shared" si="16"/>
        <v/>
      </c>
      <c r="AT9" s="160" t="str">
        <f t="shared" si="17"/>
        <v/>
      </c>
      <c r="AU9" s="160" t="str">
        <f t="shared" si="18"/>
        <v/>
      </c>
      <c r="AV9" s="102"/>
      <c r="AW9" s="102"/>
      <c r="AX9" s="102"/>
      <c r="AY9" s="102"/>
    </row>
    <row r="10" spans="1:51" ht="13.5" customHeight="1">
      <c r="A10" s="102"/>
      <c r="B10" s="114"/>
      <c r="C10" s="161">
        <v>5</v>
      </c>
      <c r="D10" s="162"/>
      <c r="E10" s="162"/>
      <c r="F10" s="163" t="str">
        <f>IF($E10&lt;&gt;"",IF($AJ10&lt;&gt;"",IF(AND($L10=T_Journey,VLOOKUP($AJ10,DBPlayers,2,0)&lt;12),T_Error&amp;"7",IF("Journeymen not available"=0,T_Error&amp;"8",IF(COUNTIF($E$6:$E10,$E10)-$AQ10&gt;VLOOKUP($AJ10,DBPlayers,2,0),T_Error&amp;"2",IF(L10=T_MNG,0,COUNTIF($E$6:$E10,$E10)-$AQ10)&amp;"/"&amp;(VLOOKUP($AJ10,DBPlayers,2,0))))),T_Error&amp;"1"),"")</f>
        <v/>
      </c>
      <c r="G10" s="164" t="str">
        <f t="shared" si="0"/>
        <v/>
      </c>
      <c r="H10" s="164" t="str">
        <f t="shared" si="1"/>
        <v/>
      </c>
      <c r="I10" s="164" t="str">
        <f t="shared" si="2"/>
        <v/>
      </c>
      <c r="J10" s="164" t="str">
        <f t="shared" si="3"/>
        <v/>
      </c>
      <c r="K10" s="167" t="str">
        <f t="shared" ca="1" si="4"/>
        <v/>
      </c>
      <c r="L10" s="168"/>
      <c r="M10" s="169"/>
      <c r="N10" s="170">
        <v>1</v>
      </c>
      <c r="O10" s="170"/>
      <c r="P10" s="170"/>
      <c r="Q10" s="170"/>
      <c r="R10" s="171" t="str">
        <f t="shared" si="5"/>
        <v/>
      </c>
      <c r="S10" s="172" t="str">
        <f t="shared" si="19"/>
        <v/>
      </c>
      <c r="T10" s="117"/>
      <c r="U10" s="152" t="str">
        <f t="shared" si="6"/>
        <v/>
      </c>
      <c r="V10" s="152" t="str">
        <f t="shared" si="7"/>
        <v/>
      </c>
      <c r="W10" s="153" t="str">
        <f t="shared" si="8"/>
        <v/>
      </c>
      <c r="X10" s="121"/>
      <c r="Y10" s="154"/>
      <c r="Z10" s="154"/>
      <c r="AA10" s="154"/>
      <c r="AB10" s="154"/>
      <c r="AC10" s="154"/>
      <c r="AD10" s="155"/>
      <c r="AE10" s="156"/>
      <c r="AF10" s="154"/>
      <c r="AG10" s="155"/>
      <c r="AH10" s="120"/>
      <c r="AI10" s="123">
        <v>5</v>
      </c>
      <c r="AJ10" s="159" t="str">
        <f t="shared" si="9"/>
        <v/>
      </c>
      <c r="AK10" s="159">
        <f t="shared" si="20"/>
        <v>0</v>
      </c>
      <c r="AL10" s="159">
        <f t="shared" si="10"/>
        <v>0</v>
      </c>
      <c r="AM10" s="159">
        <f t="shared" si="11"/>
        <v>0</v>
      </c>
      <c r="AN10" s="159">
        <f t="shared" si="12"/>
        <v>0</v>
      </c>
      <c r="AO10" s="159">
        <f t="shared" si="13"/>
        <v>0</v>
      </c>
      <c r="AP10" s="159">
        <f t="shared" si="14"/>
        <v>0</v>
      </c>
      <c r="AQ10" s="159" t="str">
        <f t="array" ref="AQ10">IF(ISERROR($AJ10),0,IF($AJ10="","",SUM(IF($AJ10=$AJ$6:$AJ10,IF($L$6:$L10=T_MNG,1,0),0))))</f>
        <v/>
      </c>
      <c r="AR10" s="160" t="str">
        <f t="shared" si="15"/>
        <v/>
      </c>
      <c r="AS10" s="160" t="str">
        <f t="shared" si="16"/>
        <v/>
      </c>
      <c r="AT10" s="160" t="str">
        <f t="shared" si="17"/>
        <v/>
      </c>
      <c r="AU10" s="160" t="str">
        <f t="shared" si="18"/>
        <v/>
      </c>
      <c r="AV10" s="102"/>
      <c r="AW10" s="102"/>
      <c r="AX10" s="102"/>
      <c r="AY10" s="102"/>
    </row>
    <row r="11" spans="1:51" ht="13.5" customHeight="1">
      <c r="A11" s="102"/>
      <c r="B11" s="114"/>
      <c r="C11" s="161">
        <v>6</v>
      </c>
      <c r="D11" s="162"/>
      <c r="E11" s="162"/>
      <c r="F11" s="163" t="str">
        <f>IF($E11&lt;&gt;"",IF($AJ11&lt;&gt;"",IF(AND($L11=T_Journey,VLOOKUP($AJ11,DBPlayers,2,0)&lt;12),T_Error&amp;"7",IF("Journeymen not available"=0,T_Error&amp;"8",IF(COUNTIF($E$6:$E11,$E11)-$AQ11&gt;VLOOKUP($AJ11,DBPlayers,2,0),T_Error&amp;"2",IF(L11=T_MNG,0,COUNTIF($E$6:$E11,$E11)-$AQ11)&amp;"/"&amp;(VLOOKUP($AJ11,DBPlayers,2,0))))),T_Error&amp;"1"),"")</f>
        <v/>
      </c>
      <c r="G11" s="164" t="str">
        <f t="shared" si="0"/>
        <v/>
      </c>
      <c r="H11" s="164" t="str">
        <f t="shared" si="1"/>
        <v/>
      </c>
      <c r="I11" s="164" t="str">
        <f t="shared" si="2"/>
        <v/>
      </c>
      <c r="J11" s="164" t="str">
        <f t="shared" si="3"/>
        <v/>
      </c>
      <c r="K11" s="167" t="str">
        <f t="shared" ca="1" si="4"/>
        <v/>
      </c>
      <c r="L11" s="168"/>
      <c r="M11" s="169">
        <v>1</v>
      </c>
      <c r="N11" s="170">
        <v>1</v>
      </c>
      <c r="O11" s="170"/>
      <c r="P11" s="170"/>
      <c r="Q11" s="170"/>
      <c r="R11" s="171" t="str">
        <f t="shared" si="5"/>
        <v/>
      </c>
      <c r="S11" s="172" t="str">
        <f t="shared" si="19"/>
        <v/>
      </c>
      <c r="T11" s="117"/>
      <c r="U11" s="152" t="str">
        <f t="shared" si="6"/>
        <v/>
      </c>
      <c r="V11" s="152" t="str">
        <f t="shared" si="7"/>
        <v/>
      </c>
      <c r="W11" s="153" t="str">
        <f t="shared" si="8"/>
        <v/>
      </c>
      <c r="X11" s="121"/>
      <c r="Y11" s="154"/>
      <c r="Z11" s="154"/>
      <c r="AA11" s="154"/>
      <c r="AB11" s="154"/>
      <c r="AC11" s="154"/>
      <c r="AD11" s="155"/>
      <c r="AE11" s="156"/>
      <c r="AF11" s="154"/>
      <c r="AG11" s="155"/>
      <c r="AH11" s="120"/>
      <c r="AI11" s="123">
        <v>6</v>
      </c>
      <c r="AJ11" s="159" t="str">
        <f t="shared" si="9"/>
        <v/>
      </c>
      <c r="AK11" s="159">
        <f t="shared" si="20"/>
        <v>0</v>
      </c>
      <c r="AL11" s="159">
        <f t="shared" si="10"/>
        <v>0</v>
      </c>
      <c r="AM11" s="159">
        <f t="shared" si="11"/>
        <v>0</v>
      </c>
      <c r="AN11" s="159">
        <f t="shared" si="12"/>
        <v>0</v>
      </c>
      <c r="AO11" s="159">
        <f t="shared" si="13"/>
        <v>0</v>
      </c>
      <c r="AP11" s="159">
        <f t="shared" si="14"/>
        <v>0</v>
      </c>
      <c r="AQ11" s="159" t="str">
        <f t="array" ref="AQ11">IF(ISERROR($AJ11),0,IF($AJ11="","",SUM(IF($AJ11=$AJ$6:$AJ11,IF($L$6:$L11=T_MNG,1,0),0))))</f>
        <v/>
      </c>
      <c r="AR11" s="160" t="str">
        <f t="shared" si="15"/>
        <v/>
      </c>
      <c r="AS11" s="160" t="str">
        <f t="shared" si="16"/>
        <v/>
      </c>
      <c r="AT11" s="160" t="str">
        <f t="shared" si="17"/>
        <v/>
      </c>
      <c r="AU11" s="160" t="str">
        <f t="shared" si="18"/>
        <v/>
      </c>
      <c r="AV11" s="102"/>
      <c r="AW11" s="102"/>
      <c r="AX11" s="102"/>
      <c r="AY11" s="102"/>
    </row>
    <row r="12" spans="1:51" ht="13.5" customHeight="1">
      <c r="A12" s="102"/>
      <c r="B12" s="114"/>
      <c r="C12" s="161">
        <v>7</v>
      </c>
      <c r="D12" s="162"/>
      <c r="E12" s="162"/>
      <c r="F12" s="163" t="str">
        <f>IF($E12&lt;&gt;"",IF($AJ12&lt;&gt;"",IF(AND($L12=T_Journey,VLOOKUP($AJ12,DBPlayers,2,0)&lt;12),T_Error&amp;"7",IF("Journeymen not available"=0,T_Error&amp;"8",IF(COUNTIF($E$6:$E12,$E12)-$AQ12&gt;VLOOKUP($AJ12,DBPlayers,2,0),T_Error&amp;"2",IF(L12=T_MNG,0,COUNTIF($E$6:$E12,$E12)-$AQ12)&amp;"/"&amp;(VLOOKUP($AJ12,DBPlayers,2,0))))),T_Error&amp;"1"),"")</f>
        <v/>
      </c>
      <c r="G12" s="164" t="str">
        <f t="shared" si="0"/>
        <v/>
      </c>
      <c r="H12" s="164" t="str">
        <f t="shared" si="1"/>
        <v/>
      </c>
      <c r="I12" s="164" t="str">
        <f t="shared" si="2"/>
        <v/>
      </c>
      <c r="J12" s="164" t="str">
        <f t="shared" si="3"/>
        <v/>
      </c>
      <c r="K12" s="167" t="str">
        <f t="shared" ca="1" si="4"/>
        <v/>
      </c>
      <c r="L12" s="168"/>
      <c r="M12" s="169"/>
      <c r="N12" s="170"/>
      <c r="O12" s="170"/>
      <c r="P12" s="170"/>
      <c r="Q12" s="170"/>
      <c r="R12" s="171" t="str">
        <f t="shared" si="5"/>
        <v/>
      </c>
      <c r="S12" s="172" t="str">
        <f t="shared" si="19"/>
        <v/>
      </c>
      <c r="T12" s="117"/>
      <c r="U12" s="152" t="str">
        <f t="shared" si="6"/>
        <v/>
      </c>
      <c r="V12" s="152" t="str">
        <f t="shared" si="7"/>
        <v/>
      </c>
      <c r="W12" s="153" t="str">
        <f t="shared" si="8"/>
        <v/>
      </c>
      <c r="X12" s="121"/>
      <c r="Y12" s="154"/>
      <c r="Z12" s="154"/>
      <c r="AA12" s="154"/>
      <c r="AB12" s="154"/>
      <c r="AC12" s="154"/>
      <c r="AD12" s="155"/>
      <c r="AE12" s="156"/>
      <c r="AF12" s="154"/>
      <c r="AG12" s="155"/>
      <c r="AH12" s="120"/>
      <c r="AI12" s="123">
        <v>7</v>
      </c>
      <c r="AJ12" s="159" t="str">
        <f t="shared" si="9"/>
        <v/>
      </c>
      <c r="AK12" s="159">
        <f t="shared" si="20"/>
        <v>0</v>
      </c>
      <c r="AL12" s="159">
        <f t="shared" si="10"/>
        <v>0</v>
      </c>
      <c r="AM12" s="159">
        <f t="shared" si="11"/>
        <v>0</v>
      </c>
      <c r="AN12" s="159">
        <f t="shared" si="12"/>
        <v>0</v>
      </c>
      <c r="AO12" s="159">
        <f t="shared" si="13"/>
        <v>0</v>
      </c>
      <c r="AP12" s="159">
        <f t="shared" si="14"/>
        <v>0</v>
      </c>
      <c r="AQ12" s="159" t="str">
        <f t="array" ref="AQ12">IF(ISERROR($AJ12),0,IF($AJ12="","",SUM(IF($AJ12=$AJ$6:$AJ12,IF($L$6:$L12=T_MNG,1,0),0))))</f>
        <v/>
      </c>
      <c r="AR12" s="160" t="str">
        <f t="shared" si="15"/>
        <v/>
      </c>
      <c r="AS12" s="160" t="str">
        <f t="shared" si="16"/>
        <v/>
      </c>
      <c r="AT12" s="160" t="str">
        <f t="shared" si="17"/>
        <v/>
      </c>
      <c r="AU12" s="160" t="str">
        <f t="shared" si="18"/>
        <v/>
      </c>
      <c r="AV12" s="102"/>
      <c r="AW12" s="102"/>
      <c r="AX12" s="102"/>
      <c r="AY12" s="102"/>
    </row>
    <row r="13" spans="1:51" ht="13.5" customHeight="1">
      <c r="A13" s="102"/>
      <c r="B13" s="114"/>
      <c r="C13" s="161">
        <v>8</v>
      </c>
      <c r="D13" s="162"/>
      <c r="E13" s="162"/>
      <c r="F13" s="163" t="str">
        <f>IF($E13&lt;&gt;"",IF($AJ13&lt;&gt;"",IF(AND($L13=T_Journey,VLOOKUP($AJ13,DBPlayers,2,0)&lt;12),T_Error&amp;"7",IF("Journeymen not available"=0,T_Error&amp;"8",IF(COUNTIF($E$6:$E13,$E13)-$AQ13&gt;VLOOKUP($AJ13,DBPlayers,2,0),T_Error&amp;"2",IF(L13=T_MNG,0,COUNTIF($E$6:$E13,$E13)-$AQ13)&amp;"/"&amp;(VLOOKUP($AJ13,DBPlayers,2,0))))),T_Error&amp;"1"),"")</f>
        <v/>
      </c>
      <c r="G13" s="164" t="str">
        <f t="shared" si="0"/>
        <v/>
      </c>
      <c r="H13" s="164" t="str">
        <f t="shared" si="1"/>
        <v/>
      </c>
      <c r="I13" s="164" t="str">
        <f t="shared" si="2"/>
        <v/>
      </c>
      <c r="J13" s="164" t="str">
        <f t="shared" si="3"/>
        <v/>
      </c>
      <c r="K13" s="167" t="str">
        <f t="shared" ca="1" si="4"/>
        <v/>
      </c>
      <c r="L13" s="168"/>
      <c r="M13" s="169"/>
      <c r="N13" s="170"/>
      <c r="O13" s="170"/>
      <c r="P13" s="170">
        <v>1</v>
      </c>
      <c r="Q13" s="170"/>
      <c r="R13" s="171" t="str">
        <f t="shared" si="5"/>
        <v/>
      </c>
      <c r="S13" s="172" t="str">
        <f t="shared" si="19"/>
        <v/>
      </c>
      <c r="T13" s="117"/>
      <c r="U13" s="152" t="str">
        <f t="shared" si="6"/>
        <v/>
      </c>
      <c r="V13" s="152" t="str">
        <f t="shared" si="7"/>
        <v/>
      </c>
      <c r="W13" s="153" t="str">
        <f t="shared" si="8"/>
        <v/>
      </c>
      <c r="X13" s="121"/>
      <c r="Y13" s="154"/>
      <c r="Z13" s="154"/>
      <c r="AA13" s="154"/>
      <c r="AB13" s="154"/>
      <c r="AC13" s="154"/>
      <c r="AD13" s="155"/>
      <c r="AE13" s="156"/>
      <c r="AF13" s="154"/>
      <c r="AG13" s="155"/>
      <c r="AH13" s="120"/>
      <c r="AI13" s="123">
        <v>8</v>
      </c>
      <c r="AJ13" s="159" t="str">
        <f t="shared" si="9"/>
        <v/>
      </c>
      <c r="AK13" s="159">
        <f t="shared" si="20"/>
        <v>0</v>
      </c>
      <c r="AL13" s="159">
        <f t="shared" si="10"/>
        <v>0</v>
      </c>
      <c r="AM13" s="159">
        <f t="shared" si="11"/>
        <v>0</v>
      </c>
      <c r="AN13" s="159">
        <f t="shared" si="12"/>
        <v>0</v>
      </c>
      <c r="AO13" s="159">
        <f t="shared" si="13"/>
        <v>0</v>
      </c>
      <c r="AP13" s="159">
        <f t="shared" si="14"/>
        <v>0</v>
      </c>
      <c r="AQ13" s="159" t="str">
        <f t="array" ref="AQ13">IF(ISERROR($AJ13),0,IF($AJ13="","",SUM(IF($AJ13=$AJ$6:$AJ13,IF($L$6:$L13=T_MNG,1,0),0))))</f>
        <v/>
      </c>
      <c r="AR13" s="160" t="str">
        <f t="shared" si="15"/>
        <v/>
      </c>
      <c r="AS13" s="160" t="str">
        <f t="shared" si="16"/>
        <v/>
      </c>
      <c r="AT13" s="160" t="str">
        <f t="shared" si="17"/>
        <v/>
      </c>
      <c r="AU13" s="160" t="str">
        <f t="shared" si="18"/>
        <v/>
      </c>
      <c r="AV13" s="102"/>
      <c r="AW13" s="102"/>
      <c r="AX13" s="102"/>
      <c r="AY13" s="102"/>
    </row>
    <row r="14" spans="1:51" ht="13.5" customHeight="1">
      <c r="A14" s="102"/>
      <c r="B14" s="114"/>
      <c r="C14" s="161">
        <v>9</v>
      </c>
      <c r="D14" s="162"/>
      <c r="E14" s="162"/>
      <c r="F14" s="163" t="str">
        <f>IF($E14&lt;&gt;"",IF($AJ14&lt;&gt;"",IF(AND($L14=T_Journey,VLOOKUP($AJ14,DBPlayers,2,0)&lt;12),T_Error&amp;"7",IF("Journeymen not available"=0,T_Error&amp;"8",IF(COUNTIF($E$6:$E14,$E14)-$AQ14&gt;VLOOKUP($AJ14,DBPlayers,2,0),T_Error&amp;"2",IF(L14=T_MNG,0,COUNTIF($E$6:$E14,$E14)-$AQ14)&amp;"/"&amp;(VLOOKUP($AJ14,DBPlayers,2,0))))),T_Error&amp;"1"),"")</f>
        <v/>
      </c>
      <c r="G14" s="164" t="str">
        <f t="shared" si="0"/>
        <v/>
      </c>
      <c r="H14" s="164" t="str">
        <f t="shared" si="1"/>
        <v/>
      </c>
      <c r="I14" s="164" t="str">
        <f t="shared" si="2"/>
        <v/>
      </c>
      <c r="J14" s="164" t="str">
        <f t="shared" si="3"/>
        <v/>
      </c>
      <c r="K14" s="167" t="str">
        <f t="shared" ca="1" si="4"/>
        <v/>
      </c>
      <c r="L14" s="168"/>
      <c r="M14" s="169"/>
      <c r="N14" s="170"/>
      <c r="O14" s="170"/>
      <c r="P14" s="170"/>
      <c r="Q14" s="170"/>
      <c r="R14" s="171" t="str">
        <f t="shared" si="5"/>
        <v/>
      </c>
      <c r="S14" s="172" t="str">
        <f t="shared" si="19"/>
        <v/>
      </c>
      <c r="T14" s="117"/>
      <c r="U14" s="152" t="str">
        <f t="shared" si="6"/>
        <v/>
      </c>
      <c r="V14" s="152" t="str">
        <f t="shared" si="7"/>
        <v/>
      </c>
      <c r="W14" s="153" t="str">
        <f t="shared" si="8"/>
        <v/>
      </c>
      <c r="X14" s="121"/>
      <c r="Y14" s="154"/>
      <c r="Z14" s="154"/>
      <c r="AA14" s="154"/>
      <c r="AB14" s="154"/>
      <c r="AC14" s="154"/>
      <c r="AD14" s="155"/>
      <c r="AE14" s="156"/>
      <c r="AF14" s="154"/>
      <c r="AG14" s="155"/>
      <c r="AH14" s="120"/>
      <c r="AI14" s="123">
        <v>9</v>
      </c>
      <c r="AJ14" s="159" t="str">
        <f t="shared" si="9"/>
        <v/>
      </c>
      <c r="AK14" s="159">
        <f t="shared" si="20"/>
        <v>0</v>
      </c>
      <c r="AL14" s="159">
        <f t="shared" si="10"/>
        <v>0</v>
      </c>
      <c r="AM14" s="159">
        <f t="shared" si="11"/>
        <v>0</v>
      </c>
      <c r="AN14" s="159">
        <f t="shared" si="12"/>
        <v>0</v>
      </c>
      <c r="AO14" s="159">
        <f t="shared" si="13"/>
        <v>0</v>
      </c>
      <c r="AP14" s="159">
        <f t="shared" si="14"/>
        <v>0</v>
      </c>
      <c r="AQ14" s="159" t="str">
        <f t="array" ref="AQ14">IF(ISERROR($AJ14),0,IF($AJ14="","",SUM(IF($AJ14=$AJ$6:$AJ14,IF($L$6:$L14=T_MNG,1,0),0))))</f>
        <v/>
      </c>
      <c r="AR14" s="160" t="str">
        <f t="shared" si="15"/>
        <v/>
      </c>
      <c r="AS14" s="160" t="str">
        <f t="shared" si="16"/>
        <v/>
      </c>
      <c r="AT14" s="160" t="str">
        <f t="shared" si="17"/>
        <v/>
      </c>
      <c r="AU14" s="160" t="str">
        <f t="shared" si="18"/>
        <v/>
      </c>
      <c r="AV14" s="102"/>
      <c r="AW14" s="102"/>
      <c r="AX14" s="102"/>
      <c r="AY14" s="102"/>
    </row>
    <row r="15" spans="1:51" ht="13.5" customHeight="1">
      <c r="A15" s="102"/>
      <c r="B15" s="114"/>
      <c r="C15" s="161">
        <v>10</v>
      </c>
      <c r="D15" s="162"/>
      <c r="E15" s="162"/>
      <c r="F15" s="163" t="str">
        <f>IF($E15&lt;&gt;"",IF($AJ15&lt;&gt;"",IF(AND($L15=T_Journey,VLOOKUP($AJ15,DBPlayers,2,0)&lt;12),T_Error&amp;"7",IF("Journeymen not available"=0,T_Error&amp;"8",IF(COUNTIF($E$6:$E15,$E15)-$AQ15&gt;VLOOKUP($AJ15,DBPlayers,2,0),T_Error&amp;"2",IF(L15=T_MNG,0,COUNTIF($E$6:$E15,$E15)-$AQ15)&amp;"/"&amp;(VLOOKUP($AJ15,DBPlayers,2,0))))),T_Error&amp;"1"),"")</f>
        <v/>
      </c>
      <c r="G15" s="164" t="str">
        <f t="shared" si="0"/>
        <v/>
      </c>
      <c r="H15" s="164" t="str">
        <f t="shared" si="1"/>
        <v/>
      </c>
      <c r="I15" s="164" t="str">
        <f t="shared" si="2"/>
        <v/>
      </c>
      <c r="J15" s="164" t="str">
        <f t="shared" si="3"/>
        <v/>
      </c>
      <c r="K15" s="167" t="str">
        <f t="shared" ca="1" si="4"/>
        <v/>
      </c>
      <c r="L15" s="168"/>
      <c r="M15" s="169"/>
      <c r="N15" s="170"/>
      <c r="O15" s="170"/>
      <c r="P15" s="170"/>
      <c r="Q15" s="170"/>
      <c r="R15" s="171" t="str">
        <f t="shared" si="5"/>
        <v/>
      </c>
      <c r="S15" s="172" t="str">
        <f t="shared" si="19"/>
        <v/>
      </c>
      <c r="T15" s="117"/>
      <c r="U15" s="152" t="str">
        <f t="shared" si="6"/>
        <v/>
      </c>
      <c r="V15" s="152" t="str">
        <f t="shared" si="7"/>
        <v/>
      </c>
      <c r="W15" s="153" t="str">
        <f t="shared" si="8"/>
        <v/>
      </c>
      <c r="X15" s="121"/>
      <c r="Y15" s="154"/>
      <c r="Z15" s="154"/>
      <c r="AA15" s="154"/>
      <c r="AB15" s="154"/>
      <c r="AC15" s="154"/>
      <c r="AD15" s="155"/>
      <c r="AE15" s="156"/>
      <c r="AF15" s="154"/>
      <c r="AG15" s="155"/>
      <c r="AH15" s="120"/>
      <c r="AI15" s="123">
        <v>10</v>
      </c>
      <c r="AJ15" s="159" t="str">
        <f t="shared" si="9"/>
        <v/>
      </c>
      <c r="AK15" s="159">
        <f t="shared" si="20"/>
        <v>0</v>
      </c>
      <c r="AL15" s="159">
        <f t="shared" si="10"/>
        <v>0</v>
      </c>
      <c r="AM15" s="159">
        <f t="shared" si="11"/>
        <v>0</v>
      </c>
      <c r="AN15" s="159">
        <f t="shared" si="12"/>
        <v>0</v>
      </c>
      <c r="AO15" s="159">
        <f t="shared" si="13"/>
        <v>0</v>
      </c>
      <c r="AP15" s="159">
        <f t="shared" si="14"/>
        <v>0</v>
      </c>
      <c r="AQ15" s="159" t="str">
        <f t="array" ref="AQ15">IF(ISERROR($AJ15),0,IF($AJ15="","",SUM(IF($AJ15=$AJ$6:$AJ15,IF($L$6:$L15=T_MNG,1,0),0))))</f>
        <v/>
      </c>
      <c r="AR15" s="160" t="str">
        <f t="shared" si="15"/>
        <v/>
      </c>
      <c r="AS15" s="160" t="str">
        <f t="shared" si="16"/>
        <v/>
      </c>
      <c r="AT15" s="160" t="str">
        <f t="shared" si="17"/>
        <v/>
      </c>
      <c r="AU15" s="160" t="str">
        <f t="shared" si="18"/>
        <v/>
      </c>
      <c r="AV15" s="102"/>
      <c r="AW15" s="102"/>
      <c r="AX15" s="102"/>
      <c r="AY15" s="102"/>
    </row>
    <row r="16" spans="1:51" ht="13.5" customHeight="1">
      <c r="A16" s="102"/>
      <c r="B16" s="114"/>
      <c r="C16" s="161">
        <v>11</v>
      </c>
      <c r="D16" s="162"/>
      <c r="E16" s="162"/>
      <c r="F16" s="163" t="str">
        <f>IF($E16&lt;&gt;"",IF($AJ16&lt;&gt;"",IF(AND($L16=T_Journey,VLOOKUP($AJ16,DBPlayers,2,0)&lt;12),T_Error&amp;"7",IF("Journeymen not available"=0,T_Error&amp;"8",IF(COUNTIF($E$6:$E16,$E16)-$AQ16&gt;VLOOKUP($AJ16,DBPlayers,2,0),T_Error&amp;"2",IF(L16=T_MNG,0,COUNTIF($E$6:$E16,$E16)-$AQ16)&amp;"/"&amp;(VLOOKUP($AJ16,DBPlayers,2,0))))),T_Error&amp;"1"),"")</f>
        <v/>
      </c>
      <c r="G16" s="164" t="str">
        <f t="shared" si="0"/>
        <v/>
      </c>
      <c r="H16" s="164" t="str">
        <f t="shared" si="1"/>
        <v/>
      </c>
      <c r="I16" s="164" t="str">
        <f t="shared" si="2"/>
        <v/>
      </c>
      <c r="J16" s="164" t="str">
        <f t="shared" si="3"/>
        <v/>
      </c>
      <c r="K16" s="167" t="str">
        <f t="shared" ca="1" si="4"/>
        <v/>
      </c>
      <c r="L16" s="168"/>
      <c r="M16" s="169"/>
      <c r="N16" s="170"/>
      <c r="O16" s="170"/>
      <c r="P16" s="170"/>
      <c r="Q16" s="170"/>
      <c r="R16" s="171" t="str">
        <f t="shared" si="5"/>
        <v/>
      </c>
      <c r="S16" s="172" t="str">
        <f t="shared" si="19"/>
        <v/>
      </c>
      <c r="T16" s="117"/>
      <c r="U16" s="152" t="str">
        <f t="shared" si="6"/>
        <v/>
      </c>
      <c r="V16" s="152" t="str">
        <f t="shared" si="7"/>
        <v/>
      </c>
      <c r="W16" s="153" t="str">
        <f t="shared" si="8"/>
        <v/>
      </c>
      <c r="X16" s="121"/>
      <c r="Y16" s="154"/>
      <c r="Z16" s="154"/>
      <c r="AA16" s="154"/>
      <c r="AB16" s="154"/>
      <c r="AC16" s="154"/>
      <c r="AD16" s="155"/>
      <c r="AE16" s="156"/>
      <c r="AF16" s="154"/>
      <c r="AG16" s="155"/>
      <c r="AH16" s="120"/>
      <c r="AI16" s="123">
        <v>11</v>
      </c>
      <c r="AJ16" s="159" t="str">
        <f t="shared" si="9"/>
        <v/>
      </c>
      <c r="AK16" s="159">
        <f t="shared" si="20"/>
        <v>0</v>
      </c>
      <c r="AL16" s="159">
        <f t="shared" si="10"/>
        <v>0</v>
      </c>
      <c r="AM16" s="159">
        <f t="shared" si="11"/>
        <v>0</v>
      </c>
      <c r="AN16" s="159">
        <f t="shared" si="12"/>
        <v>0</v>
      </c>
      <c r="AO16" s="159">
        <f t="shared" si="13"/>
        <v>0</v>
      </c>
      <c r="AP16" s="159">
        <f t="shared" si="14"/>
        <v>0</v>
      </c>
      <c r="AQ16" s="159" t="str">
        <f t="array" ref="AQ16">IF(ISERROR($AJ16),0,IF($AJ16="","",SUM(IF($AJ16=$AJ$6:$AJ16,IF($L$6:$L16=T_MNG,1,0),0))))</f>
        <v/>
      </c>
      <c r="AR16" s="160" t="str">
        <f t="shared" si="15"/>
        <v/>
      </c>
      <c r="AS16" s="160" t="str">
        <f t="shared" si="16"/>
        <v/>
      </c>
      <c r="AT16" s="160" t="str">
        <f t="shared" si="17"/>
        <v/>
      </c>
      <c r="AU16" s="160" t="str">
        <f t="shared" si="18"/>
        <v/>
      </c>
      <c r="AV16" s="102"/>
      <c r="AW16" s="102"/>
      <c r="AX16" s="102"/>
      <c r="AY16" s="102"/>
    </row>
    <row r="17" spans="1:51" ht="13.5" customHeight="1">
      <c r="A17" s="102"/>
      <c r="B17" s="114"/>
      <c r="C17" s="161">
        <v>12</v>
      </c>
      <c r="D17" s="162"/>
      <c r="E17" s="162"/>
      <c r="F17" s="163" t="str">
        <f>IF($E17&lt;&gt;"",IF($AJ17&lt;&gt;"",IF(AND($L17=T_Journey,VLOOKUP($AJ17,DBPlayers,2,0)&lt;12),T_Error&amp;"7",IF("Journeymen not available"=0,T_Error&amp;"8",IF(COUNTIF($E$6:$E17,$E17)-$AQ17&gt;VLOOKUP($AJ17,DBPlayers,2,0),T_Error&amp;"2",IF(L17=T_MNG,0,COUNTIF($E$6:$E17,$E17)-$AQ17)&amp;"/"&amp;(VLOOKUP($AJ17,DBPlayers,2,0))))),T_Error&amp;"1"),"")</f>
        <v/>
      </c>
      <c r="G17" s="164" t="str">
        <f t="shared" si="0"/>
        <v/>
      </c>
      <c r="H17" s="164" t="str">
        <f t="shared" si="1"/>
        <v/>
      </c>
      <c r="I17" s="164" t="str">
        <f t="shared" si="2"/>
        <v/>
      </c>
      <c r="J17" s="164" t="str">
        <f t="shared" si="3"/>
        <v/>
      </c>
      <c r="K17" s="167" t="str">
        <f t="shared" ca="1" si="4"/>
        <v/>
      </c>
      <c r="L17" s="168"/>
      <c r="M17" s="169"/>
      <c r="N17" s="170"/>
      <c r="O17" s="170"/>
      <c r="P17" s="170"/>
      <c r="Q17" s="170"/>
      <c r="R17" s="171" t="str">
        <f t="shared" si="5"/>
        <v/>
      </c>
      <c r="S17" s="172" t="str">
        <f t="shared" si="19"/>
        <v/>
      </c>
      <c r="T17" s="117"/>
      <c r="U17" s="152" t="str">
        <f t="shared" si="6"/>
        <v/>
      </c>
      <c r="V17" s="152" t="str">
        <f t="shared" si="7"/>
        <v/>
      </c>
      <c r="W17" s="153" t="str">
        <f t="shared" si="8"/>
        <v/>
      </c>
      <c r="X17" s="121"/>
      <c r="Y17" s="154"/>
      <c r="Z17" s="154"/>
      <c r="AA17" s="154"/>
      <c r="AB17" s="154"/>
      <c r="AC17" s="154"/>
      <c r="AD17" s="155"/>
      <c r="AE17" s="156"/>
      <c r="AF17" s="154"/>
      <c r="AG17" s="155"/>
      <c r="AH17" s="120"/>
      <c r="AI17" s="123">
        <v>12</v>
      </c>
      <c r="AJ17" s="159" t="str">
        <f t="shared" si="9"/>
        <v/>
      </c>
      <c r="AK17" s="159">
        <f t="shared" si="20"/>
        <v>0</v>
      </c>
      <c r="AL17" s="159">
        <f t="shared" si="10"/>
        <v>0</v>
      </c>
      <c r="AM17" s="159">
        <f t="shared" si="11"/>
        <v>0</v>
      </c>
      <c r="AN17" s="159">
        <f t="shared" si="12"/>
        <v>0</v>
      </c>
      <c r="AO17" s="159">
        <f t="shared" si="13"/>
        <v>0</v>
      </c>
      <c r="AP17" s="159">
        <f t="shared" si="14"/>
        <v>0</v>
      </c>
      <c r="AQ17" s="159" t="str">
        <f t="array" ref="AQ17">IF(ISERROR($AJ17),0,IF($AJ17="","",SUM(IF($AJ17=$AJ$6:$AJ17,IF($L$6:$L17=T_MNG,1,0),0))))</f>
        <v/>
      </c>
      <c r="AR17" s="160" t="str">
        <f t="shared" si="15"/>
        <v/>
      </c>
      <c r="AS17" s="160" t="str">
        <f t="shared" si="16"/>
        <v/>
      </c>
      <c r="AT17" s="160" t="str">
        <f t="shared" si="17"/>
        <v/>
      </c>
      <c r="AU17" s="160" t="str">
        <f t="shared" si="18"/>
        <v/>
      </c>
      <c r="AV17" s="102"/>
      <c r="AW17" s="102"/>
      <c r="AX17" s="102"/>
      <c r="AY17" s="102"/>
    </row>
    <row r="18" spans="1:51" ht="13.5" customHeight="1">
      <c r="A18" s="102"/>
      <c r="B18" s="114"/>
      <c r="C18" s="161">
        <v>13</v>
      </c>
      <c r="D18" s="162"/>
      <c r="E18" s="162"/>
      <c r="F18" s="163" t="str">
        <f>IF($E18&lt;&gt;"",IF($AJ18&lt;&gt;"",IF(AND($L18=T_Journey,VLOOKUP($AJ18,DBPlayers,2,0)&lt;12),T_Error&amp;"7",IF("Journeymen not available"=0,T_Error&amp;"8",IF(COUNTIF($E$6:$E18,$E18)-$AQ18&gt;VLOOKUP($AJ18,DBPlayers,2,0),T_Error&amp;"2",IF(L18=T_MNG,0,COUNTIF($E$6:$E18,$E18)-$AQ18)&amp;"/"&amp;(VLOOKUP($AJ18,DBPlayers,2,0))))),T_Error&amp;"1"),"")</f>
        <v/>
      </c>
      <c r="G18" s="164" t="str">
        <f t="shared" si="0"/>
        <v/>
      </c>
      <c r="H18" s="164" t="str">
        <f t="shared" si="1"/>
        <v/>
      </c>
      <c r="I18" s="164" t="str">
        <f t="shared" si="2"/>
        <v/>
      </c>
      <c r="J18" s="164" t="str">
        <f t="shared" si="3"/>
        <v/>
      </c>
      <c r="K18" s="167" t="str">
        <f t="shared" ca="1" si="4"/>
        <v/>
      </c>
      <c r="L18" s="168"/>
      <c r="M18" s="169"/>
      <c r="N18" s="170"/>
      <c r="O18" s="170"/>
      <c r="P18" s="170"/>
      <c r="Q18" s="170"/>
      <c r="R18" s="171" t="str">
        <f t="shared" si="5"/>
        <v/>
      </c>
      <c r="S18" s="172" t="str">
        <f t="shared" si="19"/>
        <v/>
      </c>
      <c r="T18" s="117"/>
      <c r="U18" s="152" t="str">
        <f t="shared" si="6"/>
        <v/>
      </c>
      <c r="V18" s="152" t="str">
        <f t="shared" si="7"/>
        <v/>
      </c>
      <c r="W18" s="153" t="str">
        <f t="shared" si="8"/>
        <v/>
      </c>
      <c r="X18" s="121"/>
      <c r="Y18" s="154"/>
      <c r="Z18" s="154"/>
      <c r="AA18" s="154"/>
      <c r="AB18" s="154"/>
      <c r="AC18" s="154"/>
      <c r="AD18" s="155"/>
      <c r="AE18" s="156"/>
      <c r="AF18" s="154"/>
      <c r="AG18" s="155"/>
      <c r="AH18" s="120"/>
      <c r="AI18" s="123">
        <v>13</v>
      </c>
      <c r="AJ18" s="159" t="str">
        <f t="shared" si="9"/>
        <v/>
      </c>
      <c r="AK18" s="159">
        <f t="shared" si="20"/>
        <v>0</v>
      </c>
      <c r="AL18" s="159">
        <f t="shared" si="10"/>
        <v>0</v>
      </c>
      <c r="AM18" s="159">
        <f t="shared" si="11"/>
        <v>0</v>
      </c>
      <c r="AN18" s="159">
        <f t="shared" si="12"/>
        <v>0</v>
      </c>
      <c r="AO18" s="159">
        <f t="shared" si="13"/>
        <v>0</v>
      </c>
      <c r="AP18" s="159">
        <f t="shared" si="14"/>
        <v>0</v>
      </c>
      <c r="AQ18" s="159" t="str">
        <f t="array" ref="AQ18">IF(ISERROR($AJ18),0,IF($AJ18="","",SUM(IF($AJ18=$AJ$6:$AJ18,IF($L$6:$L18=T_MNG,1,0),0))))</f>
        <v/>
      </c>
      <c r="AR18" s="160" t="str">
        <f t="shared" si="15"/>
        <v/>
      </c>
      <c r="AS18" s="160" t="str">
        <f t="shared" si="16"/>
        <v/>
      </c>
      <c r="AT18" s="160" t="str">
        <f t="shared" si="17"/>
        <v/>
      </c>
      <c r="AU18" s="160" t="str">
        <f t="shared" si="18"/>
        <v/>
      </c>
      <c r="AV18" s="102"/>
      <c r="AW18" s="102"/>
      <c r="AX18" s="102"/>
      <c r="AY18" s="102"/>
    </row>
    <row r="19" spans="1:51" ht="13.5" customHeight="1">
      <c r="A19" s="102"/>
      <c r="B19" s="114"/>
      <c r="C19" s="161">
        <v>14</v>
      </c>
      <c r="D19" s="162"/>
      <c r="E19" s="162"/>
      <c r="F19" s="163" t="str">
        <f>IF($E19&lt;&gt;"",IF($AJ19&lt;&gt;"",IF(AND($L19=T_Journey,VLOOKUP($AJ19,DBPlayers,2,0)&lt;12),T_Error&amp;"7",IF("Journeymen not available"=0,T_Error&amp;"8",IF(COUNTIF($E$6:$E19,$E19)-$AQ19&gt;VLOOKUP($AJ19,DBPlayers,2,0),T_Error&amp;"2",IF(L19=T_MNG,0,COUNTIF($E$6:$E19,$E19)-$AQ19)&amp;"/"&amp;(VLOOKUP($AJ19,DBPlayers,2,0))))),T_Error&amp;"1"),"")</f>
        <v/>
      </c>
      <c r="G19" s="164" t="str">
        <f t="shared" si="0"/>
        <v/>
      </c>
      <c r="H19" s="164" t="str">
        <f t="shared" si="1"/>
        <v/>
      </c>
      <c r="I19" s="164" t="str">
        <f t="shared" si="2"/>
        <v/>
      </c>
      <c r="J19" s="164" t="str">
        <f t="shared" si="3"/>
        <v/>
      </c>
      <c r="K19" s="167" t="str">
        <f t="shared" ca="1" si="4"/>
        <v/>
      </c>
      <c r="L19" s="168"/>
      <c r="M19" s="169"/>
      <c r="N19" s="170">
        <v>1</v>
      </c>
      <c r="O19" s="170"/>
      <c r="P19" s="170">
        <v>1</v>
      </c>
      <c r="Q19" s="170"/>
      <c r="R19" s="171" t="str">
        <f t="shared" si="5"/>
        <v/>
      </c>
      <c r="S19" s="172" t="str">
        <f t="shared" si="19"/>
        <v/>
      </c>
      <c r="T19" s="117"/>
      <c r="U19" s="152" t="str">
        <f t="shared" si="6"/>
        <v/>
      </c>
      <c r="V19" s="152" t="str">
        <f t="shared" si="7"/>
        <v/>
      </c>
      <c r="W19" s="153" t="str">
        <f t="shared" si="8"/>
        <v/>
      </c>
      <c r="X19" s="121"/>
      <c r="Y19" s="154"/>
      <c r="Z19" s="154"/>
      <c r="AA19" s="154"/>
      <c r="AB19" s="154"/>
      <c r="AC19" s="154"/>
      <c r="AD19" s="155"/>
      <c r="AE19" s="156"/>
      <c r="AF19" s="154"/>
      <c r="AG19" s="155"/>
      <c r="AH19" s="120"/>
      <c r="AI19" s="123">
        <v>14</v>
      </c>
      <c r="AJ19" s="159" t="str">
        <f t="shared" si="9"/>
        <v/>
      </c>
      <c r="AK19" s="159">
        <f t="shared" si="20"/>
        <v>0</v>
      </c>
      <c r="AL19" s="159">
        <f t="shared" si="10"/>
        <v>0</v>
      </c>
      <c r="AM19" s="159">
        <f t="shared" si="11"/>
        <v>0</v>
      </c>
      <c r="AN19" s="159">
        <f t="shared" si="12"/>
        <v>0</v>
      </c>
      <c r="AO19" s="159">
        <f t="shared" si="13"/>
        <v>0</v>
      </c>
      <c r="AP19" s="159">
        <f t="shared" si="14"/>
        <v>0</v>
      </c>
      <c r="AQ19" s="159" t="str">
        <f t="array" ref="AQ19">IF(ISERROR($AJ19),0,IF($AJ19="","",SUM(IF($AJ19=$AJ$6:$AJ19,IF($L$6:$L19=T_MNG,1,0),0))))</f>
        <v/>
      </c>
      <c r="AR19" s="160" t="str">
        <f t="shared" si="15"/>
        <v/>
      </c>
      <c r="AS19" s="160" t="str">
        <f t="shared" si="16"/>
        <v/>
      </c>
      <c r="AT19" s="160" t="str">
        <f t="shared" si="17"/>
        <v/>
      </c>
      <c r="AU19" s="160" t="str">
        <f t="shared" si="18"/>
        <v/>
      </c>
      <c r="AV19" s="102"/>
      <c r="AW19" s="102"/>
      <c r="AX19" s="102"/>
      <c r="AY19" s="102"/>
    </row>
    <row r="20" spans="1:51" ht="13.5" customHeight="1">
      <c r="A20" s="102"/>
      <c r="B20" s="114"/>
      <c r="C20" s="161">
        <v>15</v>
      </c>
      <c r="D20" s="162"/>
      <c r="E20" s="162"/>
      <c r="F20" s="163" t="str">
        <f>IF($E20&lt;&gt;"",IF($AJ20&lt;&gt;"",IF(AND($L20=T_Journey,VLOOKUP($AJ20,DBPlayers,2,0)&lt;12),T_Error&amp;"7",IF("Journeymen not available"=0,T_Error&amp;"8",IF(COUNTIF($E$6:$E20,$E20)-$AQ20&gt;VLOOKUP($AJ20,DBPlayers,2,0),T_Error&amp;"2",IF(L20=T_MNG,0,COUNTIF($E$6:$E20,$E20)-$AQ20)&amp;"/"&amp;(VLOOKUP($AJ20,DBPlayers,2,0))))),T_Error&amp;"1"),"")</f>
        <v/>
      </c>
      <c r="G20" s="164" t="str">
        <f t="shared" si="0"/>
        <v/>
      </c>
      <c r="H20" s="164" t="str">
        <f t="shared" si="1"/>
        <v/>
      </c>
      <c r="I20" s="164" t="str">
        <f t="shared" si="2"/>
        <v/>
      </c>
      <c r="J20" s="164" t="str">
        <f t="shared" si="3"/>
        <v/>
      </c>
      <c r="K20" s="167" t="str">
        <f t="shared" ca="1" si="4"/>
        <v/>
      </c>
      <c r="L20" s="168"/>
      <c r="M20" s="169"/>
      <c r="N20" s="170"/>
      <c r="O20" s="170"/>
      <c r="P20" s="170"/>
      <c r="Q20" s="170"/>
      <c r="R20" s="171" t="str">
        <f t="shared" si="5"/>
        <v/>
      </c>
      <c r="S20" s="172" t="str">
        <f t="shared" si="19"/>
        <v/>
      </c>
      <c r="T20" s="117"/>
      <c r="U20" s="152" t="str">
        <f t="shared" si="6"/>
        <v/>
      </c>
      <c r="V20" s="152" t="str">
        <f t="shared" si="7"/>
        <v/>
      </c>
      <c r="W20" s="153" t="str">
        <f t="shared" si="8"/>
        <v/>
      </c>
      <c r="X20" s="121"/>
      <c r="Y20" s="154"/>
      <c r="Z20" s="154"/>
      <c r="AA20" s="154"/>
      <c r="AB20" s="154"/>
      <c r="AC20" s="154"/>
      <c r="AD20" s="155"/>
      <c r="AE20" s="156"/>
      <c r="AF20" s="154"/>
      <c r="AG20" s="155"/>
      <c r="AH20" s="120"/>
      <c r="AI20" s="123">
        <v>15</v>
      </c>
      <c r="AJ20" s="159" t="str">
        <f t="shared" si="9"/>
        <v/>
      </c>
      <c r="AK20" s="159">
        <f t="shared" si="20"/>
        <v>0</v>
      </c>
      <c r="AL20" s="159">
        <f t="shared" si="10"/>
        <v>0</v>
      </c>
      <c r="AM20" s="159">
        <f t="shared" si="11"/>
        <v>0</v>
      </c>
      <c r="AN20" s="159">
        <f t="shared" si="12"/>
        <v>0</v>
      </c>
      <c r="AO20" s="159">
        <f t="shared" si="13"/>
        <v>0</v>
      </c>
      <c r="AP20" s="159">
        <f t="shared" si="14"/>
        <v>0</v>
      </c>
      <c r="AQ20" s="159" t="str">
        <f t="array" ref="AQ20">IF(ISERROR($AJ20),0,IF($AJ20="","",SUM(IF($AJ20=$AJ$6:$AJ20,IF($L$6:$L20=T_MNG,1,0),0))))</f>
        <v/>
      </c>
      <c r="AR20" s="160" t="str">
        <f t="shared" si="15"/>
        <v/>
      </c>
      <c r="AS20" s="160" t="str">
        <f t="shared" si="16"/>
        <v/>
      </c>
      <c r="AT20" s="160" t="str">
        <f t="shared" si="17"/>
        <v/>
      </c>
      <c r="AU20" s="160" t="str">
        <f t="shared" si="18"/>
        <v/>
      </c>
      <c r="AV20" s="102"/>
      <c r="AW20" s="102"/>
      <c r="AX20" s="102"/>
      <c r="AY20" s="102"/>
    </row>
    <row r="21" spans="1:51" ht="13.5" customHeight="1">
      <c r="A21" s="102"/>
      <c r="B21" s="114"/>
      <c r="C21" s="176">
        <v>16</v>
      </c>
      <c r="D21" s="175"/>
      <c r="E21" s="175"/>
      <c r="F21" s="177" t="str">
        <f>IF($E21&lt;&gt;"",IF($AJ21&lt;&gt;"",IF(AND($L21=T_Journey,VLOOKUP($AJ21,DBPlayers,2,0)&lt;12),T_Error&amp;"7",IF("Journeymen not available"=0,T_Error&amp;"8",IF(COUNTIF($E$6:$E21,$E21)-$AQ21&gt;VLOOKUP($AJ21,DBPlayers,2,0),T_Error&amp;"2",IF(L21=T_MNG,0,COUNTIF($E$6:$E21,$E21)-$AQ21)&amp;"/"&amp;(VLOOKUP($AJ21,DBPlayers,2,0))))),T_Error&amp;"1"),"")</f>
        <v/>
      </c>
      <c r="G21" s="178" t="str">
        <f t="shared" si="0"/>
        <v/>
      </c>
      <c r="H21" s="178" t="str">
        <f t="shared" si="1"/>
        <v/>
      </c>
      <c r="I21" s="178" t="str">
        <f t="shared" si="2"/>
        <v/>
      </c>
      <c r="J21" s="178" t="str">
        <f t="shared" si="3"/>
        <v/>
      </c>
      <c r="K21" s="179" t="str">
        <f t="shared" ca="1" si="4"/>
        <v/>
      </c>
      <c r="L21" s="180"/>
      <c r="M21" s="181"/>
      <c r="N21" s="182"/>
      <c r="O21" s="182"/>
      <c r="P21" s="182"/>
      <c r="Q21" s="182"/>
      <c r="R21" s="183" t="str">
        <f t="shared" si="5"/>
        <v/>
      </c>
      <c r="S21" s="184" t="str">
        <f t="shared" si="19"/>
        <v/>
      </c>
      <c r="T21" s="117"/>
      <c r="U21" s="152" t="str">
        <f t="shared" si="6"/>
        <v/>
      </c>
      <c r="V21" s="152" t="str">
        <f t="shared" si="7"/>
        <v/>
      </c>
      <c r="W21" s="153" t="str">
        <f t="shared" si="8"/>
        <v/>
      </c>
      <c r="X21" s="121"/>
      <c r="Y21" s="154"/>
      <c r="Z21" s="154"/>
      <c r="AA21" s="154"/>
      <c r="AB21" s="154"/>
      <c r="AC21" s="154"/>
      <c r="AD21" s="185"/>
      <c r="AE21" s="186"/>
      <c r="AF21" s="154"/>
      <c r="AG21" s="185"/>
      <c r="AH21" s="120"/>
      <c r="AI21" s="123">
        <v>16</v>
      </c>
      <c r="AJ21" s="159" t="str">
        <f t="shared" si="9"/>
        <v/>
      </c>
      <c r="AK21" s="159">
        <f t="shared" si="20"/>
        <v>0</v>
      </c>
      <c r="AL21" s="159">
        <f t="shared" si="10"/>
        <v>0</v>
      </c>
      <c r="AM21" s="159">
        <f t="shared" si="11"/>
        <v>0</v>
      </c>
      <c r="AN21" s="159">
        <f t="shared" si="12"/>
        <v>0</v>
      </c>
      <c r="AO21" s="159">
        <f t="shared" si="13"/>
        <v>0</v>
      </c>
      <c r="AP21" s="159">
        <f t="shared" si="14"/>
        <v>0</v>
      </c>
      <c r="AQ21" s="159" t="str">
        <f t="array" ref="AQ21">IF(ISERROR($AJ21),0,IF($AJ21="","",SUM(IF($AJ21=$AJ$6:$AJ21,IF($L$6:$L21=T_MNG,1,0),0))))</f>
        <v/>
      </c>
      <c r="AR21" s="160" t="str">
        <f t="shared" si="15"/>
        <v/>
      </c>
      <c r="AS21" s="160" t="str">
        <f t="shared" si="16"/>
        <v/>
      </c>
      <c r="AT21" s="160" t="str">
        <f t="shared" si="17"/>
        <v/>
      </c>
      <c r="AU21" s="160" t="str">
        <f t="shared" si="18"/>
        <v/>
      </c>
      <c r="AV21" s="102"/>
      <c r="AW21" s="102"/>
      <c r="AX21" s="102"/>
      <c r="AY21" s="102"/>
    </row>
    <row r="22" spans="1:51" ht="18" customHeight="1">
      <c r="A22" s="102"/>
      <c r="B22" s="114"/>
      <c r="C22" s="187"/>
      <c r="D22" s="188"/>
      <c r="E22" s="189" t="s">
        <v>186</v>
      </c>
      <c r="F22" s="190" t="str">
        <f>COUNTIF(S6:S21,"&gt;0")&amp;"/16"</f>
        <v>0/16</v>
      </c>
      <c r="G22" s="191"/>
      <c r="H22" s="192" t="str">
        <f>IF(AND(AQ22&gt;0,AQ22+AM22&gt;11),T_Error8,IF(AM22&lt;11,AQ22&amp;" / "&amp;11-AM22&amp;" "&amp;T_AllowedJourney,""))</f>
        <v>0 / 11 allowed Journeymen used</v>
      </c>
      <c r="I22" s="190"/>
      <c r="J22" s="190"/>
      <c r="K22" s="193"/>
      <c r="L22" s="189" t="s">
        <v>187</v>
      </c>
      <c r="M22" s="190">
        <f t="shared" ref="M22:Q22" si="21">SUMIF($R$6:$R$21,"&gt;=0",M$6:M$21)</f>
        <v>0</v>
      </c>
      <c r="N22" s="190">
        <f t="shared" si="21"/>
        <v>0</v>
      </c>
      <c r="O22" s="190">
        <f t="shared" si="21"/>
        <v>0</v>
      </c>
      <c r="P22" s="190">
        <f t="shared" si="21"/>
        <v>0</v>
      </c>
      <c r="Q22" s="190">
        <f t="shared" si="21"/>
        <v>0</v>
      </c>
      <c r="R22" s="190">
        <f t="shared" ref="R22:S22" si="22">SUM(R6:R21)</f>
        <v>0</v>
      </c>
      <c r="S22" s="194">
        <f t="shared" si="22"/>
        <v>0</v>
      </c>
      <c r="T22" s="117"/>
      <c r="U22" s="195"/>
      <c r="V22" s="196"/>
      <c r="W22" s="197"/>
      <c r="X22" s="198"/>
      <c r="Y22" s="198"/>
      <c r="Z22" s="198"/>
      <c r="AA22" s="198"/>
      <c r="AB22" s="198"/>
      <c r="AC22" s="198"/>
      <c r="AD22" s="198"/>
      <c r="AE22" s="198"/>
      <c r="AF22" s="198"/>
      <c r="AG22" s="198"/>
      <c r="AH22" s="102"/>
      <c r="AI22" s="123"/>
      <c r="AJ22" s="102"/>
      <c r="AK22" s="102"/>
      <c r="AL22" s="199" t="s">
        <v>188</v>
      </c>
      <c r="AM22" s="200">
        <f>COUNTIF($S$6:$S$21,"&gt;0")-$AQ$22</f>
        <v>0</v>
      </c>
      <c r="AN22" s="123"/>
      <c r="AO22" s="123"/>
      <c r="AP22" s="199" t="s">
        <v>189</v>
      </c>
      <c r="AQ22" s="159">
        <f t="array" ref="AQ22">SUM(IF(L6:L21=T_Journey,IF(S6:S21&lt;&gt;"",1,0),0))</f>
        <v>0</v>
      </c>
      <c r="AR22" s="105"/>
      <c r="AS22" s="105"/>
      <c r="AT22" s="105"/>
      <c r="AU22" s="105"/>
      <c r="AV22" s="102"/>
      <c r="AW22" s="102"/>
      <c r="AX22" s="102"/>
      <c r="AY22" s="102"/>
    </row>
    <row r="23" spans="1:51" ht="3" customHeight="1">
      <c r="A23" s="102"/>
      <c r="B23" s="107"/>
      <c r="C23" s="108"/>
      <c r="D23" s="109"/>
      <c r="E23" s="109"/>
      <c r="F23" s="110"/>
      <c r="G23" s="108"/>
      <c r="H23" s="108"/>
      <c r="I23" s="108"/>
      <c r="J23" s="108"/>
      <c r="K23" s="109"/>
      <c r="L23" s="109"/>
      <c r="M23" s="109"/>
      <c r="N23" s="109"/>
      <c r="O23" s="109"/>
      <c r="P23" s="109"/>
      <c r="Q23" s="109"/>
      <c r="R23" s="109"/>
      <c r="S23" s="201"/>
      <c r="T23" s="111"/>
      <c r="U23" s="121"/>
      <c r="V23" s="202"/>
      <c r="W23" s="121"/>
      <c r="X23" s="121"/>
      <c r="Y23" s="102"/>
      <c r="Z23" s="113"/>
      <c r="AA23" s="113"/>
      <c r="AB23" s="102"/>
      <c r="AC23" s="102"/>
      <c r="AD23" s="102"/>
      <c r="AE23" s="102"/>
      <c r="AF23" s="102"/>
      <c r="AG23" s="102"/>
      <c r="AH23" s="102"/>
      <c r="AI23" s="123"/>
      <c r="AJ23" s="123"/>
      <c r="AK23" s="123"/>
      <c r="AL23" s="123"/>
      <c r="AM23" s="123"/>
      <c r="AN23" s="123"/>
      <c r="AO23" s="123"/>
      <c r="AP23" s="123"/>
      <c r="AQ23" s="123"/>
      <c r="AR23" s="105"/>
      <c r="AS23" s="105"/>
      <c r="AT23" s="105"/>
      <c r="AU23" s="105"/>
      <c r="AV23" s="102"/>
      <c r="AW23" s="102"/>
      <c r="AX23" s="102"/>
      <c r="AY23" s="102"/>
    </row>
    <row r="24" spans="1:51" ht="13.5" customHeight="1">
      <c r="A24" s="102"/>
      <c r="B24" s="114"/>
      <c r="C24" s="203"/>
      <c r="D24" s="351" t="s">
        <v>190</v>
      </c>
      <c r="E24" s="316"/>
      <c r="F24" s="127" t="s">
        <v>142</v>
      </c>
      <c r="G24" s="127" t="str">
        <f>T_MA</f>
        <v>MA</v>
      </c>
      <c r="H24" s="127" t="str">
        <f>T_ST</f>
        <v>ST</v>
      </c>
      <c r="I24" s="127" t="str">
        <f>T_AG</f>
        <v>AG</v>
      </c>
      <c r="J24" s="127" t="str">
        <f>T_AV</f>
        <v>AV</v>
      </c>
      <c r="K24" s="348" t="s">
        <v>191</v>
      </c>
      <c r="L24" s="316"/>
      <c r="M24" s="316"/>
      <c r="N24" s="316"/>
      <c r="O24" s="316"/>
      <c r="P24" s="316"/>
      <c r="Q24" s="316"/>
      <c r="R24" s="316"/>
      <c r="S24" s="204"/>
      <c r="T24" s="117"/>
      <c r="U24" s="133" t="s">
        <v>146</v>
      </c>
      <c r="V24" s="341" t="s">
        <v>192</v>
      </c>
      <c r="W24" s="316"/>
      <c r="X24" s="121"/>
      <c r="Y24" s="113"/>
      <c r="Z24" s="102"/>
      <c r="AA24" s="102"/>
      <c r="AB24" s="102"/>
      <c r="AC24" s="102"/>
      <c r="AD24" s="102"/>
      <c r="AE24" s="102"/>
      <c r="AF24" s="102"/>
      <c r="AG24" s="102"/>
      <c r="AH24" s="102"/>
      <c r="AI24" s="123"/>
      <c r="AJ24" s="123"/>
      <c r="AK24" s="123"/>
      <c r="AL24" s="123"/>
      <c r="AM24" s="123"/>
      <c r="AN24" s="123"/>
      <c r="AO24" s="123"/>
      <c r="AP24" s="141"/>
      <c r="AQ24" s="141" t="s">
        <v>160</v>
      </c>
      <c r="AR24" s="105"/>
      <c r="AS24" s="105"/>
      <c r="AT24" s="105"/>
      <c r="AU24" s="105"/>
      <c r="AV24" s="102"/>
      <c r="AW24" s="102"/>
      <c r="AX24" s="102"/>
      <c r="AY24" s="102"/>
    </row>
    <row r="25" spans="1:51" ht="13.5" customHeight="1">
      <c r="A25" s="102"/>
      <c r="B25" s="114"/>
      <c r="C25" s="115"/>
      <c r="D25" s="346"/>
      <c r="E25" s="316"/>
      <c r="F25" s="205" t="str">
        <f>IF($D25="","",IF($AJ25="",T_Error&amp;"1",IF(COUNTIF($D$25:$D25,"&lt;&gt;")&gt;$R$31,T_Error&amp;"3",IF(ISERROR(FIND(T_Merc,$D25)),IF(COUNTIF($D$25:$D25,D25)&gt;1,T_Error&amp;"4",IF(COUNTIF($AJ$25:$AJ25,"=Star")&gt;2,T_Error&amp;"5",IF(AND($D25=Brick,$F$31&lt;&gt;"1/1"),T_Error&amp;"6","1/1"))),IF(COUNTIF($AJ$6:$AJ25,$AJ25)-$AQ25&gt;VLOOKUP($AJ25,DBPlayers,2,0)+VLOOKUP($AJ25,$AL$58:$AM$67,2,0),T_Error&amp;"2",COUNTIF($AJ$6:$AJ25,$AJ25)-$AQ25&amp;"/"&amp;(VLOOKUP($AJ25,DBPlayers,2,0)))))))</f>
        <v/>
      </c>
      <c r="G25" s="205" t="str">
        <f t="shared" ref="G25:G30" si="23">IF(OR(LEFT($F25,LEN(T_Error))=T_Error,$D25=""),"",IF(ISERROR(FIND(T_Merc,$D25)),VLOOKUP($D25,DBStars,2,0),VLOOKUP($AJ25,DBPlayers,4,0)))</f>
        <v/>
      </c>
      <c r="H25" s="205" t="str">
        <f t="shared" ref="H25:H30" si="24">IF(OR(LEFT($F25,LEN(T_Error))=T_Error,$D25=""),"",IF(ISERROR(FIND(T_Merc,$D25)),VLOOKUP($D25,DBStars,3,0),VLOOKUP($AJ25,DBPlayers,5,0)))</f>
        <v/>
      </c>
      <c r="I25" s="205" t="str">
        <f t="shared" ref="I25:I30" si="25">IF(OR(LEFT($F25,LEN(T_Error))=T_Error,$D25=""),"",IF(ISERROR(FIND(T_Merc,$D25)),VLOOKUP($D25,DBStars,4,0),VLOOKUP($AJ25,DBPlayers,6,0)))</f>
        <v/>
      </c>
      <c r="J25" s="205" t="str">
        <f t="shared" ref="J25:J30" si="26">IF(OR(LEFT($F25,LEN(T_Error))=T_Error,$D25=""),"",IF(ISERROR(FIND(T_Merc,$D25)),VLOOKUP($D25,DBStars,5,0),VLOOKUP($AJ25,DBPlayers,7,0)))</f>
        <v/>
      </c>
      <c r="K25" s="347" t="str">
        <f t="shared" ref="K25:K30" ca="1" si="27">IF($D25="","",IF(LEFT($F25,LEN(T_Error))=T_Error,INDIRECT("T_Error"&amp;RIGHT($F25,1)),IF(ISERROR(FIND(T_Merc,$D25)),VLOOKUP($D25,DBStars,6,0),T_Loner&amp;", "&amp;VLOOKUP($AJ25,DBPlayers,8,0)&amp;IF($V25="","",", "&amp;$V25))))</f>
        <v/>
      </c>
      <c r="L25" s="316"/>
      <c r="M25" s="316"/>
      <c r="N25" s="316"/>
      <c r="O25" s="316"/>
      <c r="P25" s="316"/>
      <c r="Q25" s="316"/>
      <c r="R25" s="316"/>
      <c r="S25" s="206" t="str">
        <f t="shared" ref="S25:S30" si="28">IF(OR(LEFT($F25,LEN(T_Error))=T_Error,$D25=""),"",IF(ISERROR(FIND(T_Merc,$D25)),VLOOKUP($D25,DBStars,7,0),VLOOKUP($AJ25,DBPlayers,11,0)+30000+IF(V25&lt;&gt;"",50000,0)))</f>
        <v/>
      </c>
      <c r="T25" s="117"/>
      <c r="U25" s="207" t="str">
        <f t="shared" ref="U25:U30" si="29">IF(OR(LEFT($F25,LEN(T_Error))=T_Error,$D25=""),"",IF(ISERROR(FIND("Mercenary",$D25)),"none",VLOOKUP($AJ25,DBPlayers,9,0)))</f>
        <v/>
      </c>
      <c r="V25" s="334"/>
      <c r="W25" s="316"/>
      <c r="X25" s="121"/>
      <c r="Y25" s="102"/>
      <c r="Z25" s="102"/>
      <c r="AA25" s="102"/>
      <c r="AB25" s="102"/>
      <c r="AC25" s="102"/>
      <c r="AD25" s="102"/>
      <c r="AE25" s="102"/>
      <c r="AF25" s="102"/>
      <c r="AG25" s="102"/>
      <c r="AH25" s="102"/>
      <c r="AI25" s="199" t="s">
        <v>193</v>
      </c>
      <c r="AJ25" s="159" t="str">
        <f t="shared" ref="AJ25:AJ30" si="30">IF(ISERROR(VLOOKUP(MID($D25,1,LEN($D25)-LEN(" Mercenary")),$AJ$58:$AL$67,3,0)),IF(ISERROR(VLOOKUP(D25,AK48:AK57,1,0)),"","Star"),VLOOKUP(MID($D25,1,LEN($D25)-LEN(" Mercenary")),$AJ$58:$AL$67,3,0))</f>
        <v/>
      </c>
      <c r="AK25" s="123"/>
      <c r="AL25" s="123"/>
      <c r="AM25" s="123"/>
      <c r="AN25" s="123"/>
      <c r="AO25" s="123"/>
      <c r="AP25" s="123"/>
      <c r="AQ25" s="159" t="str">
        <f t="array" ref="AQ25">IF($AJ25&lt;&gt;"",SUM(IF($AJ25=$AJ$6:$AJ25,IF($L$6:$L25=T_MNG,1,0),0)),"")</f>
        <v/>
      </c>
      <c r="AR25" s="105"/>
      <c r="AS25" s="105"/>
      <c r="AT25" s="105"/>
      <c r="AU25" s="105"/>
      <c r="AV25" s="102"/>
      <c r="AW25" s="102"/>
      <c r="AX25" s="102"/>
      <c r="AY25" s="102"/>
    </row>
    <row r="26" spans="1:51" ht="13.5" customHeight="1">
      <c r="A26" s="102"/>
      <c r="B26" s="114"/>
      <c r="C26" s="208"/>
      <c r="D26" s="346"/>
      <c r="E26" s="316"/>
      <c r="F26" s="205" t="str">
        <f>IF($D26="","",IF($AJ26="",T_Error&amp;"1",IF(COUNTIF($D$25:$D26,"&lt;&gt;")&gt;$R$31,T_Error&amp;"3",IF(ISERROR(FIND(T_Merc,$D26)),IF(COUNTIF($D$25:$D26,D26)&gt;1,T_Error&amp;"4",IF(COUNTIF($AJ$25:$AJ26,"=Star")&gt;2,T_Error&amp;"5",IF(AND($D26=Brick,$F$31&lt;&gt;"1/1"),T_Error&amp;"6","1/1"))),IF(COUNTIF($AJ$6:$AJ26,$AJ26)-$AQ26&gt;VLOOKUP($AJ26,DBPlayers,2,0)+VLOOKUP($AJ26,$AL$58:$AM$67,2,0),T_Error&amp;"2",COUNTIF($AJ$6:$AJ26,$AJ26)-$AQ26&amp;"/"&amp;(VLOOKUP($AJ26,DBPlayers,2,0)))))))</f>
        <v/>
      </c>
      <c r="G26" s="205" t="str">
        <f t="shared" si="23"/>
        <v/>
      </c>
      <c r="H26" s="205" t="str">
        <f t="shared" si="24"/>
        <v/>
      </c>
      <c r="I26" s="205" t="str">
        <f t="shared" si="25"/>
        <v/>
      </c>
      <c r="J26" s="205" t="str">
        <f t="shared" si="26"/>
        <v/>
      </c>
      <c r="K26" s="347" t="str">
        <f t="shared" ca="1" si="27"/>
        <v/>
      </c>
      <c r="L26" s="316"/>
      <c r="M26" s="316"/>
      <c r="N26" s="316"/>
      <c r="O26" s="316"/>
      <c r="P26" s="316"/>
      <c r="Q26" s="316"/>
      <c r="R26" s="316"/>
      <c r="S26" s="206" t="str">
        <f t="shared" si="28"/>
        <v/>
      </c>
      <c r="T26" s="117"/>
      <c r="U26" s="207" t="str">
        <f t="shared" si="29"/>
        <v/>
      </c>
      <c r="V26" s="334"/>
      <c r="W26" s="316"/>
      <c r="X26" s="121"/>
      <c r="Y26" s="102"/>
      <c r="Z26" s="102"/>
      <c r="AA26" s="102"/>
      <c r="AB26" s="102"/>
      <c r="AC26" s="102"/>
      <c r="AD26" s="102"/>
      <c r="AE26" s="102"/>
      <c r="AF26" s="102"/>
      <c r="AG26" s="102"/>
      <c r="AH26" s="102"/>
      <c r="AI26" s="199" t="s">
        <v>194</v>
      </c>
      <c r="AJ26" s="159" t="str">
        <f t="shared" si="30"/>
        <v/>
      </c>
      <c r="AK26" s="123"/>
      <c r="AL26" s="123"/>
      <c r="AM26" s="123"/>
      <c r="AN26" s="123"/>
      <c r="AO26" s="123"/>
      <c r="AP26" s="123"/>
      <c r="AQ26" s="159" t="str">
        <f t="array" ref="AQ26">IF($AJ26&lt;&gt;"",SUM(IF($AJ26=$AJ$6:$AJ26,IF($L$6:$L26=T_MNG,1,0),0)),"")</f>
        <v/>
      </c>
      <c r="AR26" s="105"/>
      <c r="AS26" s="105"/>
      <c r="AT26" s="105"/>
      <c r="AU26" s="105"/>
      <c r="AV26" s="102"/>
      <c r="AW26" s="102"/>
      <c r="AX26" s="102"/>
      <c r="AY26" s="102"/>
    </row>
    <row r="27" spans="1:51" ht="13.5" customHeight="1">
      <c r="A27" s="102"/>
      <c r="B27" s="114"/>
      <c r="C27" s="208"/>
      <c r="D27" s="346"/>
      <c r="E27" s="316"/>
      <c r="F27" s="205" t="str">
        <f>IF($D27="","",IF($AJ27="",T_Error&amp;"1",IF(COUNTIF($D$25:$D27,"&lt;&gt;")&gt;$R$31,T_Error&amp;"3",IF(ISERROR(FIND(T_Merc,$D27)),IF(COUNTIF($D$25:$D27,D27)&gt;1,T_Error&amp;"4",IF(COUNTIF($AJ$25:$AJ27,"=Star")&gt;2,T_Error&amp;"5",IF(AND($D27=Brick,$F$31&lt;&gt;"1/1"),T_Error&amp;"6","1/1"))),IF(COUNTIF($AJ$6:$AJ27,$AJ27)-$AQ27&gt;VLOOKUP($AJ27,DBPlayers,2,0)+VLOOKUP($AJ27,$AL$58:$AM$67,2,0),T_Error&amp;"2",COUNTIF($AJ$6:$AJ27,$AJ27)-$AQ27&amp;"/"&amp;(VLOOKUP($AJ27,DBPlayers,2,0)))))))</f>
        <v/>
      </c>
      <c r="G27" s="205" t="str">
        <f t="shared" si="23"/>
        <v/>
      </c>
      <c r="H27" s="205" t="str">
        <f t="shared" si="24"/>
        <v/>
      </c>
      <c r="I27" s="205" t="str">
        <f t="shared" si="25"/>
        <v/>
      </c>
      <c r="J27" s="205" t="str">
        <f t="shared" si="26"/>
        <v/>
      </c>
      <c r="K27" s="347" t="str">
        <f t="shared" ca="1" si="27"/>
        <v/>
      </c>
      <c r="L27" s="316"/>
      <c r="M27" s="316"/>
      <c r="N27" s="316"/>
      <c r="O27" s="316"/>
      <c r="P27" s="316"/>
      <c r="Q27" s="316"/>
      <c r="R27" s="316"/>
      <c r="S27" s="206" t="str">
        <f t="shared" si="28"/>
        <v/>
      </c>
      <c r="T27" s="117"/>
      <c r="U27" s="207" t="str">
        <f t="shared" si="29"/>
        <v/>
      </c>
      <c r="V27" s="334"/>
      <c r="W27" s="316"/>
      <c r="X27" s="121"/>
      <c r="Y27" s="102"/>
      <c r="Z27" s="102"/>
      <c r="AA27" s="102"/>
      <c r="AB27" s="102"/>
      <c r="AC27" s="102"/>
      <c r="AD27" s="102"/>
      <c r="AE27" s="102"/>
      <c r="AF27" s="102"/>
      <c r="AG27" s="102"/>
      <c r="AH27" s="102"/>
      <c r="AI27" s="199" t="s">
        <v>195</v>
      </c>
      <c r="AJ27" s="159" t="str">
        <f t="shared" si="30"/>
        <v/>
      </c>
      <c r="AK27" s="123"/>
      <c r="AL27" s="123"/>
      <c r="AM27" s="123"/>
      <c r="AN27" s="123"/>
      <c r="AO27" s="123"/>
      <c r="AP27" s="123"/>
      <c r="AQ27" s="159" t="str">
        <f t="array" ref="AQ27">IF($AJ27&lt;&gt;"",SUM(IF($AJ27=$AJ$6:$AJ27,IF($L$6:$L27=T_MNG,1,0),0)),"")</f>
        <v/>
      </c>
      <c r="AR27" s="105"/>
      <c r="AS27" s="105"/>
      <c r="AT27" s="105"/>
      <c r="AU27" s="105"/>
      <c r="AV27" s="102"/>
      <c r="AW27" s="102"/>
      <c r="AX27" s="102"/>
      <c r="AY27" s="102"/>
    </row>
    <row r="28" spans="1:51" ht="13.5" customHeight="1">
      <c r="A28" s="102"/>
      <c r="B28" s="114"/>
      <c r="C28" s="187"/>
      <c r="D28" s="346"/>
      <c r="E28" s="316"/>
      <c r="F28" s="205" t="str">
        <f>IF($D28="","",IF($AJ28="",T_Error&amp;"1",IF(COUNTIF($D$25:$D28,"&lt;&gt;")&gt;$R$31,T_Error&amp;"3",IF(ISERROR(FIND(T_Merc,$D28)),IF(COUNTIF($D$25:$D28,D28)&gt;1,T_Error&amp;"4",IF(COUNTIF($AJ$25:$AJ28,"=Star")&gt;2,T_Error&amp;"5",IF(AND($D28=Brick,$F$31&lt;&gt;"1/1"),T_Error&amp;"6","1/1"))),IF(COUNTIF($AJ$6:$AJ28,$AJ28)-$AQ28&gt;VLOOKUP($AJ28,DBPlayers,2,0)+VLOOKUP($AJ28,$AL$58:$AM$67,2,0),T_Error&amp;"2",COUNTIF($AJ$6:$AJ28,$AJ28)-$AQ28&amp;"/"&amp;(VLOOKUP($AJ28,DBPlayers,2,0)))))))</f>
        <v/>
      </c>
      <c r="G28" s="205" t="str">
        <f t="shared" si="23"/>
        <v/>
      </c>
      <c r="H28" s="205" t="str">
        <f t="shared" si="24"/>
        <v/>
      </c>
      <c r="I28" s="205" t="str">
        <f t="shared" si="25"/>
        <v/>
      </c>
      <c r="J28" s="205" t="str">
        <f t="shared" si="26"/>
        <v/>
      </c>
      <c r="K28" s="347" t="str">
        <f t="shared" ca="1" si="27"/>
        <v/>
      </c>
      <c r="L28" s="316"/>
      <c r="M28" s="316"/>
      <c r="N28" s="316"/>
      <c r="O28" s="316"/>
      <c r="P28" s="316"/>
      <c r="Q28" s="316"/>
      <c r="R28" s="316"/>
      <c r="S28" s="206" t="str">
        <f t="shared" si="28"/>
        <v/>
      </c>
      <c r="T28" s="117"/>
      <c r="U28" s="207" t="str">
        <f t="shared" si="29"/>
        <v/>
      </c>
      <c r="V28" s="334"/>
      <c r="W28" s="316"/>
      <c r="X28" s="121"/>
      <c r="Y28" s="102"/>
      <c r="Z28" s="102"/>
      <c r="AA28" s="102"/>
      <c r="AB28" s="102"/>
      <c r="AC28" s="102"/>
      <c r="AD28" s="102"/>
      <c r="AE28" s="102"/>
      <c r="AF28" s="102"/>
      <c r="AG28" s="102"/>
      <c r="AH28" s="102"/>
      <c r="AI28" s="199" t="s">
        <v>196</v>
      </c>
      <c r="AJ28" s="159" t="str">
        <f t="shared" si="30"/>
        <v/>
      </c>
      <c r="AK28" s="123"/>
      <c r="AL28" s="123"/>
      <c r="AM28" s="123"/>
      <c r="AN28" s="123"/>
      <c r="AO28" s="123"/>
      <c r="AP28" s="123"/>
      <c r="AQ28" s="159" t="str">
        <f t="array" ref="AQ28">IF($AJ28&lt;&gt;"",SUM(IF($AJ28=$AJ$6:$AJ28,IF($L$6:$L28=T_MNG,1,0),0)),"")</f>
        <v/>
      </c>
      <c r="AR28" s="105"/>
      <c r="AS28" s="105"/>
      <c r="AT28" s="105"/>
      <c r="AU28" s="105"/>
      <c r="AV28" s="102"/>
      <c r="AW28" s="102"/>
      <c r="AX28" s="102"/>
      <c r="AY28" s="102"/>
    </row>
    <row r="29" spans="1:51" ht="13.5" customHeight="1">
      <c r="A29" s="102"/>
      <c r="B29" s="114"/>
      <c r="C29" s="190"/>
      <c r="D29" s="346"/>
      <c r="E29" s="316"/>
      <c r="F29" s="205" t="str">
        <f>IF($D29="","",IF($AJ29="",T_Error&amp;"1",IF(COUNTIF($D$25:$D29,"&lt;&gt;")&gt;$R$31,T_Error&amp;"3",IF(ISERROR(FIND(T_Merc,$D29)),IF(COUNTIF($D$25:$D29,D29)&gt;1,T_Error&amp;"4",IF(COUNTIF($AJ$25:$AJ29,"=Star")&gt;2,T_Error&amp;"5",IF(AND($D29=Brick,$F$31&lt;&gt;"1/1"),T_Error&amp;"6","1/1"))),IF(COUNTIF($AJ$6:$AJ29,$AJ29)-$AQ29&gt;VLOOKUP($AJ29,DBPlayers,2,0)+VLOOKUP($AJ29,$AL$58:$AM$67,2,0),T_Error&amp;"2",COUNTIF($AJ$6:$AJ29,$AJ29)-$AQ29&amp;"/"&amp;(VLOOKUP($AJ29,DBPlayers,2,0)))))))</f>
        <v/>
      </c>
      <c r="G29" s="205" t="str">
        <f t="shared" si="23"/>
        <v/>
      </c>
      <c r="H29" s="205" t="str">
        <f t="shared" si="24"/>
        <v/>
      </c>
      <c r="I29" s="205" t="str">
        <f t="shared" si="25"/>
        <v/>
      </c>
      <c r="J29" s="205" t="str">
        <f t="shared" si="26"/>
        <v/>
      </c>
      <c r="K29" s="347" t="str">
        <f t="shared" ca="1" si="27"/>
        <v/>
      </c>
      <c r="L29" s="316"/>
      <c r="M29" s="316"/>
      <c r="N29" s="316"/>
      <c r="O29" s="316"/>
      <c r="P29" s="316"/>
      <c r="Q29" s="316"/>
      <c r="R29" s="316"/>
      <c r="S29" s="206" t="str">
        <f t="shared" si="28"/>
        <v/>
      </c>
      <c r="T29" s="117"/>
      <c r="U29" s="207" t="str">
        <f t="shared" si="29"/>
        <v/>
      </c>
      <c r="V29" s="334"/>
      <c r="W29" s="316"/>
      <c r="X29" s="121"/>
      <c r="Y29" s="102"/>
      <c r="Z29" s="102"/>
      <c r="AA29" s="102"/>
      <c r="AB29" s="102"/>
      <c r="AC29" s="102"/>
      <c r="AD29" s="102"/>
      <c r="AE29" s="102"/>
      <c r="AF29" s="102"/>
      <c r="AG29" s="102"/>
      <c r="AH29" s="102"/>
      <c r="AI29" s="199" t="s">
        <v>197</v>
      </c>
      <c r="AJ29" s="159" t="str">
        <f t="shared" si="30"/>
        <v/>
      </c>
      <c r="AK29" s="123"/>
      <c r="AL29" s="123"/>
      <c r="AM29" s="123"/>
      <c r="AN29" s="123"/>
      <c r="AO29" s="123"/>
      <c r="AP29" s="123"/>
      <c r="AQ29" s="159" t="str">
        <f t="array" ref="AQ29">IF($AJ29&lt;&gt;"",SUM(IF($AJ29=$AJ$6:$AJ29,IF($L$6:$L29=T_MNG,1,0),0)),"")</f>
        <v/>
      </c>
      <c r="AR29" s="105"/>
      <c r="AS29" s="105"/>
      <c r="AT29" s="105"/>
      <c r="AU29" s="105"/>
      <c r="AV29" s="102"/>
      <c r="AW29" s="102"/>
      <c r="AX29" s="102"/>
      <c r="AY29" s="102"/>
    </row>
    <row r="30" spans="1:51" ht="13.5" customHeight="1">
      <c r="A30" s="102"/>
      <c r="B30" s="114"/>
      <c r="C30" s="190"/>
      <c r="D30" s="346"/>
      <c r="E30" s="316"/>
      <c r="F30" s="205" t="str">
        <f>IF($D30="","",IF($AJ30="",T_Error&amp;"1",IF(COUNTIF($D$25:$D30,"&lt;&gt;")&gt;$R$31,T_Error&amp;"3",IF(ISERROR(FIND(T_Merc,$D30)),IF(COUNTIF($D$25:$D30,D30)&gt;1,T_Error&amp;"4",IF(COUNTIF($AJ$25:$AJ30,"=Star")&gt;2,T_Error&amp;"5",IF(AND($D30=Brick,$F$31&lt;&gt;"1/1"),T_Error&amp;"6","1/1"))),IF(COUNTIF($AJ$6:$AJ30,$AJ30)-$AQ30&gt;VLOOKUP($AJ30,DBPlayers,2,0)+VLOOKUP($AJ30,$AL$58:$AM$67,2,0),T_Error&amp;"2",COUNTIF($AJ$6:$AJ30,$AJ30)-$AQ30&amp;"/"&amp;(VLOOKUP($AJ30,DBPlayers,2,0)))))))</f>
        <v/>
      </c>
      <c r="G30" s="205" t="str">
        <f t="shared" si="23"/>
        <v/>
      </c>
      <c r="H30" s="205" t="str">
        <f t="shared" si="24"/>
        <v/>
      </c>
      <c r="I30" s="205" t="str">
        <f t="shared" si="25"/>
        <v/>
      </c>
      <c r="J30" s="205" t="str">
        <f t="shared" si="26"/>
        <v/>
      </c>
      <c r="K30" s="347" t="str">
        <f t="shared" ca="1" si="27"/>
        <v/>
      </c>
      <c r="L30" s="316"/>
      <c r="M30" s="316"/>
      <c r="N30" s="316"/>
      <c r="O30" s="316"/>
      <c r="P30" s="316"/>
      <c r="Q30" s="316"/>
      <c r="R30" s="316"/>
      <c r="S30" s="206" t="str">
        <f t="shared" si="28"/>
        <v/>
      </c>
      <c r="T30" s="117"/>
      <c r="U30" s="207" t="str">
        <f t="shared" si="29"/>
        <v/>
      </c>
      <c r="V30" s="334"/>
      <c r="W30" s="316"/>
      <c r="X30" s="121"/>
      <c r="Y30" s="209"/>
      <c r="Z30" s="102"/>
      <c r="AA30" s="102"/>
      <c r="AB30" s="102"/>
      <c r="AC30" s="102"/>
      <c r="AD30" s="102"/>
      <c r="AE30" s="102"/>
      <c r="AF30" s="102"/>
      <c r="AG30" s="102"/>
      <c r="AH30" s="102"/>
      <c r="AI30" s="199" t="s">
        <v>198</v>
      </c>
      <c r="AJ30" s="159" t="str">
        <f t="shared" si="30"/>
        <v/>
      </c>
      <c r="AK30" s="123"/>
      <c r="AL30" s="123"/>
      <c r="AM30" s="123"/>
      <c r="AN30" s="123"/>
      <c r="AO30" s="123"/>
      <c r="AP30" s="123"/>
      <c r="AQ30" s="159" t="str">
        <f t="array" ref="AQ30">IF($AJ30&lt;&gt;"",SUM(IF($AJ30=$AJ$6:$AJ30,IF($L$6:$L30=T_MNG,1,0),0)),"")</f>
        <v/>
      </c>
      <c r="AR30" s="105"/>
      <c r="AS30" s="105"/>
      <c r="AT30" s="105"/>
      <c r="AU30" s="105"/>
      <c r="AV30" s="102"/>
      <c r="AW30" s="102"/>
      <c r="AX30" s="102"/>
      <c r="AY30" s="102"/>
    </row>
    <row r="31" spans="1:51" ht="13.5" customHeight="1">
      <c r="A31" s="102"/>
      <c r="B31" s="114"/>
      <c r="C31" s="190"/>
      <c r="D31" s="210"/>
      <c r="E31" s="210"/>
      <c r="F31" s="205" t="str">
        <f>IF($D31="","",IF(COUNTIF($D$25:$D31,"&lt;&gt;")&gt;$R$31,T_Error&amp;"3",IF(COUNTIF($AJ$25:$AJ30,"=Star")&gt;2,T_Error&amp;"5","1/1")))</f>
        <v/>
      </c>
      <c r="G31" s="205" t="str">
        <f>IF(OR(LEFT($F31,LEN(T_Error))=T_Error,$D31=""),"",VLOOKUP($D31,DBStars,2,0))</f>
        <v/>
      </c>
      <c r="H31" s="205" t="str">
        <f>IF(OR(LEFT($F31,LEN(T_Error))=T_Error,$D31=""),"",VLOOKUP($D31,DBStars,3,0))</f>
        <v/>
      </c>
      <c r="I31" s="205" t="str">
        <f>IF(OR(LEFT($F31,LEN(T_Error))=T_Error,$D31=""),"",VLOOKUP($D31,DBStars,4,0))</f>
        <v/>
      </c>
      <c r="J31" s="205" t="str">
        <f>IF(OR(LEFT($F31,LEN(T_Error))=T_Error,$D31=""),"",VLOOKUP($D31,DBStars,5,0))</f>
        <v/>
      </c>
      <c r="K31" s="193" t="str">
        <f ca="1">IF($D31="","",IF(LEFT($F31,LEN(T_Error))=T_Error,INDIRECT("T_"&amp;$F31),VLOOKUP($D31,DBStars,6,0)))</f>
        <v/>
      </c>
      <c r="L31" s="343" t="s">
        <v>199</v>
      </c>
      <c r="M31" s="316"/>
      <c r="N31" s="316"/>
      <c r="O31" s="316"/>
      <c r="P31" s="316"/>
      <c r="Q31" s="189" t="str">
        <f>COUNTIF(J25:J31,"&gt;0")&amp;" /"</f>
        <v>0 /</v>
      </c>
      <c r="R31" s="211">
        <f>16-COUNTIF(S6:S21,"&gt;0")</f>
        <v>16</v>
      </c>
      <c r="S31" s="206"/>
      <c r="T31" s="117"/>
      <c r="U31" s="207" t="str">
        <f>IF($D31="","",IF(ISERROR(FIND("Mercenary",$D31)),"",VLOOKUP($AJ31,DBPlayers,9,0)))</f>
        <v/>
      </c>
      <c r="V31" s="154"/>
      <c r="W31" s="154"/>
      <c r="X31" s="121"/>
      <c r="Y31" s="102"/>
      <c r="Z31" s="102"/>
      <c r="AA31" s="102"/>
      <c r="AB31" s="102"/>
      <c r="AC31" s="102"/>
      <c r="AD31" s="102"/>
      <c r="AE31" s="102"/>
      <c r="AF31" s="102"/>
      <c r="AG31" s="102"/>
      <c r="AH31" s="102"/>
      <c r="AI31" s="102"/>
      <c r="AJ31" s="102"/>
      <c r="AK31" s="102"/>
      <c r="AL31" s="102"/>
      <c r="AM31" s="102"/>
      <c r="AN31" s="102"/>
      <c r="AO31" s="102"/>
      <c r="AP31" s="102"/>
      <c r="AQ31" s="102"/>
      <c r="AR31" s="105"/>
      <c r="AS31" s="105"/>
      <c r="AT31" s="105"/>
      <c r="AU31" s="105"/>
      <c r="AV31" s="102"/>
      <c r="AW31" s="102"/>
      <c r="AX31" s="102"/>
      <c r="AY31" s="102"/>
    </row>
    <row r="32" spans="1:51" ht="3" customHeight="1">
      <c r="A32" s="102"/>
      <c r="B32" s="107"/>
      <c r="C32" s="108"/>
      <c r="D32" s="109"/>
      <c r="E32" s="109"/>
      <c r="F32" s="110"/>
      <c r="G32" s="108"/>
      <c r="H32" s="108"/>
      <c r="I32" s="108"/>
      <c r="J32" s="108"/>
      <c r="K32" s="109"/>
      <c r="L32" s="109"/>
      <c r="M32" s="109"/>
      <c r="N32" s="109"/>
      <c r="O32" s="109"/>
      <c r="P32" s="109"/>
      <c r="Q32" s="109"/>
      <c r="R32" s="109"/>
      <c r="S32" s="201"/>
      <c r="T32" s="111"/>
      <c r="U32" s="121"/>
      <c r="V32" s="121"/>
      <c r="W32" s="121"/>
      <c r="X32" s="121"/>
      <c r="Y32" s="102"/>
      <c r="Z32" s="102"/>
      <c r="AA32" s="102"/>
      <c r="AB32" s="102"/>
      <c r="AC32" s="102"/>
      <c r="AD32" s="102"/>
      <c r="AE32" s="102"/>
      <c r="AF32" s="102"/>
      <c r="AG32" s="102"/>
      <c r="AH32" s="102"/>
      <c r="AI32" s="102"/>
      <c r="AJ32" s="102"/>
      <c r="AK32" s="102"/>
      <c r="AL32" s="102"/>
      <c r="AM32" s="102"/>
      <c r="AN32" s="102"/>
      <c r="AO32" s="102"/>
      <c r="AP32" s="102"/>
      <c r="AQ32" s="102"/>
      <c r="AR32" s="105"/>
      <c r="AS32" s="105"/>
      <c r="AT32" s="105"/>
      <c r="AU32" s="105"/>
      <c r="AV32" s="102"/>
      <c r="AW32" s="102"/>
      <c r="AX32" s="102"/>
      <c r="AY32" s="102"/>
    </row>
    <row r="33" spans="1:51" ht="13.5" customHeight="1">
      <c r="A33" s="102"/>
      <c r="B33" s="114"/>
      <c r="C33" s="115"/>
      <c r="D33" s="345" t="s">
        <v>363</v>
      </c>
      <c r="E33" s="316"/>
      <c r="F33" s="316"/>
      <c r="G33" s="316"/>
      <c r="H33" s="316"/>
      <c r="I33" s="316"/>
      <c r="J33" s="115"/>
      <c r="K33" s="212"/>
      <c r="L33" s="345" t="s">
        <v>201</v>
      </c>
      <c r="M33" s="316"/>
      <c r="N33" s="316"/>
      <c r="O33" s="316"/>
      <c r="P33" s="316"/>
      <c r="Q33" s="316"/>
      <c r="R33" s="316"/>
      <c r="S33" s="213"/>
      <c r="T33" s="117"/>
      <c r="U33" s="102"/>
      <c r="V33" s="106"/>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5"/>
      <c r="AS33" s="105"/>
      <c r="AT33" s="105"/>
      <c r="AU33" s="105"/>
      <c r="AV33" s="102"/>
      <c r="AW33" s="102"/>
      <c r="AX33" s="102"/>
      <c r="AY33" s="102"/>
    </row>
    <row r="34" spans="1:51" ht="13.5" customHeight="1">
      <c r="A34" s="102"/>
      <c r="B34" s="114"/>
      <c r="C34" s="191"/>
      <c r="D34" s="343" t="s">
        <v>202</v>
      </c>
      <c r="E34" s="316"/>
      <c r="F34" s="116">
        <v>0</v>
      </c>
      <c r="G34" s="189" t="s">
        <v>203</v>
      </c>
      <c r="H34" s="344">
        <v>50000</v>
      </c>
      <c r="I34" s="316"/>
      <c r="J34" s="190"/>
      <c r="K34" s="191"/>
      <c r="L34" s="189" t="s">
        <v>204</v>
      </c>
      <c r="M34" s="187"/>
      <c r="N34" s="189" t="s">
        <v>203</v>
      </c>
      <c r="O34" s="352">
        <f>IF(ISERROR(VLOOKUP($E$3,Database!$B$6:$C$30,2,0)),0,VLOOKUP($E$3,Database!$B$6:$C$30,2,0))</f>
        <v>50000</v>
      </c>
      <c r="P34" s="316"/>
      <c r="Q34" s="316"/>
      <c r="R34" s="191" t="s">
        <v>205</v>
      </c>
      <c r="S34" s="194">
        <f>M34*O34</f>
        <v>0</v>
      </c>
      <c r="T34" s="117"/>
      <c r="U34" s="214"/>
      <c r="V34" s="106"/>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5"/>
      <c r="AS34" s="105"/>
      <c r="AT34" s="105"/>
      <c r="AU34" s="105"/>
      <c r="AV34" s="102"/>
      <c r="AW34" s="102"/>
      <c r="AX34" s="102"/>
      <c r="AY34" s="102"/>
    </row>
    <row r="35" spans="1:51" ht="13.5" customHeight="1">
      <c r="A35" s="102"/>
      <c r="B35" s="114"/>
      <c r="C35" s="191"/>
      <c r="D35" s="343" t="s">
        <v>206</v>
      </c>
      <c r="E35" s="316"/>
      <c r="F35" s="116">
        <v>0</v>
      </c>
      <c r="G35" s="189" t="s">
        <v>203</v>
      </c>
      <c r="H35" s="344">
        <f>IF($E$3=Goblin,50000,100000)</f>
        <v>100000</v>
      </c>
      <c r="I35" s="316"/>
      <c r="J35" s="190"/>
      <c r="K35" s="191"/>
      <c r="L35" s="189" t="s">
        <v>207</v>
      </c>
      <c r="M35" s="187">
        <v>1</v>
      </c>
      <c r="N35" s="189" t="s">
        <v>203</v>
      </c>
      <c r="O35" s="352">
        <v>10000</v>
      </c>
      <c r="P35" s="316"/>
      <c r="Q35" s="316"/>
      <c r="R35" s="191" t="s">
        <v>205</v>
      </c>
      <c r="S35" s="194">
        <f t="shared" ref="S35:S38" si="31">O35*M35</f>
        <v>10000</v>
      </c>
      <c r="T35" s="117"/>
      <c r="U35" s="11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5"/>
      <c r="AS35" s="105"/>
      <c r="AT35" s="105"/>
      <c r="AU35" s="105"/>
      <c r="AV35" s="102"/>
      <c r="AW35" s="102"/>
      <c r="AX35" s="102"/>
      <c r="AY35" s="102"/>
    </row>
    <row r="36" spans="1:51" ht="13.5" customHeight="1">
      <c r="A36" s="102"/>
      <c r="B36" s="114"/>
      <c r="C36" s="191"/>
      <c r="D36" s="343" t="s">
        <v>208</v>
      </c>
      <c r="E36" s="316"/>
      <c r="F36" s="116">
        <v>0</v>
      </c>
      <c r="G36" s="189" t="s">
        <v>203</v>
      </c>
      <c r="H36" s="344">
        <v>100000</v>
      </c>
      <c r="I36" s="316"/>
      <c r="J36" s="190"/>
      <c r="K36" s="191"/>
      <c r="L36" s="189" t="s">
        <v>209</v>
      </c>
      <c r="M36" s="187">
        <v>0</v>
      </c>
      <c r="N36" s="189" t="s">
        <v>203</v>
      </c>
      <c r="O36" s="352">
        <v>10000</v>
      </c>
      <c r="P36" s="316"/>
      <c r="Q36" s="316"/>
      <c r="R36" s="191" t="s">
        <v>205</v>
      </c>
      <c r="S36" s="194">
        <f t="shared" si="31"/>
        <v>0</v>
      </c>
      <c r="T36" s="117"/>
      <c r="U36" s="214"/>
      <c r="V36" s="106"/>
      <c r="W36" s="102"/>
      <c r="X36" s="102"/>
      <c r="Y36" s="113"/>
      <c r="Z36" s="113"/>
      <c r="AA36" s="113"/>
      <c r="AB36" s="102"/>
      <c r="AC36" s="102"/>
      <c r="AD36" s="102"/>
      <c r="AE36" s="102"/>
      <c r="AF36" s="102"/>
      <c r="AG36" s="102"/>
      <c r="AH36" s="102"/>
      <c r="AI36" s="102"/>
      <c r="AJ36" s="102"/>
      <c r="AK36" s="102"/>
      <c r="AL36" s="102"/>
      <c r="AM36" s="102"/>
      <c r="AN36" s="102"/>
      <c r="AO36" s="102"/>
      <c r="AP36" s="102"/>
      <c r="AQ36" s="102"/>
      <c r="AR36" s="105"/>
      <c r="AS36" s="105"/>
      <c r="AT36" s="105"/>
      <c r="AU36" s="105"/>
      <c r="AV36" s="102"/>
      <c r="AW36" s="102"/>
      <c r="AX36" s="102"/>
      <c r="AY36" s="102"/>
    </row>
    <row r="37" spans="1:51" ht="13.5" customHeight="1">
      <c r="A37" s="102"/>
      <c r="B37" s="114"/>
      <c r="C37" s="191"/>
      <c r="D37" s="343" t="s">
        <v>210</v>
      </c>
      <c r="E37" s="316"/>
      <c r="F37" s="116">
        <v>0</v>
      </c>
      <c r="G37" s="189" t="s">
        <v>203</v>
      </c>
      <c r="H37" s="344">
        <f>IF($E$3=Halfling,100000,300000)</f>
        <v>300000</v>
      </c>
      <c r="I37" s="316"/>
      <c r="J37" s="190"/>
      <c r="K37" s="191"/>
      <c r="L37" s="189" t="s">
        <v>211</v>
      </c>
      <c r="M37" s="187">
        <v>0</v>
      </c>
      <c r="N37" s="189" t="s">
        <v>203</v>
      </c>
      <c r="O37" s="352">
        <v>10000</v>
      </c>
      <c r="P37" s="316"/>
      <c r="Q37" s="316"/>
      <c r="R37" s="191" t="s">
        <v>205</v>
      </c>
      <c r="S37" s="194">
        <f t="shared" si="31"/>
        <v>0</v>
      </c>
      <c r="T37" s="117"/>
      <c r="U37" s="214"/>
      <c r="V37" s="215"/>
      <c r="W37" s="113"/>
      <c r="X37" s="113"/>
      <c r="Y37" s="216"/>
      <c r="Z37" s="113"/>
      <c r="AA37" s="217"/>
      <c r="AB37" s="102"/>
      <c r="AC37" s="102"/>
      <c r="AD37" s="102"/>
      <c r="AE37" s="102"/>
      <c r="AF37" s="102"/>
      <c r="AG37" s="102"/>
      <c r="AH37" s="102"/>
      <c r="AI37" s="102"/>
      <c r="AJ37" s="102"/>
      <c r="AK37" s="102"/>
      <c r="AL37" s="102"/>
      <c r="AM37" s="102"/>
      <c r="AN37" s="102"/>
      <c r="AO37" s="102"/>
      <c r="AP37" s="102"/>
      <c r="AQ37" s="102"/>
      <c r="AR37" s="105"/>
      <c r="AS37" s="105"/>
      <c r="AT37" s="105"/>
      <c r="AU37" s="105"/>
      <c r="AV37" s="102"/>
      <c r="AW37" s="102"/>
      <c r="AX37" s="102"/>
      <c r="AY37" s="102"/>
    </row>
    <row r="38" spans="1:51" ht="13.5" customHeight="1">
      <c r="A38" s="102"/>
      <c r="B38" s="114"/>
      <c r="C38" s="191"/>
      <c r="D38" s="343" t="s">
        <v>212</v>
      </c>
      <c r="E38" s="316"/>
      <c r="F38" s="116">
        <v>0</v>
      </c>
      <c r="G38" s="189" t="s">
        <v>203</v>
      </c>
      <c r="H38" s="344">
        <v>100000</v>
      </c>
      <c r="I38" s="316"/>
      <c r="J38" s="190"/>
      <c r="K38" s="191"/>
      <c r="L38" s="189" t="s">
        <v>213</v>
      </c>
      <c r="M38" s="187">
        <v>1</v>
      </c>
      <c r="N38" s="189" t="s">
        <v>203</v>
      </c>
      <c r="O38" s="352">
        <v>50000</v>
      </c>
      <c r="P38" s="316"/>
      <c r="Q38" s="316"/>
      <c r="R38" s="191" t="s">
        <v>205</v>
      </c>
      <c r="S38" s="194">
        <f t="shared" si="31"/>
        <v>50000</v>
      </c>
      <c r="T38" s="117"/>
      <c r="U38" s="214"/>
      <c r="V38" s="112"/>
      <c r="W38" s="113"/>
      <c r="X38" s="113"/>
      <c r="Y38" s="113"/>
      <c r="Z38" s="113"/>
      <c r="AA38" s="113"/>
      <c r="AB38" s="102"/>
      <c r="AC38" s="102"/>
      <c r="AD38" s="102"/>
      <c r="AE38" s="102"/>
      <c r="AF38" s="102"/>
      <c r="AG38" s="102"/>
      <c r="AH38" s="102"/>
      <c r="AI38" s="102"/>
      <c r="AJ38" s="102"/>
      <c r="AK38" s="102"/>
      <c r="AL38" s="102"/>
      <c r="AM38" s="102"/>
      <c r="AN38" s="102"/>
      <c r="AO38" s="102"/>
      <c r="AP38" s="102"/>
      <c r="AQ38" s="102"/>
      <c r="AR38" s="105"/>
      <c r="AS38" s="105"/>
      <c r="AT38" s="105"/>
      <c r="AU38" s="105"/>
      <c r="AV38" s="102"/>
      <c r="AW38" s="102"/>
      <c r="AX38" s="102"/>
      <c r="AY38" s="102"/>
    </row>
    <row r="39" spans="1:51" ht="13.5" customHeight="1">
      <c r="A39" s="102"/>
      <c r="B39" s="114"/>
      <c r="C39" s="191"/>
      <c r="D39" s="343" t="s">
        <v>214</v>
      </c>
      <c r="E39" s="316"/>
      <c r="F39" s="116">
        <v>0</v>
      </c>
      <c r="G39" s="189" t="s">
        <v>203</v>
      </c>
      <c r="H39" s="344">
        <v>150000</v>
      </c>
      <c r="I39" s="316"/>
      <c r="J39" s="190"/>
      <c r="K39" s="212"/>
      <c r="L39" s="189" t="s">
        <v>215</v>
      </c>
      <c r="M39" s="353">
        <v>20000</v>
      </c>
      <c r="N39" s="316"/>
      <c r="O39" s="316"/>
      <c r="P39" s="316"/>
      <c r="Q39" s="212"/>
      <c r="R39" s="212"/>
      <c r="S39" s="115"/>
      <c r="T39" s="117"/>
      <c r="U39" s="214"/>
      <c r="V39" s="215"/>
      <c r="W39" s="113"/>
      <c r="X39" s="113"/>
      <c r="Y39" s="113"/>
      <c r="Z39" s="113"/>
      <c r="AA39" s="113"/>
      <c r="AB39" s="102"/>
      <c r="AC39" s="102"/>
      <c r="AD39" s="102"/>
      <c r="AE39" s="102"/>
      <c r="AF39" s="102"/>
      <c r="AG39" s="102"/>
      <c r="AH39" s="102"/>
      <c r="AI39" s="102"/>
      <c r="AJ39" s="102"/>
      <c r="AK39" s="102"/>
      <c r="AL39" s="102"/>
      <c r="AM39" s="102"/>
      <c r="AN39" s="102"/>
      <c r="AO39" s="102"/>
      <c r="AP39" s="102"/>
      <c r="AQ39" s="102"/>
      <c r="AR39" s="105"/>
      <c r="AS39" s="105"/>
      <c r="AT39" s="105"/>
      <c r="AU39" s="105"/>
      <c r="AV39" s="102"/>
      <c r="AW39" s="102"/>
      <c r="AX39" s="102"/>
      <c r="AY39" s="102"/>
    </row>
    <row r="40" spans="1:51" ht="13.5" customHeight="1">
      <c r="A40" s="102"/>
      <c r="B40" s="114"/>
      <c r="C40" s="191"/>
      <c r="D40" s="343" t="s">
        <v>216</v>
      </c>
      <c r="E40" s="316"/>
      <c r="F40" s="116">
        <v>0</v>
      </c>
      <c r="G40" s="189" t="s">
        <v>203</v>
      </c>
      <c r="H40" s="344">
        <v>100000</v>
      </c>
      <c r="I40" s="316"/>
      <c r="J40" s="190"/>
      <c r="K40" s="212"/>
      <c r="L40" s="189"/>
      <c r="M40" s="115"/>
      <c r="N40" s="218"/>
      <c r="O40" s="218"/>
      <c r="P40" s="218"/>
      <c r="Q40" s="132" t="s">
        <v>217</v>
      </c>
      <c r="R40" s="350">
        <f>SUM(S6:S21,S34:S38)</f>
        <v>60000</v>
      </c>
      <c r="S40" s="316"/>
      <c r="T40" s="117"/>
      <c r="U40" s="214"/>
      <c r="V40" s="215"/>
      <c r="W40" s="113"/>
      <c r="X40" s="113"/>
      <c r="Y40" s="113"/>
      <c r="Z40" s="113"/>
      <c r="AA40" s="113"/>
      <c r="AB40" s="102"/>
      <c r="AC40" s="102"/>
      <c r="AD40" s="102"/>
      <c r="AE40" s="102"/>
      <c r="AF40" s="102"/>
      <c r="AG40" s="102"/>
      <c r="AH40" s="102"/>
      <c r="AI40" s="102"/>
      <c r="AJ40" s="102"/>
      <c r="AK40" s="102"/>
      <c r="AL40" s="102"/>
      <c r="AM40" s="102"/>
      <c r="AN40" s="102"/>
      <c r="AO40" s="102"/>
      <c r="AP40" s="102"/>
      <c r="AQ40" s="102"/>
      <c r="AR40" s="105"/>
      <c r="AS40" s="105"/>
      <c r="AT40" s="105"/>
      <c r="AU40" s="105"/>
      <c r="AV40" s="102"/>
      <c r="AW40" s="102"/>
      <c r="AX40" s="102"/>
      <c r="AY40" s="102"/>
    </row>
    <row r="41" spans="1:51" ht="13.5" customHeight="1">
      <c r="A41" s="102"/>
      <c r="B41" s="114"/>
      <c r="C41" s="212"/>
      <c r="D41" s="343" t="s">
        <v>218</v>
      </c>
      <c r="E41" s="316"/>
      <c r="F41" s="349">
        <v>0</v>
      </c>
      <c r="G41" s="316"/>
      <c r="H41" s="316"/>
      <c r="I41" s="316"/>
      <c r="J41" s="212"/>
      <c r="K41" s="212"/>
      <c r="L41" s="212"/>
      <c r="M41" s="212"/>
      <c r="N41" s="191"/>
      <c r="O41" s="191"/>
      <c r="P41" s="191"/>
      <c r="Q41" s="132" t="s">
        <v>219</v>
      </c>
      <c r="R41" s="350">
        <f>SUMPRODUCT(F34:F40,H34:H40)+F41+F42</f>
        <v>0</v>
      </c>
      <c r="S41" s="316"/>
      <c r="T41" s="117"/>
      <c r="U41" s="214"/>
      <c r="V41" s="215"/>
      <c r="W41" s="113"/>
      <c r="X41" s="113"/>
      <c r="Y41" s="113"/>
      <c r="Z41" s="113"/>
      <c r="AA41" s="113"/>
      <c r="AB41" s="102"/>
      <c r="AC41" s="102"/>
      <c r="AD41" s="102"/>
      <c r="AE41" s="102"/>
      <c r="AF41" s="102"/>
      <c r="AG41" s="102"/>
      <c r="AH41" s="102"/>
      <c r="AI41" s="102"/>
      <c r="AJ41" s="102"/>
      <c r="AK41" s="102"/>
      <c r="AL41" s="102"/>
      <c r="AM41" s="102"/>
      <c r="AN41" s="102"/>
      <c r="AO41" s="102"/>
      <c r="AP41" s="102"/>
      <c r="AQ41" s="102"/>
      <c r="AR41" s="105"/>
      <c r="AS41" s="105"/>
      <c r="AT41" s="105"/>
      <c r="AU41" s="105"/>
      <c r="AV41" s="102"/>
      <c r="AW41" s="102"/>
      <c r="AX41" s="102"/>
      <c r="AY41" s="102"/>
    </row>
    <row r="42" spans="1:51" ht="13.5" customHeight="1">
      <c r="A42" s="102"/>
      <c r="B42" s="114"/>
      <c r="C42" s="191"/>
      <c r="D42" s="189"/>
      <c r="E42" s="189" t="s">
        <v>220</v>
      </c>
      <c r="F42" s="344">
        <f>SUM(S25:S30)</f>
        <v>0</v>
      </c>
      <c r="G42" s="316"/>
      <c r="H42" s="316"/>
      <c r="I42" s="316"/>
      <c r="J42" s="191"/>
      <c r="K42" s="191"/>
      <c r="L42" s="212"/>
      <c r="M42" s="212"/>
      <c r="N42" s="191"/>
      <c r="O42" s="191"/>
      <c r="P42" s="191"/>
      <c r="Q42" s="132" t="s">
        <v>221</v>
      </c>
      <c r="R42" s="350">
        <f>R40+R41</f>
        <v>60000</v>
      </c>
      <c r="S42" s="316"/>
      <c r="T42" s="117"/>
      <c r="U42" s="214"/>
      <c r="V42" s="215"/>
      <c r="W42" s="113"/>
      <c r="X42" s="113"/>
      <c r="Y42" s="113"/>
      <c r="Z42" s="113"/>
      <c r="AA42" s="113"/>
      <c r="AB42" s="102"/>
      <c r="AC42" s="102"/>
      <c r="AD42" s="102"/>
      <c r="AE42" s="102"/>
      <c r="AF42" s="102"/>
      <c r="AG42" s="102"/>
      <c r="AH42" s="102"/>
      <c r="AI42" s="102"/>
      <c r="AJ42" s="102"/>
      <c r="AK42" s="102"/>
      <c r="AL42" s="102"/>
      <c r="AM42" s="102"/>
      <c r="AN42" s="102"/>
      <c r="AO42" s="102"/>
      <c r="AP42" s="102"/>
      <c r="AQ42" s="102"/>
      <c r="AR42" s="105"/>
      <c r="AS42" s="105"/>
      <c r="AT42" s="105"/>
      <c r="AU42" s="105"/>
      <c r="AV42" s="102"/>
      <c r="AW42" s="102"/>
      <c r="AX42" s="102"/>
      <c r="AY42" s="102"/>
    </row>
    <row r="43" spans="1:51" ht="3" customHeight="1">
      <c r="A43" s="102"/>
      <c r="B43" s="219"/>
      <c r="C43" s="220"/>
      <c r="D43" s="221"/>
      <c r="E43" s="221"/>
      <c r="F43" s="222"/>
      <c r="G43" s="220"/>
      <c r="H43" s="220"/>
      <c r="I43" s="220"/>
      <c r="J43" s="220"/>
      <c r="K43" s="221"/>
      <c r="L43" s="221"/>
      <c r="M43" s="221"/>
      <c r="N43" s="221"/>
      <c r="O43" s="221"/>
      <c r="P43" s="221"/>
      <c r="Q43" s="221"/>
      <c r="R43" s="221"/>
      <c r="S43" s="220"/>
      <c r="T43" s="223"/>
      <c r="U43" s="214"/>
      <c r="V43" s="215"/>
      <c r="W43" s="113"/>
      <c r="X43" s="113"/>
      <c r="Y43" s="113"/>
      <c r="Z43" s="113"/>
      <c r="AA43" s="113"/>
      <c r="AB43" s="102"/>
      <c r="AC43" s="102"/>
      <c r="AD43" s="102"/>
      <c r="AE43" s="102"/>
      <c r="AF43" s="102"/>
      <c r="AG43" s="102"/>
      <c r="AH43" s="102"/>
      <c r="AI43" s="102"/>
      <c r="AJ43" s="102"/>
      <c r="AK43" s="102"/>
      <c r="AL43" s="102"/>
      <c r="AM43" s="102"/>
      <c r="AN43" s="102"/>
      <c r="AO43" s="102"/>
      <c r="AP43" s="102"/>
      <c r="AQ43" s="102"/>
      <c r="AR43" s="105"/>
      <c r="AS43" s="105"/>
      <c r="AT43" s="105"/>
      <c r="AU43" s="105"/>
      <c r="AV43" s="102"/>
      <c r="AW43" s="102"/>
      <c r="AX43" s="102"/>
      <c r="AY43" s="102"/>
    </row>
    <row r="44" spans="1:51" ht="13.5" customHeight="1">
      <c r="A44" s="102"/>
      <c r="B44" s="102"/>
      <c r="C44" s="102"/>
      <c r="D44" s="102"/>
      <c r="E44" s="102"/>
      <c r="F44" s="102"/>
      <c r="G44" s="102"/>
      <c r="H44" s="102"/>
      <c r="I44" s="102"/>
      <c r="J44" s="102"/>
      <c r="K44" s="102"/>
      <c r="L44" s="102"/>
      <c r="M44" s="102"/>
      <c r="N44" s="102"/>
      <c r="O44" s="102"/>
      <c r="P44" s="102"/>
      <c r="Q44" s="102"/>
      <c r="R44" s="102"/>
      <c r="S44" s="105"/>
      <c r="T44" s="102"/>
      <c r="U44" s="102"/>
      <c r="V44" s="215"/>
      <c r="W44" s="113"/>
      <c r="X44" s="113"/>
      <c r="Y44" s="113"/>
      <c r="Z44" s="113"/>
      <c r="AA44" s="113"/>
      <c r="AB44" s="102"/>
      <c r="AC44" s="102"/>
      <c r="AD44" s="102"/>
      <c r="AE44" s="102"/>
      <c r="AF44" s="102"/>
      <c r="AG44" s="102"/>
      <c r="AH44" s="102"/>
      <c r="AI44" s="102"/>
      <c r="AJ44" s="102"/>
      <c r="AK44" s="102"/>
      <c r="AL44" s="102"/>
      <c r="AM44" s="102"/>
      <c r="AN44" s="102"/>
      <c r="AO44" s="102"/>
      <c r="AP44" s="102"/>
      <c r="AQ44" s="102"/>
      <c r="AR44" s="105"/>
      <c r="AS44" s="105"/>
      <c r="AT44" s="105"/>
      <c r="AU44" s="105"/>
      <c r="AV44" s="102"/>
      <c r="AW44" s="102"/>
      <c r="AX44" s="102"/>
      <c r="AY44" s="102"/>
    </row>
    <row r="45" spans="1:51" ht="13.5" customHeight="1">
      <c r="A45" s="102"/>
      <c r="B45" s="102"/>
      <c r="C45" s="105"/>
      <c r="D45" s="102"/>
      <c r="E45" s="102"/>
      <c r="F45" s="104"/>
      <c r="G45" s="105"/>
      <c r="H45" s="105"/>
      <c r="I45" s="105"/>
      <c r="J45" s="105"/>
      <c r="K45" s="102"/>
      <c r="L45" s="102"/>
      <c r="M45" s="102"/>
      <c r="N45" s="102"/>
      <c r="O45" s="102"/>
      <c r="P45" s="102"/>
      <c r="Q45" s="102"/>
      <c r="R45" s="102"/>
      <c r="S45" s="105"/>
      <c r="T45" s="102"/>
      <c r="U45" s="102"/>
      <c r="V45" s="106"/>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5"/>
      <c r="AS45" s="105"/>
      <c r="AT45" s="105"/>
      <c r="AU45" s="105"/>
      <c r="AV45" s="102"/>
      <c r="AW45" s="102"/>
      <c r="AX45" s="102"/>
      <c r="AY45" s="102"/>
    </row>
    <row r="46" spans="1:51" ht="13.5" customHeight="1">
      <c r="A46" s="102"/>
      <c r="B46" s="102"/>
      <c r="C46" s="105"/>
      <c r="D46" s="102"/>
      <c r="E46" s="102"/>
      <c r="F46" s="104"/>
      <c r="G46" s="105"/>
      <c r="H46" s="105"/>
      <c r="I46" s="105"/>
      <c r="J46" s="105"/>
      <c r="K46" s="102"/>
      <c r="L46" s="102"/>
      <c r="M46" s="102"/>
      <c r="N46" s="102"/>
      <c r="O46" s="102"/>
      <c r="P46" s="102"/>
      <c r="Q46" s="102"/>
      <c r="R46" s="102"/>
      <c r="S46" s="105"/>
      <c r="T46" s="102"/>
      <c r="U46" s="102"/>
      <c r="V46" s="106"/>
      <c r="W46" s="102"/>
      <c r="X46" s="102"/>
      <c r="Y46" s="102"/>
      <c r="Z46" s="102"/>
      <c r="AA46" s="102"/>
      <c r="AB46" s="102"/>
      <c r="AC46" s="102"/>
      <c r="AD46" s="102"/>
      <c r="AE46" s="102"/>
      <c r="AF46" s="102"/>
      <c r="AG46" s="102"/>
      <c r="AH46" s="102"/>
      <c r="AI46" s="102"/>
      <c r="AJ46" s="102"/>
      <c r="AK46" s="106"/>
      <c r="AL46" s="102"/>
      <c r="AM46" s="102"/>
      <c r="AN46" s="102"/>
      <c r="AO46" s="102"/>
      <c r="AP46" s="102"/>
      <c r="AQ46" s="102"/>
      <c r="AR46" s="105"/>
      <c r="AS46" s="105"/>
      <c r="AT46" s="105"/>
      <c r="AU46" s="105"/>
      <c r="AV46" s="102"/>
      <c r="AW46" s="102"/>
      <c r="AX46" s="102"/>
      <c r="AY46" s="102"/>
    </row>
    <row r="47" spans="1:51" ht="13.5" customHeight="1">
      <c r="A47" s="102"/>
      <c r="B47" s="102"/>
      <c r="C47" s="105"/>
      <c r="D47" s="102"/>
      <c r="E47" s="102"/>
      <c r="F47" s="104"/>
      <c r="G47" s="105"/>
      <c r="H47" s="105"/>
      <c r="I47" s="105"/>
      <c r="J47" s="105"/>
      <c r="K47" s="102"/>
      <c r="L47" s="102"/>
      <c r="M47" s="102"/>
      <c r="N47" s="102"/>
      <c r="O47" s="102"/>
      <c r="P47" s="102"/>
      <c r="Q47" s="102"/>
      <c r="R47" s="102"/>
      <c r="S47" s="105"/>
      <c r="T47" s="102"/>
      <c r="U47" s="102"/>
      <c r="V47" s="106"/>
      <c r="W47" s="102"/>
      <c r="X47" s="102"/>
      <c r="Y47" s="102"/>
      <c r="Z47" s="102"/>
      <c r="AA47" s="102"/>
      <c r="AB47" s="102"/>
      <c r="AC47" s="102"/>
      <c r="AD47" s="102"/>
      <c r="AE47" s="102"/>
      <c r="AF47" s="102"/>
      <c r="AG47" s="102"/>
      <c r="AH47" s="102"/>
      <c r="AI47" s="102"/>
      <c r="AJ47" s="102"/>
      <c r="AK47" s="106" t="s">
        <v>222</v>
      </c>
      <c r="AL47" s="102" t="s">
        <v>223</v>
      </c>
      <c r="AM47" s="102"/>
      <c r="AN47" s="102"/>
      <c r="AO47" s="102"/>
      <c r="AP47" s="102"/>
      <c r="AQ47" s="102"/>
      <c r="AR47" s="105"/>
      <c r="AS47" s="105"/>
      <c r="AT47" s="105"/>
      <c r="AU47" s="105"/>
      <c r="AV47" s="102"/>
      <c r="AW47" s="102"/>
      <c r="AX47" s="102"/>
      <c r="AY47" s="102"/>
    </row>
    <row r="48" spans="1:51" ht="13.5" customHeight="1">
      <c r="A48" s="102"/>
      <c r="B48" s="102"/>
      <c r="C48" s="105"/>
      <c r="D48" s="102"/>
      <c r="E48" s="102"/>
      <c r="F48" s="104"/>
      <c r="G48" s="105"/>
      <c r="H48" s="105"/>
      <c r="I48" s="105"/>
      <c r="J48" s="105"/>
      <c r="K48" s="102"/>
      <c r="L48" s="102"/>
      <c r="M48" s="102"/>
      <c r="N48" s="102"/>
      <c r="O48" s="102"/>
      <c r="P48" s="102"/>
      <c r="Q48" s="102"/>
      <c r="R48" s="102"/>
      <c r="S48" s="105"/>
      <c r="T48" s="102"/>
      <c r="U48" s="102"/>
      <c r="V48" s="106"/>
      <c r="W48" s="102"/>
      <c r="X48" s="102"/>
      <c r="Y48" s="102"/>
      <c r="Z48" s="102"/>
      <c r="AA48" s="102"/>
      <c r="AB48" s="102"/>
      <c r="AC48" s="102"/>
      <c r="AD48" s="102"/>
      <c r="AE48" s="102"/>
      <c r="AF48" s="102"/>
      <c r="AG48" s="102"/>
      <c r="AH48" s="102"/>
      <c r="AI48" s="102"/>
      <c r="AJ48" s="102"/>
      <c r="AK48" s="234" t="e">
        <f t="shared" ref="AK48:AK57" si="32">VLOOKUP(AL48,DBTeamStars,2,0)</f>
        <v>#N/A</v>
      </c>
      <c r="AL48" s="234" t="str">
        <f>$E$3&amp;"10"</f>
        <v>Dark Elf10</v>
      </c>
      <c r="AM48" s="102"/>
      <c r="AN48" s="102"/>
      <c r="AO48" s="102"/>
      <c r="AP48" s="102"/>
      <c r="AQ48" s="102"/>
      <c r="AR48" s="105"/>
      <c r="AS48" s="105"/>
      <c r="AT48" s="105"/>
      <c r="AU48" s="105"/>
      <c r="AV48" s="102"/>
      <c r="AW48" s="102"/>
      <c r="AX48" s="102"/>
      <c r="AY48" s="102"/>
    </row>
    <row r="49" spans="1:51" ht="13.5" customHeight="1">
      <c r="A49" s="102"/>
      <c r="B49" s="102"/>
      <c r="C49" s="105"/>
      <c r="D49" s="102"/>
      <c r="E49" s="102"/>
      <c r="F49" s="104"/>
      <c r="G49" s="105"/>
      <c r="H49" s="105"/>
      <c r="I49" s="105"/>
      <c r="J49" s="105"/>
      <c r="K49" s="102"/>
      <c r="L49" s="102"/>
      <c r="M49" s="102"/>
      <c r="N49" s="102"/>
      <c r="O49" s="102"/>
      <c r="P49" s="102"/>
      <c r="Q49" s="102"/>
      <c r="R49" s="102"/>
      <c r="S49" s="105"/>
      <c r="T49" s="102"/>
      <c r="U49" s="102"/>
      <c r="V49" s="106"/>
      <c r="W49" s="102"/>
      <c r="X49" s="102"/>
      <c r="Y49" s="102"/>
      <c r="Z49" s="102"/>
      <c r="AA49" s="102"/>
      <c r="AB49" s="102"/>
      <c r="AC49" s="102"/>
      <c r="AD49" s="102"/>
      <c r="AE49" s="102"/>
      <c r="AF49" s="102"/>
      <c r="AG49" s="102"/>
      <c r="AH49" s="102"/>
      <c r="AI49" s="102"/>
      <c r="AJ49" s="102"/>
      <c r="AK49" s="234" t="e">
        <f t="shared" si="32"/>
        <v>#N/A</v>
      </c>
      <c r="AL49" s="234" t="str">
        <f>$E$3&amp;"9"</f>
        <v>Dark Elf9</v>
      </c>
      <c r="AM49" s="102"/>
      <c r="AN49" s="102"/>
      <c r="AO49" s="102"/>
      <c r="AP49" s="102"/>
      <c r="AQ49" s="102"/>
      <c r="AR49" s="105"/>
      <c r="AS49" s="105"/>
      <c r="AT49" s="105"/>
      <c r="AU49" s="105"/>
      <c r="AV49" s="102"/>
      <c r="AW49" s="102"/>
      <c r="AX49" s="102"/>
      <c r="AY49" s="102"/>
    </row>
    <row r="50" spans="1:51" ht="13.5" customHeight="1">
      <c r="A50" s="102"/>
      <c r="B50" s="102"/>
      <c r="C50" s="105"/>
      <c r="D50" s="102"/>
      <c r="E50" s="102"/>
      <c r="F50" s="104"/>
      <c r="G50" s="105"/>
      <c r="H50" s="105"/>
      <c r="I50" s="105"/>
      <c r="J50" s="105"/>
      <c r="K50" s="102"/>
      <c r="L50" s="102"/>
      <c r="M50" s="102"/>
      <c r="N50" s="102"/>
      <c r="O50" s="102"/>
      <c r="P50" s="102"/>
      <c r="Q50" s="102"/>
      <c r="R50" s="102"/>
      <c r="S50" s="105"/>
      <c r="T50" s="102"/>
      <c r="U50" s="102"/>
      <c r="V50" s="106"/>
      <c r="W50" s="102"/>
      <c r="X50" s="102"/>
      <c r="Y50" s="102"/>
      <c r="Z50" s="102"/>
      <c r="AA50" s="102"/>
      <c r="AB50" s="102"/>
      <c r="AC50" s="102"/>
      <c r="AD50" s="102"/>
      <c r="AE50" s="102"/>
      <c r="AF50" s="102"/>
      <c r="AG50" s="102"/>
      <c r="AH50" s="102"/>
      <c r="AI50" s="102"/>
      <c r="AJ50" s="102"/>
      <c r="AK50" s="234" t="e">
        <f t="shared" si="32"/>
        <v>#N/A</v>
      </c>
      <c r="AL50" s="234" t="str">
        <f>$E$3&amp;"8"</f>
        <v>Dark Elf8</v>
      </c>
      <c r="AM50" s="102"/>
      <c r="AN50" s="102"/>
      <c r="AO50" s="102"/>
      <c r="AP50" s="102"/>
      <c r="AQ50" s="102"/>
      <c r="AR50" s="105"/>
      <c r="AS50" s="105"/>
      <c r="AT50" s="105"/>
      <c r="AU50" s="105"/>
      <c r="AV50" s="102"/>
      <c r="AW50" s="102"/>
      <c r="AX50" s="102"/>
      <c r="AY50" s="102"/>
    </row>
    <row r="51" spans="1:51" ht="13.5" customHeight="1">
      <c r="A51" s="102"/>
      <c r="B51" s="102"/>
      <c r="C51" s="105"/>
      <c r="D51" s="102"/>
      <c r="E51" s="102"/>
      <c r="F51" s="104"/>
      <c r="G51" s="105"/>
      <c r="H51" s="105"/>
      <c r="I51" s="105"/>
      <c r="J51" s="105"/>
      <c r="K51" s="102"/>
      <c r="L51" s="102"/>
      <c r="M51" s="102"/>
      <c r="N51" s="102"/>
      <c r="O51" s="102"/>
      <c r="P51" s="102"/>
      <c r="Q51" s="102"/>
      <c r="R51" s="102"/>
      <c r="S51" s="105"/>
      <c r="T51" s="102"/>
      <c r="U51" s="102"/>
      <c r="V51" s="106"/>
      <c r="W51" s="102"/>
      <c r="X51" s="102"/>
      <c r="Y51" s="102"/>
      <c r="Z51" s="102"/>
      <c r="AA51" s="102"/>
      <c r="AB51" s="102"/>
      <c r="AC51" s="102"/>
      <c r="AD51" s="102"/>
      <c r="AE51" s="102"/>
      <c r="AF51" s="102"/>
      <c r="AG51" s="102"/>
      <c r="AH51" s="102"/>
      <c r="AI51" s="102"/>
      <c r="AJ51" s="102"/>
      <c r="AK51" s="234" t="e">
        <f t="shared" si="32"/>
        <v>#N/A</v>
      </c>
      <c r="AL51" s="234" t="str">
        <f>$E$3&amp;"7"</f>
        <v>Dark Elf7</v>
      </c>
      <c r="AM51" s="102"/>
      <c r="AN51" s="102"/>
      <c r="AO51" s="102"/>
      <c r="AP51" s="102"/>
      <c r="AQ51" s="102"/>
      <c r="AR51" s="105"/>
      <c r="AS51" s="105"/>
      <c r="AT51" s="105"/>
      <c r="AU51" s="105"/>
      <c r="AV51" s="102"/>
      <c r="AW51" s="102"/>
      <c r="AX51" s="102"/>
      <c r="AY51" s="102"/>
    </row>
    <row r="52" spans="1:51" ht="13.5" customHeight="1">
      <c r="A52" s="102"/>
      <c r="B52" s="102"/>
      <c r="C52" s="105"/>
      <c r="D52" s="102"/>
      <c r="E52" s="102"/>
      <c r="F52" s="104"/>
      <c r="G52" s="105"/>
      <c r="H52" s="105"/>
      <c r="I52" s="105"/>
      <c r="J52" s="105"/>
      <c r="K52" s="102"/>
      <c r="L52" s="102"/>
      <c r="M52" s="102"/>
      <c r="N52" s="102"/>
      <c r="O52" s="102"/>
      <c r="P52" s="102"/>
      <c r="Q52" s="102"/>
      <c r="R52" s="102"/>
      <c r="S52" s="105"/>
      <c r="T52" s="102"/>
      <c r="U52" s="102"/>
      <c r="V52" s="106"/>
      <c r="W52" s="102"/>
      <c r="X52" s="102"/>
      <c r="Y52" s="102"/>
      <c r="Z52" s="102"/>
      <c r="AA52" s="102"/>
      <c r="AB52" s="102"/>
      <c r="AC52" s="102"/>
      <c r="AD52" s="102"/>
      <c r="AE52" s="102"/>
      <c r="AF52" s="102"/>
      <c r="AG52" s="102"/>
      <c r="AH52" s="102"/>
      <c r="AI52" s="102"/>
      <c r="AJ52" s="102"/>
      <c r="AK52" s="234" t="str">
        <f t="shared" si="32"/>
        <v>Ithaca Benoin</v>
      </c>
      <c r="AL52" s="234" t="str">
        <f>$E$3&amp;"6"</f>
        <v>Dark Elf6</v>
      </c>
      <c r="AM52" s="102"/>
      <c r="AN52" s="102"/>
      <c r="AO52" s="102"/>
      <c r="AP52" s="102"/>
      <c r="AQ52" s="102"/>
      <c r="AR52" s="105"/>
      <c r="AS52" s="105"/>
      <c r="AT52" s="105"/>
      <c r="AU52" s="105"/>
      <c r="AV52" s="102"/>
      <c r="AW52" s="102"/>
      <c r="AX52" s="102"/>
      <c r="AY52" s="102"/>
    </row>
    <row r="53" spans="1:51" ht="13.5" customHeight="1">
      <c r="A53" s="102"/>
      <c r="B53" s="102"/>
      <c r="C53" s="105"/>
      <c r="D53" s="102"/>
      <c r="E53" s="102"/>
      <c r="F53" s="104"/>
      <c r="G53" s="105"/>
      <c r="H53" s="105"/>
      <c r="I53" s="105"/>
      <c r="J53" s="105"/>
      <c r="K53" s="102"/>
      <c r="L53" s="102"/>
      <c r="M53" s="102"/>
      <c r="N53" s="102"/>
      <c r="O53" s="102"/>
      <c r="P53" s="102"/>
      <c r="Q53" s="102"/>
      <c r="R53" s="102"/>
      <c r="S53" s="105"/>
      <c r="T53" s="102"/>
      <c r="U53" s="102"/>
      <c r="V53" s="106"/>
      <c r="W53" s="102"/>
      <c r="X53" s="102"/>
      <c r="Y53" s="102"/>
      <c r="Z53" s="102"/>
      <c r="AA53" s="102"/>
      <c r="AB53" s="102"/>
      <c r="AC53" s="102"/>
      <c r="AD53" s="102"/>
      <c r="AE53" s="102"/>
      <c r="AF53" s="102"/>
      <c r="AG53" s="102"/>
      <c r="AH53" s="102"/>
      <c r="AI53" s="102"/>
      <c r="AJ53" s="102"/>
      <c r="AK53" s="234" t="str">
        <f t="shared" si="32"/>
        <v>Roxanna Darknail</v>
      </c>
      <c r="AL53" s="234" t="str">
        <f>$E$3&amp;"5"</f>
        <v>Dark Elf5</v>
      </c>
      <c r="AM53" s="102"/>
      <c r="AN53" s="102"/>
      <c r="AO53" s="102"/>
      <c r="AP53" s="102"/>
      <c r="AQ53" s="102"/>
      <c r="AR53" s="105"/>
      <c r="AS53" s="105"/>
      <c r="AT53" s="105"/>
      <c r="AU53" s="105"/>
      <c r="AV53" s="102"/>
      <c r="AW53" s="102"/>
      <c r="AX53" s="102"/>
      <c r="AY53" s="102"/>
    </row>
    <row r="54" spans="1:51" ht="13.5" customHeight="1">
      <c r="A54" s="102"/>
      <c r="B54" s="102"/>
      <c r="C54" s="105"/>
      <c r="D54" s="102"/>
      <c r="E54" s="102"/>
      <c r="F54" s="104"/>
      <c r="G54" s="105"/>
      <c r="H54" s="105"/>
      <c r="I54" s="105"/>
      <c r="J54" s="105"/>
      <c r="K54" s="102"/>
      <c r="L54" s="102"/>
      <c r="M54" s="102"/>
      <c r="N54" s="102"/>
      <c r="O54" s="102"/>
      <c r="P54" s="102"/>
      <c r="Q54" s="102"/>
      <c r="R54" s="102"/>
      <c r="S54" s="105"/>
      <c r="T54" s="102"/>
      <c r="U54" s="102"/>
      <c r="V54" s="106"/>
      <c r="W54" s="102"/>
      <c r="X54" s="102"/>
      <c r="Y54" s="102"/>
      <c r="Z54" s="102"/>
      <c r="AA54" s="102"/>
      <c r="AB54" s="102"/>
      <c r="AC54" s="102"/>
      <c r="AD54" s="102"/>
      <c r="AE54" s="102"/>
      <c r="AF54" s="102"/>
      <c r="AG54" s="102"/>
      <c r="AH54" s="102"/>
      <c r="AI54" s="102"/>
      <c r="AJ54" s="102"/>
      <c r="AK54" s="234" t="str">
        <f t="shared" si="32"/>
        <v>Eldril Sidewinder</v>
      </c>
      <c r="AL54" s="234" t="str">
        <f>$E$3&amp;"4"</f>
        <v>Dark Elf4</v>
      </c>
      <c r="AM54" s="102"/>
      <c r="AN54" s="102"/>
      <c r="AO54" s="102"/>
      <c r="AP54" s="102"/>
      <c r="AQ54" s="102"/>
      <c r="AR54" s="105"/>
      <c r="AS54" s="105"/>
      <c r="AT54" s="105"/>
      <c r="AU54" s="105"/>
      <c r="AV54" s="102"/>
      <c r="AW54" s="102"/>
      <c r="AX54" s="102"/>
      <c r="AY54" s="102"/>
    </row>
    <row r="55" spans="1:51" ht="13.5" customHeight="1">
      <c r="A55" s="102"/>
      <c r="B55" s="102"/>
      <c r="C55" s="105"/>
      <c r="D55" s="102"/>
      <c r="E55" s="102"/>
      <c r="F55" s="104"/>
      <c r="G55" s="105"/>
      <c r="H55" s="105"/>
      <c r="I55" s="105"/>
      <c r="J55" s="105"/>
      <c r="K55" s="102"/>
      <c r="L55" s="102"/>
      <c r="M55" s="102"/>
      <c r="N55" s="102"/>
      <c r="O55" s="102"/>
      <c r="P55" s="102"/>
      <c r="Q55" s="102"/>
      <c r="R55" s="102"/>
      <c r="S55" s="105"/>
      <c r="T55" s="102"/>
      <c r="U55" s="102"/>
      <c r="V55" s="106"/>
      <c r="W55" s="102"/>
      <c r="X55" s="102"/>
      <c r="Y55" s="102"/>
      <c r="Z55" s="102"/>
      <c r="AA55" s="102"/>
      <c r="AB55" s="102"/>
      <c r="AC55" s="102"/>
      <c r="AD55" s="102"/>
      <c r="AE55" s="102"/>
      <c r="AF55" s="102"/>
      <c r="AG55" s="102"/>
      <c r="AH55" s="102"/>
      <c r="AI55" s="102"/>
      <c r="AJ55" s="102"/>
      <c r="AK55" s="234" t="str">
        <f t="shared" si="32"/>
        <v>Hubris Rakarth</v>
      </c>
      <c r="AL55" s="234" t="str">
        <f>$E$3&amp;"3"</f>
        <v>Dark Elf3</v>
      </c>
      <c r="AM55" s="102"/>
      <c r="AN55" s="102"/>
      <c r="AO55" s="102"/>
      <c r="AP55" s="102"/>
      <c r="AQ55" s="102"/>
      <c r="AR55" s="105"/>
      <c r="AS55" s="105"/>
      <c r="AT55" s="105"/>
      <c r="AU55" s="105"/>
      <c r="AV55" s="102"/>
      <c r="AW55" s="102"/>
      <c r="AX55" s="102"/>
      <c r="AY55" s="102"/>
    </row>
    <row r="56" spans="1:51" ht="13.5" customHeight="1">
      <c r="A56" s="102"/>
      <c r="B56" s="102"/>
      <c r="C56" s="105"/>
      <c r="D56" s="102"/>
      <c r="E56" s="102"/>
      <c r="F56" s="104"/>
      <c r="G56" s="105"/>
      <c r="H56" s="105"/>
      <c r="I56" s="105"/>
      <c r="J56" s="105"/>
      <c r="K56" s="102"/>
      <c r="L56" s="102"/>
      <c r="M56" s="102"/>
      <c r="N56" s="102"/>
      <c r="O56" s="102"/>
      <c r="P56" s="102"/>
      <c r="Q56" s="102"/>
      <c r="R56" s="102"/>
      <c r="S56" s="105"/>
      <c r="T56" s="102"/>
      <c r="U56" s="102"/>
      <c r="V56" s="106"/>
      <c r="W56" s="102"/>
      <c r="X56" s="102"/>
      <c r="Y56" s="102"/>
      <c r="Z56" s="102"/>
      <c r="AA56" s="102"/>
      <c r="AB56" s="102"/>
      <c r="AC56" s="102"/>
      <c r="AD56" s="102"/>
      <c r="AE56" s="102"/>
      <c r="AF56" s="102"/>
      <c r="AG56" s="102"/>
      <c r="AH56" s="102"/>
      <c r="AI56" s="102"/>
      <c r="AJ56" s="102"/>
      <c r="AK56" s="234" t="str">
        <f t="shared" si="32"/>
        <v>Horkon Heartripper</v>
      </c>
      <c r="AL56" s="234" t="str">
        <f>$E$3&amp;"2"</f>
        <v>Dark Elf2</v>
      </c>
      <c r="AM56" s="102"/>
      <c r="AN56" s="102"/>
      <c r="AO56" s="102"/>
      <c r="AP56" s="102"/>
      <c r="AQ56" s="102"/>
      <c r="AR56" s="105"/>
      <c r="AS56" s="105"/>
      <c r="AT56" s="105"/>
      <c r="AU56" s="105"/>
      <c r="AV56" s="102"/>
      <c r="AW56" s="102"/>
      <c r="AX56" s="102"/>
      <c r="AY56" s="102"/>
    </row>
    <row r="57" spans="1:51" ht="13.5" customHeight="1">
      <c r="A57" s="102"/>
      <c r="B57" s="102"/>
      <c r="C57" s="105"/>
      <c r="D57" s="102"/>
      <c r="E57" s="102"/>
      <c r="F57" s="104"/>
      <c r="G57" s="105"/>
      <c r="H57" s="105"/>
      <c r="I57" s="105"/>
      <c r="J57" s="105"/>
      <c r="K57" s="102"/>
      <c r="L57" s="102"/>
      <c r="M57" s="102"/>
      <c r="N57" s="102"/>
      <c r="O57" s="102"/>
      <c r="P57" s="102"/>
      <c r="Q57" s="102"/>
      <c r="R57" s="102"/>
      <c r="S57" s="105"/>
      <c r="T57" s="102"/>
      <c r="U57" s="102"/>
      <c r="V57" s="106"/>
      <c r="W57" s="102"/>
      <c r="X57" s="102"/>
      <c r="Y57" s="102"/>
      <c r="Z57" s="102"/>
      <c r="AA57" s="102"/>
      <c r="AB57" s="102"/>
      <c r="AC57" s="102"/>
      <c r="AD57" s="102"/>
      <c r="AE57" s="102"/>
      <c r="AF57" s="102"/>
      <c r="AG57" s="102"/>
      <c r="AH57" s="102"/>
      <c r="AI57" s="102"/>
      <c r="AJ57" s="106" t="s">
        <v>224</v>
      </c>
      <c r="AK57" s="234" t="str">
        <f t="shared" si="32"/>
        <v>Morg 'n' Thorg</v>
      </c>
      <c r="AL57" s="234" t="str">
        <f t="shared" ref="AL57:AL58" si="33">$E$3&amp;"1"</f>
        <v>Dark Elf1</v>
      </c>
      <c r="AM57" s="102"/>
      <c r="AN57" s="102"/>
      <c r="AO57" s="102"/>
      <c r="AP57" s="102"/>
      <c r="AQ57" s="102"/>
      <c r="AR57" s="105"/>
      <c r="AS57" s="105"/>
      <c r="AT57" s="105"/>
      <c r="AU57" s="105"/>
      <c r="AV57" s="102"/>
      <c r="AW57" s="102"/>
      <c r="AX57" s="102"/>
      <c r="AY57" s="102"/>
    </row>
    <row r="58" spans="1:51" ht="13.5" customHeight="1">
      <c r="A58" s="102"/>
      <c r="B58" s="102"/>
      <c r="C58" s="105"/>
      <c r="D58" s="102"/>
      <c r="E58" s="102"/>
      <c r="F58" s="104"/>
      <c r="G58" s="105"/>
      <c r="H58" s="105"/>
      <c r="I58" s="105"/>
      <c r="J58" s="105"/>
      <c r="K58" s="102"/>
      <c r="L58" s="102"/>
      <c r="M58" s="102"/>
      <c r="N58" s="102"/>
      <c r="O58" s="102"/>
      <c r="P58" s="102"/>
      <c r="Q58" s="102"/>
      <c r="R58" s="102"/>
      <c r="S58" s="105"/>
      <c r="T58" s="102"/>
      <c r="U58" s="102"/>
      <c r="V58" s="106"/>
      <c r="W58" s="102"/>
      <c r="X58" s="102"/>
      <c r="Y58" s="102"/>
      <c r="Z58" s="102"/>
      <c r="AA58" s="102"/>
      <c r="AB58" s="102"/>
      <c r="AC58" s="102"/>
      <c r="AD58" s="102"/>
      <c r="AE58" s="102"/>
      <c r="AF58" s="102"/>
      <c r="AG58" s="102"/>
      <c r="AH58" s="102"/>
      <c r="AI58" s="102"/>
      <c r="AJ58" s="234" t="str">
        <f t="shared" ref="AJ58:AJ67" si="34">VLOOKUP(AL58,DBPlayers,3,0)</f>
        <v>Lineelf</v>
      </c>
      <c r="AK58" s="234" t="str">
        <f t="shared" ref="AK58:AK67" si="35">AJ58&amp;" "&amp;T_Merc</f>
        <v>Lineelf Mercenary</v>
      </c>
      <c r="AL58" s="234" t="str">
        <f t="shared" si="33"/>
        <v>Dark Elf1</v>
      </c>
      <c r="AM58" s="102"/>
      <c r="AN58" s="235"/>
      <c r="AO58" s="102"/>
      <c r="AP58" s="102"/>
      <c r="AQ58" s="102"/>
      <c r="AR58" s="105"/>
      <c r="AS58" s="105"/>
      <c r="AT58" s="105"/>
      <c r="AU58" s="105"/>
      <c r="AV58" s="102"/>
      <c r="AW58" s="102"/>
      <c r="AX58" s="102"/>
      <c r="AY58" s="102"/>
    </row>
    <row r="59" spans="1:51" ht="13.5" customHeight="1">
      <c r="A59" s="102"/>
      <c r="B59" s="102"/>
      <c r="C59" s="105"/>
      <c r="D59" s="102"/>
      <c r="E59" s="102"/>
      <c r="F59" s="104"/>
      <c r="G59" s="105"/>
      <c r="H59" s="105"/>
      <c r="I59" s="105"/>
      <c r="J59" s="105"/>
      <c r="K59" s="102"/>
      <c r="L59" s="102"/>
      <c r="M59" s="102"/>
      <c r="N59" s="102"/>
      <c r="O59" s="102"/>
      <c r="P59" s="102"/>
      <c r="Q59" s="102"/>
      <c r="R59" s="102"/>
      <c r="S59" s="105"/>
      <c r="T59" s="102"/>
      <c r="U59" s="102"/>
      <c r="V59" s="106"/>
      <c r="W59" s="102"/>
      <c r="X59" s="102"/>
      <c r="Y59" s="102"/>
      <c r="Z59" s="102"/>
      <c r="AA59" s="102"/>
      <c r="AB59" s="102"/>
      <c r="AC59" s="102"/>
      <c r="AD59" s="102"/>
      <c r="AE59" s="102"/>
      <c r="AF59" s="102"/>
      <c r="AG59" s="102"/>
      <c r="AH59" s="102"/>
      <c r="AI59" s="102"/>
      <c r="AJ59" s="234" t="str">
        <f t="shared" si="34"/>
        <v>Runner</v>
      </c>
      <c r="AK59" s="234" t="str">
        <f t="shared" si="35"/>
        <v>Runner Mercenary</v>
      </c>
      <c r="AL59" s="234" t="str">
        <f>$E$3&amp;"2"</f>
        <v>Dark Elf2</v>
      </c>
      <c r="AM59" s="102"/>
      <c r="AN59" s="102"/>
      <c r="AO59" s="102"/>
      <c r="AP59" s="102"/>
      <c r="AQ59" s="102"/>
      <c r="AR59" s="105"/>
      <c r="AS59" s="105"/>
      <c r="AT59" s="105"/>
      <c r="AU59" s="105"/>
      <c r="AV59" s="102"/>
      <c r="AW59" s="102"/>
      <c r="AX59" s="102"/>
      <c r="AY59" s="102"/>
    </row>
    <row r="60" spans="1:51" ht="12.75" customHeight="1">
      <c r="A60" s="102"/>
      <c r="B60" s="102"/>
      <c r="C60" s="105"/>
      <c r="D60" s="102"/>
      <c r="E60" s="102"/>
      <c r="F60" s="104"/>
      <c r="G60" s="105"/>
      <c r="H60" s="105"/>
      <c r="I60" s="105"/>
      <c r="J60" s="105"/>
      <c r="K60" s="102"/>
      <c r="L60" s="102"/>
      <c r="M60" s="102"/>
      <c r="N60" s="102"/>
      <c r="O60" s="102"/>
      <c r="P60" s="102"/>
      <c r="Q60" s="102"/>
      <c r="R60" s="102"/>
      <c r="S60" s="105"/>
      <c r="T60" s="102"/>
      <c r="U60" s="102"/>
      <c r="V60" s="106"/>
      <c r="W60" s="102"/>
      <c r="X60" s="102"/>
      <c r="Y60" s="102"/>
      <c r="Z60" s="102"/>
      <c r="AA60" s="102"/>
      <c r="AB60" s="102"/>
      <c r="AC60" s="102"/>
      <c r="AD60" s="102"/>
      <c r="AE60" s="102"/>
      <c r="AF60" s="102"/>
      <c r="AG60" s="102"/>
      <c r="AH60" s="102"/>
      <c r="AI60" s="102"/>
      <c r="AJ60" s="234" t="str">
        <f t="shared" si="34"/>
        <v>Assassin</v>
      </c>
      <c r="AK60" s="234" t="str">
        <f t="shared" si="35"/>
        <v>Assassin Mercenary</v>
      </c>
      <c r="AL60" s="234" t="str">
        <f>$E$3&amp;"3"</f>
        <v>Dark Elf3</v>
      </c>
      <c r="AM60" s="102"/>
      <c r="AN60" s="102"/>
      <c r="AO60" s="102"/>
      <c r="AP60" s="102"/>
      <c r="AQ60" s="102"/>
      <c r="AR60" s="105"/>
      <c r="AS60" s="105"/>
      <c r="AT60" s="105"/>
      <c r="AU60" s="105"/>
      <c r="AV60" s="102"/>
      <c r="AW60" s="102"/>
      <c r="AX60" s="102"/>
      <c r="AY60" s="102"/>
    </row>
    <row r="61" spans="1:51" ht="12.75" customHeight="1">
      <c r="A61" s="102"/>
      <c r="B61" s="102"/>
      <c r="C61" s="105"/>
      <c r="D61" s="102"/>
      <c r="E61" s="102"/>
      <c r="F61" s="104"/>
      <c r="G61" s="105"/>
      <c r="H61" s="105"/>
      <c r="I61" s="105"/>
      <c r="J61" s="105"/>
      <c r="K61" s="102"/>
      <c r="L61" s="102"/>
      <c r="M61" s="102"/>
      <c r="N61" s="102"/>
      <c r="O61" s="102"/>
      <c r="P61" s="102"/>
      <c r="Q61" s="102"/>
      <c r="R61" s="102"/>
      <c r="S61" s="105"/>
      <c r="T61" s="102"/>
      <c r="U61" s="102"/>
      <c r="V61" s="106"/>
      <c r="W61" s="102"/>
      <c r="X61" s="102"/>
      <c r="Y61" s="102"/>
      <c r="Z61" s="102"/>
      <c r="AA61" s="102"/>
      <c r="AB61" s="102"/>
      <c r="AC61" s="102"/>
      <c r="AD61" s="102"/>
      <c r="AE61" s="102"/>
      <c r="AF61" s="102"/>
      <c r="AG61" s="102"/>
      <c r="AH61" s="102"/>
      <c r="AI61" s="102"/>
      <c r="AJ61" s="234" t="str">
        <f t="shared" si="34"/>
        <v>Blitzer</v>
      </c>
      <c r="AK61" s="234" t="str">
        <f t="shared" si="35"/>
        <v>Blitzer Mercenary</v>
      </c>
      <c r="AL61" s="234" t="str">
        <f>$E$3&amp;"4"</f>
        <v>Dark Elf4</v>
      </c>
      <c r="AM61" s="102"/>
      <c r="AN61" s="102"/>
      <c r="AO61" s="102"/>
      <c r="AP61" s="102"/>
      <c r="AQ61" s="102"/>
      <c r="AR61" s="105"/>
      <c r="AS61" s="105"/>
      <c r="AT61" s="105"/>
      <c r="AU61" s="105"/>
      <c r="AV61" s="102"/>
      <c r="AW61" s="102"/>
      <c r="AX61" s="102"/>
      <c r="AY61" s="102"/>
    </row>
    <row r="62" spans="1:51" ht="12.75" customHeight="1">
      <c r="A62" s="102"/>
      <c r="B62" s="102"/>
      <c r="C62" s="105"/>
      <c r="D62" s="102"/>
      <c r="E62" s="102"/>
      <c r="F62" s="104"/>
      <c r="G62" s="105"/>
      <c r="H62" s="105"/>
      <c r="I62" s="105"/>
      <c r="J62" s="105"/>
      <c r="K62" s="102"/>
      <c r="L62" s="102"/>
      <c r="M62" s="102"/>
      <c r="N62" s="102"/>
      <c r="O62" s="102"/>
      <c r="P62" s="102"/>
      <c r="Q62" s="102"/>
      <c r="R62" s="102"/>
      <c r="S62" s="105"/>
      <c r="T62" s="102"/>
      <c r="U62" s="102"/>
      <c r="V62" s="106"/>
      <c r="W62" s="102"/>
      <c r="X62" s="102"/>
      <c r="Y62" s="102"/>
      <c r="Z62" s="102"/>
      <c r="AA62" s="102"/>
      <c r="AB62" s="102"/>
      <c r="AC62" s="102"/>
      <c r="AD62" s="102"/>
      <c r="AE62" s="102"/>
      <c r="AF62" s="102"/>
      <c r="AG62" s="102"/>
      <c r="AH62" s="102"/>
      <c r="AI62" s="102"/>
      <c r="AJ62" s="234" t="str">
        <f t="shared" si="34"/>
        <v>Witch Elf</v>
      </c>
      <c r="AK62" s="234" t="str">
        <f t="shared" si="35"/>
        <v>Witch Elf Mercenary</v>
      </c>
      <c r="AL62" s="234" t="str">
        <f>$E$3&amp;"5"</f>
        <v>Dark Elf5</v>
      </c>
      <c r="AM62" s="102"/>
      <c r="AN62" s="102"/>
      <c r="AO62" s="102"/>
      <c r="AP62" s="102"/>
      <c r="AQ62" s="102"/>
      <c r="AR62" s="105"/>
      <c r="AS62" s="105"/>
      <c r="AT62" s="105"/>
      <c r="AU62" s="105"/>
      <c r="AV62" s="102"/>
      <c r="AW62" s="102"/>
      <c r="AX62" s="102"/>
      <c r="AY62" s="102"/>
    </row>
    <row r="63" spans="1:51" ht="12.75" customHeight="1">
      <c r="A63" s="102"/>
      <c r="B63" s="102"/>
      <c r="C63" s="105"/>
      <c r="D63" s="102"/>
      <c r="E63" s="102"/>
      <c r="F63" s="104"/>
      <c r="G63" s="105"/>
      <c r="H63" s="105"/>
      <c r="I63" s="105"/>
      <c r="J63" s="105"/>
      <c r="K63" s="102"/>
      <c r="L63" s="102"/>
      <c r="M63" s="102"/>
      <c r="N63" s="102"/>
      <c r="O63" s="102"/>
      <c r="P63" s="102"/>
      <c r="Q63" s="102"/>
      <c r="R63" s="102"/>
      <c r="S63" s="105"/>
      <c r="T63" s="102"/>
      <c r="U63" s="102"/>
      <c r="V63" s="106"/>
      <c r="W63" s="102"/>
      <c r="X63" s="102"/>
      <c r="Y63" s="102"/>
      <c r="Z63" s="102"/>
      <c r="AA63" s="102"/>
      <c r="AB63" s="102"/>
      <c r="AC63" s="102"/>
      <c r="AD63" s="102"/>
      <c r="AE63" s="102"/>
      <c r="AF63" s="102"/>
      <c r="AG63" s="102"/>
      <c r="AH63" s="102"/>
      <c r="AI63" s="102"/>
      <c r="AJ63" s="234" t="e">
        <f t="shared" si="34"/>
        <v>#N/A</v>
      </c>
      <c r="AK63" s="234" t="e">
        <f t="shared" si="35"/>
        <v>#N/A</v>
      </c>
      <c r="AL63" s="234" t="str">
        <f>$E$3&amp;"6"</f>
        <v>Dark Elf6</v>
      </c>
      <c r="AM63" s="102"/>
      <c r="AN63" s="102"/>
      <c r="AO63" s="102"/>
      <c r="AP63" s="102"/>
      <c r="AQ63" s="102"/>
      <c r="AR63" s="105"/>
      <c r="AS63" s="105"/>
      <c r="AT63" s="105"/>
      <c r="AU63" s="105"/>
      <c r="AV63" s="102"/>
      <c r="AW63" s="102"/>
      <c r="AX63" s="102"/>
      <c r="AY63" s="102"/>
    </row>
    <row r="64" spans="1:51" ht="12.75" customHeight="1">
      <c r="A64" s="102"/>
      <c r="B64" s="102"/>
      <c r="C64" s="105"/>
      <c r="D64" s="102"/>
      <c r="E64" s="102"/>
      <c r="F64" s="104"/>
      <c r="G64" s="105"/>
      <c r="H64" s="105"/>
      <c r="I64" s="105"/>
      <c r="J64" s="105"/>
      <c r="K64" s="102"/>
      <c r="L64" s="102"/>
      <c r="M64" s="102"/>
      <c r="N64" s="102"/>
      <c r="O64" s="102"/>
      <c r="P64" s="102"/>
      <c r="Q64" s="102"/>
      <c r="R64" s="102"/>
      <c r="S64" s="105"/>
      <c r="T64" s="102"/>
      <c r="U64" s="102"/>
      <c r="V64" s="106"/>
      <c r="W64" s="102"/>
      <c r="X64" s="102"/>
      <c r="Y64" s="102"/>
      <c r="Z64" s="102"/>
      <c r="AA64" s="102"/>
      <c r="AB64" s="102"/>
      <c r="AC64" s="102"/>
      <c r="AD64" s="102"/>
      <c r="AE64" s="102"/>
      <c r="AF64" s="102"/>
      <c r="AG64" s="102"/>
      <c r="AH64" s="102"/>
      <c r="AI64" s="102"/>
      <c r="AJ64" s="234" t="e">
        <f t="shared" si="34"/>
        <v>#N/A</v>
      </c>
      <c r="AK64" s="234" t="e">
        <f t="shared" si="35"/>
        <v>#N/A</v>
      </c>
      <c r="AL64" s="234" t="str">
        <f>$E$3&amp;"7"</f>
        <v>Dark Elf7</v>
      </c>
      <c r="AM64" s="102"/>
      <c r="AN64" s="102"/>
      <c r="AO64" s="102"/>
      <c r="AP64" s="102"/>
      <c r="AQ64" s="102"/>
      <c r="AR64" s="105"/>
      <c r="AS64" s="105"/>
      <c r="AT64" s="105"/>
      <c r="AU64" s="105"/>
      <c r="AV64" s="102"/>
      <c r="AW64" s="102"/>
      <c r="AX64" s="102"/>
      <c r="AY64" s="102"/>
    </row>
    <row r="65" spans="1:51" ht="12.75" customHeight="1">
      <c r="A65" s="102"/>
      <c r="B65" s="102"/>
      <c r="C65" s="105"/>
      <c r="D65" s="102"/>
      <c r="E65" s="102"/>
      <c r="F65" s="104"/>
      <c r="G65" s="105"/>
      <c r="H65" s="105"/>
      <c r="I65" s="105"/>
      <c r="J65" s="105"/>
      <c r="K65" s="102"/>
      <c r="L65" s="102"/>
      <c r="M65" s="102"/>
      <c r="N65" s="102"/>
      <c r="O65" s="102"/>
      <c r="P65" s="102"/>
      <c r="Q65" s="102"/>
      <c r="R65" s="102"/>
      <c r="S65" s="105"/>
      <c r="T65" s="102"/>
      <c r="U65" s="102"/>
      <c r="V65" s="106"/>
      <c r="W65" s="102"/>
      <c r="X65" s="102"/>
      <c r="Y65" s="102"/>
      <c r="Z65" s="102"/>
      <c r="AA65" s="102"/>
      <c r="AB65" s="102"/>
      <c r="AC65" s="102"/>
      <c r="AD65" s="102"/>
      <c r="AE65" s="102"/>
      <c r="AF65" s="102"/>
      <c r="AG65" s="102"/>
      <c r="AH65" s="102"/>
      <c r="AI65" s="102"/>
      <c r="AJ65" s="234" t="e">
        <f t="shared" si="34"/>
        <v>#N/A</v>
      </c>
      <c r="AK65" s="234" t="e">
        <f t="shared" si="35"/>
        <v>#N/A</v>
      </c>
      <c r="AL65" s="234" t="str">
        <f>$E$3&amp;"8"</f>
        <v>Dark Elf8</v>
      </c>
      <c r="AM65" s="102"/>
      <c r="AN65" s="102"/>
      <c r="AO65" s="102"/>
      <c r="AP65" s="102"/>
      <c r="AQ65" s="102"/>
      <c r="AR65" s="105"/>
      <c r="AS65" s="105"/>
      <c r="AT65" s="105"/>
      <c r="AU65" s="105"/>
      <c r="AV65" s="102"/>
      <c r="AW65" s="102"/>
      <c r="AX65" s="102"/>
      <c r="AY65" s="102"/>
    </row>
    <row r="66" spans="1:51" ht="12.75" customHeight="1">
      <c r="A66" s="102"/>
      <c r="B66" s="102"/>
      <c r="C66" s="105"/>
      <c r="D66" s="102"/>
      <c r="E66" s="102"/>
      <c r="F66" s="104"/>
      <c r="G66" s="105"/>
      <c r="H66" s="105"/>
      <c r="I66" s="105"/>
      <c r="J66" s="105"/>
      <c r="K66" s="102"/>
      <c r="L66" s="102"/>
      <c r="M66" s="102"/>
      <c r="N66" s="102"/>
      <c r="O66" s="102"/>
      <c r="P66" s="102"/>
      <c r="Q66" s="102"/>
      <c r="R66" s="102"/>
      <c r="S66" s="105"/>
      <c r="T66" s="102"/>
      <c r="U66" s="102"/>
      <c r="V66" s="106"/>
      <c r="W66" s="102"/>
      <c r="X66" s="102"/>
      <c r="Y66" s="102"/>
      <c r="Z66" s="102"/>
      <c r="AA66" s="102"/>
      <c r="AB66" s="102"/>
      <c r="AC66" s="102"/>
      <c r="AD66" s="102"/>
      <c r="AE66" s="102"/>
      <c r="AF66" s="102"/>
      <c r="AG66" s="102"/>
      <c r="AH66" s="102"/>
      <c r="AI66" s="102"/>
      <c r="AJ66" s="234" t="e">
        <f t="shared" si="34"/>
        <v>#N/A</v>
      </c>
      <c r="AK66" s="234" t="e">
        <f t="shared" si="35"/>
        <v>#N/A</v>
      </c>
      <c r="AL66" s="234" t="str">
        <f>$E$3&amp;"9"</f>
        <v>Dark Elf9</v>
      </c>
      <c r="AM66" s="102"/>
      <c r="AN66" s="102"/>
      <c r="AO66" s="102"/>
      <c r="AP66" s="102"/>
      <c r="AQ66" s="102"/>
      <c r="AR66" s="105"/>
      <c r="AS66" s="105"/>
      <c r="AT66" s="105"/>
      <c r="AU66" s="105"/>
      <c r="AV66" s="102"/>
      <c r="AW66" s="102"/>
      <c r="AX66" s="102"/>
      <c r="AY66" s="102"/>
    </row>
    <row r="67" spans="1:51" ht="12.75" customHeight="1">
      <c r="A67" s="102"/>
      <c r="B67" s="102"/>
      <c r="C67" s="105"/>
      <c r="D67" s="102"/>
      <c r="E67" s="102"/>
      <c r="F67" s="104"/>
      <c r="G67" s="105"/>
      <c r="H67" s="105"/>
      <c r="I67" s="105"/>
      <c r="J67" s="105"/>
      <c r="K67" s="102"/>
      <c r="L67" s="102"/>
      <c r="M67" s="102"/>
      <c r="N67" s="102"/>
      <c r="O67" s="102"/>
      <c r="P67" s="102"/>
      <c r="Q67" s="102"/>
      <c r="R67" s="102"/>
      <c r="S67" s="105"/>
      <c r="T67" s="102"/>
      <c r="U67" s="102"/>
      <c r="V67" s="106"/>
      <c r="W67" s="102"/>
      <c r="X67" s="102"/>
      <c r="Y67" s="102"/>
      <c r="Z67" s="102"/>
      <c r="AA67" s="102"/>
      <c r="AB67" s="102"/>
      <c r="AC67" s="102"/>
      <c r="AD67" s="102"/>
      <c r="AE67" s="102"/>
      <c r="AF67" s="102"/>
      <c r="AG67" s="102"/>
      <c r="AH67" s="102"/>
      <c r="AI67" s="102"/>
      <c r="AJ67" s="234" t="e">
        <f t="shared" si="34"/>
        <v>#N/A</v>
      </c>
      <c r="AK67" s="234" t="e">
        <f t="shared" si="35"/>
        <v>#N/A</v>
      </c>
      <c r="AL67" s="234" t="str">
        <f>$E$3&amp;"10"</f>
        <v>Dark Elf10</v>
      </c>
      <c r="AM67" s="102"/>
      <c r="AN67" s="102"/>
      <c r="AO67" s="102"/>
      <c r="AP67" s="102"/>
      <c r="AQ67" s="102"/>
      <c r="AR67" s="105"/>
      <c r="AS67" s="105"/>
      <c r="AT67" s="105"/>
      <c r="AU67" s="105"/>
      <c r="AV67" s="102"/>
      <c r="AW67" s="102"/>
      <c r="AX67" s="102"/>
      <c r="AY67" s="102"/>
    </row>
    <row r="68" spans="1:51" ht="12.75" customHeight="1">
      <c r="A68" s="102"/>
      <c r="B68" s="102"/>
      <c r="C68" s="105"/>
      <c r="D68" s="102"/>
      <c r="E68" s="102"/>
      <c r="F68" s="104"/>
      <c r="G68" s="105"/>
      <c r="H68" s="105"/>
      <c r="I68" s="105"/>
      <c r="J68" s="105"/>
      <c r="K68" s="102"/>
      <c r="L68" s="102"/>
      <c r="M68" s="102"/>
      <c r="N68" s="102"/>
      <c r="O68" s="102"/>
      <c r="P68" s="102"/>
      <c r="Q68" s="102"/>
      <c r="R68" s="102"/>
      <c r="S68" s="105"/>
      <c r="T68" s="102"/>
      <c r="U68" s="102"/>
      <c r="V68" s="106"/>
      <c r="W68" s="102"/>
      <c r="X68" s="102"/>
      <c r="Y68" s="102"/>
      <c r="Z68" s="102"/>
      <c r="AA68" s="102"/>
      <c r="AB68" s="102"/>
      <c r="AC68" s="102"/>
      <c r="AD68" s="102"/>
      <c r="AE68" s="102"/>
      <c r="AF68" s="102"/>
      <c r="AG68" s="102"/>
      <c r="AH68" s="102"/>
      <c r="AI68" s="102"/>
      <c r="AJ68" s="102"/>
      <c r="AK68" s="102"/>
      <c r="AL68" s="102"/>
      <c r="AM68" s="102"/>
      <c r="AN68" s="102"/>
      <c r="AO68" s="102"/>
      <c r="AP68" s="102"/>
      <c r="AQ68" s="102"/>
      <c r="AR68" s="105"/>
      <c r="AS68" s="105"/>
      <c r="AT68" s="105"/>
      <c r="AU68" s="105"/>
      <c r="AV68" s="102"/>
      <c r="AW68" s="102"/>
      <c r="AX68" s="102"/>
      <c r="AY68" s="102"/>
    </row>
    <row r="69" spans="1:51" ht="12.75" customHeight="1">
      <c r="A69" s="102"/>
      <c r="B69" s="102"/>
      <c r="C69" s="105"/>
      <c r="D69" s="102"/>
      <c r="E69" s="102"/>
      <c r="F69" s="104"/>
      <c r="G69" s="105"/>
      <c r="H69" s="105"/>
      <c r="I69" s="105"/>
      <c r="J69" s="105"/>
      <c r="K69" s="102"/>
      <c r="L69" s="102"/>
      <c r="M69" s="102"/>
      <c r="N69" s="102"/>
      <c r="O69" s="102"/>
      <c r="P69" s="102"/>
      <c r="Q69" s="102"/>
      <c r="R69" s="102"/>
      <c r="S69" s="105"/>
      <c r="T69" s="102"/>
      <c r="U69" s="102"/>
      <c r="V69" s="106"/>
      <c r="W69" s="102"/>
      <c r="X69" s="102"/>
      <c r="Y69" s="102"/>
      <c r="Z69" s="102"/>
      <c r="AA69" s="102"/>
      <c r="AB69" s="102"/>
      <c r="AC69" s="102"/>
      <c r="AD69" s="102"/>
      <c r="AE69" s="102"/>
      <c r="AF69" s="102"/>
      <c r="AG69" s="102"/>
      <c r="AH69" s="102"/>
      <c r="AI69" s="102"/>
      <c r="AJ69" s="235" t="s">
        <v>225</v>
      </c>
      <c r="AK69" s="234">
        <f t="array" ref="AK69">SUM(IF(ISERROR($AK$58:$AK$67),0,1))</f>
        <v>5</v>
      </c>
      <c r="AL69" s="102"/>
      <c r="AM69" s="102"/>
      <c r="AN69" s="102"/>
      <c r="AO69" s="102"/>
      <c r="AP69" s="102"/>
      <c r="AQ69" s="102"/>
      <c r="AR69" s="105"/>
      <c r="AS69" s="105"/>
      <c r="AT69" s="105"/>
      <c r="AU69" s="105"/>
      <c r="AV69" s="102"/>
      <c r="AW69" s="102"/>
      <c r="AX69" s="102"/>
      <c r="AY69" s="102"/>
    </row>
    <row r="70" spans="1:51" ht="12.75" customHeight="1">
      <c r="A70" s="102"/>
      <c r="B70" s="102"/>
      <c r="C70" s="105"/>
      <c r="D70" s="102"/>
      <c r="E70" s="102"/>
      <c r="F70" s="104"/>
      <c r="G70" s="105"/>
      <c r="H70" s="105"/>
      <c r="I70" s="105"/>
      <c r="J70" s="105"/>
      <c r="K70" s="102"/>
      <c r="L70" s="102"/>
      <c r="M70" s="102"/>
      <c r="N70" s="102"/>
      <c r="O70" s="102"/>
      <c r="P70" s="102"/>
      <c r="Q70" s="102"/>
      <c r="R70" s="102"/>
      <c r="S70" s="105"/>
      <c r="T70" s="102"/>
      <c r="U70" s="102"/>
      <c r="V70" s="106"/>
      <c r="W70" s="102"/>
      <c r="X70" s="102"/>
      <c r="Y70" s="102"/>
      <c r="Z70" s="102"/>
      <c r="AA70" s="102"/>
      <c r="AB70" s="102"/>
      <c r="AC70" s="102"/>
      <c r="AD70" s="102"/>
      <c r="AE70" s="102"/>
      <c r="AF70" s="102"/>
      <c r="AG70" s="102"/>
      <c r="AH70" s="102"/>
      <c r="AI70" s="102"/>
      <c r="AJ70" s="235" t="s">
        <v>226</v>
      </c>
      <c r="AK70" s="234">
        <f t="array" ref="AK70">SUM(IF(ISERROR($AK$48:$AK$57),0,1))</f>
        <v>6</v>
      </c>
      <c r="AL70" s="102"/>
      <c r="AM70" s="102"/>
      <c r="AN70" s="102"/>
      <c r="AO70" s="102"/>
      <c r="AP70" s="102"/>
      <c r="AQ70" s="102"/>
      <c r="AR70" s="105"/>
      <c r="AS70" s="105"/>
      <c r="AT70" s="105"/>
      <c r="AU70" s="105"/>
      <c r="AV70" s="102"/>
      <c r="AW70" s="102"/>
      <c r="AX70" s="102"/>
      <c r="AY70" s="102"/>
    </row>
  </sheetData>
  <mergeCells count="58">
    <mergeCell ref="H39:I39"/>
    <mergeCell ref="H40:I40"/>
    <mergeCell ref="F42:I42"/>
    <mergeCell ref="D41:E41"/>
    <mergeCell ref="F41:I41"/>
    <mergeCell ref="D40:E40"/>
    <mergeCell ref="D39:E39"/>
    <mergeCell ref="D34:E34"/>
    <mergeCell ref="D35:E35"/>
    <mergeCell ref="H34:I34"/>
    <mergeCell ref="H35:I35"/>
    <mergeCell ref="D38:E38"/>
    <mergeCell ref="D37:E37"/>
    <mergeCell ref="H38:I38"/>
    <mergeCell ref="D36:E36"/>
    <mergeCell ref="H37:I37"/>
    <mergeCell ref="H36:I36"/>
    <mergeCell ref="N3:S3"/>
    <mergeCell ref="L3:M3"/>
    <mergeCell ref="E3:F3"/>
    <mergeCell ref="G3:I3"/>
    <mergeCell ref="J3:K3"/>
    <mergeCell ref="U3:W3"/>
    <mergeCell ref="AF3:AG3"/>
    <mergeCell ref="AR3:AU3"/>
    <mergeCell ref="V25:W25"/>
    <mergeCell ref="V24:W24"/>
    <mergeCell ref="V29:W29"/>
    <mergeCell ref="V30:W30"/>
    <mergeCell ref="V26:W26"/>
    <mergeCell ref="V27:W27"/>
    <mergeCell ref="V28:W28"/>
    <mergeCell ref="R42:S42"/>
    <mergeCell ref="R40:S40"/>
    <mergeCell ref="R41:S41"/>
    <mergeCell ref="K28:R28"/>
    <mergeCell ref="K29:R29"/>
    <mergeCell ref="K30:R30"/>
    <mergeCell ref="O35:Q35"/>
    <mergeCell ref="O36:Q36"/>
    <mergeCell ref="M39:P39"/>
    <mergeCell ref="L33:R33"/>
    <mergeCell ref="O37:Q37"/>
    <mergeCell ref="O34:Q34"/>
    <mergeCell ref="O38:Q38"/>
    <mergeCell ref="D33:I33"/>
    <mergeCell ref="K25:R25"/>
    <mergeCell ref="K24:R24"/>
    <mergeCell ref="K26:R26"/>
    <mergeCell ref="K27:R27"/>
    <mergeCell ref="L31:P31"/>
    <mergeCell ref="D29:E29"/>
    <mergeCell ref="D30:E30"/>
    <mergeCell ref="D24:E24"/>
    <mergeCell ref="D25:E25"/>
    <mergeCell ref="D26:E26"/>
    <mergeCell ref="D27:E27"/>
    <mergeCell ref="D28:E28"/>
  </mergeCells>
  <conditionalFormatting sqref="G6:J21">
    <cfRule type="cellIs" dxfId="6" priority="1" stopIfTrue="1" operator="greaterThan">
      <formula>AR6</formula>
    </cfRule>
  </conditionalFormatting>
  <conditionalFormatting sqref="G6:J21">
    <cfRule type="cellIs" dxfId="5" priority="2" stopIfTrue="1" operator="lessThan">
      <formula>AR6</formula>
    </cfRule>
  </conditionalFormatting>
  <dataValidations count="13">
    <dataValidation type="list" allowBlank="1" showErrorMessage="1" sqref="E3">
      <formula1>TeamList</formula1>
    </dataValidation>
    <dataValidation type="decimal" allowBlank="1" showInputMessage="1" showErrorMessage="1" prompt="Wrong Entry - Please enter only numbers between 0 and 2!" sqref="F34 F38">
      <formula1>0</formula1>
      <formula2>2</formula2>
    </dataValidation>
    <dataValidation type="list" allowBlank="1" showInputMessage="1" showErrorMessage="1" prompt="Wrong Entry - Please enter a value from the dropdown list!" sqref="E6:E21">
      <formula1>OFFSET($AJ$58:$AJ$67,0,0,$AK$69,1)</formula1>
    </dataValidation>
    <dataValidation type="list" allowBlank="1" showErrorMessage="1" sqref="D44">
      <formula1>#REF!</formula1>
    </dataValidation>
    <dataValidation type="list" allowBlank="1" showInputMessage="1" showErrorMessage="1" prompt="Wrong Entry - Please enter a value from the dropdown list!" sqref="L6:L21">
      <formula1>StatusDropdown</formula1>
    </dataValidation>
    <dataValidation type="list" allowBlank="1" showInputMessage="1" showErrorMessage="1" prompt="Wrong Entry - Please enter a value from the dropdown list!" sqref="D25:D30">
      <formula1>OFFSET($AK$48:$AK$67,(10-$AK$70),0,$AK$69+$AK$70,1)</formula1>
    </dataValidation>
    <dataValidation type="decimal" allowBlank="1" showInputMessage="1" showErrorMessage="1" prompt="Wrong Entry - Please enter only numbers between 0 and 3!" sqref="F35">
      <formula1>0</formula1>
      <formula2>3</formula2>
    </dataValidation>
    <dataValidation type="decimal" allowBlank="1" showInputMessage="1" showErrorMessage="1" prompt="Wrong Entry - Please enter only numbers!" sqref="M34:M37">
      <formula1>0</formula1>
      <formula2>99</formula2>
    </dataValidation>
    <dataValidation type="list" allowBlank="1" showErrorMessage="1" sqref="Y6:AD21 V25:V30 Y30">
      <formula1>OFFSET(DBSkills,0,0,ROWS(DBSkills),1)</formula1>
    </dataValidation>
    <dataValidation type="decimal" allowBlank="1" showInputMessage="1" showErrorMessage="1" prompt="Wrong Entry - Please enter only numbers!" sqref="M39 F41">
      <formula1>-10000000</formula1>
      <formula2>1000000</formula2>
    </dataValidation>
    <dataValidation type="decimal" allowBlank="1" showInputMessage="1" showErrorMessage="1" prompt="Wrong Entry - Please enter only numbers between 0 and 4!" sqref="F36">
      <formula1>0</formula1>
      <formula2>4</formula2>
    </dataValidation>
    <dataValidation type="decimal" allowBlank="1" showInputMessage="1" showErrorMessage="1" prompt="Wrong Entry - Please do only enter numbers!" sqref="M6:Q21">
      <formula1>0</formula1>
      <formula2>9999</formula2>
    </dataValidation>
    <dataValidation type="decimal" allowBlank="1" showInputMessage="1" showErrorMessage="1" prompt="Wrong Entry - Please enter only 0 or 1!" sqref="F37 M38 F39:F40">
      <formula1>0</formula1>
      <formula2>1</formula2>
    </dataValidation>
  </dataValidation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Y70"/>
  <sheetViews>
    <sheetView workbookViewId="0"/>
  </sheetViews>
  <sheetFormatPr defaultColWidth="14.42578125" defaultRowHeight="15" customHeight="1"/>
  <cols>
    <col min="1" max="1" width="0.7109375" customWidth="1"/>
    <col min="2" max="2" width="0.5703125" customWidth="1"/>
    <col min="3" max="3" width="3.7109375" customWidth="1"/>
    <col min="4" max="4" width="15.7109375" customWidth="1"/>
    <col min="5" max="5" width="12.140625" customWidth="1"/>
    <col min="6" max="6" width="5.85546875" customWidth="1"/>
    <col min="7" max="7" width="3.140625" customWidth="1"/>
    <col min="8" max="10" width="3.42578125" customWidth="1"/>
    <col min="11" max="11" width="55.42578125" customWidth="1"/>
    <col min="12" max="12" width="5.85546875" customWidth="1"/>
    <col min="13" max="18" width="3.42578125" customWidth="1"/>
    <col min="19" max="19" width="8" customWidth="1"/>
    <col min="20" max="20" width="0.5703125" customWidth="1"/>
    <col min="21" max="22" width="7.140625" customWidth="1"/>
    <col min="23" max="23" width="7.42578125" customWidth="1"/>
    <col min="24" max="24" width="0.5703125" customWidth="1"/>
    <col min="25" max="30" width="12.42578125" customWidth="1"/>
    <col min="31" max="31" width="13.28515625" customWidth="1"/>
    <col min="32" max="32" width="17.42578125" customWidth="1"/>
    <col min="33" max="33" width="6.42578125" customWidth="1"/>
    <col min="34" max="34" width="24.140625" customWidth="1"/>
    <col min="35" max="35" width="10.140625" hidden="1" customWidth="1"/>
    <col min="36" max="43" width="11.42578125" hidden="1" customWidth="1"/>
    <col min="44" max="47" width="3.5703125" hidden="1" customWidth="1"/>
    <col min="48" max="51" width="11.42578125" hidden="1" customWidth="1"/>
  </cols>
  <sheetData>
    <row r="1" spans="1:51" ht="3.75" customHeight="1">
      <c r="A1" s="102"/>
      <c r="B1" s="102"/>
      <c r="C1" s="103"/>
      <c r="D1" s="102"/>
      <c r="E1" s="102"/>
      <c r="F1" s="104"/>
      <c r="G1" s="105"/>
      <c r="H1" s="105"/>
      <c r="I1" s="105"/>
      <c r="J1" s="105"/>
      <c r="K1" s="102"/>
      <c r="L1" s="102"/>
      <c r="M1" s="102"/>
      <c r="N1" s="102"/>
      <c r="O1" s="102"/>
      <c r="P1" s="102"/>
      <c r="Q1" s="102"/>
      <c r="R1" s="102"/>
      <c r="S1" s="105"/>
      <c r="T1" s="102"/>
      <c r="U1" s="102"/>
      <c r="V1" s="106"/>
      <c r="W1" s="102"/>
      <c r="X1" s="102"/>
      <c r="Y1" s="102"/>
      <c r="Z1" s="102"/>
      <c r="AA1" s="102"/>
      <c r="AB1" s="102"/>
      <c r="AC1" s="102"/>
      <c r="AD1" s="102"/>
      <c r="AE1" s="102"/>
      <c r="AF1" s="102"/>
      <c r="AG1" s="102"/>
      <c r="AH1" s="102"/>
      <c r="AI1" s="102"/>
      <c r="AJ1" s="102"/>
      <c r="AK1" s="102"/>
      <c r="AL1" s="102"/>
      <c r="AM1" s="102"/>
      <c r="AN1" s="102"/>
      <c r="AO1" s="102"/>
      <c r="AP1" s="102"/>
      <c r="AQ1" s="102"/>
      <c r="AR1" s="105"/>
      <c r="AS1" s="105"/>
      <c r="AT1" s="105"/>
      <c r="AU1" s="105"/>
      <c r="AV1" s="102"/>
      <c r="AW1" s="102"/>
      <c r="AX1" s="102"/>
      <c r="AY1" s="102"/>
    </row>
    <row r="2" spans="1:51" ht="3" customHeight="1">
      <c r="A2" s="102"/>
      <c r="B2" s="107"/>
      <c r="C2" s="108"/>
      <c r="D2" s="109"/>
      <c r="E2" s="109"/>
      <c r="F2" s="110"/>
      <c r="G2" s="108"/>
      <c r="H2" s="108"/>
      <c r="I2" s="108"/>
      <c r="J2" s="108"/>
      <c r="K2" s="109"/>
      <c r="L2" s="109"/>
      <c r="M2" s="109"/>
      <c r="N2" s="109"/>
      <c r="O2" s="109"/>
      <c r="P2" s="109"/>
      <c r="Q2" s="109"/>
      <c r="R2" s="109"/>
      <c r="S2" s="109"/>
      <c r="T2" s="111"/>
      <c r="U2" s="102"/>
      <c r="V2" s="112"/>
      <c r="W2" s="113"/>
      <c r="X2" s="113"/>
      <c r="Y2" s="102"/>
      <c r="Z2" s="102"/>
      <c r="AA2" s="102"/>
      <c r="AB2" s="102"/>
      <c r="AC2" s="102"/>
      <c r="AD2" s="102"/>
      <c r="AE2" s="102"/>
      <c r="AF2" s="102"/>
      <c r="AG2" s="102"/>
      <c r="AH2" s="102"/>
      <c r="AI2" s="102"/>
      <c r="AJ2" s="102"/>
      <c r="AK2" s="102"/>
      <c r="AL2" s="102"/>
      <c r="AM2" s="102"/>
      <c r="AN2" s="102"/>
      <c r="AO2" s="102"/>
      <c r="AP2" s="102"/>
      <c r="AQ2" s="102"/>
      <c r="AR2" s="105"/>
      <c r="AS2" s="105"/>
      <c r="AT2" s="105"/>
      <c r="AU2" s="105"/>
      <c r="AV2" s="102"/>
      <c r="AW2" s="102"/>
      <c r="AX2" s="102"/>
      <c r="AY2" s="102"/>
    </row>
    <row r="3" spans="1:51" ht="18" customHeight="1">
      <c r="A3" s="102"/>
      <c r="B3" s="114"/>
      <c r="C3" s="115"/>
      <c r="D3" s="116" t="s">
        <v>131</v>
      </c>
      <c r="E3" s="339" t="s">
        <v>362</v>
      </c>
      <c r="F3" s="340"/>
      <c r="G3" s="342" t="s">
        <v>133</v>
      </c>
      <c r="H3" s="316"/>
      <c r="I3" s="316"/>
      <c r="J3" s="339" t="s">
        <v>65</v>
      </c>
      <c r="K3" s="340"/>
      <c r="L3" s="342" t="s">
        <v>134</v>
      </c>
      <c r="M3" s="316"/>
      <c r="N3" s="339" t="s">
        <v>291</v>
      </c>
      <c r="O3" s="340"/>
      <c r="P3" s="340"/>
      <c r="Q3" s="340"/>
      <c r="R3" s="340"/>
      <c r="S3" s="340"/>
      <c r="T3" s="117"/>
      <c r="U3" s="338" t="s">
        <v>136</v>
      </c>
      <c r="V3" s="316"/>
      <c r="W3" s="316"/>
      <c r="X3" s="118"/>
      <c r="Y3" s="119" t="s">
        <v>137</v>
      </c>
      <c r="Z3" s="102"/>
      <c r="AA3" s="102"/>
      <c r="AB3" s="102"/>
      <c r="AC3" s="102"/>
      <c r="AD3" s="102"/>
      <c r="AE3" s="102"/>
      <c r="AF3" s="336" t="s">
        <v>138</v>
      </c>
      <c r="AG3" s="337"/>
      <c r="AH3" s="120"/>
      <c r="AI3" s="102"/>
      <c r="AJ3" s="102"/>
      <c r="AK3" s="102"/>
      <c r="AL3" s="102"/>
      <c r="AM3" s="102"/>
      <c r="AN3" s="102"/>
      <c r="AO3" s="102"/>
      <c r="AP3" s="102"/>
      <c r="AQ3" s="102"/>
      <c r="AR3" s="335" t="s">
        <v>139</v>
      </c>
      <c r="AS3" s="316"/>
      <c r="AT3" s="316"/>
      <c r="AU3" s="316"/>
      <c r="AV3" s="102"/>
      <c r="AW3" s="102"/>
      <c r="AX3" s="102"/>
      <c r="AY3" s="102"/>
    </row>
    <row r="4" spans="1:51" ht="3" customHeight="1">
      <c r="A4" s="102"/>
      <c r="B4" s="107"/>
      <c r="C4" s="108"/>
      <c r="D4" s="109"/>
      <c r="E4" s="109"/>
      <c r="F4" s="110"/>
      <c r="G4" s="108"/>
      <c r="H4" s="108"/>
      <c r="I4" s="108"/>
      <c r="J4" s="108"/>
      <c r="K4" s="109"/>
      <c r="L4" s="109"/>
      <c r="M4" s="109"/>
      <c r="N4" s="109"/>
      <c r="O4" s="109"/>
      <c r="P4" s="109"/>
      <c r="Q4" s="109"/>
      <c r="R4" s="109"/>
      <c r="S4" s="108"/>
      <c r="T4" s="111"/>
      <c r="U4" s="121"/>
      <c r="V4" s="122"/>
      <c r="W4" s="121"/>
      <c r="X4" s="121"/>
      <c r="Y4" s="121"/>
      <c r="Z4" s="121"/>
      <c r="AA4" s="121"/>
      <c r="AB4" s="121"/>
      <c r="AC4" s="121"/>
      <c r="AD4" s="121"/>
      <c r="AE4" s="121"/>
      <c r="AF4" s="121"/>
      <c r="AG4" s="121"/>
      <c r="AH4" s="120"/>
      <c r="AI4" s="102"/>
      <c r="AJ4" s="102"/>
      <c r="AK4" s="102"/>
      <c r="AL4" s="102"/>
      <c r="AM4" s="102"/>
      <c r="AN4" s="102"/>
      <c r="AO4" s="102"/>
      <c r="AP4" s="102"/>
      <c r="AQ4" s="102"/>
      <c r="AR4" s="105"/>
      <c r="AS4" s="105"/>
      <c r="AT4" s="105"/>
      <c r="AU4" s="105"/>
      <c r="AV4" s="102"/>
      <c r="AW4" s="102"/>
      <c r="AX4" s="102"/>
      <c r="AY4" s="102"/>
    </row>
    <row r="5" spans="1:51" ht="13.5" customHeight="1">
      <c r="A5" s="123"/>
      <c r="B5" s="124"/>
      <c r="C5" s="125" t="s">
        <v>140</v>
      </c>
      <c r="D5" s="126" t="s">
        <v>141</v>
      </c>
      <c r="E5" s="126" t="s">
        <v>126</v>
      </c>
      <c r="F5" s="127" t="s">
        <v>142</v>
      </c>
      <c r="G5" s="127" t="str">
        <f>T_MA</f>
        <v>MA</v>
      </c>
      <c r="H5" s="127" t="str">
        <f>T_ST</f>
        <v>ST</v>
      </c>
      <c r="I5" s="127" t="str">
        <f>T_AG</f>
        <v>AG</v>
      </c>
      <c r="J5" s="127" t="str">
        <f>T_AV</f>
        <v>AV</v>
      </c>
      <c r="K5" s="128" t="s">
        <v>143</v>
      </c>
      <c r="L5" s="125" t="s">
        <v>144</v>
      </c>
      <c r="M5" s="129" t="s">
        <v>120</v>
      </c>
      <c r="N5" s="130" t="s">
        <v>20</v>
      </c>
      <c r="O5" s="130" t="s">
        <v>121</v>
      </c>
      <c r="P5" s="130" t="s">
        <v>122</v>
      </c>
      <c r="Q5" s="130" t="s">
        <v>123</v>
      </c>
      <c r="R5" s="131" t="s">
        <v>124</v>
      </c>
      <c r="S5" s="132" t="s">
        <v>145</v>
      </c>
      <c r="T5" s="117"/>
      <c r="U5" s="133" t="s">
        <v>146</v>
      </c>
      <c r="V5" s="133" t="s">
        <v>147</v>
      </c>
      <c r="W5" s="134" t="s">
        <v>148</v>
      </c>
      <c r="X5" s="135"/>
      <c r="Y5" s="136" t="s">
        <v>149</v>
      </c>
      <c r="Z5" s="136" t="s">
        <v>150</v>
      </c>
      <c r="AA5" s="136" t="s">
        <v>151</v>
      </c>
      <c r="AB5" s="136" t="s">
        <v>152</v>
      </c>
      <c r="AC5" s="136" t="s">
        <v>153</v>
      </c>
      <c r="AD5" s="137" t="s">
        <v>154</v>
      </c>
      <c r="AE5" s="138" t="s">
        <v>155</v>
      </c>
      <c r="AF5" s="139" t="s">
        <v>156</v>
      </c>
      <c r="AG5" s="140" t="s">
        <v>157</v>
      </c>
      <c r="AH5" s="120"/>
      <c r="AI5" s="123"/>
      <c r="AJ5" s="141" t="s">
        <v>158</v>
      </c>
      <c r="AK5" s="141" t="s">
        <v>159</v>
      </c>
      <c r="AL5" s="123"/>
      <c r="AM5" s="123"/>
      <c r="AN5" s="123"/>
      <c r="AO5" s="123"/>
      <c r="AP5" s="123"/>
      <c r="AQ5" s="141" t="s">
        <v>160</v>
      </c>
      <c r="AR5" s="104" t="str">
        <f>T_MA</f>
        <v>MA</v>
      </c>
      <c r="AS5" s="104" t="str">
        <f>T_ST</f>
        <v>ST</v>
      </c>
      <c r="AT5" s="104" t="str">
        <f>T_AG</f>
        <v>AG</v>
      </c>
      <c r="AU5" s="104" t="str">
        <f>T_AV</f>
        <v>AV</v>
      </c>
      <c r="AV5" s="123"/>
      <c r="AW5" s="102"/>
      <c r="AX5" s="102"/>
      <c r="AY5" s="102"/>
    </row>
    <row r="6" spans="1:51" ht="13.5" customHeight="1">
      <c r="A6" s="102"/>
      <c r="B6" s="114"/>
      <c r="C6" s="142">
        <v>1</v>
      </c>
      <c r="D6" s="143"/>
      <c r="E6" s="143"/>
      <c r="F6" s="144" t="str">
        <f>IF($E6&lt;&gt;"",IF($AJ6&lt;&gt;"",IF(AND($L6=T_Journey,VLOOKUP($AJ6,DBPlayers,2,0)&lt;12),T_Error&amp;"7",IF("Journeymen not available"=0,T_Error&amp;"8",IF(COUNTIF($E$6:$E6,$E6)-$AQ6&gt;VLOOKUP($AJ6,DBPlayers,2,0),T_Error&amp;"2",IF(L6=T_MNG,0,COUNTIF($E$6:$E6,$E6)-$AQ6)&amp;"/"&amp;(VLOOKUP($AJ6,DBPlayers,2,0))))),T_Error&amp;"1"),"")</f>
        <v/>
      </c>
      <c r="G6" s="145" t="str">
        <f t="shared" ref="G6:G21" si="0">IF(OR($E6="",LEFT($F6,LEN(T_Error))=T_Error),"",MAX(1,VLOOKUP($AJ6,DBPlayers,4,0)+COUNTIF($Y6:$AD6,T_MA&amp;"+")-IF(ISERROR(FIND(T_MA&amp;"-",$AE6)),0,IF(ISERROR(FIND(T_MA&amp;"-",$AE6,FIND(T_MA&amp;"-",$AE6)+LEN(T_MA)+1)),1,2))))</f>
        <v/>
      </c>
      <c r="H6" s="145" t="str">
        <f t="shared" ref="H6:H21" si="1">IF(OR(($E6=""),(LEFT($F6,LEN(T_Error))=T_Error)),"",MAX(1,VLOOKUP($AJ6,DBPlayers,5,0)+COUNTIF($Y6:$AD6,T_ST&amp;"+")-IF(ISERROR(FIND(T_ST&amp;"-",$AE6)),0,IF(ISERROR(FIND(T_ST&amp;"-",$AE6,FIND(T_ST&amp;"-",$AE6)+LEN(T_ST)+1)),1,2))))</f>
        <v/>
      </c>
      <c r="I6" s="145" t="str">
        <f t="shared" ref="I6:I21" si="2">IF(OR(($E6=""),(LEFT($F6,LEN(T_Error))=T_Error)),"",MAX(1,VLOOKUP($AJ6,DBPlayers,6,0)+COUNTIF($Y6:$AD6,T_AG&amp;"+")-IF(ISERROR(FIND(T_AG&amp;"-",$AE6)),0,IF(ISERROR(FIND(T_AG&amp;"-",$AE6,FIND(T_AG&amp;"-",$AE6)+LEN(T_AG)+1)),1,2))))</f>
        <v/>
      </c>
      <c r="J6" s="145" t="str">
        <f t="shared" ref="J6:J21" si="3">IF(OR(($E6=""),(LEFT($F6,LEN(T_Error))=T_Error)),"",MAX(1,VLOOKUP($AJ6,DBPlayers,7,0)+COUNTIF($Y6:$AD6,T_AV&amp;"+")-IF(ISERROR(FIND(T_AV&amp;"-",$AE6)),0,IF(ISERROR(FIND(T_AV&amp;"-",$AE6,FIND(T_AV&amp;"-",$AE6)+LEN(T_AV)+1)),1,2))))</f>
        <v/>
      </c>
      <c r="K6" s="146" t="str">
        <f t="shared" ref="K6:K21" ca="1" si="4">IF($E6="","",IF(LEFT($F6,LEN(T_Error))=T_Error,INDIRECT("T_Error"&amp;RIGHT($F6,1)),IF(VLOOKUP($AJ6,DBPlayers,8,0)&lt;&gt;0,IF($L6=T_Journey,T_Loner&amp;", ","")&amp;VLOOKUP($AJ6,DBPlayers,8,0)&amp;IF($W6&gt;0,", ",""),IF($L6=T_Journey,T_Loner,""))&amp;IF($W6&gt;0,IF(Y6&lt;&gt;"",Y6,T_MS),"")&amp;IF($W6&gt;1,", "&amp;IF(Z6&lt;&gt;"",Z6,T_MS),"")&amp;IF($W6&gt;2,", "&amp;IF(AA6&lt;&gt;"",AA6,T_MS),"")&amp;IF($W6&gt;3,", "&amp;IF(AB6&lt;&gt;"",AB6,T_MS),"")&amp;IF($W6&gt;4,", "&amp;IF(AC6&lt;&gt;"",AC6,T_MS),"")&amp;IF($W6&gt;5,", "&amp;IF(AD6&lt;&gt;"",AD6,T_MS),"")&amp;IF(AF6&lt;&gt;"",IF(OR($W6&gt;0,VLOOKUP($AJ6,DBPlayers,8,0)&lt;&gt;0),", ","")&amp;AF6,"")&amp;IF(AE6&lt;&gt;"",IF(OR($W6&gt;0,AF6&lt;&gt;"",VLOOKUP($AJ6,DBPlayers,8,0)&lt;&gt;0),", ","")&amp;AE6,"")))</f>
        <v/>
      </c>
      <c r="L6" s="147"/>
      <c r="M6" s="148"/>
      <c r="N6" s="149"/>
      <c r="O6" s="149"/>
      <c r="P6" s="149"/>
      <c r="Q6" s="149"/>
      <c r="R6" s="150" t="str">
        <f t="shared" ref="R6:R21" si="5">IF(OR(($E6=""),(LEFT($F6,LEN(T_Error))=T_Error)),"",M6*SPP_CP+N6*SPP_TD+O6*SPP_IN+P6*SPP_CS+Q6*SPP_VP)</f>
        <v/>
      </c>
      <c r="S6" s="151" t="str">
        <f>IF(OR($E6="",LEFT($F6,LEN(T_Error))=T_Error),"",IF($L6=T_MNG,0,VLOOKUP($AJ6,DBPlayers,11,0)+SUM($AK6:$AP6)+AG6))</f>
        <v/>
      </c>
      <c r="T6" s="117"/>
      <c r="U6" s="152" t="str">
        <f t="shared" ref="U6:U21" si="6">IF(OR(($E6=""),(LEFT($F6,LEN(T_Error))=T_Error)),"",VLOOKUP($AJ6,DBPlayers,9,0))</f>
        <v/>
      </c>
      <c r="V6" s="152" t="str">
        <f t="shared" ref="V6:V21" si="7">IF(OR(($E6=""),(LEFT($F6,LEN(T_Error))=T_Error)),"",VLOOKUP($AJ6,DBPlayers,10,0))</f>
        <v/>
      </c>
      <c r="W6" s="153" t="str">
        <f t="shared" ref="W6:W21" si="8">IF(R6="","",IF($R6&gt;=SPP_6,6,IF($R6&gt;=SPP_5,5,IF($R6&gt;=SPP_4,4,IF($R6&gt;=SPP_3,3,IF($R6&gt;=SPP_2,2,IF($R6&gt;=SPP_1,1,0)))))))</f>
        <v/>
      </c>
      <c r="X6" s="121"/>
      <c r="Y6" s="154"/>
      <c r="Z6" s="154"/>
      <c r="AA6" s="154"/>
      <c r="AB6" s="154"/>
      <c r="AC6" s="154"/>
      <c r="AD6" s="155"/>
      <c r="AE6" s="156"/>
      <c r="AF6" s="157"/>
      <c r="AG6" s="158"/>
      <c r="AH6" s="120"/>
      <c r="AI6" s="123">
        <v>1</v>
      </c>
      <c r="AJ6" s="159" t="str">
        <f t="shared" ref="AJ6:AJ21" si="9">IF(OR(E6="",ISERROR(VLOOKUP(E6,$AJ$58:$AL$67,3,0))),"",VLOOKUP(E6,$AJ$58:$AL$67,3,0))</f>
        <v/>
      </c>
      <c r="AK6" s="159">
        <f>IF(Y6="",0,IF(ISERROR(FIND(VLOOKUP(Y6,DBSkills,2,0),$U6)),0,IMP_REGULAR)+IF(ISERROR(FIND(VLOOKUP(Y6,DBSkills,2,0),$V6)),0,IMP_DOUBLE)+IF(Y6=T_ST&amp;"+",IMP_ST,0)+IF(Y6=T_AG&amp;"+",IMP_AG,0)+IF(Y6=T_MA&amp;"+",IMP_MA,0)+IF(Y6=T_AV&amp;"+",IMP_MA,0))</f>
        <v>0</v>
      </c>
      <c r="AL6" s="159">
        <f t="shared" ref="AL6:AL21" si="10">IF(Z6="",0,IF(Z6=T_ST&amp;"+",50000,IF(Z6=T_AG&amp;"+",40000,IF(OR(Z6=T_MA&amp;"+",Z6=T_AV&amp;"+"),30000,IF(ISERROR(FIND(VLOOKUP(Z6,DBSkills,2,0),$V6)),20000,30000)))))</f>
        <v>0</v>
      </c>
      <c r="AM6" s="159">
        <f t="shared" ref="AM6:AM21" si="11">IF(AA6="",0,IF(AA6=T_ST&amp;"+",50000,IF(AA6=T_AG&amp;"+",40000,IF(OR(AA6=T_MA&amp;"+",AA6=T_AV&amp;"+"),30000,IF(ISERROR(FIND(VLOOKUP(AA6,DBSkills,2,0),$V6)),20000,30000)))))</f>
        <v>0</v>
      </c>
      <c r="AN6" s="159">
        <f t="shared" ref="AN6:AN21" si="12">IF(AB6="",0,IF(AB6=T_ST&amp;"+",50000,IF(AB6=T_AG&amp;"+",40000,IF(OR(AB6=T_MA&amp;"+",AB6=T_AV&amp;"+"),30000,IF(ISERROR(FIND(VLOOKUP(AB6,DBSkills,2,0),$V6)),20000,30000)))))</f>
        <v>0</v>
      </c>
      <c r="AO6" s="159">
        <f t="shared" ref="AO6:AO21" si="13">IF(AC6="",0,IF(AC6=T_ST&amp;"+",50000,IF(AC6=T_AG&amp;"+",40000,IF(OR(AC6=T_MA&amp;"+",AC6=T_AV&amp;"+"),30000,IF(ISERROR(FIND(VLOOKUP(AC6,DBSkills,2,0),$V6)),20000,30000)))))</f>
        <v>0</v>
      </c>
      <c r="AP6" s="159">
        <f t="shared" ref="AP6:AP21" si="14">IF(AD6="",0,IF(AD6=T_ST&amp;"+",50000,IF(AD6=T_AG&amp;"+",40000,IF(OR(AD6=T_MA&amp;"+",AD6=T_AV&amp;"+"),30000,IF(ISERROR(FIND(VLOOKUP(AD6,DBSkills,2,0),$V6)),20000,30000)))))</f>
        <v>0</v>
      </c>
      <c r="AQ6" s="159" t="str">
        <f t="array" ref="AQ6">IF(ISERROR($AJ6),0,IF($AJ6="","",SUM(IF($AJ6=$AJ$6:$AJ6,IF($L$6:$L6=T_MNG,1,0),0))))</f>
        <v/>
      </c>
      <c r="AR6" s="160" t="str">
        <f t="shared" ref="AR6:AR21" si="15">IF(OR($E6="",LEFT($F6,LEN(T_Error))=T_Error),"",MAX(1,VLOOKUP($AJ6,DBPlayers,4,0)))</f>
        <v/>
      </c>
      <c r="AS6" s="160" t="str">
        <f t="shared" ref="AS6:AS21" si="16">IF(OR(($E6=""),(LEFT($F6,LEN(T_Error))=T_Error)),"",MAX(1,VLOOKUP($AJ6,DBPlayers,5,0)))</f>
        <v/>
      </c>
      <c r="AT6" s="160" t="str">
        <f t="shared" ref="AT6:AT21" si="17">IF(OR(($E6=""),(LEFT($F6,LEN(T_Error))=T_Error)),"",MAX(1,VLOOKUP($AJ6,DBPlayers,6,0)))</f>
        <v/>
      </c>
      <c r="AU6" s="160" t="str">
        <f t="shared" ref="AU6:AU21" si="18">IF(OR(($E6=""),(LEFT($F6,LEN(T_Error))=T_Error)),"",MAX(1,VLOOKUP($AJ6,DBPlayers,7,0)))</f>
        <v/>
      </c>
      <c r="AV6" s="102"/>
      <c r="AW6" s="102"/>
      <c r="AX6" s="102"/>
      <c r="AY6" s="102"/>
    </row>
    <row r="7" spans="1:51" ht="13.5" customHeight="1">
      <c r="A7" s="102"/>
      <c r="B7" s="114"/>
      <c r="C7" s="161">
        <v>2</v>
      </c>
      <c r="D7" s="162"/>
      <c r="E7" s="162"/>
      <c r="F7" s="163" t="str">
        <f>IF($E7&lt;&gt;"",IF($AJ7&lt;&gt;"",IF(AND($L7=T_Journey,VLOOKUP($AJ7,DBPlayers,2,0)&lt;12),T_Error&amp;"7",IF("Journeymen not available"=0,T_Error&amp;"8",IF(COUNTIF($E$6:$E7,$E7)-$AQ7&gt;VLOOKUP($AJ7,DBPlayers,2,0),T_Error&amp;"2",IF(L7=T_MNG,0,COUNTIF($E$6:$E7,$E7)-$AQ7)&amp;"/"&amp;(VLOOKUP($AJ7,DBPlayers,2,0))))),T_Error&amp;"1"),"")</f>
        <v/>
      </c>
      <c r="G7" s="164" t="str">
        <f t="shared" si="0"/>
        <v/>
      </c>
      <c r="H7" s="164" t="str">
        <f t="shared" si="1"/>
        <v/>
      </c>
      <c r="I7" s="164" t="str">
        <f t="shared" si="2"/>
        <v/>
      </c>
      <c r="J7" s="164" t="str">
        <f t="shared" si="3"/>
        <v/>
      </c>
      <c r="K7" s="167" t="str">
        <f t="shared" ca="1" si="4"/>
        <v/>
      </c>
      <c r="L7" s="168"/>
      <c r="M7" s="169"/>
      <c r="N7" s="170"/>
      <c r="O7" s="170"/>
      <c r="P7" s="170"/>
      <c r="Q7" s="170"/>
      <c r="R7" s="171" t="str">
        <f t="shared" si="5"/>
        <v/>
      </c>
      <c r="S7" s="172" t="str">
        <f t="shared" ref="S7:S21" si="19">IF(OR($E7="",LEFT($F7,LEN(T_Error))=T_Error),"",IF($L7=T_MNG,0,VLOOKUP($AJ7,DBPlayers,11,0)+SUM($AK7:$AP7)))</f>
        <v/>
      </c>
      <c r="T7" s="117"/>
      <c r="U7" s="152" t="str">
        <f t="shared" si="6"/>
        <v/>
      </c>
      <c r="V7" s="152" t="str">
        <f t="shared" si="7"/>
        <v/>
      </c>
      <c r="W7" s="153" t="str">
        <f t="shared" si="8"/>
        <v/>
      </c>
      <c r="X7" s="121"/>
      <c r="Y7" s="154"/>
      <c r="Z7" s="154"/>
      <c r="AA7" s="154"/>
      <c r="AB7" s="154"/>
      <c r="AC7" s="154"/>
      <c r="AD7" s="155"/>
      <c r="AE7" s="156"/>
      <c r="AF7" s="173"/>
      <c r="AG7" s="174"/>
      <c r="AH7" s="120"/>
      <c r="AI7" s="123">
        <v>2</v>
      </c>
      <c r="AJ7" s="159" t="str">
        <f t="shared" si="9"/>
        <v/>
      </c>
      <c r="AK7" s="159">
        <f t="shared" ref="AK7:AK21" si="20">IF(Y7="",0,IF(Y7=T_ST&amp;"+",50000,IF(Y7=T_AG&amp;"+",40000,IF(OR(Y7=T_MA&amp;"+",Y7=T_AV&amp;"+"),30000,IF(ISERROR(FIND(VLOOKUP(Y7,DBSkills,2,0),$V7)),20000,30000)))))</f>
        <v>0</v>
      </c>
      <c r="AL7" s="159">
        <f t="shared" si="10"/>
        <v>0</v>
      </c>
      <c r="AM7" s="159">
        <f t="shared" si="11"/>
        <v>0</v>
      </c>
      <c r="AN7" s="159">
        <f t="shared" si="12"/>
        <v>0</v>
      </c>
      <c r="AO7" s="159">
        <f t="shared" si="13"/>
        <v>0</v>
      </c>
      <c r="AP7" s="159">
        <f t="shared" si="14"/>
        <v>0</v>
      </c>
      <c r="AQ7" s="159" t="str">
        <f t="array" ref="AQ7">IF(ISERROR($AJ7),0,IF($AJ7="","",SUM(IF($AJ7=$AJ$6:$AJ7,IF($L$6:$L7=T_MNG,1,0),0))))</f>
        <v/>
      </c>
      <c r="AR7" s="160" t="str">
        <f t="shared" si="15"/>
        <v/>
      </c>
      <c r="AS7" s="160" t="str">
        <f t="shared" si="16"/>
        <v/>
      </c>
      <c r="AT7" s="160" t="str">
        <f t="shared" si="17"/>
        <v/>
      </c>
      <c r="AU7" s="160" t="str">
        <f t="shared" si="18"/>
        <v/>
      </c>
      <c r="AV7" s="102"/>
      <c r="AW7" s="123"/>
      <c r="AX7" s="123"/>
      <c r="AY7" s="123"/>
    </row>
    <row r="8" spans="1:51" ht="13.5" customHeight="1">
      <c r="A8" s="102"/>
      <c r="B8" s="114"/>
      <c r="C8" s="161">
        <v>3</v>
      </c>
      <c r="D8" s="162"/>
      <c r="E8" s="162"/>
      <c r="F8" s="163" t="str">
        <f>IF($E8&lt;&gt;"",IF($AJ8&lt;&gt;"",IF(AND($L8=T_Journey,VLOOKUP($AJ8,DBPlayers,2,0)&lt;12),T_Error&amp;"7",IF("Journeymen not available"=0,T_Error&amp;"8",IF(COUNTIF($E$6:$E8,$E8)-$AQ8&gt;VLOOKUP($AJ8,DBPlayers,2,0),T_Error&amp;"2",IF(L8=T_MNG,0,COUNTIF($E$6:$E8,$E8)-$AQ8)&amp;"/"&amp;(VLOOKUP($AJ8,DBPlayers,2,0))))),T_Error&amp;"1"),"")</f>
        <v/>
      </c>
      <c r="G8" s="164" t="str">
        <f t="shared" si="0"/>
        <v/>
      </c>
      <c r="H8" s="164" t="str">
        <f t="shared" si="1"/>
        <v/>
      </c>
      <c r="I8" s="164" t="str">
        <f t="shared" si="2"/>
        <v/>
      </c>
      <c r="J8" s="164" t="str">
        <f t="shared" si="3"/>
        <v/>
      </c>
      <c r="K8" s="167" t="str">
        <f t="shared" ca="1" si="4"/>
        <v/>
      </c>
      <c r="L8" s="168"/>
      <c r="M8" s="169"/>
      <c r="N8" s="170"/>
      <c r="O8" s="170"/>
      <c r="P8" s="170"/>
      <c r="Q8" s="170"/>
      <c r="R8" s="171" t="str">
        <f t="shared" si="5"/>
        <v/>
      </c>
      <c r="S8" s="172" t="str">
        <f t="shared" si="19"/>
        <v/>
      </c>
      <c r="T8" s="117"/>
      <c r="U8" s="152" t="str">
        <f t="shared" si="6"/>
        <v/>
      </c>
      <c r="V8" s="152" t="str">
        <f t="shared" si="7"/>
        <v/>
      </c>
      <c r="W8" s="153" t="str">
        <f t="shared" si="8"/>
        <v/>
      </c>
      <c r="X8" s="121"/>
      <c r="Y8" s="154"/>
      <c r="Z8" s="154"/>
      <c r="AA8" s="154"/>
      <c r="AB8" s="154"/>
      <c r="AC8" s="154"/>
      <c r="AD8" s="155"/>
      <c r="AE8" s="156"/>
      <c r="AF8" s="154"/>
      <c r="AG8" s="155"/>
      <c r="AH8" s="120"/>
      <c r="AI8" s="123">
        <v>3</v>
      </c>
      <c r="AJ8" s="159" t="str">
        <f t="shared" si="9"/>
        <v/>
      </c>
      <c r="AK8" s="159">
        <f t="shared" si="20"/>
        <v>0</v>
      </c>
      <c r="AL8" s="159">
        <f t="shared" si="10"/>
        <v>0</v>
      </c>
      <c r="AM8" s="159">
        <f t="shared" si="11"/>
        <v>0</v>
      </c>
      <c r="AN8" s="159">
        <f t="shared" si="12"/>
        <v>0</v>
      </c>
      <c r="AO8" s="159">
        <f t="shared" si="13"/>
        <v>0</v>
      </c>
      <c r="AP8" s="159">
        <f t="shared" si="14"/>
        <v>0</v>
      </c>
      <c r="AQ8" s="159" t="str">
        <f t="array" ref="AQ8">IF(ISERROR($AJ8),0,IF($AJ8="","",SUM(IF($AJ8=$AJ$6:$AJ8,IF($L$6:$L8=T_MNG,1,0),0))))</f>
        <v/>
      </c>
      <c r="AR8" s="160" t="str">
        <f t="shared" si="15"/>
        <v/>
      </c>
      <c r="AS8" s="160" t="str">
        <f t="shared" si="16"/>
        <v/>
      </c>
      <c r="AT8" s="160" t="str">
        <f t="shared" si="17"/>
        <v/>
      </c>
      <c r="AU8" s="160" t="str">
        <f t="shared" si="18"/>
        <v/>
      </c>
      <c r="AV8" s="102"/>
      <c r="AW8" s="102"/>
      <c r="AX8" s="102"/>
      <c r="AY8" s="102"/>
    </row>
    <row r="9" spans="1:51" ht="13.5" customHeight="1">
      <c r="A9" s="102"/>
      <c r="B9" s="114"/>
      <c r="C9" s="161">
        <v>4</v>
      </c>
      <c r="D9" s="162"/>
      <c r="E9" s="162"/>
      <c r="F9" s="163" t="str">
        <f>IF($E9&lt;&gt;"",IF($AJ9&lt;&gt;"",IF(AND($L9=T_Journey,VLOOKUP($AJ9,DBPlayers,2,0)&lt;12),T_Error&amp;"7",IF("Journeymen not available"=0,T_Error&amp;"8",IF(COUNTIF($E$6:$E9,$E9)-$AQ9&gt;VLOOKUP($AJ9,DBPlayers,2,0),T_Error&amp;"2",IF(L9=T_MNG,0,COUNTIF($E$6:$E9,$E9)-$AQ9)&amp;"/"&amp;(VLOOKUP($AJ9,DBPlayers,2,0))))),T_Error&amp;"1"),"")</f>
        <v/>
      </c>
      <c r="G9" s="164" t="str">
        <f t="shared" si="0"/>
        <v/>
      </c>
      <c r="H9" s="164" t="str">
        <f t="shared" si="1"/>
        <v/>
      </c>
      <c r="I9" s="164" t="str">
        <f t="shared" si="2"/>
        <v/>
      </c>
      <c r="J9" s="164" t="str">
        <f t="shared" si="3"/>
        <v/>
      </c>
      <c r="K9" s="167" t="str">
        <f t="shared" ca="1" si="4"/>
        <v/>
      </c>
      <c r="L9" s="168"/>
      <c r="M9" s="169"/>
      <c r="N9" s="170"/>
      <c r="O9" s="170"/>
      <c r="P9" s="170"/>
      <c r="Q9" s="170"/>
      <c r="R9" s="171" t="str">
        <f t="shared" si="5"/>
        <v/>
      </c>
      <c r="S9" s="172" t="str">
        <f t="shared" si="19"/>
        <v/>
      </c>
      <c r="T9" s="117"/>
      <c r="U9" s="152" t="str">
        <f t="shared" si="6"/>
        <v/>
      </c>
      <c r="V9" s="152" t="str">
        <f t="shared" si="7"/>
        <v/>
      </c>
      <c r="W9" s="153" t="str">
        <f t="shared" si="8"/>
        <v/>
      </c>
      <c r="X9" s="121"/>
      <c r="Y9" s="154"/>
      <c r="Z9" s="154"/>
      <c r="AA9" s="154"/>
      <c r="AB9" s="154"/>
      <c r="AC9" s="154"/>
      <c r="AD9" s="155"/>
      <c r="AE9" s="156"/>
      <c r="AF9" s="154"/>
      <c r="AG9" s="155"/>
      <c r="AH9" s="120"/>
      <c r="AI9" s="123">
        <v>4</v>
      </c>
      <c r="AJ9" s="159" t="str">
        <f t="shared" si="9"/>
        <v/>
      </c>
      <c r="AK9" s="159">
        <f t="shared" si="20"/>
        <v>0</v>
      </c>
      <c r="AL9" s="159">
        <f t="shared" si="10"/>
        <v>0</v>
      </c>
      <c r="AM9" s="159">
        <f t="shared" si="11"/>
        <v>0</v>
      </c>
      <c r="AN9" s="159">
        <f t="shared" si="12"/>
        <v>0</v>
      </c>
      <c r="AO9" s="159">
        <f t="shared" si="13"/>
        <v>0</v>
      </c>
      <c r="AP9" s="159">
        <f t="shared" si="14"/>
        <v>0</v>
      </c>
      <c r="AQ9" s="159" t="str">
        <f t="array" ref="AQ9">IF(ISERROR($AJ9),0,IF($AJ9="","",SUM(IF($AJ9=$AJ$6:$AJ9,IF($L$6:$L9=T_MNG,1,0),0))))</f>
        <v/>
      </c>
      <c r="AR9" s="160" t="str">
        <f t="shared" si="15"/>
        <v/>
      </c>
      <c r="AS9" s="160" t="str">
        <f t="shared" si="16"/>
        <v/>
      </c>
      <c r="AT9" s="160" t="str">
        <f t="shared" si="17"/>
        <v/>
      </c>
      <c r="AU9" s="160" t="str">
        <f t="shared" si="18"/>
        <v/>
      </c>
      <c r="AV9" s="102"/>
      <c r="AW9" s="102"/>
      <c r="AX9" s="102"/>
      <c r="AY9" s="102"/>
    </row>
    <row r="10" spans="1:51" ht="13.5" customHeight="1">
      <c r="A10" s="102"/>
      <c r="B10" s="114"/>
      <c r="C10" s="161">
        <v>5</v>
      </c>
      <c r="D10" s="162"/>
      <c r="E10" s="162"/>
      <c r="F10" s="163" t="str">
        <f>IF($E10&lt;&gt;"",IF($AJ10&lt;&gt;"",IF(AND($L10=T_Journey,VLOOKUP($AJ10,DBPlayers,2,0)&lt;12),T_Error&amp;"7",IF("Journeymen not available"=0,T_Error&amp;"8",IF(COUNTIF($E$6:$E10,$E10)-$AQ10&gt;VLOOKUP($AJ10,DBPlayers,2,0),T_Error&amp;"2",IF(L10=T_MNG,0,COUNTIF($E$6:$E10,$E10)-$AQ10)&amp;"/"&amp;(VLOOKUP($AJ10,DBPlayers,2,0))))),T_Error&amp;"1"),"")</f>
        <v/>
      </c>
      <c r="G10" s="164" t="str">
        <f t="shared" si="0"/>
        <v/>
      </c>
      <c r="H10" s="164" t="str">
        <f t="shared" si="1"/>
        <v/>
      </c>
      <c r="I10" s="164" t="str">
        <f t="shared" si="2"/>
        <v/>
      </c>
      <c r="J10" s="164" t="str">
        <f t="shared" si="3"/>
        <v/>
      </c>
      <c r="K10" s="167" t="str">
        <f t="shared" ca="1" si="4"/>
        <v/>
      </c>
      <c r="L10" s="168"/>
      <c r="M10" s="169"/>
      <c r="N10" s="170"/>
      <c r="O10" s="170"/>
      <c r="P10" s="170"/>
      <c r="Q10" s="170"/>
      <c r="R10" s="171" t="str">
        <f t="shared" si="5"/>
        <v/>
      </c>
      <c r="S10" s="172" t="str">
        <f t="shared" si="19"/>
        <v/>
      </c>
      <c r="T10" s="117"/>
      <c r="U10" s="152" t="str">
        <f t="shared" si="6"/>
        <v/>
      </c>
      <c r="V10" s="152" t="str">
        <f t="shared" si="7"/>
        <v/>
      </c>
      <c r="W10" s="153" t="str">
        <f t="shared" si="8"/>
        <v/>
      </c>
      <c r="X10" s="121"/>
      <c r="Y10" s="154"/>
      <c r="Z10" s="154"/>
      <c r="AA10" s="154"/>
      <c r="AB10" s="154"/>
      <c r="AC10" s="154"/>
      <c r="AD10" s="155"/>
      <c r="AE10" s="156"/>
      <c r="AF10" s="154"/>
      <c r="AG10" s="155"/>
      <c r="AH10" s="120"/>
      <c r="AI10" s="123">
        <v>5</v>
      </c>
      <c r="AJ10" s="159" t="str">
        <f t="shared" si="9"/>
        <v/>
      </c>
      <c r="AK10" s="159">
        <f t="shared" si="20"/>
        <v>0</v>
      </c>
      <c r="AL10" s="159">
        <f t="shared" si="10"/>
        <v>0</v>
      </c>
      <c r="AM10" s="159">
        <f t="shared" si="11"/>
        <v>0</v>
      </c>
      <c r="AN10" s="159">
        <f t="shared" si="12"/>
        <v>0</v>
      </c>
      <c r="AO10" s="159">
        <f t="shared" si="13"/>
        <v>0</v>
      </c>
      <c r="AP10" s="159">
        <f t="shared" si="14"/>
        <v>0</v>
      </c>
      <c r="AQ10" s="159" t="str">
        <f t="array" ref="AQ10">IF(ISERROR($AJ10),0,IF($AJ10="","",SUM(IF($AJ10=$AJ$6:$AJ10,IF($L$6:$L10=T_MNG,1,0),0))))</f>
        <v/>
      </c>
      <c r="AR10" s="160" t="str">
        <f t="shared" si="15"/>
        <v/>
      </c>
      <c r="AS10" s="160" t="str">
        <f t="shared" si="16"/>
        <v/>
      </c>
      <c r="AT10" s="160" t="str">
        <f t="shared" si="17"/>
        <v/>
      </c>
      <c r="AU10" s="160" t="str">
        <f t="shared" si="18"/>
        <v/>
      </c>
      <c r="AV10" s="102"/>
      <c r="AW10" s="102"/>
      <c r="AX10" s="102"/>
      <c r="AY10" s="102"/>
    </row>
    <row r="11" spans="1:51" ht="13.5" customHeight="1">
      <c r="A11" s="102"/>
      <c r="B11" s="114"/>
      <c r="C11" s="161">
        <v>6</v>
      </c>
      <c r="D11" s="162"/>
      <c r="E11" s="162"/>
      <c r="F11" s="163" t="str">
        <f>IF($E11&lt;&gt;"",IF($AJ11&lt;&gt;"",IF(AND($L11=T_Journey,VLOOKUP($AJ11,DBPlayers,2,0)&lt;12),T_Error&amp;"7",IF("Journeymen not available"=0,T_Error&amp;"8",IF(COUNTIF($E$6:$E11,$E11)-$AQ11&gt;VLOOKUP($AJ11,DBPlayers,2,0),T_Error&amp;"2",IF(L11=T_MNG,0,COUNTIF($E$6:$E11,$E11)-$AQ11)&amp;"/"&amp;(VLOOKUP($AJ11,DBPlayers,2,0))))),T_Error&amp;"1"),"")</f>
        <v/>
      </c>
      <c r="G11" s="164" t="str">
        <f t="shared" si="0"/>
        <v/>
      </c>
      <c r="H11" s="164" t="str">
        <f t="shared" si="1"/>
        <v/>
      </c>
      <c r="I11" s="164" t="str">
        <f t="shared" si="2"/>
        <v/>
      </c>
      <c r="J11" s="164" t="str">
        <f t="shared" si="3"/>
        <v/>
      </c>
      <c r="K11" s="167" t="str">
        <f t="shared" ca="1" si="4"/>
        <v/>
      </c>
      <c r="L11" s="168"/>
      <c r="M11" s="169"/>
      <c r="N11" s="170"/>
      <c r="O11" s="170"/>
      <c r="P11" s="170"/>
      <c r="Q11" s="170"/>
      <c r="R11" s="171" t="str">
        <f t="shared" si="5"/>
        <v/>
      </c>
      <c r="S11" s="172" t="str">
        <f t="shared" si="19"/>
        <v/>
      </c>
      <c r="T11" s="117"/>
      <c r="U11" s="152" t="str">
        <f t="shared" si="6"/>
        <v/>
      </c>
      <c r="V11" s="152" t="str">
        <f t="shared" si="7"/>
        <v/>
      </c>
      <c r="W11" s="153" t="str">
        <f t="shared" si="8"/>
        <v/>
      </c>
      <c r="X11" s="121"/>
      <c r="Y11" s="154"/>
      <c r="Z11" s="154"/>
      <c r="AA11" s="154"/>
      <c r="AB11" s="154"/>
      <c r="AC11" s="154"/>
      <c r="AD11" s="155"/>
      <c r="AE11" s="156"/>
      <c r="AF11" s="154"/>
      <c r="AG11" s="155"/>
      <c r="AH11" s="120"/>
      <c r="AI11" s="123">
        <v>6</v>
      </c>
      <c r="AJ11" s="159" t="str">
        <f t="shared" si="9"/>
        <v/>
      </c>
      <c r="AK11" s="159">
        <f t="shared" si="20"/>
        <v>0</v>
      </c>
      <c r="AL11" s="159">
        <f t="shared" si="10"/>
        <v>0</v>
      </c>
      <c r="AM11" s="159">
        <f t="shared" si="11"/>
        <v>0</v>
      </c>
      <c r="AN11" s="159">
        <f t="shared" si="12"/>
        <v>0</v>
      </c>
      <c r="AO11" s="159">
        <f t="shared" si="13"/>
        <v>0</v>
      </c>
      <c r="AP11" s="159">
        <f t="shared" si="14"/>
        <v>0</v>
      </c>
      <c r="AQ11" s="159" t="str">
        <f t="array" ref="AQ11">IF(ISERROR($AJ11),0,IF($AJ11="","",SUM(IF($AJ11=$AJ$6:$AJ11,IF($L$6:$L11=T_MNG,1,0),0))))</f>
        <v/>
      </c>
      <c r="AR11" s="160" t="str">
        <f t="shared" si="15"/>
        <v/>
      </c>
      <c r="AS11" s="160" t="str">
        <f t="shared" si="16"/>
        <v/>
      </c>
      <c r="AT11" s="160" t="str">
        <f t="shared" si="17"/>
        <v/>
      </c>
      <c r="AU11" s="160" t="str">
        <f t="shared" si="18"/>
        <v/>
      </c>
      <c r="AV11" s="102"/>
      <c r="AW11" s="102"/>
      <c r="AX11" s="102"/>
      <c r="AY11" s="102"/>
    </row>
    <row r="12" spans="1:51" ht="13.5" customHeight="1">
      <c r="A12" s="102"/>
      <c r="B12" s="114"/>
      <c r="C12" s="161">
        <v>7</v>
      </c>
      <c r="D12" s="162"/>
      <c r="E12" s="162"/>
      <c r="F12" s="163" t="str">
        <f>IF($E12&lt;&gt;"",IF($AJ12&lt;&gt;"",IF(AND($L12=T_Journey,VLOOKUP($AJ12,DBPlayers,2,0)&lt;12),T_Error&amp;"7",IF("Journeymen not available"=0,T_Error&amp;"8",IF(COUNTIF($E$6:$E12,$E12)-$AQ12&gt;VLOOKUP($AJ12,DBPlayers,2,0),T_Error&amp;"2",IF(L12=T_MNG,0,COUNTIF($E$6:$E12,$E12)-$AQ12)&amp;"/"&amp;(VLOOKUP($AJ12,DBPlayers,2,0))))),T_Error&amp;"1"),"")</f>
        <v/>
      </c>
      <c r="G12" s="164" t="str">
        <f t="shared" si="0"/>
        <v/>
      </c>
      <c r="H12" s="164" t="str">
        <f t="shared" si="1"/>
        <v/>
      </c>
      <c r="I12" s="164" t="str">
        <f t="shared" si="2"/>
        <v/>
      </c>
      <c r="J12" s="164" t="str">
        <f t="shared" si="3"/>
        <v/>
      </c>
      <c r="K12" s="167" t="str">
        <f t="shared" ca="1" si="4"/>
        <v/>
      </c>
      <c r="L12" s="168"/>
      <c r="M12" s="169"/>
      <c r="N12" s="170"/>
      <c r="O12" s="170"/>
      <c r="P12" s="170"/>
      <c r="Q12" s="170"/>
      <c r="R12" s="171" t="str">
        <f t="shared" si="5"/>
        <v/>
      </c>
      <c r="S12" s="172" t="str">
        <f t="shared" si="19"/>
        <v/>
      </c>
      <c r="T12" s="117"/>
      <c r="U12" s="152" t="str">
        <f t="shared" si="6"/>
        <v/>
      </c>
      <c r="V12" s="152" t="str">
        <f t="shared" si="7"/>
        <v/>
      </c>
      <c r="W12" s="153" t="str">
        <f t="shared" si="8"/>
        <v/>
      </c>
      <c r="X12" s="121"/>
      <c r="Y12" s="154"/>
      <c r="Z12" s="154"/>
      <c r="AA12" s="154"/>
      <c r="AB12" s="154"/>
      <c r="AC12" s="154"/>
      <c r="AD12" s="155"/>
      <c r="AE12" s="156"/>
      <c r="AF12" s="154"/>
      <c r="AG12" s="155"/>
      <c r="AH12" s="120"/>
      <c r="AI12" s="123">
        <v>7</v>
      </c>
      <c r="AJ12" s="159" t="str">
        <f t="shared" si="9"/>
        <v/>
      </c>
      <c r="AK12" s="159">
        <f t="shared" si="20"/>
        <v>0</v>
      </c>
      <c r="AL12" s="159">
        <f t="shared" si="10"/>
        <v>0</v>
      </c>
      <c r="AM12" s="159">
        <f t="shared" si="11"/>
        <v>0</v>
      </c>
      <c r="AN12" s="159">
        <f t="shared" si="12"/>
        <v>0</v>
      </c>
      <c r="AO12" s="159">
        <f t="shared" si="13"/>
        <v>0</v>
      </c>
      <c r="AP12" s="159">
        <f t="shared" si="14"/>
        <v>0</v>
      </c>
      <c r="AQ12" s="159" t="str">
        <f t="array" ref="AQ12">IF(ISERROR($AJ12),0,IF($AJ12="","",SUM(IF($AJ12=$AJ$6:$AJ12,IF($L$6:$L12=T_MNG,1,0),0))))</f>
        <v/>
      </c>
      <c r="AR12" s="160" t="str">
        <f t="shared" si="15"/>
        <v/>
      </c>
      <c r="AS12" s="160" t="str">
        <f t="shared" si="16"/>
        <v/>
      </c>
      <c r="AT12" s="160" t="str">
        <f t="shared" si="17"/>
        <v/>
      </c>
      <c r="AU12" s="160" t="str">
        <f t="shared" si="18"/>
        <v/>
      </c>
      <c r="AV12" s="102"/>
      <c r="AW12" s="102"/>
      <c r="AX12" s="102"/>
      <c r="AY12" s="102"/>
    </row>
    <row r="13" spans="1:51" ht="13.5" customHeight="1">
      <c r="A13" s="102"/>
      <c r="B13" s="114"/>
      <c r="C13" s="161">
        <v>8</v>
      </c>
      <c r="D13" s="162"/>
      <c r="E13" s="162"/>
      <c r="F13" s="163" t="str">
        <f>IF($E13&lt;&gt;"",IF($AJ13&lt;&gt;"",IF(AND($L13=T_Journey,VLOOKUP($AJ13,DBPlayers,2,0)&lt;12),T_Error&amp;"7",IF("Journeymen not available"=0,T_Error&amp;"8",IF(COUNTIF($E$6:$E13,$E13)-$AQ13&gt;VLOOKUP($AJ13,DBPlayers,2,0),T_Error&amp;"2",IF(L13=T_MNG,0,COUNTIF($E$6:$E13,$E13)-$AQ13)&amp;"/"&amp;(VLOOKUP($AJ13,DBPlayers,2,0))))),T_Error&amp;"1"),"")</f>
        <v/>
      </c>
      <c r="G13" s="164" t="str">
        <f t="shared" si="0"/>
        <v/>
      </c>
      <c r="H13" s="164" t="str">
        <f t="shared" si="1"/>
        <v/>
      </c>
      <c r="I13" s="164" t="str">
        <f t="shared" si="2"/>
        <v/>
      </c>
      <c r="J13" s="164" t="str">
        <f t="shared" si="3"/>
        <v/>
      </c>
      <c r="K13" s="167" t="str">
        <f t="shared" ca="1" si="4"/>
        <v/>
      </c>
      <c r="L13" s="168"/>
      <c r="M13" s="169"/>
      <c r="N13" s="170"/>
      <c r="O13" s="170"/>
      <c r="P13" s="170"/>
      <c r="Q13" s="170"/>
      <c r="R13" s="171" t="str">
        <f t="shared" si="5"/>
        <v/>
      </c>
      <c r="S13" s="172" t="str">
        <f t="shared" si="19"/>
        <v/>
      </c>
      <c r="T13" s="117"/>
      <c r="U13" s="152" t="str">
        <f t="shared" si="6"/>
        <v/>
      </c>
      <c r="V13" s="152" t="str">
        <f t="shared" si="7"/>
        <v/>
      </c>
      <c r="W13" s="153" t="str">
        <f t="shared" si="8"/>
        <v/>
      </c>
      <c r="X13" s="121"/>
      <c r="Y13" s="154"/>
      <c r="Z13" s="154"/>
      <c r="AA13" s="154"/>
      <c r="AB13" s="154"/>
      <c r="AC13" s="154"/>
      <c r="AD13" s="155"/>
      <c r="AE13" s="156"/>
      <c r="AF13" s="154"/>
      <c r="AG13" s="155"/>
      <c r="AH13" s="120"/>
      <c r="AI13" s="123">
        <v>8</v>
      </c>
      <c r="AJ13" s="159" t="str">
        <f t="shared" si="9"/>
        <v/>
      </c>
      <c r="AK13" s="159">
        <f t="shared" si="20"/>
        <v>0</v>
      </c>
      <c r="AL13" s="159">
        <f t="shared" si="10"/>
        <v>0</v>
      </c>
      <c r="AM13" s="159">
        <f t="shared" si="11"/>
        <v>0</v>
      </c>
      <c r="AN13" s="159">
        <f t="shared" si="12"/>
        <v>0</v>
      </c>
      <c r="AO13" s="159">
        <f t="shared" si="13"/>
        <v>0</v>
      </c>
      <c r="AP13" s="159">
        <f t="shared" si="14"/>
        <v>0</v>
      </c>
      <c r="AQ13" s="159" t="str">
        <f t="array" ref="AQ13">IF(ISERROR($AJ13),0,IF($AJ13="","",SUM(IF($AJ13=$AJ$6:$AJ13,IF($L$6:$L13=T_MNG,1,0),0))))</f>
        <v/>
      </c>
      <c r="AR13" s="160" t="str">
        <f t="shared" si="15"/>
        <v/>
      </c>
      <c r="AS13" s="160" t="str">
        <f t="shared" si="16"/>
        <v/>
      </c>
      <c r="AT13" s="160" t="str">
        <f t="shared" si="17"/>
        <v/>
      </c>
      <c r="AU13" s="160" t="str">
        <f t="shared" si="18"/>
        <v/>
      </c>
      <c r="AV13" s="102"/>
      <c r="AW13" s="102"/>
      <c r="AX13" s="102"/>
      <c r="AY13" s="102"/>
    </row>
    <row r="14" spans="1:51" ht="13.5" customHeight="1">
      <c r="A14" s="102"/>
      <c r="B14" s="114"/>
      <c r="C14" s="161">
        <v>9</v>
      </c>
      <c r="D14" s="162"/>
      <c r="E14" s="162"/>
      <c r="F14" s="163" t="str">
        <f>IF($E14&lt;&gt;"",IF($AJ14&lt;&gt;"",IF(AND($L14=T_Journey,VLOOKUP($AJ14,DBPlayers,2,0)&lt;12),T_Error&amp;"7",IF("Journeymen not available"=0,T_Error&amp;"8",IF(COUNTIF($E$6:$E14,$E14)-$AQ14&gt;VLOOKUP($AJ14,DBPlayers,2,0),T_Error&amp;"2",IF(L14=T_MNG,0,COUNTIF($E$6:$E14,$E14)-$AQ14)&amp;"/"&amp;(VLOOKUP($AJ14,DBPlayers,2,0))))),T_Error&amp;"1"),"")</f>
        <v/>
      </c>
      <c r="G14" s="164" t="str">
        <f t="shared" si="0"/>
        <v/>
      </c>
      <c r="H14" s="164" t="str">
        <f t="shared" si="1"/>
        <v/>
      </c>
      <c r="I14" s="164" t="str">
        <f t="shared" si="2"/>
        <v/>
      </c>
      <c r="J14" s="164" t="str">
        <f t="shared" si="3"/>
        <v/>
      </c>
      <c r="K14" s="167" t="str">
        <f t="shared" ca="1" si="4"/>
        <v/>
      </c>
      <c r="L14" s="168"/>
      <c r="M14" s="169"/>
      <c r="N14" s="170"/>
      <c r="O14" s="170"/>
      <c r="P14" s="170"/>
      <c r="Q14" s="170"/>
      <c r="R14" s="171" t="str">
        <f t="shared" si="5"/>
        <v/>
      </c>
      <c r="S14" s="172" t="str">
        <f t="shared" si="19"/>
        <v/>
      </c>
      <c r="T14" s="117"/>
      <c r="U14" s="152" t="str">
        <f t="shared" si="6"/>
        <v/>
      </c>
      <c r="V14" s="152" t="str">
        <f t="shared" si="7"/>
        <v/>
      </c>
      <c r="W14" s="153" t="str">
        <f t="shared" si="8"/>
        <v/>
      </c>
      <c r="X14" s="121"/>
      <c r="Y14" s="154"/>
      <c r="Z14" s="154"/>
      <c r="AA14" s="154"/>
      <c r="AB14" s="154"/>
      <c r="AC14" s="154"/>
      <c r="AD14" s="155"/>
      <c r="AE14" s="156"/>
      <c r="AF14" s="154"/>
      <c r="AG14" s="155"/>
      <c r="AH14" s="120"/>
      <c r="AI14" s="123">
        <v>9</v>
      </c>
      <c r="AJ14" s="159" t="str">
        <f t="shared" si="9"/>
        <v/>
      </c>
      <c r="AK14" s="159">
        <f t="shared" si="20"/>
        <v>0</v>
      </c>
      <c r="AL14" s="159">
        <f t="shared" si="10"/>
        <v>0</v>
      </c>
      <c r="AM14" s="159">
        <f t="shared" si="11"/>
        <v>0</v>
      </c>
      <c r="AN14" s="159">
        <f t="shared" si="12"/>
        <v>0</v>
      </c>
      <c r="AO14" s="159">
        <f t="shared" si="13"/>
        <v>0</v>
      </c>
      <c r="AP14" s="159">
        <f t="shared" si="14"/>
        <v>0</v>
      </c>
      <c r="AQ14" s="159" t="str">
        <f t="array" ref="AQ14">IF(ISERROR($AJ14),0,IF($AJ14="","",SUM(IF($AJ14=$AJ$6:$AJ14,IF($L$6:$L14=T_MNG,1,0),0))))</f>
        <v/>
      </c>
      <c r="AR14" s="160" t="str">
        <f t="shared" si="15"/>
        <v/>
      </c>
      <c r="AS14" s="160" t="str">
        <f t="shared" si="16"/>
        <v/>
      </c>
      <c r="AT14" s="160" t="str">
        <f t="shared" si="17"/>
        <v/>
      </c>
      <c r="AU14" s="160" t="str">
        <f t="shared" si="18"/>
        <v/>
      </c>
      <c r="AV14" s="102"/>
      <c r="AW14" s="102"/>
      <c r="AX14" s="102"/>
      <c r="AY14" s="102"/>
    </row>
    <row r="15" spans="1:51" ht="13.5" customHeight="1">
      <c r="A15" s="102"/>
      <c r="B15" s="114"/>
      <c r="C15" s="161">
        <v>10</v>
      </c>
      <c r="D15" s="162"/>
      <c r="E15" s="162"/>
      <c r="F15" s="163" t="str">
        <f>IF($E15&lt;&gt;"",IF($AJ15&lt;&gt;"",IF(AND($L15=T_Journey,VLOOKUP($AJ15,DBPlayers,2,0)&lt;12),T_Error&amp;"7",IF("Journeymen not available"=0,T_Error&amp;"8",IF(COUNTIF($E$6:$E15,$E15)-$AQ15&gt;VLOOKUP($AJ15,DBPlayers,2,0),T_Error&amp;"2",IF(L15=T_MNG,0,COUNTIF($E$6:$E15,$E15)-$AQ15)&amp;"/"&amp;(VLOOKUP($AJ15,DBPlayers,2,0))))),T_Error&amp;"1"),"")</f>
        <v/>
      </c>
      <c r="G15" s="164" t="str">
        <f t="shared" si="0"/>
        <v/>
      </c>
      <c r="H15" s="164" t="str">
        <f t="shared" si="1"/>
        <v/>
      </c>
      <c r="I15" s="164" t="str">
        <f t="shared" si="2"/>
        <v/>
      </c>
      <c r="J15" s="164" t="str">
        <f t="shared" si="3"/>
        <v/>
      </c>
      <c r="K15" s="167" t="str">
        <f t="shared" ca="1" si="4"/>
        <v/>
      </c>
      <c r="L15" s="168"/>
      <c r="M15" s="169"/>
      <c r="N15" s="170"/>
      <c r="O15" s="170"/>
      <c r="P15" s="170"/>
      <c r="Q15" s="170"/>
      <c r="R15" s="171" t="str">
        <f t="shared" si="5"/>
        <v/>
      </c>
      <c r="S15" s="172" t="str">
        <f t="shared" si="19"/>
        <v/>
      </c>
      <c r="T15" s="117"/>
      <c r="U15" s="152" t="str">
        <f t="shared" si="6"/>
        <v/>
      </c>
      <c r="V15" s="152" t="str">
        <f t="shared" si="7"/>
        <v/>
      </c>
      <c r="W15" s="153" t="str">
        <f t="shared" si="8"/>
        <v/>
      </c>
      <c r="X15" s="121"/>
      <c r="Y15" s="154"/>
      <c r="Z15" s="154"/>
      <c r="AA15" s="154"/>
      <c r="AB15" s="154"/>
      <c r="AC15" s="154"/>
      <c r="AD15" s="155"/>
      <c r="AE15" s="156"/>
      <c r="AF15" s="154"/>
      <c r="AG15" s="155"/>
      <c r="AH15" s="120"/>
      <c r="AI15" s="123">
        <v>10</v>
      </c>
      <c r="AJ15" s="159" t="str">
        <f t="shared" si="9"/>
        <v/>
      </c>
      <c r="AK15" s="159">
        <f t="shared" si="20"/>
        <v>0</v>
      </c>
      <c r="AL15" s="159">
        <f t="shared" si="10"/>
        <v>0</v>
      </c>
      <c r="AM15" s="159">
        <f t="shared" si="11"/>
        <v>0</v>
      </c>
      <c r="AN15" s="159">
        <f t="shared" si="12"/>
        <v>0</v>
      </c>
      <c r="AO15" s="159">
        <f t="shared" si="13"/>
        <v>0</v>
      </c>
      <c r="AP15" s="159">
        <f t="shared" si="14"/>
        <v>0</v>
      </c>
      <c r="AQ15" s="159" t="str">
        <f t="array" ref="AQ15">IF(ISERROR($AJ15),0,IF($AJ15="","",SUM(IF($AJ15=$AJ$6:$AJ15,IF($L$6:$L15=T_MNG,1,0),0))))</f>
        <v/>
      </c>
      <c r="AR15" s="160" t="str">
        <f t="shared" si="15"/>
        <v/>
      </c>
      <c r="AS15" s="160" t="str">
        <f t="shared" si="16"/>
        <v/>
      </c>
      <c r="AT15" s="160" t="str">
        <f t="shared" si="17"/>
        <v/>
      </c>
      <c r="AU15" s="160" t="str">
        <f t="shared" si="18"/>
        <v/>
      </c>
      <c r="AV15" s="102"/>
      <c r="AW15" s="102"/>
      <c r="AX15" s="102"/>
      <c r="AY15" s="102"/>
    </row>
    <row r="16" spans="1:51" ht="13.5" customHeight="1">
      <c r="A16" s="102"/>
      <c r="B16" s="114"/>
      <c r="C16" s="161">
        <v>11</v>
      </c>
      <c r="D16" s="162"/>
      <c r="E16" s="162"/>
      <c r="F16" s="163" t="str">
        <f>IF($E16&lt;&gt;"",IF($AJ16&lt;&gt;"",IF(AND($L16=T_Journey,VLOOKUP($AJ16,DBPlayers,2,0)&lt;12),T_Error&amp;"7",IF("Journeymen not available"=0,T_Error&amp;"8",IF(COUNTIF($E$6:$E16,$E16)-$AQ16&gt;VLOOKUP($AJ16,DBPlayers,2,0),T_Error&amp;"2",IF(L16=T_MNG,0,COUNTIF($E$6:$E16,$E16)-$AQ16)&amp;"/"&amp;(VLOOKUP($AJ16,DBPlayers,2,0))))),T_Error&amp;"1"),"")</f>
        <v/>
      </c>
      <c r="G16" s="164" t="str">
        <f t="shared" si="0"/>
        <v/>
      </c>
      <c r="H16" s="164" t="str">
        <f t="shared" si="1"/>
        <v/>
      </c>
      <c r="I16" s="164" t="str">
        <f t="shared" si="2"/>
        <v/>
      </c>
      <c r="J16" s="164" t="str">
        <f t="shared" si="3"/>
        <v/>
      </c>
      <c r="K16" s="167" t="str">
        <f t="shared" ca="1" si="4"/>
        <v/>
      </c>
      <c r="L16" s="168"/>
      <c r="M16" s="169"/>
      <c r="N16" s="170"/>
      <c r="O16" s="170"/>
      <c r="P16" s="170"/>
      <c r="Q16" s="170"/>
      <c r="R16" s="171" t="str">
        <f t="shared" si="5"/>
        <v/>
      </c>
      <c r="S16" s="172" t="str">
        <f t="shared" si="19"/>
        <v/>
      </c>
      <c r="T16" s="117"/>
      <c r="U16" s="152" t="str">
        <f t="shared" si="6"/>
        <v/>
      </c>
      <c r="V16" s="152" t="str">
        <f t="shared" si="7"/>
        <v/>
      </c>
      <c r="W16" s="153" t="str">
        <f t="shared" si="8"/>
        <v/>
      </c>
      <c r="X16" s="121"/>
      <c r="Y16" s="154"/>
      <c r="Z16" s="154"/>
      <c r="AA16" s="154"/>
      <c r="AB16" s="154"/>
      <c r="AC16" s="154"/>
      <c r="AD16" s="155"/>
      <c r="AE16" s="156"/>
      <c r="AF16" s="154"/>
      <c r="AG16" s="155"/>
      <c r="AH16" s="120"/>
      <c r="AI16" s="123">
        <v>11</v>
      </c>
      <c r="AJ16" s="159" t="str">
        <f t="shared" si="9"/>
        <v/>
      </c>
      <c r="AK16" s="159">
        <f t="shared" si="20"/>
        <v>0</v>
      </c>
      <c r="AL16" s="159">
        <f t="shared" si="10"/>
        <v>0</v>
      </c>
      <c r="AM16" s="159">
        <f t="shared" si="11"/>
        <v>0</v>
      </c>
      <c r="AN16" s="159">
        <f t="shared" si="12"/>
        <v>0</v>
      </c>
      <c r="AO16" s="159">
        <f t="shared" si="13"/>
        <v>0</v>
      </c>
      <c r="AP16" s="159">
        <f t="shared" si="14"/>
        <v>0</v>
      </c>
      <c r="AQ16" s="159" t="str">
        <f t="array" ref="AQ16">IF(ISERROR($AJ16),0,IF($AJ16="","",SUM(IF($AJ16=$AJ$6:$AJ16,IF($L$6:$L16=T_MNG,1,0),0))))</f>
        <v/>
      </c>
      <c r="AR16" s="160" t="str">
        <f t="shared" si="15"/>
        <v/>
      </c>
      <c r="AS16" s="160" t="str">
        <f t="shared" si="16"/>
        <v/>
      </c>
      <c r="AT16" s="160" t="str">
        <f t="shared" si="17"/>
        <v/>
      </c>
      <c r="AU16" s="160" t="str">
        <f t="shared" si="18"/>
        <v/>
      </c>
      <c r="AV16" s="102"/>
      <c r="AW16" s="102"/>
      <c r="AX16" s="102"/>
      <c r="AY16" s="102"/>
    </row>
    <row r="17" spans="1:51" ht="13.5" customHeight="1">
      <c r="A17" s="102"/>
      <c r="B17" s="114"/>
      <c r="C17" s="161">
        <v>12</v>
      </c>
      <c r="D17" s="162"/>
      <c r="E17" s="162"/>
      <c r="F17" s="163" t="str">
        <f>IF($E17&lt;&gt;"",IF($AJ17&lt;&gt;"",IF(AND($L17=T_Journey,VLOOKUP($AJ17,DBPlayers,2,0)&lt;12),T_Error&amp;"7",IF("Journeymen not available"=0,T_Error&amp;"8",IF(COUNTIF($E$6:$E17,$E17)-$AQ17&gt;VLOOKUP($AJ17,DBPlayers,2,0),T_Error&amp;"2",IF(L17=T_MNG,0,COUNTIF($E$6:$E17,$E17)-$AQ17)&amp;"/"&amp;(VLOOKUP($AJ17,DBPlayers,2,0))))),T_Error&amp;"1"),"")</f>
        <v/>
      </c>
      <c r="G17" s="164" t="str">
        <f t="shared" si="0"/>
        <v/>
      </c>
      <c r="H17" s="164" t="str">
        <f t="shared" si="1"/>
        <v/>
      </c>
      <c r="I17" s="164" t="str">
        <f t="shared" si="2"/>
        <v/>
      </c>
      <c r="J17" s="164" t="str">
        <f t="shared" si="3"/>
        <v/>
      </c>
      <c r="K17" s="167" t="str">
        <f t="shared" ca="1" si="4"/>
        <v/>
      </c>
      <c r="L17" s="168"/>
      <c r="M17" s="169"/>
      <c r="N17" s="170"/>
      <c r="O17" s="170"/>
      <c r="P17" s="170"/>
      <c r="Q17" s="170"/>
      <c r="R17" s="171" t="str">
        <f t="shared" si="5"/>
        <v/>
      </c>
      <c r="S17" s="172" t="str">
        <f t="shared" si="19"/>
        <v/>
      </c>
      <c r="T17" s="117"/>
      <c r="U17" s="152" t="str">
        <f t="shared" si="6"/>
        <v/>
      </c>
      <c r="V17" s="152" t="str">
        <f t="shared" si="7"/>
        <v/>
      </c>
      <c r="W17" s="153" t="str">
        <f t="shared" si="8"/>
        <v/>
      </c>
      <c r="X17" s="121"/>
      <c r="Y17" s="154"/>
      <c r="Z17" s="154"/>
      <c r="AA17" s="154"/>
      <c r="AB17" s="154"/>
      <c r="AC17" s="154"/>
      <c r="AD17" s="155"/>
      <c r="AE17" s="156"/>
      <c r="AF17" s="154"/>
      <c r="AG17" s="155"/>
      <c r="AH17" s="120"/>
      <c r="AI17" s="123">
        <v>12</v>
      </c>
      <c r="AJ17" s="159" t="str">
        <f t="shared" si="9"/>
        <v/>
      </c>
      <c r="AK17" s="159">
        <f t="shared" si="20"/>
        <v>0</v>
      </c>
      <c r="AL17" s="159">
        <f t="shared" si="10"/>
        <v>0</v>
      </c>
      <c r="AM17" s="159">
        <f t="shared" si="11"/>
        <v>0</v>
      </c>
      <c r="AN17" s="159">
        <f t="shared" si="12"/>
        <v>0</v>
      </c>
      <c r="AO17" s="159">
        <f t="shared" si="13"/>
        <v>0</v>
      </c>
      <c r="AP17" s="159">
        <f t="shared" si="14"/>
        <v>0</v>
      </c>
      <c r="AQ17" s="159" t="str">
        <f t="array" ref="AQ17">IF(ISERROR($AJ17),0,IF($AJ17="","",SUM(IF($AJ17=$AJ$6:$AJ17,IF($L$6:$L17=T_MNG,1,0),0))))</f>
        <v/>
      </c>
      <c r="AR17" s="160" t="str">
        <f t="shared" si="15"/>
        <v/>
      </c>
      <c r="AS17" s="160" t="str">
        <f t="shared" si="16"/>
        <v/>
      </c>
      <c r="AT17" s="160" t="str">
        <f t="shared" si="17"/>
        <v/>
      </c>
      <c r="AU17" s="160" t="str">
        <f t="shared" si="18"/>
        <v/>
      </c>
      <c r="AV17" s="102"/>
      <c r="AW17" s="102"/>
      <c r="AX17" s="102"/>
      <c r="AY17" s="102"/>
    </row>
    <row r="18" spans="1:51" ht="13.5" customHeight="1">
      <c r="A18" s="102"/>
      <c r="B18" s="114"/>
      <c r="C18" s="161">
        <v>13</v>
      </c>
      <c r="D18" s="162"/>
      <c r="E18" s="162"/>
      <c r="F18" s="163" t="str">
        <f>IF($E18&lt;&gt;"",IF($AJ18&lt;&gt;"",IF(AND($L18=T_Journey,VLOOKUP($AJ18,DBPlayers,2,0)&lt;12),T_Error&amp;"7",IF("Journeymen not available"=0,T_Error&amp;"8",IF(COUNTIF($E$6:$E18,$E18)-$AQ18&gt;VLOOKUP($AJ18,DBPlayers,2,0),T_Error&amp;"2",IF(L18=T_MNG,0,COUNTIF($E$6:$E18,$E18)-$AQ18)&amp;"/"&amp;(VLOOKUP($AJ18,DBPlayers,2,0))))),T_Error&amp;"1"),"")</f>
        <v/>
      </c>
      <c r="G18" s="164" t="str">
        <f t="shared" si="0"/>
        <v/>
      </c>
      <c r="H18" s="164" t="str">
        <f t="shared" si="1"/>
        <v/>
      </c>
      <c r="I18" s="164" t="str">
        <f t="shared" si="2"/>
        <v/>
      </c>
      <c r="J18" s="164" t="str">
        <f t="shared" si="3"/>
        <v/>
      </c>
      <c r="K18" s="167" t="str">
        <f t="shared" ca="1" si="4"/>
        <v/>
      </c>
      <c r="L18" s="168"/>
      <c r="M18" s="169"/>
      <c r="N18" s="170"/>
      <c r="O18" s="170"/>
      <c r="P18" s="170"/>
      <c r="Q18" s="170"/>
      <c r="R18" s="171" t="str">
        <f t="shared" si="5"/>
        <v/>
      </c>
      <c r="S18" s="172" t="str">
        <f t="shared" si="19"/>
        <v/>
      </c>
      <c r="T18" s="117"/>
      <c r="U18" s="152" t="str">
        <f t="shared" si="6"/>
        <v/>
      </c>
      <c r="V18" s="152" t="str">
        <f t="shared" si="7"/>
        <v/>
      </c>
      <c r="W18" s="153" t="str">
        <f t="shared" si="8"/>
        <v/>
      </c>
      <c r="X18" s="121"/>
      <c r="Y18" s="154"/>
      <c r="Z18" s="154"/>
      <c r="AA18" s="154"/>
      <c r="AB18" s="154"/>
      <c r="AC18" s="154"/>
      <c r="AD18" s="155"/>
      <c r="AE18" s="156"/>
      <c r="AF18" s="154"/>
      <c r="AG18" s="155"/>
      <c r="AH18" s="120"/>
      <c r="AI18" s="123">
        <v>13</v>
      </c>
      <c r="AJ18" s="159" t="str">
        <f t="shared" si="9"/>
        <v/>
      </c>
      <c r="AK18" s="159">
        <f t="shared" si="20"/>
        <v>0</v>
      </c>
      <c r="AL18" s="159">
        <f t="shared" si="10"/>
        <v>0</v>
      </c>
      <c r="AM18" s="159">
        <f t="shared" si="11"/>
        <v>0</v>
      </c>
      <c r="AN18" s="159">
        <f t="shared" si="12"/>
        <v>0</v>
      </c>
      <c r="AO18" s="159">
        <f t="shared" si="13"/>
        <v>0</v>
      </c>
      <c r="AP18" s="159">
        <f t="shared" si="14"/>
        <v>0</v>
      </c>
      <c r="AQ18" s="159" t="str">
        <f t="array" ref="AQ18">IF(ISERROR($AJ18),0,IF($AJ18="","",SUM(IF($AJ18=$AJ$6:$AJ18,IF($L$6:$L18=T_MNG,1,0),0))))</f>
        <v/>
      </c>
      <c r="AR18" s="160" t="str">
        <f t="shared" si="15"/>
        <v/>
      </c>
      <c r="AS18" s="160" t="str">
        <f t="shared" si="16"/>
        <v/>
      </c>
      <c r="AT18" s="160" t="str">
        <f t="shared" si="17"/>
        <v/>
      </c>
      <c r="AU18" s="160" t="str">
        <f t="shared" si="18"/>
        <v/>
      </c>
      <c r="AV18" s="102"/>
      <c r="AW18" s="102"/>
      <c r="AX18" s="102"/>
      <c r="AY18" s="102"/>
    </row>
    <row r="19" spans="1:51" ht="13.5" customHeight="1">
      <c r="A19" s="102"/>
      <c r="B19" s="114"/>
      <c r="C19" s="161">
        <v>14</v>
      </c>
      <c r="D19" s="162"/>
      <c r="E19" s="162"/>
      <c r="F19" s="163" t="str">
        <f>IF($E19&lt;&gt;"",IF($AJ19&lt;&gt;"",IF(AND($L19=T_Journey,VLOOKUP($AJ19,DBPlayers,2,0)&lt;12),T_Error&amp;"7",IF("Journeymen not available"=0,T_Error&amp;"8",IF(COUNTIF($E$6:$E19,$E19)-$AQ19&gt;VLOOKUP($AJ19,DBPlayers,2,0),T_Error&amp;"2",IF(L19=T_MNG,0,COUNTIF($E$6:$E19,$E19)-$AQ19)&amp;"/"&amp;(VLOOKUP($AJ19,DBPlayers,2,0))))),T_Error&amp;"1"),"")</f>
        <v/>
      </c>
      <c r="G19" s="164" t="str">
        <f t="shared" si="0"/>
        <v/>
      </c>
      <c r="H19" s="164" t="str">
        <f t="shared" si="1"/>
        <v/>
      </c>
      <c r="I19" s="164" t="str">
        <f t="shared" si="2"/>
        <v/>
      </c>
      <c r="J19" s="164" t="str">
        <f t="shared" si="3"/>
        <v/>
      </c>
      <c r="K19" s="167" t="str">
        <f t="shared" ca="1" si="4"/>
        <v/>
      </c>
      <c r="L19" s="168"/>
      <c r="M19" s="169"/>
      <c r="N19" s="170"/>
      <c r="O19" s="170"/>
      <c r="P19" s="170"/>
      <c r="Q19" s="170"/>
      <c r="R19" s="171" t="str">
        <f t="shared" si="5"/>
        <v/>
      </c>
      <c r="S19" s="172" t="str">
        <f t="shared" si="19"/>
        <v/>
      </c>
      <c r="T19" s="117"/>
      <c r="U19" s="152" t="str">
        <f t="shared" si="6"/>
        <v/>
      </c>
      <c r="V19" s="152" t="str">
        <f t="shared" si="7"/>
        <v/>
      </c>
      <c r="W19" s="153" t="str">
        <f t="shared" si="8"/>
        <v/>
      </c>
      <c r="X19" s="121"/>
      <c r="Y19" s="154"/>
      <c r="Z19" s="154"/>
      <c r="AA19" s="154"/>
      <c r="AB19" s="154"/>
      <c r="AC19" s="154"/>
      <c r="AD19" s="155"/>
      <c r="AE19" s="156"/>
      <c r="AF19" s="154"/>
      <c r="AG19" s="155"/>
      <c r="AH19" s="120"/>
      <c r="AI19" s="123">
        <v>14</v>
      </c>
      <c r="AJ19" s="159" t="str">
        <f t="shared" si="9"/>
        <v/>
      </c>
      <c r="AK19" s="159">
        <f t="shared" si="20"/>
        <v>0</v>
      </c>
      <c r="AL19" s="159">
        <f t="shared" si="10"/>
        <v>0</v>
      </c>
      <c r="AM19" s="159">
        <f t="shared" si="11"/>
        <v>0</v>
      </c>
      <c r="AN19" s="159">
        <f t="shared" si="12"/>
        <v>0</v>
      </c>
      <c r="AO19" s="159">
        <f t="shared" si="13"/>
        <v>0</v>
      </c>
      <c r="AP19" s="159">
        <f t="shared" si="14"/>
        <v>0</v>
      </c>
      <c r="AQ19" s="159" t="str">
        <f t="array" ref="AQ19">IF(ISERROR($AJ19),0,IF($AJ19="","",SUM(IF($AJ19=$AJ$6:$AJ19,IF($L$6:$L19=T_MNG,1,0),0))))</f>
        <v/>
      </c>
      <c r="AR19" s="160" t="str">
        <f t="shared" si="15"/>
        <v/>
      </c>
      <c r="AS19" s="160" t="str">
        <f t="shared" si="16"/>
        <v/>
      </c>
      <c r="AT19" s="160" t="str">
        <f t="shared" si="17"/>
        <v/>
      </c>
      <c r="AU19" s="160" t="str">
        <f t="shared" si="18"/>
        <v/>
      </c>
      <c r="AV19" s="102"/>
      <c r="AW19" s="102"/>
      <c r="AX19" s="102"/>
      <c r="AY19" s="102"/>
    </row>
    <row r="20" spans="1:51" ht="13.5" customHeight="1">
      <c r="A20" s="102"/>
      <c r="B20" s="114"/>
      <c r="C20" s="161">
        <v>15</v>
      </c>
      <c r="D20" s="162"/>
      <c r="E20" s="162"/>
      <c r="F20" s="163" t="str">
        <f>IF($E20&lt;&gt;"",IF($AJ20&lt;&gt;"",IF(AND($L20=T_Journey,VLOOKUP($AJ20,DBPlayers,2,0)&lt;12),T_Error&amp;"7",IF("Journeymen not available"=0,T_Error&amp;"8",IF(COUNTIF($E$6:$E20,$E20)-$AQ20&gt;VLOOKUP($AJ20,DBPlayers,2,0),T_Error&amp;"2",IF(L20=T_MNG,0,COUNTIF($E$6:$E20,$E20)-$AQ20)&amp;"/"&amp;(VLOOKUP($AJ20,DBPlayers,2,0))))),T_Error&amp;"1"),"")</f>
        <v/>
      </c>
      <c r="G20" s="164" t="str">
        <f t="shared" si="0"/>
        <v/>
      </c>
      <c r="H20" s="164" t="str">
        <f t="shared" si="1"/>
        <v/>
      </c>
      <c r="I20" s="164" t="str">
        <f t="shared" si="2"/>
        <v/>
      </c>
      <c r="J20" s="164" t="str">
        <f t="shared" si="3"/>
        <v/>
      </c>
      <c r="K20" s="167" t="str">
        <f t="shared" ca="1" si="4"/>
        <v/>
      </c>
      <c r="L20" s="168"/>
      <c r="M20" s="169"/>
      <c r="N20" s="170"/>
      <c r="O20" s="170"/>
      <c r="P20" s="170"/>
      <c r="Q20" s="170"/>
      <c r="R20" s="171" t="str">
        <f t="shared" si="5"/>
        <v/>
      </c>
      <c r="S20" s="172" t="str">
        <f t="shared" si="19"/>
        <v/>
      </c>
      <c r="T20" s="117"/>
      <c r="U20" s="152" t="str">
        <f t="shared" si="6"/>
        <v/>
      </c>
      <c r="V20" s="152" t="str">
        <f t="shared" si="7"/>
        <v/>
      </c>
      <c r="W20" s="153" t="str">
        <f t="shared" si="8"/>
        <v/>
      </c>
      <c r="X20" s="121"/>
      <c r="Y20" s="154"/>
      <c r="Z20" s="154"/>
      <c r="AA20" s="154"/>
      <c r="AB20" s="154"/>
      <c r="AC20" s="154"/>
      <c r="AD20" s="155"/>
      <c r="AE20" s="156"/>
      <c r="AF20" s="154"/>
      <c r="AG20" s="155"/>
      <c r="AH20" s="120"/>
      <c r="AI20" s="123">
        <v>15</v>
      </c>
      <c r="AJ20" s="159" t="str">
        <f t="shared" si="9"/>
        <v/>
      </c>
      <c r="AK20" s="159">
        <f t="shared" si="20"/>
        <v>0</v>
      </c>
      <c r="AL20" s="159">
        <f t="shared" si="10"/>
        <v>0</v>
      </c>
      <c r="AM20" s="159">
        <f t="shared" si="11"/>
        <v>0</v>
      </c>
      <c r="AN20" s="159">
        <f t="shared" si="12"/>
        <v>0</v>
      </c>
      <c r="AO20" s="159">
        <f t="shared" si="13"/>
        <v>0</v>
      </c>
      <c r="AP20" s="159">
        <f t="shared" si="14"/>
        <v>0</v>
      </c>
      <c r="AQ20" s="159" t="str">
        <f t="array" ref="AQ20">IF(ISERROR($AJ20),0,IF($AJ20="","",SUM(IF($AJ20=$AJ$6:$AJ20,IF($L$6:$L20=T_MNG,1,0),0))))</f>
        <v/>
      </c>
      <c r="AR20" s="160" t="str">
        <f t="shared" si="15"/>
        <v/>
      </c>
      <c r="AS20" s="160" t="str">
        <f t="shared" si="16"/>
        <v/>
      </c>
      <c r="AT20" s="160" t="str">
        <f t="shared" si="17"/>
        <v/>
      </c>
      <c r="AU20" s="160" t="str">
        <f t="shared" si="18"/>
        <v/>
      </c>
      <c r="AV20" s="102"/>
      <c r="AW20" s="102"/>
      <c r="AX20" s="102"/>
      <c r="AY20" s="102"/>
    </row>
    <row r="21" spans="1:51" ht="13.5" customHeight="1">
      <c r="A21" s="102"/>
      <c r="B21" s="114"/>
      <c r="C21" s="176">
        <v>16</v>
      </c>
      <c r="D21" s="175"/>
      <c r="E21" s="175"/>
      <c r="F21" s="177" t="str">
        <f>IF($E21&lt;&gt;"",IF($AJ21&lt;&gt;"",IF(AND($L21=T_Journey,VLOOKUP($AJ21,DBPlayers,2,0)&lt;12),T_Error&amp;"7",IF("Journeymen not available"=0,T_Error&amp;"8",IF(COUNTIF($E$6:$E21,$E21)-$AQ21&gt;VLOOKUP($AJ21,DBPlayers,2,0),T_Error&amp;"2",IF(L21=T_MNG,0,COUNTIF($E$6:$E21,$E21)-$AQ21)&amp;"/"&amp;(VLOOKUP($AJ21,DBPlayers,2,0))))),T_Error&amp;"1"),"")</f>
        <v/>
      </c>
      <c r="G21" s="178" t="str">
        <f t="shared" si="0"/>
        <v/>
      </c>
      <c r="H21" s="178" t="str">
        <f t="shared" si="1"/>
        <v/>
      </c>
      <c r="I21" s="178" t="str">
        <f t="shared" si="2"/>
        <v/>
      </c>
      <c r="J21" s="178" t="str">
        <f t="shared" si="3"/>
        <v/>
      </c>
      <c r="K21" s="179" t="str">
        <f t="shared" ca="1" si="4"/>
        <v/>
      </c>
      <c r="L21" s="180"/>
      <c r="M21" s="181"/>
      <c r="N21" s="182"/>
      <c r="O21" s="182"/>
      <c r="P21" s="182"/>
      <c r="Q21" s="182"/>
      <c r="R21" s="183" t="str">
        <f t="shared" si="5"/>
        <v/>
      </c>
      <c r="S21" s="184" t="str">
        <f t="shared" si="19"/>
        <v/>
      </c>
      <c r="T21" s="117"/>
      <c r="U21" s="152" t="str">
        <f t="shared" si="6"/>
        <v/>
      </c>
      <c r="V21" s="152" t="str">
        <f t="shared" si="7"/>
        <v/>
      </c>
      <c r="W21" s="153" t="str">
        <f t="shared" si="8"/>
        <v/>
      </c>
      <c r="X21" s="121"/>
      <c r="Y21" s="154"/>
      <c r="Z21" s="154"/>
      <c r="AA21" s="154"/>
      <c r="AB21" s="154"/>
      <c r="AC21" s="154"/>
      <c r="AD21" s="185"/>
      <c r="AE21" s="186"/>
      <c r="AF21" s="154"/>
      <c r="AG21" s="185"/>
      <c r="AH21" s="120"/>
      <c r="AI21" s="123">
        <v>16</v>
      </c>
      <c r="AJ21" s="159" t="str">
        <f t="shared" si="9"/>
        <v/>
      </c>
      <c r="AK21" s="159">
        <f t="shared" si="20"/>
        <v>0</v>
      </c>
      <c r="AL21" s="159">
        <f t="shared" si="10"/>
        <v>0</v>
      </c>
      <c r="AM21" s="159">
        <f t="shared" si="11"/>
        <v>0</v>
      </c>
      <c r="AN21" s="159">
        <f t="shared" si="12"/>
        <v>0</v>
      </c>
      <c r="AO21" s="159">
        <f t="shared" si="13"/>
        <v>0</v>
      </c>
      <c r="AP21" s="159">
        <f t="shared" si="14"/>
        <v>0</v>
      </c>
      <c r="AQ21" s="159" t="str">
        <f t="array" ref="AQ21">IF(ISERROR($AJ21),0,IF($AJ21="","",SUM(IF($AJ21=$AJ$6:$AJ21,IF($L$6:$L21=T_MNG,1,0),0))))</f>
        <v/>
      </c>
      <c r="AR21" s="160" t="str">
        <f t="shared" si="15"/>
        <v/>
      </c>
      <c r="AS21" s="160" t="str">
        <f t="shared" si="16"/>
        <v/>
      </c>
      <c r="AT21" s="160" t="str">
        <f t="shared" si="17"/>
        <v/>
      </c>
      <c r="AU21" s="160" t="str">
        <f t="shared" si="18"/>
        <v/>
      </c>
      <c r="AV21" s="102"/>
      <c r="AW21" s="102"/>
      <c r="AX21" s="102"/>
      <c r="AY21" s="102"/>
    </row>
    <row r="22" spans="1:51" ht="18" customHeight="1">
      <c r="A22" s="102"/>
      <c r="B22" s="114"/>
      <c r="C22" s="187"/>
      <c r="D22" s="188"/>
      <c r="E22" s="189" t="s">
        <v>186</v>
      </c>
      <c r="F22" s="190" t="str">
        <f>COUNTIF(S6:S21,"&gt;0")&amp;"/16"</f>
        <v>0/16</v>
      </c>
      <c r="G22" s="191"/>
      <c r="H22" s="192" t="str">
        <f>IF(AND(AQ22&gt;0,AQ22+AM22&gt;11),T_Error8,IF(AM22&lt;11,AQ22&amp;" / "&amp;11-AM22&amp;" "&amp;T_AllowedJourney,""))</f>
        <v>0 / 11 allowed Journeymen used</v>
      </c>
      <c r="I22" s="190"/>
      <c r="J22" s="190"/>
      <c r="K22" s="193"/>
      <c r="L22" s="189" t="s">
        <v>187</v>
      </c>
      <c r="M22" s="190">
        <f t="shared" ref="M22:Q22" si="21">SUMIF($R$6:$R$21,"&gt;=0",M$6:M$21)</f>
        <v>0</v>
      </c>
      <c r="N22" s="190">
        <f t="shared" si="21"/>
        <v>0</v>
      </c>
      <c r="O22" s="190">
        <f t="shared" si="21"/>
        <v>0</v>
      </c>
      <c r="P22" s="190">
        <f t="shared" si="21"/>
        <v>0</v>
      </c>
      <c r="Q22" s="190">
        <f t="shared" si="21"/>
        <v>0</v>
      </c>
      <c r="R22" s="190">
        <f t="shared" ref="R22:S22" si="22">SUM(R6:R21)</f>
        <v>0</v>
      </c>
      <c r="S22" s="194">
        <f t="shared" si="22"/>
        <v>0</v>
      </c>
      <c r="T22" s="117"/>
      <c r="U22" s="195"/>
      <c r="V22" s="196"/>
      <c r="W22" s="197"/>
      <c r="X22" s="198"/>
      <c r="Y22" s="198"/>
      <c r="Z22" s="198"/>
      <c r="AA22" s="198"/>
      <c r="AB22" s="198"/>
      <c r="AC22" s="198"/>
      <c r="AD22" s="198"/>
      <c r="AE22" s="198"/>
      <c r="AF22" s="198"/>
      <c r="AG22" s="198"/>
      <c r="AH22" s="102"/>
      <c r="AI22" s="123"/>
      <c r="AJ22" s="102"/>
      <c r="AK22" s="102"/>
      <c r="AL22" s="199" t="s">
        <v>188</v>
      </c>
      <c r="AM22" s="200">
        <f>COUNTIF($S$6:$S$21,"&gt;0")-$AQ$22</f>
        <v>0</v>
      </c>
      <c r="AN22" s="123"/>
      <c r="AO22" s="123"/>
      <c r="AP22" s="199" t="s">
        <v>189</v>
      </c>
      <c r="AQ22" s="159">
        <f t="array" ref="AQ22">SUM(IF(L6:L21=T_Journey,IF(S6:S21&lt;&gt;"",1,0),0))</f>
        <v>0</v>
      </c>
      <c r="AR22" s="105"/>
      <c r="AS22" s="105"/>
      <c r="AT22" s="105"/>
      <c r="AU22" s="105"/>
      <c r="AV22" s="102"/>
      <c r="AW22" s="102"/>
      <c r="AX22" s="102"/>
      <c r="AY22" s="102"/>
    </row>
    <row r="23" spans="1:51" ht="3" customHeight="1">
      <c r="A23" s="102"/>
      <c r="B23" s="107"/>
      <c r="C23" s="108"/>
      <c r="D23" s="109"/>
      <c r="E23" s="109"/>
      <c r="F23" s="110"/>
      <c r="G23" s="108"/>
      <c r="H23" s="108"/>
      <c r="I23" s="108"/>
      <c r="J23" s="108"/>
      <c r="K23" s="109"/>
      <c r="L23" s="109"/>
      <c r="M23" s="109"/>
      <c r="N23" s="109"/>
      <c r="O23" s="109"/>
      <c r="P23" s="109"/>
      <c r="Q23" s="109"/>
      <c r="R23" s="109"/>
      <c r="S23" s="201"/>
      <c r="T23" s="111"/>
      <c r="U23" s="121"/>
      <c r="V23" s="202"/>
      <c r="W23" s="121"/>
      <c r="X23" s="121"/>
      <c r="Y23" s="102"/>
      <c r="Z23" s="113"/>
      <c r="AA23" s="113"/>
      <c r="AB23" s="102"/>
      <c r="AC23" s="102"/>
      <c r="AD23" s="102"/>
      <c r="AE23" s="102"/>
      <c r="AF23" s="102"/>
      <c r="AG23" s="102"/>
      <c r="AH23" s="102"/>
      <c r="AI23" s="123"/>
      <c r="AJ23" s="123"/>
      <c r="AK23" s="123"/>
      <c r="AL23" s="123"/>
      <c r="AM23" s="123"/>
      <c r="AN23" s="123"/>
      <c r="AO23" s="123"/>
      <c r="AP23" s="123"/>
      <c r="AQ23" s="123"/>
      <c r="AR23" s="105"/>
      <c r="AS23" s="105"/>
      <c r="AT23" s="105"/>
      <c r="AU23" s="105"/>
      <c r="AV23" s="102"/>
      <c r="AW23" s="102"/>
      <c r="AX23" s="102"/>
      <c r="AY23" s="102"/>
    </row>
    <row r="24" spans="1:51" ht="13.5" customHeight="1">
      <c r="A24" s="102"/>
      <c r="B24" s="114"/>
      <c r="C24" s="203"/>
      <c r="D24" s="351" t="s">
        <v>190</v>
      </c>
      <c r="E24" s="316"/>
      <c r="F24" s="127" t="s">
        <v>142</v>
      </c>
      <c r="G24" s="127" t="str">
        <f>T_MA</f>
        <v>MA</v>
      </c>
      <c r="H24" s="127" t="str">
        <f>T_ST</f>
        <v>ST</v>
      </c>
      <c r="I24" s="127" t="str">
        <f>T_AG</f>
        <v>AG</v>
      </c>
      <c r="J24" s="127" t="str">
        <f>T_AV</f>
        <v>AV</v>
      </c>
      <c r="K24" s="348" t="s">
        <v>191</v>
      </c>
      <c r="L24" s="316"/>
      <c r="M24" s="316"/>
      <c r="N24" s="316"/>
      <c r="O24" s="316"/>
      <c r="P24" s="316"/>
      <c r="Q24" s="316"/>
      <c r="R24" s="316"/>
      <c r="S24" s="204"/>
      <c r="T24" s="117"/>
      <c r="U24" s="133" t="s">
        <v>146</v>
      </c>
      <c r="V24" s="341" t="s">
        <v>192</v>
      </c>
      <c r="W24" s="316"/>
      <c r="X24" s="121"/>
      <c r="Y24" s="113"/>
      <c r="Z24" s="102"/>
      <c r="AA24" s="102"/>
      <c r="AB24" s="102"/>
      <c r="AC24" s="102"/>
      <c r="AD24" s="102"/>
      <c r="AE24" s="102"/>
      <c r="AF24" s="102"/>
      <c r="AG24" s="102"/>
      <c r="AH24" s="102"/>
      <c r="AI24" s="123"/>
      <c r="AJ24" s="123"/>
      <c r="AK24" s="123"/>
      <c r="AL24" s="123"/>
      <c r="AM24" s="123"/>
      <c r="AN24" s="123"/>
      <c r="AO24" s="123"/>
      <c r="AP24" s="141"/>
      <c r="AQ24" s="141" t="s">
        <v>160</v>
      </c>
      <c r="AR24" s="105"/>
      <c r="AS24" s="105"/>
      <c r="AT24" s="105"/>
      <c r="AU24" s="105"/>
      <c r="AV24" s="102"/>
      <c r="AW24" s="102"/>
      <c r="AX24" s="102"/>
      <c r="AY24" s="102"/>
    </row>
    <row r="25" spans="1:51" ht="13.5" customHeight="1">
      <c r="A25" s="102"/>
      <c r="B25" s="114"/>
      <c r="C25" s="115"/>
      <c r="D25" s="346"/>
      <c r="E25" s="316"/>
      <c r="F25" s="205" t="str">
        <f>IF($D25="","",IF($AJ25="",T_Error&amp;"1",IF(COUNTIF($D$25:$D25,"&lt;&gt;")&gt;$R$31,T_Error&amp;"3",IF(ISERROR(FIND(T_Merc,$D25)),IF(COUNTIF($D$25:$D25,D25)&gt;1,T_Error&amp;"4",IF(COUNTIF($AJ$25:$AJ25,"=Star")&gt;2,T_Error&amp;"5",IF(AND($D25=Brick,$F$31&lt;&gt;"1/1"),T_Error&amp;"6","1/1"))),IF(COUNTIF($AJ$6:$AJ25,$AJ25)-$AQ25&gt;VLOOKUP($AJ25,DBPlayers,2,0)+VLOOKUP($AJ25,$AL$58:$AM$67,2,0),T_Error&amp;"2",COUNTIF($AJ$6:$AJ25,$AJ25)-$AQ25&amp;"/"&amp;(VLOOKUP($AJ25,DBPlayers,2,0)))))))</f>
        <v/>
      </c>
      <c r="G25" s="205" t="str">
        <f t="shared" ref="G25:G30" si="23">IF(OR(LEFT($F25,LEN(T_Error))=T_Error,$D25=""),"",IF(ISERROR(FIND(T_Merc,$D25)),VLOOKUP($D25,DBStars,2,0),VLOOKUP($AJ25,DBPlayers,4,0)))</f>
        <v/>
      </c>
      <c r="H25" s="205" t="str">
        <f t="shared" ref="H25:H30" si="24">IF(OR(LEFT($F25,LEN(T_Error))=T_Error,$D25=""),"",IF(ISERROR(FIND(T_Merc,$D25)),VLOOKUP($D25,DBStars,3,0),VLOOKUP($AJ25,DBPlayers,5,0)))</f>
        <v/>
      </c>
      <c r="I25" s="205" t="str">
        <f t="shared" ref="I25:I30" si="25">IF(OR(LEFT($F25,LEN(T_Error))=T_Error,$D25=""),"",IF(ISERROR(FIND(T_Merc,$D25)),VLOOKUP($D25,DBStars,4,0),VLOOKUP($AJ25,DBPlayers,6,0)))</f>
        <v/>
      </c>
      <c r="J25" s="205" t="str">
        <f t="shared" ref="J25:J30" si="26">IF(OR(LEFT($F25,LEN(T_Error))=T_Error,$D25=""),"",IF(ISERROR(FIND(T_Merc,$D25)),VLOOKUP($D25,DBStars,5,0),VLOOKUP($AJ25,DBPlayers,7,0)))</f>
        <v/>
      </c>
      <c r="K25" s="347" t="str">
        <f t="shared" ref="K25:K30" ca="1" si="27">IF($D25="","",IF(LEFT($F25,LEN(T_Error))=T_Error,INDIRECT("T_Error"&amp;RIGHT($F25,1)),IF(ISERROR(FIND(T_Merc,$D25)),VLOOKUP($D25,DBStars,6,0),T_Loner&amp;", "&amp;VLOOKUP($AJ25,DBPlayers,8,0)&amp;IF($V25="","",", "&amp;$V25))))</f>
        <v/>
      </c>
      <c r="L25" s="316"/>
      <c r="M25" s="316"/>
      <c r="N25" s="316"/>
      <c r="O25" s="316"/>
      <c r="P25" s="316"/>
      <c r="Q25" s="316"/>
      <c r="R25" s="316"/>
      <c r="S25" s="206" t="str">
        <f t="shared" ref="S25:S30" si="28">IF(OR(LEFT($F25,LEN(T_Error))=T_Error,$D25=""),"",IF(ISERROR(FIND(T_Merc,$D25)),VLOOKUP($D25,DBStars,7,0),VLOOKUP($AJ25,DBPlayers,11,0)+30000+IF(V25&lt;&gt;"",50000,0)))</f>
        <v/>
      </c>
      <c r="T25" s="117"/>
      <c r="U25" s="207" t="str">
        <f t="shared" ref="U25:U30" si="29">IF(OR(LEFT($F25,LEN(T_Error))=T_Error,$D25=""),"",IF(ISERROR(FIND("Mercenary",$D25)),"none",VLOOKUP($AJ25,DBPlayers,9,0)))</f>
        <v/>
      </c>
      <c r="V25" s="334"/>
      <c r="W25" s="316"/>
      <c r="X25" s="121"/>
      <c r="Y25" s="102"/>
      <c r="Z25" s="102"/>
      <c r="AA25" s="102"/>
      <c r="AB25" s="102"/>
      <c r="AC25" s="102"/>
      <c r="AD25" s="102"/>
      <c r="AE25" s="102"/>
      <c r="AF25" s="102"/>
      <c r="AG25" s="102"/>
      <c r="AH25" s="102"/>
      <c r="AI25" s="199" t="s">
        <v>193</v>
      </c>
      <c r="AJ25" s="159" t="str">
        <f t="shared" ref="AJ25:AJ30" si="30">IF(ISERROR(VLOOKUP(MID($D25,1,LEN($D25)-LEN(" Mercenary")),$AJ$58:$AL$67,3,0)),IF(ISERROR(VLOOKUP(D25,AK48:AK57,1,0)),"","Star"),VLOOKUP(MID($D25,1,LEN($D25)-LEN(" Mercenary")),$AJ$58:$AL$67,3,0))</f>
        <v/>
      </c>
      <c r="AK25" s="123"/>
      <c r="AL25" s="123"/>
      <c r="AM25" s="123"/>
      <c r="AN25" s="123"/>
      <c r="AO25" s="123"/>
      <c r="AP25" s="123"/>
      <c r="AQ25" s="159" t="str">
        <f t="array" ref="AQ25">IF($AJ25&lt;&gt;"",SUM(IF($AJ25=$AJ$6:$AJ25,IF($L$6:$L25=T_MNG,1,0),0)),"")</f>
        <v/>
      </c>
      <c r="AR25" s="105"/>
      <c r="AS25" s="105"/>
      <c r="AT25" s="105"/>
      <c r="AU25" s="105"/>
      <c r="AV25" s="102"/>
      <c r="AW25" s="102"/>
      <c r="AX25" s="102"/>
      <c r="AY25" s="102"/>
    </row>
    <row r="26" spans="1:51" ht="13.5" customHeight="1">
      <c r="A26" s="102"/>
      <c r="B26" s="114"/>
      <c r="C26" s="208"/>
      <c r="D26" s="346"/>
      <c r="E26" s="316"/>
      <c r="F26" s="205" t="str">
        <f>IF($D26="","",IF($AJ26="",T_Error&amp;"1",IF(COUNTIF($D$25:$D26,"&lt;&gt;")&gt;$R$31,T_Error&amp;"3",IF(ISERROR(FIND(T_Merc,$D26)),IF(COUNTIF($D$25:$D26,D26)&gt;1,T_Error&amp;"4",IF(COUNTIF($AJ$25:$AJ26,"=Star")&gt;2,T_Error&amp;"5",IF(AND($D26=Brick,$F$31&lt;&gt;"1/1"),T_Error&amp;"6","1/1"))),IF(COUNTIF($AJ$6:$AJ26,$AJ26)-$AQ26&gt;VLOOKUP($AJ26,DBPlayers,2,0)+VLOOKUP($AJ26,$AL$58:$AM$67,2,0),T_Error&amp;"2",COUNTIF($AJ$6:$AJ26,$AJ26)-$AQ26&amp;"/"&amp;(VLOOKUP($AJ26,DBPlayers,2,0)))))))</f>
        <v/>
      </c>
      <c r="G26" s="205" t="str">
        <f t="shared" si="23"/>
        <v/>
      </c>
      <c r="H26" s="205" t="str">
        <f t="shared" si="24"/>
        <v/>
      </c>
      <c r="I26" s="205" t="str">
        <f t="shared" si="25"/>
        <v/>
      </c>
      <c r="J26" s="205" t="str">
        <f t="shared" si="26"/>
        <v/>
      </c>
      <c r="K26" s="347" t="str">
        <f t="shared" ca="1" si="27"/>
        <v/>
      </c>
      <c r="L26" s="316"/>
      <c r="M26" s="316"/>
      <c r="N26" s="316"/>
      <c r="O26" s="316"/>
      <c r="P26" s="316"/>
      <c r="Q26" s="316"/>
      <c r="R26" s="316"/>
      <c r="S26" s="206" t="str">
        <f t="shared" si="28"/>
        <v/>
      </c>
      <c r="T26" s="117"/>
      <c r="U26" s="207" t="str">
        <f t="shared" si="29"/>
        <v/>
      </c>
      <c r="V26" s="334"/>
      <c r="W26" s="316"/>
      <c r="X26" s="121"/>
      <c r="Y26" s="102"/>
      <c r="Z26" s="102"/>
      <c r="AA26" s="102"/>
      <c r="AB26" s="102"/>
      <c r="AC26" s="102"/>
      <c r="AD26" s="102"/>
      <c r="AE26" s="102"/>
      <c r="AF26" s="102"/>
      <c r="AG26" s="102"/>
      <c r="AH26" s="102"/>
      <c r="AI26" s="199" t="s">
        <v>194</v>
      </c>
      <c r="AJ26" s="159" t="str">
        <f t="shared" si="30"/>
        <v/>
      </c>
      <c r="AK26" s="123"/>
      <c r="AL26" s="123"/>
      <c r="AM26" s="123"/>
      <c r="AN26" s="123"/>
      <c r="AO26" s="123"/>
      <c r="AP26" s="123"/>
      <c r="AQ26" s="159" t="str">
        <f t="array" ref="AQ26">IF($AJ26&lt;&gt;"",SUM(IF($AJ26=$AJ$6:$AJ26,IF($L$6:$L26=T_MNG,1,0),0)),"")</f>
        <v/>
      </c>
      <c r="AR26" s="105"/>
      <c r="AS26" s="105"/>
      <c r="AT26" s="105"/>
      <c r="AU26" s="105"/>
      <c r="AV26" s="102"/>
      <c r="AW26" s="102"/>
      <c r="AX26" s="102"/>
      <c r="AY26" s="102"/>
    </row>
    <row r="27" spans="1:51" ht="13.5" customHeight="1">
      <c r="A27" s="102"/>
      <c r="B27" s="114"/>
      <c r="C27" s="208"/>
      <c r="D27" s="346"/>
      <c r="E27" s="316"/>
      <c r="F27" s="205" t="str">
        <f>IF($D27="","",IF($AJ27="",T_Error&amp;"1",IF(COUNTIF($D$25:$D27,"&lt;&gt;")&gt;$R$31,T_Error&amp;"3",IF(ISERROR(FIND(T_Merc,$D27)),IF(COUNTIF($D$25:$D27,D27)&gt;1,T_Error&amp;"4",IF(COUNTIF($AJ$25:$AJ27,"=Star")&gt;2,T_Error&amp;"5",IF(AND($D27=Brick,$F$31&lt;&gt;"1/1"),T_Error&amp;"6","1/1"))),IF(COUNTIF($AJ$6:$AJ27,$AJ27)-$AQ27&gt;VLOOKUP($AJ27,DBPlayers,2,0)+VLOOKUP($AJ27,$AL$58:$AM$67,2,0),T_Error&amp;"2",COUNTIF($AJ$6:$AJ27,$AJ27)-$AQ27&amp;"/"&amp;(VLOOKUP($AJ27,DBPlayers,2,0)))))))</f>
        <v/>
      </c>
      <c r="G27" s="205" t="str">
        <f t="shared" si="23"/>
        <v/>
      </c>
      <c r="H27" s="205" t="str">
        <f t="shared" si="24"/>
        <v/>
      </c>
      <c r="I27" s="205" t="str">
        <f t="shared" si="25"/>
        <v/>
      </c>
      <c r="J27" s="205" t="str">
        <f t="shared" si="26"/>
        <v/>
      </c>
      <c r="K27" s="347" t="str">
        <f t="shared" ca="1" si="27"/>
        <v/>
      </c>
      <c r="L27" s="316"/>
      <c r="M27" s="316"/>
      <c r="N27" s="316"/>
      <c r="O27" s="316"/>
      <c r="P27" s="316"/>
      <c r="Q27" s="316"/>
      <c r="R27" s="316"/>
      <c r="S27" s="206" t="str">
        <f t="shared" si="28"/>
        <v/>
      </c>
      <c r="T27" s="117"/>
      <c r="U27" s="207" t="str">
        <f t="shared" si="29"/>
        <v/>
      </c>
      <c r="V27" s="334"/>
      <c r="W27" s="316"/>
      <c r="X27" s="121"/>
      <c r="Y27" s="102"/>
      <c r="Z27" s="102"/>
      <c r="AA27" s="102"/>
      <c r="AB27" s="102"/>
      <c r="AC27" s="102"/>
      <c r="AD27" s="102"/>
      <c r="AE27" s="102"/>
      <c r="AF27" s="102"/>
      <c r="AG27" s="102"/>
      <c r="AH27" s="102"/>
      <c r="AI27" s="199" t="s">
        <v>195</v>
      </c>
      <c r="AJ27" s="159" t="str">
        <f t="shared" si="30"/>
        <v/>
      </c>
      <c r="AK27" s="123"/>
      <c r="AL27" s="123"/>
      <c r="AM27" s="123"/>
      <c r="AN27" s="123"/>
      <c r="AO27" s="123"/>
      <c r="AP27" s="123"/>
      <c r="AQ27" s="159" t="str">
        <f t="array" ref="AQ27">IF($AJ27&lt;&gt;"",SUM(IF($AJ27=$AJ$6:$AJ27,IF($L$6:$L27=T_MNG,1,0),0)),"")</f>
        <v/>
      </c>
      <c r="AR27" s="105"/>
      <c r="AS27" s="105"/>
      <c r="AT27" s="105"/>
      <c r="AU27" s="105"/>
      <c r="AV27" s="102"/>
      <c r="AW27" s="102"/>
      <c r="AX27" s="102"/>
      <c r="AY27" s="102"/>
    </row>
    <row r="28" spans="1:51" ht="13.5" customHeight="1">
      <c r="A28" s="102"/>
      <c r="B28" s="114"/>
      <c r="C28" s="187"/>
      <c r="D28" s="346"/>
      <c r="E28" s="316"/>
      <c r="F28" s="205" t="str">
        <f>IF($D28="","",IF($AJ28="",T_Error&amp;"1",IF(COUNTIF($D$25:$D28,"&lt;&gt;")&gt;$R$31,T_Error&amp;"3",IF(ISERROR(FIND(T_Merc,$D28)),IF(COUNTIF($D$25:$D28,D28)&gt;1,T_Error&amp;"4",IF(COUNTIF($AJ$25:$AJ28,"=Star")&gt;2,T_Error&amp;"5",IF(AND($D28=Brick,$F$31&lt;&gt;"1/1"),T_Error&amp;"6","1/1"))),IF(COUNTIF($AJ$6:$AJ28,$AJ28)-$AQ28&gt;VLOOKUP($AJ28,DBPlayers,2,0)+VLOOKUP($AJ28,$AL$58:$AM$67,2,0),T_Error&amp;"2",COUNTIF($AJ$6:$AJ28,$AJ28)-$AQ28&amp;"/"&amp;(VLOOKUP($AJ28,DBPlayers,2,0)))))))</f>
        <v/>
      </c>
      <c r="G28" s="205" t="str">
        <f t="shared" si="23"/>
        <v/>
      </c>
      <c r="H28" s="205" t="str">
        <f t="shared" si="24"/>
        <v/>
      </c>
      <c r="I28" s="205" t="str">
        <f t="shared" si="25"/>
        <v/>
      </c>
      <c r="J28" s="205" t="str">
        <f t="shared" si="26"/>
        <v/>
      </c>
      <c r="K28" s="347" t="str">
        <f t="shared" ca="1" si="27"/>
        <v/>
      </c>
      <c r="L28" s="316"/>
      <c r="M28" s="316"/>
      <c r="N28" s="316"/>
      <c r="O28" s="316"/>
      <c r="P28" s="316"/>
      <c r="Q28" s="316"/>
      <c r="R28" s="316"/>
      <c r="S28" s="206" t="str">
        <f t="shared" si="28"/>
        <v/>
      </c>
      <c r="T28" s="117"/>
      <c r="U28" s="207" t="str">
        <f t="shared" si="29"/>
        <v/>
      </c>
      <c r="V28" s="334"/>
      <c r="W28" s="316"/>
      <c r="X28" s="121"/>
      <c r="Y28" s="102"/>
      <c r="Z28" s="102"/>
      <c r="AA28" s="102"/>
      <c r="AB28" s="102"/>
      <c r="AC28" s="102"/>
      <c r="AD28" s="102"/>
      <c r="AE28" s="102"/>
      <c r="AF28" s="102"/>
      <c r="AG28" s="102"/>
      <c r="AH28" s="102"/>
      <c r="AI28" s="199" t="s">
        <v>196</v>
      </c>
      <c r="AJ28" s="159" t="str">
        <f t="shared" si="30"/>
        <v/>
      </c>
      <c r="AK28" s="123"/>
      <c r="AL28" s="123"/>
      <c r="AM28" s="123"/>
      <c r="AN28" s="123"/>
      <c r="AO28" s="123"/>
      <c r="AP28" s="123"/>
      <c r="AQ28" s="159" t="str">
        <f t="array" ref="AQ28">IF($AJ28&lt;&gt;"",SUM(IF($AJ28=$AJ$6:$AJ28,IF($L$6:$L28=T_MNG,1,0),0)),"")</f>
        <v/>
      </c>
      <c r="AR28" s="105"/>
      <c r="AS28" s="105"/>
      <c r="AT28" s="105"/>
      <c r="AU28" s="105"/>
      <c r="AV28" s="102"/>
      <c r="AW28" s="102"/>
      <c r="AX28" s="102"/>
      <c r="AY28" s="102"/>
    </row>
    <row r="29" spans="1:51" ht="13.5" customHeight="1">
      <c r="A29" s="102"/>
      <c r="B29" s="114"/>
      <c r="C29" s="190"/>
      <c r="D29" s="346"/>
      <c r="E29" s="316"/>
      <c r="F29" s="205" t="str">
        <f>IF($D29="","",IF($AJ29="",T_Error&amp;"1",IF(COUNTIF($D$25:$D29,"&lt;&gt;")&gt;$R$31,T_Error&amp;"3",IF(ISERROR(FIND(T_Merc,$D29)),IF(COUNTIF($D$25:$D29,D29)&gt;1,T_Error&amp;"4",IF(COUNTIF($AJ$25:$AJ29,"=Star")&gt;2,T_Error&amp;"5",IF(AND($D29=Brick,$F$31&lt;&gt;"1/1"),T_Error&amp;"6","1/1"))),IF(COUNTIF($AJ$6:$AJ29,$AJ29)-$AQ29&gt;VLOOKUP($AJ29,DBPlayers,2,0)+VLOOKUP($AJ29,$AL$58:$AM$67,2,0),T_Error&amp;"2",COUNTIF($AJ$6:$AJ29,$AJ29)-$AQ29&amp;"/"&amp;(VLOOKUP($AJ29,DBPlayers,2,0)))))))</f>
        <v/>
      </c>
      <c r="G29" s="205" t="str">
        <f t="shared" si="23"/>
        <v/>
      </c>
      <c r="H29" s="205" t="str">
        <f t="shared" si="24"/>
        <v/>
      </c>
      <c r="I29" s="205" t="str">
        <f t="shared" si="25"/>
        <v/>
      </c>
      <c r="J29" s="205" t="str">
        <f t="shared" si="26"/>
        <v/>
      </c>
      <c r="K29" s="347" t="str">
        <f t="shared" ca="1" si="27"/>
        <v/>
      </c>
      <c r="L29" s="316"/>
      <c r="M29" s="316"/>
      <c r="N29" s="316"/>
      <c r="O29" s="316"/>
      <c r="P29" s="316"/>
      <c r="Q29" s="316"/>
      <c r="R29" s="316"/>
      <c r="S29" s="206" t="str">
        <f t="shared" si="28"/>
        <v/>
      </c>
      <c r="T29" s="117"/>
      <c r="U29" s="207" t="str">
        <f t="shared" si="29"/>
        <v/>
      </c>
      <c r="V29" s="334"/>
      <c r="W29" s="316"/>
      <c r="X29" s="121"/>
      <c r="Y29" s="102"/>
      <c r="Z29" s="102"/>
      <c r="AA29" s="102"/>
      <c r="AB29" s="102"/>
      <c r="AC29" s="102"/>
      <c r="AD29" s="102"/>
      <c r="AE29" s="102"/>
      <c r="AF29" s="102"/>
      <c r="AG29" s="102"/>
      <c r="AH29" s="102"/>
      <c r="AI29" s="199" t="s">
        <v>197</v>
      </c>
      <c r="AJ29" s="159" t="str">
        <f t="shared" si="30"/>
        <v/>
      </c>
      <c r="AK29" s="123"/>
      <c r="AL29" s="123"/>
      <c r="AM29" s="123"/>
      <c r="AN29" s="123"/>
      <c r="AO29" s="123"/>
      <c r="AP29" s="123"/>
      <c r="AQ29" s="159" t="str">
        <f t="array" ref="AQ29">IF($AJ29&lt;&gt;"",SUM(IF($AJ29=$AJ$6:$AJ29,IF($L$6:$L29=T_MNG,1,0),0)),"")</f>
        <v/>
      </c>
      <c r="AR29" s="105"/>
      <c r="AS29" s="105"/>
      <c r="AT29" s="105"/>
      <c r="AU29" s="105"/>
      <c r="AV29" s="102"/>
      <c r="AW29" s="102"/>
      <c r="AX29" s="102"/>
      <c r="AY29" s="102"/>
    </row>
    <row r="30" spans="1:51" ht="13.5" customHeight="1">
      <c r="A30" s="102"/>
      <c r="B30" s="114"/>
      <c r="C30" s="190"/>
      <c r="D30" s="346"/>
      <c r="E30" s="316"/>
      <c r="F30" s="205" t="str">
        <f>IF($D30="","",IF($AJ30="",T_Error&amp;"1",IF(COUNTIF($D$25:$D30,"&lt;&gt;")&gt;$R$31,T_Error&amp;"3",IF(ISERROR(FIND(T_Merc,$D30)),IF(COUNTIF($D$25:$D30,D30)&gt;1,T_Error&amp;"4",IF(COUNTIF($AJ$25:$AJ30,"=Star")&gt;2,T_Error&amp;"5",IF(AND($D30=Brick,$F$31&lt;&gt;"1/1"),T_Error&amp;"6","1/1"))),IF(COUNTIF($AJ$6:$AJ30,$AJ30)-$AQ30&gt;VLOOKUP($AJ30,DBPlayers,2,0)+VLOOKUP($AJ30,$AL$58:$AM$67,2,0),T_Error&amp;"2",COUNTIF($AJ$6:$AJ30,$AJ30)-$AQ30&amp;"/"&amp;(VLOOKUP($AJ30,DBPlayers,2,0)))))))</f>
        <v/>
      </c>
      <c r="G30" s="205" t="str">
        <f t="shared" si="23"/>
        <v/>
      </c>
      <c r="H30" s="205" t="str">
        <f t="shared" si="24"/>
        <v/>
      </c>
      <c r="I30" s="205" t="str">
        <f t="shared" si="25"/>
        <v/>
      </c>
      <c r="J30" s="205" t="str">
        <f t="shared" si="26"/>
        <v/>
      </c>
      <c r="K30" s="347" t="str">
        <f t="shared" ca="1" si="27"/>
        <v/>
      </c>
      <c r="L30" s="316"/>
      <c r="M30" s="316"/>
      <c r="N30" s="316"/>
      <c r="O30" s="316"/>
      <c r="P30" s="316"/>
      <c r="Q30" s="316"/>
      <c r="R30" s="316"/>
      <c r="S30" s="206" t="str">
        <f t="shared" si="28"/>
        <v/>
      </c>
      <c r="T30" s="117"/>
      <c r="U30" s="207" t="str">
        <f t="shared" si="29"/>
        <v/>
      </c>
      <c r="V30" s="334"/>
      <c r="W30" s="316"/>
      <c r="X30" s="121"/>
      <c r="Y30" s="209"/>
      <c r="Z30" s="102"/>
      <c r="AA30" s="102"/>
      <c r="AB30" s="102"/>
      <c r="AC30" s="102"/>
      <c r="AD30" s="102"/>
      <c r="AE30" s="102"/>
      <c r="AF30" s="102"/>
      <c r="AG30" s="102"/>
      <c r="AH30" s="102"/>
      <c r="AI30" s="199" t="s">
        <v>198</v>
      </c>
      <c r="AJ30" s="159" t="str">
        <f t="shared" si="30"/>
        <v/>
      </c>
      <c r="AK30" s="123"/>
      <c r="AL30" s="123"/>
      <c r="AM30" s="123"/>
      <c r="AN30" s="123"/>
      <c r="AO30" s="123"/>
      <c r="AP30" s="123"/>
      <c r="AQ30" s="159" t="str">
        <f t="array" ref="AQ30">IF($AJ30&lt;&gt;"",SUM(IF($AJ30=$AJ$6:$AJ30,IF($L$6:$L30=T_MNG,1,0),0)),"")</f>
        <v/>
      </c>
      <c r="AR30" s="105"/>
      <c r="AS30" s="105"/>
      <c r="AT30" s="105"/>
      <c r="AU30" s="105"/>
      <c r="AV30" s="102"/>
      <c r="AW30" s="102"/>
      <c r="AX30" s="102"/>
      <c r="AY30" s="102"/>
    </row>
    <row r="31" spans="1:51" ht="13.5" customHeight="1">
      <c r="A31" s="102"/>
      <c r="B31" s="114"/>
      <c r="C31" s="190"/>
      <c r="D31" s="210"/>
      <c r="E31" s="210"/>
      <c r="F31" s="205" t="str">
        <f>IF($D31="","",IF(COUNTIF($D$25:$D31,"&lt;&gt;")&gt;$R$31,T_Error&amp;"3",IF(COUNTIF($AJ$25:$AJ30,"=Star")&gt;2,T_Error&amp;"5","1/1")))</f>
        <v/>
      </c>
      <c r="G31" s="205" t="str">
        <f>IF(OR(LEFT($F31,LEN(T_Error))=T_Error,$D31=""),"",VLOOKUP($D31,DBStars,2,0))</f>
        <v/>
      </c>
      <c r="H31" s="205" t="str">
        <f>IF(OR(LEFT($F31,LEN(T_Error))=T_Error,$D31=""),"",VLOOKUP($D31,DBStars,3,0))</f>
        <v/>
      </c>
      <c r="I31" s="205" t="str">
        <f>IF(OR(LEFT($F31,LEN(T_Error))=T_Error,$D31=""),"",VLOOKUP($D31,DBStars,4,0))</f>
        <v/>
      </c>
      <c r="J31" s="205" t="str">
        <f>IF(OR(LEFT($F31,LEN(T_Error))=T_Error,$D31=""),"",VLOOKUP($D31,DBStars,5,0))</f>
        <v/>
      </c>
      <c r="K31" s="193" t="str">
        <f ca="1">IF($D31="","",IF(LEFT($F31,LEN(T_Error))=T_Error,INDIRECT("T_"&amp;$F31),VLOOKUP($D31,DBStars,6,0)))</f>
        <v/>
      </c>
      <c r="L31" s="343" t="s">
        <v>199</v>
      </c>
      <c r="M31" s="316"/>
      <c r="N31" s="316"/>
      <c r="O31" s="316"/>
      <c r="P31" s="316"/>
      <c r="Q31" s="189" t="str">
        <f>COUNTIF(J25:J31,"&gt;0")&amp;" /"</f>
        <v>0 /</v>
      </c>
      <c r="R31" s="211">
        <f>16-COUNTIF(S6:S21,"&gt;0")</f>
        <v>16</v>
      </c>
      <c r="S31" s="206"/>
      <c r="T31" s="117"/>
      <c r="U31" s="207" t="str">
        <f>IF($D31="","",IF(ISERROR(FIND("Mercenary",$D31)),"",VLOOKUP($AJ31,DBPlayers,9,0)))</f>
        <v/>
      </c>
      <c r="V31" s="154"/>
      <c r="W31" s="154"/>
      <c r="X31" s="121"/>
      <c r="Y31" s="102"/>
      <c r="Z31" s="102"/>
      <c r="AA31" s="102"/>
      <c r="AB31" s="102"/>
      <c r="AC31" s="102"/>
      <c r="AD31" s="102"/>
      <c r="AE31" s="102"/>
      <c r="AF31" s="102"/>
      <c r="AG31" s="102"/>
      <c r="AH31" s="102"/>
      <c r="AI31" s="102"/>
      <c r="AJ31" s="102"/>
      <c r="AK31" s="102"/>
      <c r="AL31" s="102"/>
      <c r="AM31" s="102"/>
      <c r="AN31" s="102"/>
      <c r="AO31" s="102"/>
      <c r="AP31" s="102"/>
      <c r="AQ31" s="102"/>
      <c r="AR31" s="105"/>
      <c r="AS31" s="105"/>
      <c r="AT31" s="105"/>
      <c r="AU31" s="105"/>
      <c r="AV31" s="102"/>
      <c r="AW31" s="102"/>
      <c r="AX31" s="102"/>
      <c r="AY31" s="102"/>
    </row>
    <row r="32" spans="1:51" ht="3" customHeight="1">
      <c r="A32" s="102"/>
      <c r="B32" s="107"/>
      <c r="C32" s="108"/>
      <c r="D32" s="109"/>
      <c r="E32" s="109"/>
      <c r="F32" s="110"/>
      <c r="G32" s="108"/>
      <c r="H32" s="108"/>
      <c r="I32" s="108"/>
      <c r="J32" s="108"/>
      <c r="K32" s="109"/>
      <c r="L32" s="109"/>
      <c r="M32" s="109"/>
      <c r="N32" s="109"/>
      <c r="O32" s="109"/>
      <c r="P32" s="109"/>
      <c r="Q32" s="109"/>
      <c r="R32" s="109"/>
      <c r="S32" s="201"/>
      <c r="T32" s="111"/>
      <c r="U32" s="121"/>
      <c r="V32" s="121"/>
      <c r="W32" s="121"/>
      <c r="X32" s="121"/>
      <c r="Y32" s="102"/>
      <c r="Z32" s="102"/>
      <c r="AA32" s="102"/>
      <c r="AB32" s="102"/>
      <c r="AC32" s="102"/>
      <c r="AD32" s="102"/>
      <c r="AE32" s="102"/>
      <c r="AF32" s="102"/>
      <c r="AG32" s="102"/>
      <c r="AH32" s="102"/>
      <c r="AI32" s="102"/>
      <c r="AJ32" s="102"/>
      <c r="AK32" s="102"/>
      <c r="AL32" s="102"/>
      <c r="AM32" s="102"/>
      <c r="AN32" s="102"/>
      <c r="AO32" s="102"/>
      <c r="AP32" s="102"/>
      <c r="AQ32" s="102"/>
      <c r="AR32" s="105"/>
      <c r="AS32" s="105"/>
      <c r="AT32" s="105"/>
      <c r="AU32" s="105"/>
      <c r="AV32" s="102"/>
      <c r="AW32" s="102"/>
      <c r="AX32" s="102"/>
      <c r="AY32" s="102"/>
    </row>
    <row r="33" spans="1:51" ht="13.5" customHeight="1">
      <c r="A33" s="102"/>
      <c r="B33" s="114"/>
      <c r="C33" s="115"/>
      <c r="D33" s="345" t="s">
        <v>372</v>
      </c>
      <c r="E33" s="316"/>
      <c r="F33" s="316"/>
      <c r="G33" s="316"/>
      <c r="H33" s="316"/>
      <c r="I33" s="316"/>
      <c r="J33" s="115"/>
      <c r="K33" s="212"/>
      <c r="L33" s="345" t="s">
        <v>201</v>
      </c>
      <c r="M33" s="316"/>
      <c r="N33" s="316"/>
      <c r="O33" s="316"/>
      <c r="P33" s="316"/>
      <c r="Q33" s="316"/>
      <c r="R33" s="316"/>
      <c r="S33" s="213"/>
      <c r="T33" s="117"/>
      <c r="U33" s="102"/>
      <c r="V33" s="106"/>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5"/>
      <c r="AS33" s="105"/>
      <c r="AT33" s="105"/>
      <c r="AU33" s="105"/>
      <c r="AV33" s="102"/>
      <c r="AW33" s="102"/>
      <c r="AX33" s="102"/>
      <c r="AY33" s="102"/>
    </row>
    <row r="34" spans="1:51" ht="13.5" customHeight="1">
      <c r="A34" s="102"/>
      <c r="B34" s="114"/>
      <c r="C34" s="191"/>
      <c r="D34" s="343" t="s">
        <v>202</v>
      </c>
      <c r="E34" s="316"/>
      <c r="F34" s="116">
        <v>0</v>
      </c>
      <c r="G34" s="189" t="s">
        <v>203</v>
      </c>
      <c r="H34" s="344">
        <v>50000</v>
      </c>
      <c r="I34" s="316"/>
      <c r="J34" s="190"/>
      <c r="K34" s="191"/>
      <c r="L34" s="189" t="s">
        <v>204</v>
      </c>
      <c r="M34" s="187"/>
      <c r="N34" s="189" t="s">
        <v>203</v>
      </c>
      <c r="O34" s="352">
        <f>IF(ISERROR(VLOOKUP($E$3,Database!$B$6:$C$30,2,0)),0,VLOOKUP($E$3,Database!$B$6:$C$30,2,0))</f>
        <v>50000</v>
      </c>
      <c r="P34" s="316"/>
      <c r="Q34" s="316"/>
      <c r="R34" s="191" t="s">
        <v>205</v>
      </c>
      <c r="S34" s="194">
        <f>M34*O34</f>
        <v>0</v>
      </c>
      <c r="T34" s="117"/>
      <c r="U34" s="214"/>
      <c r="V34" s="106"/>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5"/>
      <c r="AS34" s="105"/>
      <c r="AT34" s="105"/>
      <c r="AU34" s="105"/>
      <c r="AV34" s="102"/>
      <c r="AW34" s="102"/>
      <c r="AX34" s="102"/>
      <c r="AY34" s="102"/>
    </row>
    <row r="35" spans="1:51" ht="13.5" customHeight="1">
      <c r="A35" s="102"/>
      <c r="B35" s="114"/>
      <c r="C35" s="191"/>
      <c r="D35" s="343" t="s">
        <v>206</v>
      </c>
      <c r="E35" s="316"/>
      <c r="F35" s="116">
        <v>0</v>
      </c>
      <c r="G35" s="189" t="s">
        <v>203</v>
      </c>
      <c r="H35" s="344">
        <f>IF($E$3=Goblin,50000,100000)</f>
        <v>100000</v>
      </c>
      <c r="I35" s="316"/>
      <c r="J35" s="190"/>
      <c r="K35" s="191"/>
      <c r="L35" s="189" t="s">
        <v>207</v>
      </c>
      <c r="M35" s="187">
        <v>0</v>
      </c>
      <c r="N35" s="189" t="s">
        <v>203</v>
      </c>
      <c r="O35" s="352">
        <v>10000</v>
      </c>
      <c r="P35" s="316"/>
      <c r="Q35" s="316"/>
      <c r="R35" s="191" t="s">
        <v>205</v>
      </c>
      <c r="S35" s="194">
        <f t="shared" ref="S35:S38" si="31">O35*M35</f>
        <v>0</v>
      </c>
      <c r="T35" s="117"/>
      <c r="U35" s="11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5"/>
      <c r="AS35" s="105"/>
      <c r="AT35" s="105"/>
      <c r="AU35" s="105"/>
      <c r="AV35" s="102"/>
      <c r="AW35" s="102"/>
      <c r="AX35" s="102"/>
      <c r="AY35" s="102"/>
    </row>
    <row r="36" spans="1:51" ht="13.5" customHeight="1">
      <c r="A36" s="102"/>
      <c r="B36" s="114"/>
      <c r="C36" s="191"/>
      <c r="D36" s="343" t="s">
        <v>208</v>
      </c>
      <c r="E36" s="316"/>
      <c r="F36" s="116">
        <v>0</v>
      </c>
      <c r="G36" s="189" t="s">
        <v>203</v>
      </c>
      <c r="H36" s="344">
        <v>100000</v>
      </c>
      <c r="I36" s="316"/>
      <c r="J36" s="190"/>
      <c r="K36" s="191"/>
      <c r="L36" s="189" t="s">
        <v>209</v>
      </c>
      <c r="M36" s="187">
        <v>0</v>
      </c>
      <c r="N36" s="189" t="s">
        <v>203</v>
      </c>
      <c r="O36" s="352">
        <v>10000</v>
      </c>
      <c r="P36" s="316"/>
      <c r="Q36" s="316"/>
      <c r="R36" s="191" t="s">
        <v>205</v>
      </c>
      <c r="S36" s="194">
        <f t="shared" si="31"/>
        <v>0</v>
      </c>
      <c r="T36" s="117"/>
      <c r="U36" s="214"/>
      <c r="V36" s="106"/>
      <c r="W36" s="102"/>
      <c r="X36" s="102"/>
      <c r="Y36" s="113"/>
      <c r="Z36" s="113"/>
      <c r="AA36" s="113"/>
      <c r="AB36" s="102"/>
      <c r="AC36" s="102"/>
      <c r="AD36" s="102"/>
      <c r="AE36" s="102"/>
      <c r="AF36" s="102"/>
      <c r="AG36" s="102"/>
      <c r="AH36" s="102"/>
      <c r="AI36" s="102"/>
      <c r="AJ36" s="102"/>
      <c r="AK36" s="102"/>
      <c r="AL36" s="102"/>
      <c r="AM36" s="102"/>
      <c r="AN36" s="102"/>
      <c r="AO36" s="102"/>
      <c r="AP36" s="102"/>
      <c r="AQ36" s="102"/>
      <c r="AR36" s="105"/>
      <c r="AS36" s="105"/>
      <c r="AT36" s="105"/>
      <c r="AU36" s="105"/>
      <c r="AV36" s="102"/>
      <c r="AW36" s="102"/>
      <c r="AX36" s="102"/>
      <c r="AY36" s="102"/>
    </row>
    <row r="37" spans="1:51" ht="13.5" customHeight="1">
      <c r="A37" s="102"/>
      <c r="B37" s="114"/>
      <c r="C37" s="191"/>
      <c r="D37" s="343" t="s">
        <v>210</v>
      </c>
      <c r="E37" s="316"/>
      <c r="F37" s="116">
        <v>0</v>
      </c>
      <c r="G37" s="189" t="s">
        <v>203</v>
      </c>
      <c r="H37" s="344">
        <f>IF($E$3=Halfling,100000,300000)</f>
        <v>300000</v>
      </c>
      <c r="I37" s="316"/>
      <c r="J37" s="190"/>
      <c r="K37" s="191"/>
      <c r="L37" s="189" t="s">
        <v>211</v>
      </c>
      <c r="M37" s="187">
        <v>0</v>
      </c>
      <c r="N37" s="189" t="s">
        <v>203</v>
      </c>
      <c r="O37" s="352">
        <v>10000</v>
      </c>
      <c r="P37" s="316"/>
      <c r="Q37" s="316"/>
      <c r="R37" s="191" t="s">
        <v>205</v>
      </c>
      <c r="S37" s="194">
        <f t="shared" si="31"/>
        <v>0</v>
      </c>
      <c r="T37" s="117"/>
      <c r="U37" s="214"/>
      <c r="V37" s="215"/>
      <c r="W37" s="113"/>
      <c r="X37" s="113"/>
      <c r="Y37" s="216"/>
      <c r="Z37" s="113"/>
      <c r="AA37" s="217"/>
      <c r="AB37" s="102"/>
      <c r="AC37" s="102"/>
      <c r="AD37" s="102"/>
      <c r="AE37" s="102"/>
      <c r="AF37" s="102"/>
      <c r="AG37" s="102"/>
      <c r="AH37" s="102"/>
      <c r="AI37" s="102"/>
      <c r="AJ37" s="102"/>
      <c r="AK37" s="102"/>
      <c r="AL37" s="102"/>
      <c r="AM37" s="102"/>
      <c r="AN37" s="102"/>
      <c r="AO37" s="102"/>
      <c r="AP37" s="102"/>
      <c r="AQ37" s="102"/>
      <c r="AR37" s="105"/>
      <c r="AS37" s="105"/>
      <c r="AT37" s="105"/>
      <c r="AU37" s="105"/>
      <c r="AV37" s="102"/>
      <c r="AW37" s="102"/>
      <c r="AX37" s="102"/>
      <c r="AY37" s="102"/>
    </row>
    <row r="38" spans="1:51" ht="13.5" customHeight="1">
      <c r="A38" s="102"/>
      <c r="B38" s="114"/>
      <c r="C38" s="191"/>
      <c r="D38" s="343" t="s">
        <v>212</v>
      </c>
      <c r="E38" s="316"/>
      <c r="F38" s="116">
        <v>0</v>
      </c>
      <c r="G38" s="189" t="s">
        <v>203</v>
      </c>
      <c r="H38" s="344">
        <v>100000</v>
      </c>
      <c r="I38" s="316"/>
      <c r="J38" s="190"/>
      <c r="K38" s="191"/>
      <c r="L38" s="189" t="s">
        <v>213</v>
      </c>
      <c r="M38" s="187"/>
      <c r="N38" s="189" t="s">
        <v>203</v>
      </c>
      <c r="O38" s="352">
        <v>50000</v>
      </c>
      <c r="P38" s="316"/>
      <c r="Q38" s="316"/>
      <c r="R38" s="191" t="s">
        <v>205</v>
      </c>
      <c r="S38" s="194">
        <f t="shared" si="31"/>
        <v>0</v>
      </c>
      <c r="T38" s="117"/>
      <c r="U38" s="214"/>
      <c r="V38" s="112"/>
      <c r="W38" s="113"/>
      <c r="X38" s="113"/>
      <c r="Y38" s="113"/>
      <c r="Z38" s="113"/>
      <c r="AA38" s="113"/>
      <c r="AB38" s="102"/>
      <c r="AC38" s="102"/>
      <c r="AD38" s="102"/>
      <c r="AE38" s="102"/>
      <c r="AF38" s="102"/>
      <c r="AG38" s="102"/>
      <c r="AH38" s="102"/>
      <c r="AI38" s="102"/>
      <c r="AJ38" s="102"/>
      <c r="AK38" s="102"/>
      <c r="AL38" s="102"/>
      <c r="AM38" s="102"/>
      <c r="AN38" s="102"/>
      <c r="AO38" s="102"/>
      <c r="AP38" s="102"/>
      <c r="AQ38" s="102"/>
      <c r="AR38" s="105"/>
      <c r="AS38" s="105"/>
      <c r="AT38" s="105"/>
      <c r="AU38" s="105"/>
      <c r="AV38" s="102"/>
      <c r="AW38" s="102"/>
      <c r="AX38" s="102"/>
      <c r="AY38" s="102"/>
    </row>
    <row r="39" spans="1:51" ht="13.5" customHeight="1">
      <c r="A39" s="102"/>
      <c r="B39" s="114"/>
      <c r="C39" s="191"/>
      <c r="D39" s="343" t="s">
        <v>214</v>
      </c>
      <c r="E39" s="316"/>
      <c r="F39" s="116">
        <v>0</v>
      </c>
      <c r="G39" s="189" t="s">
        <v>203</v>
      </c>
      <c r="H39" s="344">
        <v>150000</v>
      </c>
      <c r="I39" s="316"/>
      <c r="J39" s="190"/>
      <c r="K39" s="212"/>
      <c r="L39" s="189" t="s">
        <v>215</v>
      </c>
      <c r="M39" s="353"/>
      <c r="N39" s="316"/>
      <c r="O39" s="316"/>
      <c r="P39" s="316"/>
      <c r="Q39" s="212"/>
      <c r="R39" s="212"/>
      <c r="S39" s="115"/>
      <c r="T39" s="117"/>
      <c r="U39" s="214"/>
      <c r="V39" s="215"/>
      <c r="W39" s="113"/>
      <c r="X39" s="113"/>
      <c r="Y39" s="113"/>
      <c r="Z39" s="113"/>
      <c r="AA39" s="113"/>
      <c r="AB39" s="102"/>
      <c r="AC39" s="102"/>
      <c r="AD39" s="102"/>
      <c r="AE39" s="102"/>
      <c r="AF39" s="102"/>
      <c r="AG39" s="102"/>
      <c r="AH39" s="102"/>
      <c r="AI39" s="102"/>
      <c r="AJ39" s="102"/>
      <c r="AK39" s="102"/>
      <c r="AL39" s="102"/>
      <c r="AM39" s="102"/>
      <c r="AN39" s="102"/>
      <c r="AO39" s="102"/>
      <c r="AP39" s="102"/>
      <c r="AQ39" s="102"/>
      <c r="AR39" s="105"/>
      <c r="AS39" s="105"/>
      <c r="AT39" s="105"/>
      <c r="AU39" s="105"/>
      <c r="AV39" s="102"/>
      <c r="AW39" s="102"/>
      <c r="AX39" s="102"/>
      <c r="AY39" s="102"/>
    </row>
    <row r="40" spans="1:51" ht="13.5" customHeight="1">
      <c r="A40" s="102"/>
      <c r="B40" s="114"/>
      <c r="C40" s="191"/>
      <c r="D40" s="343" t="s">
        <v>216</v>
      </c>
      <c r="E40" s="316"/>
      <c r="F40" s="116">
        <v>0</v>
      </c>
      <c r="G40" s="189" t="s">
        <v>203</v>
      </c>
      <c r="H40" s="344">
        <v>100000</v>
      </c>
      <c r="I40" s="316"/>
      <c r="J40" s="190"/>
      <c r="K40" s="212"/>
      <c r="L40" s="189"/>
      <c r="M40" s="115"/>
      <c r="N40" s="218"/>
      <c r="O40" s="218"/>
      <c r="P40" s="218"/>
      <c r="Q40" s="132" t="s">
        <v>217</v>
      </c>
      <c r="R40" s="350">
        <f>SUM(S6:S21,S34:S38)</f>
        <v>0</v>
      </c>
      <c r="S40" s="316"/>
      <c r="T40" s="117"/>
      <c r="U40" s="214"/>
      <c r="V40" s="215"/>
      <c r="W40" s="113"/>
      <c r="X40" s="113"/>
      <c r="Y40" s="113"/>
      <c r="Z40" s="113"/>
      <c r="AA40" s="113"/>
      <c r="AB40" s="102"/>
      <c r="AC40" s="102"/>
      <c r="AD40" s="102"/>
      <c r="AE40" s="102"/>
      <c r="AF40" s="102"/>
      <c r="AG40" s="102"/>
      <c r="AH40" s="102"/>
      <c r="AI40" s="102"/>
      <c r="AJ40" s="102"/>
      <c r="AK40" s="102"/>
      <c r="AL40" s="102"/>
      <c r="AM40" s="102"/>
      <c r="AN40" s="102"/>
      <c r="AO40" s="102"/>
      <c r="AP40" s="102"/>
      <c r="AQ40" s="102"/>
      <c r="AR40" s="105"/>
      <c r="AS40" s="105"/>
      <c r="AT40" s="105"/>
      <c r="AU40" s="105"/>
      <c r="AV40" s="102"/>
      <c r="AW40" s="102"/>
      <c r="AX40" s="102"/>
      <c r="AY40" s="102"/>
    </row>
    <row r="41" spans="1:51" ht="13.5" customHeight="1">
      <c r="A41" s="102"/>
      <c r="B41" s="114"/>
      <c r="C41" s="212"/>
      <c r="D41" s="343" t="s">
        <v>218</v>
      </c>
      <c r="E41" s="316"/>
      <c r="F41" s="349">
        <v>0</v>
      </c>
      <c r="G41" s="316"/>
      <c r="H41" s="316"/>
      <c r="I41" s="316"/>
      <c r="J41" s="212"/>
      <c r="K41" s="212"/>
      <c r="L41" s="212"/>
      <c r="M41" s="212"/>
      <c r="N41" s="191"/>
      <c r="O41" s="191"/>
      <c r="P41" s="191"/>
      <c r="Q41" s="132" t="s">
        <v>219</v>
      </c>
      <c r="R41" s="350">
        <f>SUMPRODUCT(F34:F40,H34:H40)+F41+F42</f>
        <v>0</v>
      </c>
      <c r="S41" s="316"/>
      <c r="T41" s="117"/>
      <c r="U41" s="214"/>
      <c r="V41" s="215"/>
      <c r="W41" s="113"/>
      <c r="X41" s="113"/>
      <c r="Y41" s="113"/>
      <c r="Z41" s="113"/>
      <c r="AA41" s="113"/>
      <c r="AB41" s="102"/>
      <c r="AC41" s="102"/>
      <c r="AD41" s="102"/>
      <c r="AE41" s="102"/>
      <c r="AF41" s="102"/>
      <c r="AG41" s="102"/>
      <c r="AH41" s="102"/>
      <c r="AI41" s="102"/>
      <c r="AJ41" s="102"/>
      <c r="AK41" s="102"/>
      <c r="AL41" s="102"/>
      <c r="AM41" s="102"/>
      <c r="AN41" s="102"/>
      <c r="AO41" s="102"/>
      <c r="AP41" s="102"/>
      <c r="AQ41" s="102"/>
      <c r="AR41" s="105"/>
      <c r="AS41" s="105"/>
      <c r="AT41" s="105"/>
      <c r="AU41" s="105"/>
      <c r="AV41" s="102"/>
      <c r="AW41" s="102"/>
      <c r="AX41" s="102"/>
      <c r="AY41" s="102"/>
    </row>
    <row r="42" spans="1:51" ht="13.5" customHeight="1">
      <c r="A42" s="102"/>
      <c r="B42" s="114"/>
      <c r="C42" s="191"/>
      <c r="D42" s="189"/>
      <c r="E42" s="189" t="s">
        <v>220</v>
      </c>
      <c r="F42" s="344">
        <f>SUM(S25:S30)</f>
        <v>0</v>
      </c>
      <c r="G42" s="316"/>
      <c r="H42" s="316"/>
      <c r="I42" s="316"/>
      <c r="J42" s="191"/>
      <c r="K42" s="191"/>
      <c r="L42" s="212"/>
      <c r="M42" s="212"/>
      <c r="N42" s="191"/>
      <c r="O42" s="191"/>
      <c r="P42" s="191"/>
      <c r="Q42" s="132" t="s">
        <v>221</v>
      </c>
      <c r="R42" s="350">
        <f>R40+R41</f>
        <v>0</v>
      </c>
      <c r="S42" s="316"/>
      <c r="T42" s="117"/>
      <c r="U42" s="214"/>
      <c r="V42" s="215"/>
      <c r="W42" s="113"/>
      <c r="X42" s="113"/>
      <c r="Y42" s="113"/>
      <c r="Z42" s="113"/>
      <c r="AA42" s="113"/>
      <c r="AB42" s="102"/>
      <c r="AC42" s="102"/>
      <c r="AD42" s="102"/>
      <c r="AE42" s="102"/>
      <c r="AF42" s="102"/>
      <c r="AG42" s="102"/>
      <c r="AH42" s="102"/>
      <c r="AI42" s="102"/>
      <c r="AJ42" s="102"/>
      <c r="AK42" s="102"/>
      <c r="AL42" s="102"/>
      <c r="AM42" s="102"/>
      <c r="AN42" s="102"/>
      <c r="AO42" s="102"/>
      <c r="AP42" s="102"/>
      <c r="AQ42" s="102"/>
      <c r="AR42" s="105"/>
      <c r="AS42" s="105"/>
      <c r="AT42" s="105"/>
      <c r="AU42" s="105"/>
      <c r="AV42" s="102"/>
      <c r="AW42" s="102"/>
      <c r="AX42" s="102"/>
      <c r="AY42" s="102"/>
    </row>
    <row r="43" spans="1:51" ht="3" customHeight="1">
      <c r="A43" s="102"/>
      <c r="B43" s="219"/>
      <c r="C43" s="220"/>
      <c r="D43" s="221"/>
      <c r="E43" s="221"/>
      <c r="F43" s="222"/>
      <c r="G43" s="220"/>
      <c r="H43" s="220"/>
      <c r="I43" s="220"/>
      <c r="J43" s="220"/>
      <c r="K43" s="221"/>
      <c r="L43" s="221"/>
      <c r="M43" s="221"/>
      <c r="N43" s="221"/>
      <c r="O43" s="221"/>
      <c r="P43" s="221"/>
      <c r="Q43" s="221"/>
      <c r="R43" s="221"/>
      <c r="S43" s="220"/>
      <c r="T43" s="223"/>
      <c r="U43" s="214"/>
      <c r="V43" s="215"/>
      <c r="W43" s="113"/>
      <c r="X43" s="113"/>
      <c r="Y43" s="113"/>
      <c r="Z43" s="113"/>
      <c r="AA43" s="113"/>
      <c r="AB43" s="102"/>
      <c r="AC43" s="102"/>
      <c r="AD43" s="102"/>
      <c r="AE43" s="102"/>
      <c r="AF43" s="102"/>
      <c r="AG43" s="102"/>
      <c r="AH43" s="102"/>
      <c r="AI43" s="102"/>
      <c r="AJ43" s="102"/>
      <c r="AK43" s="102"/>
      <c r="AL43" s="102"/>
      <c r="AM43" s="102"/>
      <c r="AN43" s="102"/>
      <c r="AO43" s="102"/>
      <c r="AP43" s="102"/>
      <c r="AQ43" s="102"/>
      <c r="AR43" s="105"/>
      <c r="AS43" s="105"/>
      <c r="AT43" s="105"/>
      <c r="AU43" s="105"/>
      <c r="AV43" s="102"/>
      <c r="AW43" s="102"/>
      <c r="AX43" s="102"/>
      <c r="AY43" s="102"/>
    </row>
    <row r="44" spans="1:51" ht="13.5" customHeight="1">
      <c r="A44" s="102"/>
      <c r="B44" s="102"/>
      <c r="C44" s="102"/>
      <c r="D44" s="102"/>
      <c r="E44" s="102"/>
      <c r="F44" s="102"/>
      <c r="G44" s="102"/>
      <c r="H44" s="102"/>
      <c r="I44" s="102"/>
      <c r="J44" s="102"/>
      <c r="K44" s="102"/>
      <c r="L44" s="102"/>
      <c r="M44" s="102"/>
      <c r="N44" s="102"/>
      <c r="O44" s="102"/>
      <c r="P44" s="102"/>
      <c r="Q44" s="102"/>
      <c r="R44" s="102"/>
      <c r="S44" s="105"/>
      <c r="T44" s="102"/>
      <c r="U44" s="102"/>
      <c r="V44" s="215"/>
      <c r="W44" s="113"/>
      <c r="X44" s="113"/>
      <c r="Y44" s="113"/>
      <c r="Z44" s="113"/>
      <c r="AA44" s="113"/>
      <c r="AB44" s="102"/>
      <c r="AC44" s="102"/>
      <c r="AD44" s="102"/>
      <c r="AE44" s="102"/>
      <c r="AF44" s="102"/>
      <c r="AG44" s="102"/>
      <c r="AH44" s="102"/>
      <c r="AI44" s="102"/>
      <c r="AJ44" s="102"/>
      <c r="AK44" s="102"/>
      <c r="AL44" s="102"/>
      <c r="AM44" s="102"/>
      <c r="AN44" s="102"/>
      <c r="AO44" s="102"/>
      <c r="AP44" s="102"/>
      <c r="AQ44" s="102"/>
      <c r="AR44" s="105"/>
      <c r="AS44" s="105"/>
      <c r="AT44" s="105"/>
      <c r="AU44" s="105"/>
      <c r="AV44" s="102"/>
      <c r="AW44" s="102"/>
      <c r="AX44" s="102"/>
      <c r="AY44" s="102"/>
    </row>
    <row r="45" spans="1:51" ht="13.5" customHeight="1">
      <c r="A45" s="102"/>
      <c r="B45" s="102"/>
      <c r="C45" s="105"/>
      <c r="D45" s="102"/>
      <c r="E45" s="102"/>
      <c r="F45" s="104"/>
      <c r="G45" s="105"/>
      <c r="H45" s="105"/>
      <c r="I45" s="105"/>
      <c r="J45" s="105"/>
      <c r="K45" s="102"/>
      <c r="L45" s="102"/>
      <c r="M45" s="102"/>
      <c r="N45" s="102"/>
      <c r="O45" s="102"/>
      <c r="P45" s="102"/>
      <c r="Q45" s="102"/>
      <c r="R45" s="102"/>
      <c r="S45" s="105"/>
      <c r="T45" s="102"/>
      <c r="U45" s="102"/>
      <c r="V45" s="106"/>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5"/>
      <c r="AS45" s="105"/>
      <c r="AT45" s="105"/>
      <c r="AU45" s="105"/>
      <c r="AV45" s="102"/>
      <c r="AW45" s="102"/>
      <c r="AX45" s="102"/>
      <c r="AY45" s="102"/>
    </row>
    <row r="46" spans="1:51" ht="13.5" customHeight="1">
      <c r="A46" s="102"/>
      <c r="B46" s="102"/>
      <c r="C46" s="105"/>
      <c r="D46" s="102"/>
      <c r="E46" s="102"/>
      <c r="F46" s="104"/>
      <c r="G46" s="105"/>
      <c r="H46" s="105"/>
      <c r="I46" s="105"/>
      <c r="J46" s="105"/>
      <c r="K46" s="102"/>
      <c r="L46" s="102"/>
      <c r="M46" s="102"/>
      <c r="N46" s="102"/>
      <c r="O46" s="102"/>
      <c r="P46" s="102"/>
      <c r="Q46" s="102"/>
      <c r="R46" s="102"/>
      <c r="S46" s="105"/>
      <c r="T46" s="102"/>
      <c r="U46" s="102"/>
      <c r="V46" s="106"/>
      <c r="W46" s="102"/>
      <c r="X46" s="102"/>
      <c r="Y46" s="102"/>
      <c r="Z46" s="102"/>
      <c r="AA46" s="102"/>
      <c r="AB46" s="102"/>
      <c r="AC46" s="102"/>
      <c r="AD46" s="102"/>
      <c r="AE46" s="102"/>
      <c r="AF46" s="102"/>
      <c r="AG46" s="102"/>
      <c r="AH46" s="102"/>
      <c r="AI46" s="102"/>
      <c r="AJ46" s="102"/>
      <c r="AK46" s="106"/>
      <c r="AL46" s="102"/>
      <c r="AM46" s="102"/>
      <c r="AN46" s="102"/>
      <c r="AO46" s="102"/>
      <c r="AP46" s="102"/>
      <c r="AQ46" s="102"/>
      <c r="AR46" s="105"/>
      <c r="AS46" s="105"/>
      <c r="AT46" s="105"/>
      <c r="AU46" s="105"/>
      <c r="AV46" s="102"/>
      <c r="AW46" s="102"/>
      <c r="AX46" s="102"/>
      <c r="AY46" s="102"/>
    </row>
    <row r="47" spans="1:51" ht="13.5" customHeight="1">
      <c r="A47" s="102"/>
      <c r="B47" s="102"/>
      <c r="C47" s="105"/>
      <c r="D47" s="102"/>
      <c r="E47" s="102"/>
      <c r="F47" s="104"/>
      <c r="G47" s="105"/>
      <c r="H47" s="105"/>
      <c r="I47" s="105"/>
      <c r="J47" s="105"/>
      <c r="K47" s="102"/>
      <c r="L47" s="102"/>
      <c r="M47" s="102"/>
      <c r="N47" s="102"/>
      <c r="O47" s="102"/>
      <c r="P47" s="102"/>
      <c r="Q47" s="102"/>
      <c r="R47" s="102"/>
      <c r="S47" s="105"/>
      <c r="T47" s="102"/>
      <c r="U47" s="102"/>
      <c r="V47" s="106"/>
      <c r="W47" s="102"/>
      <c r="X47" s="102"/>
      <c r="Y47" s="102"/>
      <c r="Z47" s="102"/>
      <c r="AA47" s="102"/>
      <c r="AB47" s="102"/>
      <c r="AC47" s="102"/>
      <c r="AD47" s="102"/>
      <c r="AE47" s="102"/>
      <c r="AF47" s="102"/>
      <c r="AG47" s="102"/>
      <c r="AH47" s="102"/>
      <c r="AI47" s="102"/>
      <c r="AJ47" s="102"/>
      <c r="AK47" s="106" t="s">
        <v>222</v>
      </c>
      <c r="AL47" s="102" t="s">
        <v>223</v>
      </c>
      <c r="AM47" s="102"/>
      <c r="AN47" s="102"/>
      <c r="AO47" s="102"/>
      <c r="AP47" s="102"/>
      <c r="AQ47" s="102"/>
      <c r="AR47" s="105"/>
      <c r="AS47" s="105"/>
      <c r="AT47" s="105"/>
      <c r="AU47" s="105"/>
      <c r="AV47" s="102"/>
      <c r="AW47" s="102"/>
      <c r="AX47" s="102"/>
      <c r="AY47" s="102"/>
    </row>
    <row r="48" spans="1:51" ht="13.5" customHeight="1">
      <c r="A48" s="102"/>
      <c r="B48" s="102"/>
      <c r="C48" s="105"/>
      <c r="D48" s="102"/>
      <c r="E48" s="102"/>
      <c r="F48" s="104"/>
      <c r="G48" s="105"/>
      <c r="H48" s="105"/>
      <c r="I48" s="105"/>
      <c r="J48" s="105"/>
      <c r="K48" s="102"/>
      <c r="L48" s="102"/>
      <c r="M48" s="102"/>
      <c r="N48" s="102"/>
      <c r="O48" s="102"/>
      <c r="P48" s="102"/>
      <c r="Q48" s="102"/>
      <c r="R48" s="102"/>
      <c r="S48" s="105"/>
      <c r="T48" s="102"/>
      <c r="U48" s="102"/>
      <c r="V48" s="106"/>
      <c r="W48" s="102"/>
      <c r="X48" s="102"/>
      <c r="Y48" s="102"/>
      <c r="Z48" s="102"/>
      <c r="AA48" s="102"/>
      <c r="AB48" s="102"/>
      <c r="AC48" s="102"/>
      <c r="AD48" s="102"/>
      <c r="AE48" s="102"/>
      <c r="AF48" s="102"/>
      <c r="AG48" s="102"/>
      <c r="AH48" s="102"/>
      <c r="AI48" s="102"/>
      <c r="AJ48" s="102"/>
      <c r="AK48" s="234" t="e">
        <f t="shared" ref="AK48:AK57" si="32">VLOOKUP(AL48,DBTeamStars,2,0)</f>
        <v>#N/A</v>
      </c>
      <c r="AL48" s="234" t="str">
        <f>$E$3&amp;"10"</f>
        <v>Human10</v>
      </c>
      <c r="AM48" s="102"/>
      <c r="AN48" s="102"/>
      <c r="AO48" s="102"/>
      <c r="AP48" s="102"/>
      <c r="AQ48" s="102"/>
      <c r="AR48" s="105"/>
      <c r="AS48" s="105"/>
      <c r="AT48" s="105"/>
      <c r="AU48" s="105"/>
      <c r="AV48" s="102"/>
      <c r="AW48" s="102"/>
      <c r="AX48" s="102"/>
      <c r="AY48" s="102"/>
    </row>
    <row r="49" spans="1:51" ht="13.5" customHeight="1">
      <c r="A49" s="102"/>
      <c r="B49" s="102"/>
      <c r="C49" s="105"/>
      <c r="D49" s="102"/>
      <c r="E49" s="102"/>
      <c r="F49" s="104"/>
      <c r="G49" s="105"/>
      <c r="H49" s="105"/>
      <c r="I49" s="105"/>
      <c r="J49" s="105"/>
      <c r="K49" s="102"/>
      <c r="L49" s="102"/>
      <c r="M49" s="102"/>
      <c r="N49" s="102"/>
      <c r="O49" s="102"/>
      <c r="P49" s="102"/>
      <c r="Q49" s="102"/>
      <c r="R49" s="102"/>
      <c r="S49" s="105"/>
      <c r="T49" s="102"/>
      <c r="U49" s="102"/>
      <c r="V49" s="106"/>
      <c r="W49" s="102"/>
      <c r="X49" s="102"/>
      <c r="Y49" s="102"/>
      <c r="Z49" s="102"/>
      <c r="AA49" s="102"/>
      <c r="AB49" s="102"/>
      <c r="AC49" s="102"/>
      <c r="AD49" s="102"/>
      <c r="AE49" s="102"/>
      <c r="AF49" s="102"/>
      <c r="AG49" s="102"/>
      <c r="AH49" s="102"/>
      <c r="AI49" s="102"/>
      <c r="AJ49" s="102"/>
      <c r="AK49" s="234" t="e">
        <f t="shared" si="32"/>
        <v>#N/A</v>
      </c>
      <c r="AL49" s="234" t="str">
        <f>$E$3&amp;"9"</f>
        <v>Human9</v>
      </c>
      <c r="AM49" s="102"/>
      <c r="AN49" s="102"/>
      <c r="AO49" s="102"/>
      <c r="AP49" s="102"/>
      <c r="AQ49" s="102"/>
      <c r="AR49" s="105"/>
      <c r="AS49" s="105"/>
      <c r="AT49" s="105"/>
      <c r="AU49" s="105"/>
      <c r="AV49" s="102"/>
      <c r="AW49" s="102"/>
      <c r="AX49" s="102"/>
      <c r="AY49" s="102"/>
    </row>
    <row r="50" spans="1:51" ht="13.5" customHeight="1">
      <c r="A50" s="102"/>
      <c r="B50" s="102"/>
      <c r="C50" s="105"/>
      <c r="D50" s="102"/>
      <c r="E50" s="102"/>
      <c r="F50" s="104"/>
      <c r="G50" s="105"/>
      <c r="H50" s="105"/>
      <c r="I50" s="105"/>
      <c r="J50" s="105"/>
      <c r="K50" s="102"/>
      <c r="L50" s="102"/>
      <c r="M50" s="102"/>
      <c r="N50" s="102"/>
      <c r="O50" s="102"/>
      <c r="P50" s="102"/>
      <c r="Q50" s="102"/>
      <c r="R50" s="102"/>
      <c r="S50" s="105"/>
      <c r="T50" s="102"/>
      <c r="U50" s="102"/>
      <c r="V50" s="106"/>
      <c r="W50" s="102"/>
      <c r="X50" s="102"/>
      <c r="Y50" s="102"/>
      <c r="Z50" s="102"/>
      <c r="AA50" s="102"/>
      <c r="AB50" s="102"/>
      <c r="AC50" s="102"/>
      <c r="AD50" s="102"/>
      <c r="AE50" s="102"/>
      <c r="AF50" s="102"/>
      <c r="AG50" s="102"/>
      <c r="AH50" s="102"/>
      <c r="AI50" s="102"/>
      <c r="AJ50" s="102"/>
      <c r="AK50" s="234" t="e">
        <f t="shared" si="32"/>
        <v>#N/A</v>
      </c>
      <c r="AL50" s="234" t="str">
        <f>$E$3&amp;"8"</f>
        <v>Human8</v>
      </c>
      <c r="AM50" s="102"/>
      <c r="AN50" s="102"/>
      <c r="AO50" s="102"/>
      <c r="AP50" s="102"/>
      <c r="AQ50" s="102"/>
      <c r="AR50" s="105"/>
      <c r="AS50" s="105"/>
      <c r="AT50" s="105"/>
      <c r="AU50" s="105"/>
      <c r="AV50" s="102"/>
      <c r="AW50" s="102"/>
      <c r="AX50" s="102"/>
      <c r="AY50" s="102"/>
    </row>
    <row r="51" spans="1:51" ht="13.5" customHeight="1">
      <c r="A51" s="102"/>
      <c r="B51" s="102"/>
      <c r="C51" s="105"/>
      <c r="D51" s="102"/>
      <c r="E51" s="102"/>
      <c r="F51" s="104"/>
      <c r="G51" s="105"/>
      <c r="H51" s="105"/>
      <c r="I51" s="105"/>
      <c r="J51" s="105"/>
      <c r="K51" s="102"/>
      <c r="L51" s="102"/>
      <c r="M51" s="102"/>
      <c r="N51" s="102"/>
      <c r="O51" s="102"/>
      <c r="P51" s="102"/>
      <c r="Q51" s="102"/>
      <c r="R51" s="102"/>
      <c r="S51" s="105"/>
      <c r="T51" s="102"/>
      <c r="U51" s="102"/>
      <c r="V51" s="106"/>
      <c r="W51" s="102"/>
      <c r="X51" s="102"/>
      <c r="Y51" s="102"/>
      <c r="Z51" s="102"/>
      <c r="AA51" s="102"/>
      <c r="AB51" s="102"/>
      <c r="AC51" s="102"/>
      <c r="AD51" s="102"/>
      <c r="AE51" s="102"/>
      <c r="AF51" s="102"/>
      <c r="AG51" s="102"/>
      <c r="AH51" s="102"/>
      <c r="AI51" s="102"/>
      <c r="AJ51" s="102"/>
      <c r="AK51" s="234" t="e">
        <f t="shared" si="32"/>
        <v>#N/A</v>
      </c>
      <c r="AL51" s="234" t="str">
        <f>$E$3&amp;"7"</f>
        <v>Human7</v>
      </c>
      <c r="AM51" s="102"/>
      <c r="AN51" s="102"/>
      <c r="AO51" s="102"/>
      <c r="AP51" s="102"/>
      <c r="AQ51" s="102"/>
      <c r="AR51" s="105"/>
      <c r="AS51" s="105"/>
      <c r="AT51" s="105"/>
      <c r="AU51" s="105"/>
      <c r="AV51" s="102"/>
      <c r="AW51" s="102"/>
      <c r="AX51" s="102"/>
      <c r="AY51" s="102"/>
    </row>
    <row r="52" spans="1:51" ht="13.5" customHeight="1">
      <c r="A52" s="102"/>
      <c r="B52" s="102"/>
      <c r="C52" s="105"/>
      <c r="D52" s="102"/>
      <c r="E52" s="102"/>
      <c r="F52" s="104"/>
      <c r="G52" s="105"/>
      <c r="H52" s="105"/>
      <c r="I52" s="105"/>
      <c r="J52" s="105"/>
      <c r="K52" s="102"/>
      <c r="L52" s="102"/>
      <c r="M52" s="102"/>
      <c r="N52" s="102"/>
      <c r="O52" s="102"/>
      <c r="P52" s="102"/>
      <c r="Q52" s="102"/>
      <c r="R52" s="102"/>
      <c r="S52" s="105"/>
      <c r="T52" s="102"/>
      <c r="U52" s="102"/>
      <c r="V52" s="106"/>
      <c r="W52" s="102"/>
      <c r="X52" s="102"/>
      <c r="Y52" s="102"/>
      <c r="Z52" s="102"/>
      <c r="AA52" s="102"/>
      <c r="AB52" s="102"/>
      <c r="AC52" s="102"/>
      <c r="AD52" s="102"/>
      <c r="AE52" s="102"/>
      <c r="AF52" s="102"/>
      <c r="AG52" s="102"/>
      <c r="AH52" s="102"/>
      <c r="AI52" s="102"/>
      <c r="AJ52" s="102"/>
      <c r="AK52" s="234" t="str">
        <f t="shared" si="32"/>
        <v>Griff Oberwald</v>
      </c>
      <c r="AL52" s="234" t="str">
        <f>$E$3&amp;"6"</f>
        <v>Human6</v>
      </c>
      <c r="AM52" s="102"/>
      <c r="AN52" s="102"/>
      <c r="AO52" s="102"/>
      <c r="AP52" s="102"/>
      <c r="AQ52" s="102"/>
      <c r="AR52" s="105"/>
      <c r="AS52" s="105"/>
      <c r="AT52" s="105"/>
      <c r="AU52" s="105"/>
      <c r="AV52" s="102"/>
      <c r="AW52" s="102"/>
      <c r="AX52" s="102"/>
      <c r="AY52" s="102"/>
    </row>
    <row r="53" spans="1:51" ht="13.5" customHeight="1">
      <c r="A53" s="102"/>
      <c r="B53" s="102"/>
      <c r="C53" s="105"/>
      <c r="D53" s="102"/>
      <c r="E53" s="102"/>
      <c r="F53" s="104"/>
      <c r="G53" s="105"/>
      <c r="H53" s="105"/>
      <c r="I53" s="105"/>
      <c r="J53" s="105"/>
      <c r="K53" s="102"/>
      <c r="L53" s="102"/>
      <c r="M53" s="102"/>
      <c r="N53" s="102"/>
      <c r="O53" s="102"/>
      <c r="P53" s="102"/>
      <c r="Q53" s="102"/>
      <c r="R53" s="102"/>
      <c r="S53" s="105"/>
      <c r="T53" s="102"/>
      <c r="U53" s="102"/>
      <c r="V53" s="106"/>
      <c r="W53" s="102"/>
      <c r="X53" s="102"/>
      <c r="Y53" s="102"/>
      <c r="Z53" s="102"/>
      <c r="AA53" s="102"/>
      <c r="AB53" s="102"/>
      <c r="AC53" s="102"/>
      <c r="AD53" s="102"/>
      <c r="AE53" s="102"/>
      <c r="AF53" s="102"/>
      <c r="AG53" s="102"/>
      <c r="AH53" s="102"/>
      <c r="AI53" s="102"/>
      <c r="AJ53" s="102"/>
      <c r="AK53" s="234" t="str">
        <f t="shared" si="32"/>
        <v>Helmut Wulff</v>
      </c>
      <c r="AL53" s="234" t="str">
        <f>$E$3&amp;"5"</f>
        <v>Human5</v>
      </c>
      <c r="AM53" s="102"/>
      <c r="AN53" s="102"/>
      <c r="AO53" s="102"/>
      <c r="AP53" s="102"/>
      <c r="AQ53" s="102"/>
      <c r="AR53" s="105"/>
      <c r="AS53" s="105"/>
      <c r="AT53" s="105"/>
      <c r="AU53" s="105"/>
      <c r="AV53" s="102"/>
      <c r="AW53" s="102"/>
      <c r="AX53" s="102"/>
      <c r="AY53" s="102"/>
    </row>
    <row r="54" spans="1:51" ht="13.5" customHeight="1">
      <c r="A54" s="102"/>
      <c r="B54" s="102"/>
      <c r="C54" s="105"/>
      <c r="D54" s="102"/>
      <c r="E54" s="102"/>
      <c r="F54" s="104"/>
      <c r="G54" s="105"/>
      <c r="H54" s="105"/>
      <c r="I54" s="105"/>
      <c r="J54" s="105"/>
      <c r="K54" s="102"/>
      <c r="L54" s="102"/>
      <c r="M54" s="102"/>
      <c r="N54" s="102"/>
      <c r="O54" s="102"/>
      <c r="P54" s="102"/>
      <c r="Q54" s="102"/>
      <c r="R54" s="102"/>
      <c r="S54" s="105"/>
      <c r="T54" s="102"/>
      <c r="U54" s="102"/>
      <c r="V54" s="106"/>
      <c r="W54" s="102"/>
      <c r="X54" s="102"/>
      <c r="Y54" s="102"/>
      <c r="Z54" s="102"/>
      <c r="AA54" s="102"/>
      <c r="AB54" s="102"/>
      <c r="AC54" s="102"/>
      <c r="AD54" s="102"/>
      <c r="AE54" s="102"/>
      <c r="AF54" s="102"/>
      <c r="AG54" s="102"/>
      <c r="AH54" s="102"/>
      <c r="AI54" s="102"/>
      <c r="AJ54" s="102"/>
      <c r="AK54" s="234" t="str">
        <f t="shared" si="32"/>
        <v>Mighty Zug</v>
      </c>
      <c r="AL54" s="234" t="str">
        <f>$E$3&amp;"4"</f>
        <v>Human4</v>
      </c>
      <c r="AM54" s="102"/>
      <c r="AN54" s="102"/>
      <c r="AO54" s="102"/>
      <c r="AP54" s="102"/>
      <c r="AQ54" s="102"/>
      <c r="AR54" s="105"/>
      <c r="AS54" s="105"/>
      <c r="AT54" s="105"/>
      <c r="AU54" s="105"/>
      <c r="AV54" s="102"/>
      <c r="AW54" s="102"/>
      <c r="AX54" s="102"/>
      <c r="AY54" s="102"/>
    </row>
    <row r="55" spans="1:51" ht="13.5" customHeight="1">
      <c r="A55" s="102"/>
      <c r="B55" s="102"/>
      <c r="C55" s="105"/>
      <c r="D55" s="102"/>
      <c r="E55" s="102"/>
      <c r="F55" s="104"/>
      <c r="G55" s="105"/>
      <c r="H55" s="105"/>
      <c r="I55" s="105"/>
      <c r="J55" s="105"/>
      <c r="K55" s="102"/>
      <c r="L55" s="102"/>
      <c r="M55" s="102"/>
      <c r="N55" s="102"/>
      <c r="O55" s="102"/>
      <c r="P55" s="102"/>
      <c r="Q55" s="102"/>
      <c r="R55" s="102"/>
      <c r="S55" s="105"/>
      <c r="T55" s="102"/>
      <c r="U55" s="102"/>
      <c r="V55" s="106"/>
      <c r="W55" s="102"/>
      <c r="X55" s="102"/>
      <c r="Y55" s="102"/>
      <c r="Z55" s="102"/>
      <c r="AA55" s="102"/>
      <c r="AB55" s="102"/>
      <c r="AC55" s="102"/>
      <c r="AD55" s="102"/>
      <c r="AE55" s="102"/>
      <c r="AF55" s="102"/>
      <c r="AG55" s="102"/>
      <c r="AH55" s="102"/>
      <c r="AI55" s="102"/>
      <c r="AJ55" s="102"/>
      <c r="AK55" s="234" t="str">
        <f t="shared" si="32"/>
        <v>Morg 'n' Thorg</v>
      </c>
      <c r="AL55" s="234" t="str">
        <f>$E$3&amp;"3"</f>
        <v>Human3</v>
      </c>
      <c r="AM55" s="102"/>
      <c r="AN55" s="102"/>
      <c r="AO55" s="102"/>
      <c r="AP55" s="102"/>
      <c r="AQ55" s="102"/>
      <c r="AR55" s="105"/>
      <c r="AS55" s="105"/>
      <c r="AT55" s="105"/>
      <c r="AU55" s="105"/>
      <c r="AV55" s="102"/>
      <c r="AW55" s="102"/>
      <c r="AX55" s="102"/>
      <c r="AY55" s="102"/>
    </row>
    <row r="56" spans="1:51" ht="13.5" customHeight="1">
      <c r="A56" s="102"/>
      <c r="B56" s="102"/>
      <c r="C56" s="105"/>
      <c r="D56" s="102"/>
      <c r="E56" s="102"/>
      <c r="F56" s="104"/>
      <c r="G56" s="105"/>
      <c r="H56" s="105"/>
      <c r="I56" s="105"/>
      <c r="J56" s="105"/>
      <c r="K56" s="102"/>
      <c r="L56" s="102"/>
      <c r="M56" s="102"/>
      <c r="N56" s="102"/>
      <c r="O56" s="102"/>
      <c r="P56" s="102"/>
      <c r="Q56" s="102"/>
      <c r="R56" s="102"/>
      <c r="S56" s="105"/>
      <c r="T56" s="102"/>
      <c r="U56" s="102"/>
      <c r="V56" s="106"/>
      <c r="W56" s="102"/>
      <c r="X56" s="102"/>
      <c r="Y56" s="102"/>
      <c r="Z56" s="102"/>
      <c r="AA56" s="102"/>
      <c r="AB56" s="102"/>
      <c r="AC56" s="102"/>
      <c r="AD56" s="102"/>
      <c r="AE56" s="102"/>
      <c r="AF56" s="102"/>
      <c r="AG56" s="102"/>
      <c r="AH56" s="102"/>
      <c r="AI56" s="102"/>
      <c r="AJ56" s="102"/>
      <c r="AK56" s="234" t="str">
        <f t="shared" si="32"/>
        <v>Puggy Baconbreath</v>
      </c>
      <c r="AL56" s="234" t="str">
        <f>$E$3&amp;"2"</f>
        <v>Human2</v>
      </c>
      <c r="AM56" s="102"/>
      <c r="AN56" s="102"/>
      <c r="AO56" s="102"/>
      <c r="AP56" s="102"/>
      <c r="AQ56" s="102"/>
      <c r="AR56" s="105"/>
      <c r="AS56" s="105"/>
      <c r="AT56" s="105"/>
      <c r="AU56" s="105"/>
      <c r="AV56" s="102"/>
      <c r="AW56" s="102"/>
      <c r="AX56" s="102"/>
      <c r="AY56" s="102"/>
    </row>
    <row r="57" spans="1:51" ht="13.5" customHeight="1">
      <c r="A57" s="102"/>
      <c r="B57" s="102"/>
      <c r="C57" s="105"/>
      <c r="D57" s="102"/>
      <c r="E57" s="102"/>
      <c r="F57" s="104"/>
      <c r="G57" s="105"/>
      <c r="H57" s="105"/>
      <c r="I57" s="105"/>
      <c r="J57" s="105"/>
      <c r="K57" s="102"/>
      <c r="L57" s="102"/>
      <c r="M57" s="102"/>
      <c r="N57" s="102"/>
      <c r="O57" s="102"/>
      <c r="P57" s="102"/>
      <c r="Q57" s="102"/>
      <c r="R57" s="102"/>
      <c r="S57" s="105"/>
      <c r="T57" s="102"/>
      <c r="U57" s="102"/>
      <c r="V57" s="106"/>
      <c r="W57" s="102"/>
      <c r="X57" s="102"/>
      <c r="Y57" s="102"/>
      <c r="Z57" s="102"/>
      <c r="AA57" s="102"/>
      <c r="AB57" s="102"/>
      <c r="AC57" s="102"/>
      <c r="AD57" s="102"/>
      <c r="AE57" s="102"/>
      <c r="AF57" s="102"/>
      <c r="AG57" s="102"/>
      <c r="AH57" s="102"/>
      <c r="AI57" s="102"/>
      <c r="AJ57" s="106" t="s">
        <v>224</v>
      </c>
      <c r="AK57" s="234" t="str">
        <f t="shared" si="32"/>
        <v>Zara the Slayer</v>
      </c>
      <c r="AL57" s="234" t="str">
        <f t="shared" ref="AL57:AL58" si="33">$E$3&amp;"1"</f>
        <v>Human1</v>
      </c>
      <c r="AM57" s="102"/>
      <c r="AN57" s="102"/>
      <c r="AO57" s="102"/>
      <c r="AP57" s="102"/>
      <c r="AQ57" s="102"/>
      <c r="AR57" s="105"/>
      <c r="AS57" s="105"/>
      <c r="AT57" s="105"/>
      <c r="AU57" s="105"/>
      <c r="AV57" s="102"/>
      <c r="AW57" s="102"/>
      <c r="AX57" s="102"/>
      <c r="AY57" s="102"/>
    </row>
    <row r="58" spans="1:51" ht="13.5" customHeight="1">
      <c r="A58" s="102"/>
      <c r="B58" s="102"/>
      <c r="C58" s="105"/>
      <c r="D58" s="102"/>
      <c r="E58" s="102"/>
      <c r="F58" s="104"/>
      <c r="G58" s="105"/>
      <c r="H58" s="105"/>
      <c r="I58" s="105"/>
      <c r="J58" s="105"/>
      <c r="K58" s="102"/>
      <c r="L58" s="102"/>
      <c r="M58" s="102"/>
      <c r="N58" s="102"/>
      <c r="O58" s="102"/>
      <c r="P58" s="102"/>
      <c r="Q58" s="102"/>
      <c r="R58" s="102"/>
      <c r="S58" s="105"/>
      <c r="T58" s="102"/>
      <c r="U58" s="102"/>
      <c r="V58" s="106"/>
      <c r="W58" s="102"/>
      <c r="X58" s="102"/>
      <c r="Y58" s="102"/>
      <c r="Z58" s="102"/>
      <c r="AA58" s="102"/>
      <c r="AB58" s="102"/>
      <c r="AC58" s="102"/>
      <c r="AD58" s="102"/>
      <c r="AE58" s="102"/>
      <c r="AF58" s="102"/>
      <c r="AG58" s="102"/>
      <c r="AH58" s="102"/>
      <c r="AI58" s="102"/>
      <c r="AJ58" s="234" t="str">
        <f t="shared" ref="AJ58:AJ67" si="34">VLOOKUP(AL58,DBPlayers,3,0)</f>
        <v>Lineman</v>
      </c>
      <c r="AK58" s="234" t="str">
        <f t="shared" ref="AK58:AK67" si="35">AJ58&amp;" "&amp;T_Merc</f>
        <v>Lineman Mercenary</v>
      </c>
      <c r="AL58" s="234" t="str">
        <f t="shared" si="33"/>
        <v>Human1</v>
      </c>
      <c r="AM58" s="102"/>
      <c r="AN58" s="235"/>
      <c r="AO58" s="102"/>
      <c r="AP58" s="102"/>
      <c r="AQ58" s="102"/>
      <c r="AR58" s="105"/>
      <c r="AS58" s="105"/>
      <c r="AT58" s="105"/>
      <c r="AU58" s="105"/>
      <c r="AV58" s="102"/>
      <c r="AW58" s="102"/>
      <c r="AX58" s="102"/>
      <c r="AY58" s="102"/>
    </row>
    <row r="59" spans="1:51" ht="13.5" customHeight="1">
      <c r="A59" s="102"/>
      <c r="B59" s="102"/>
      <c r="C59" s="105"/>
      <c r="D59" s="102"/>
      <c r="E59" s="102"/>
      <c r="F59" s="104"/>
      <c r="G59" s="105"/>
      <c r="H59" s="105"/>
      <c r="I59" s="105"/>
      <c r="J59" s="105"/>
      <c r="K59" s="102"/>
      <c r="L59" s="102"/>
      <c r="M59" s="102"/>
      <c r="N59" s="102"/>
      <c r="O59" s="102"/>
      <c r="P59" s="102"/>
      <c r="Q59" s="102"/>
      <c r="R59" s="102"/>
      <c r="S59" s="105"/>
      <c r="T59" s="102"/>
      <c r="U59" s="102"/>
      <c r="V59" s="106"/>
      <c r="W59" s="102"/>
      <c r="X59" s="102"/>
      <c r="Y59" s="102"/>
      <c r="Z59" s="102"/>
      <c r="AA59" s="102"/>
      <c r="AB59" s="102"/>
      <c r="AC59" s="102"/>
      <c r="AD59" s="102"/>
      <c r="AE59" s="102"/>
      <c r="AF59" s="102"/>
      <c r="AG59" s="102"/>
      <c r="AH59" s="102"/>
      <c r="AI59" s="102"/>
      <c r="AJ59" s="234" t="str">
        <f t="shared" si="34"/>
        <v>Catcher</v>
      </c>
      <c r="AK59" s="234" t="str">
        <f t="shared" si="35"/>
        <v>Catcher Mercenary</v>
      </c>
      <c r="AL59" s="234" t="str">
        <f>$E$3&amp;"2"</f>
        <v>Human2</v>
      </c>
      <c r="AM59" s="102"/>
      <c r="AN59" s="102"/>
      <c r="AO59" s="102"/>
      <c r="AP59" s="102"/>
      <c r="AQ59" s="102"/>
      <c r="AR59" s="105"/>
      <c r="AS59" s="105"/>
      <c r="AT59" s="105"/>
      <c r="AU59" s="105"/>
      <c r="AV59" s="102"/>
      <c r="AW59" s="102"/>
      <c r="AX59" s="102"/>
      <c r="AY59" s="102"/>
    </row>
    <row r="60" spans="1:51" ht="12.75" customHeight="1">
      <c r="A60" s="102"/>
      <c r="B60" s="102"/>
      <c r="C60" s="105"/>
      <c r="D60" s="102"/>
      <c r="E60" s="102"/>
      <c r="F60" s="104"/>
      <c r="G60" s="105"/>
      <c r="H60" s="105"/>
      <c r="I60" s="105"/>
      <c r="J60" s="105"/>
      <c r="K60" s="102"/>
      <c r="L60" s="102"/>
      <c r="M60" s="102"/>
      <c r="N60" s="102"/>
      <c r="O60" s="102"/>
      <c r="P60" s="102"/>
      <c r="Q60" s="102"/>
      <c r="R60" s="102"/>
      <c r="S60" s="105"/>
      <c r="T60" s="102"/>
      <c r="U60" s="102"/>
      <c r="V60" s="106"/>
      <c r="W60" s="102"/>
      <c r="X60" s="102"/>
      <c r="Y60" s="102"/>
      <c r="Z60" s="102"/>
      <c r="AA60" s="102"/>
      <c r="AB60" s="102"/>
      <c r="AC60" s="102"/>
      <c r="AD60" s="102"/>
      <c r="AE60" s="102"/>
      <c r="AF60" s="102"/>
      <c r="AG60" s="102"/>
      <c r="AH60" s="102"/>
      <c r="AI60" s="102"/>
      <c r="AJ60" s="234" t="str">
        <f t="shared" si="34"/>
        <v>Thrower</v>
      </c>
      <c r="AK60" s="234" t="str">
        <f t="shared" si="35"/>
        <v>Thrower Mercenary</v>
      </c>
      <c r="AL60" s="234" t="str">
        <f>$E$3&amp;"3"</f>
        <v>Human3</v>
      </c>
      <c r="AM60" s="102"/>
      <c r="AN60" s="102"/>
      <c r="AO60" s="102"/>
      <c r="AP60" s="102"/>
      <c r="AQ60" s="102"/>
      <c r="AR60" s="105"/>
      <c r="AS60" s="105"/>
      <c r="AT60" s="105"/>
      <c r="AU60" s="105"/>
      <c r="AV60" s="102"/>
      <c r="AW60" s="102"/>
      <c r="AX60" s="102"/>
      <c r="AY60" s="102"/>
    </row>
    <row r="61" spans="1:51" ht="12.75" customHeight="1">
      <c r="A61" s="102"/>
      <c r="B61" s="102"/>
      <c r="C61" s="105"/>
      <c r="D61" s="102"/>
      <c r="E61" s="102"/>
      <c r="F61" s="104"/>
      <c r="G61" s="105"/>
      <c r="H61" s="105"/>
      <c r="I61" s="105"/>
      <c r="J61" s="105"/>
      <c r="K61" s="102"/>
      <c r="L61" s="102"/>
      <c r="M61" s="102"/>
      <c r="N61" s="102"/>
      <c r="O61" s="102"/>
      <c r="P61" s="102"/>
      <c r="Q61" s="102"/>
      <c r="R61" s="102"/>
      <c r="S61" s="105"/>
      <c r="T61" s="102"/>
      <c r="U61" s="102"/>
      <c r="V61" s="106"/>
      <c r="W61" s="102"/>
      <c r="X61" s="102"/>
      <c r="Y61" s="102"/>
      <c r="Z61" s="102"/>
      <c r="AA61" s="102"/>
      <c r="AB61" s="102"/>
      <c r="AC61" s="102"/>
      <c r="AD61" s="102"/>
      <c r="AE61" s="102"/>
      <c r="AF61" s="102"/>
      <c r="AG61" s="102"/>
      <c r="AH61" s="102"/>
      <c r="AI61" s="102"/>
      <c r="AJ61" s="234" t="str">
        <f t="shared" si="34"/>
        <v>Blitzer</v>
      </c>
      <c r="AK61" s="234" t="str">
        <f t="shared" si="35"/>
        <v>Blitzer Mercenary</v>
      </c>
      <c r="AL61" s="234" t="str">
        <f>$E$3&amp;"4"</f>
        <v>Human4</v>
      </c>
      <c r="AM61" s="102"/>
      <c r="AN61" s="102"/>
      <c r="AO61" s="102"/>
      <c r="AP61" s="102"/>
      <c r="AQ61" s="102"/>
      <c r="AR61" s="105"/>
      <c r="AS61" s="105"/>
      <c r="AT61" s="105"/>
      <c r="AU61" s="105"/>
      <c r="AV61" s="102"/>
      <c r="AW61" s="102"/>
      <c r="AX61" s="102"/>
      <c r="AY61" s="102"/>
    </row>
    <row r="62" spans="1:51" ht="12.75" customHeight="1">
      <c r="A62" s="102"/>
      <c r="B62" s="102"/>
      <c r="C62" s="105"/>
      <c r="D62" s="102"/>
      <c r="E62" s="102"/>
      <c r="F62" s="104"/>
      <c r="G62" s="105"/>
      <c r="H62" s="105"/>
      <c r="I62" s="105"/>
      <c r="J62" s="105"/>
      <c r="K62" s="102"/>
      <c r="L62" s="102"/>
      <c r="M62" s="102"/>
      <c r="N62" s="102"/>
      <c r="O62" s="102"/>
      <c r="P62" s="102"/>
      <c r="Q62" s="102"/>
      <c r="R62" s="102"/>
      <c r="S62" s="105"/>
      <c r="T62" s="102"/>
      <c r="U62" s="102"/>
      <c r="V62" s="106"/>
      <c r="W62" s="102"/>
      <c r="X62" s="102"/>
      <c r="Y62" s="102"/>
      <c r="Z62" s="102"/>
      <c r="AA62" s="102"/>
      <c r="AB62" s="102"/>
      <c r="AC62" s="102"/>
      <c r="AD62" s="102"/>
      <c r="AE62" s="102"/>
      <c r="AF62" s="102"/>
      <c r="AG62" s="102"/>
      <c r="AH62" s="102"/>
      <c r="AI62" s="102"/>
      <c r="AJ62" s="234" t="str">
        <f t="shared" si="34"/>
        <v>Ogre</v>
      </c>
      <c r="AK62" s="234" t="str">
        <f t="shared" si="35"/>
        <v>Ogre Mercenary</v>
      </c>
      <c r="AL62" s="234" t="str">
        <f>$E$3&amp;"5"</f>
        <v>Human5</v>
      </c>
      <c r="AM62" s="102"/>
      <c r="AN62" s="102"/>
      <c r="AO62" s="102"/>
      <c r="AP62" s="102"/>
      <c r="AQ62" s="102"/>
      <c r="AR62" s="105"/>
      <c r="AS62" s="105"/>
      <c r="AT62" s="105"/>
      <c r="AU62" s="105"/>
      <c r="AV62" s="102"/>
      <c r="AW62" s="102"/>
      <c r="AX62" s="102"/>
      <c r="AY62" s="102"/>
    </row>
    <row r="63" spans="1:51" ht="12.75" customHeight="1">
      <c r="A63" s="102"/>
      <c r="B63" s="102"/>
      <c r="C63" s="105"/>
      <c r="D63" s="102"/>
      <c r="E63" s="102"/>
      <c r="F63" s="104"/>
      <c r="G63" s="105"/>
      <c r="H63" s="105"/>
      <c r="I63" s="105"/>
      <c r="J63" s="105"/>
      <c r="K63" s="102"/>
      <c r="L63" s="102"/>
      <c r="M63" s="102"/>
      <c r="N63" s="102"/>
      <c r="O63" s="102"/>
      <c r="P63" s="102"/>
      <c r="Q63" s="102"/>
      <c r="R63" s="102"/>
      <c r="S63" s="105"/>
      <c r="T63" s="102"/>
      <c r="U63" s="102"/>
      <c r="V63" s="106"/>
      <c r="W63" s="102"/>
      <c r="X63" s="102"/>
      <c r="Y63" s="102"/>
      <c r="Z63" s="102"/>
      <c r="AA63" s="102"/>
      <c r="AB63" s="102"/>
      <c r="AC63" s="102"/>
      <c r="AD63" s="102"/>
      <c r="AE63" s="102"/>
      <c r="AF63" s="102"/>
      <c r="AG63" s="102"/>
      <c r="AH63" s="102"/>
      <c r="AI63" s="102"/>
      <c r="AJ63" s="234" t="e">
        <f t="shared" si="34"/>
        <v>#N/A</v>
      </c>
      <c r="AK63" s="234" t="e">
        <f t="shared" si="35"/>
        <v>#N/A</v>
      </c>
      <c r="AL63" s="234" t="str">
        <f>$E$3&amp;"6"</f>
        <v>Human6</v>
      </c>
      <c r="AM63" s="102"/>
      <c r="AN63" s="102"/>
      <c r="AO63" s="102"/>
      <c r="AP63" s="102"/>
      <c r="AQ63" s="102"/>
      <c r="AR63" s="105"/>
      <c r="AS63" s="105"/>
      <c r="AT63" s="105"/>
      <c r="AU63" s="105"/>
      <c r="AV63" s="102"/>
      <c r="AW63" s="102"/>
      <c r="AX63" s="102"/>
      <c r="AY63" s="102"/>
    </row>
    <row r="64" spans="1:51" ht="12.75" customHeight="1">
      <c r="A64" s="102"/>
      <c r="B64" s="102"/>
      <c r="C64" s="105"/>
      <c r="D64" s="102"/>
      <c r="E64" s="102"/>
      <c r="F64" s="104"/>
      <c r="G64" s="105"/>
      <c r="H64" s="105"/>
      <c r="I64" s="105"/>
      <c r="J64" s="105"/>
      <c r="K64" s="102"/>
      <c r="L64" s="102"/>
      <c r="M64" s="102"/>
      <c r="N64" s="102"/>
      <c r="O64" s="102"/>
      <c r="P64" s="102"/>
      <c r="Q64" s="102"/>
      <c r="R64" s="102"/>
      <c r="S64" s="105"/>
      <c r="T64" s="102"/>
      <c r="U64" s="102"/>
      <c r="V64" s="106"/>
      <c r="W64" s="102"/>
      <c r="X64" s="102"/>
      <c r="Y64" s="102"/>
      <c r="Z64" s="102"/>
      <c r="AA64" s="102"/>
      <c r="AB64" s="102"/>
      <c r="AC64" s="102"/>
      <c r="AD64" s="102"/>
      <c r="AE64" s="102"/>
      <c r="AF64" s="102"/>
      <c r="AG64" s="102"/>
      <c r="AH64" s="102"/>
      <c r="AI64" s="102"/>
      <c r="AJ64" s="234" t="e">
        <f t="shared" si="34"/>
        <v>#N/A</v>
      </c>
      <c r="AK64" s="234" t="e">
        <f t="shared" si="35"/>
        <v>#N/A</v>
      </c>
      <c r="AL64" s="234" t="str">
        <f>$E$3&amp;"7"</f>
        <v>Human7</v>
      </c>
      <c r="AM64" s="102"/>
      <c r="AN64" s="102"/>
      <c r="AO64" s="102"/>
      <c r="AP64" s="102"/>
      <c r="AQ64" s="102"/>
      <c r="AR64" s="105"/>
      <c r="AS64" s="105"/>
      <c r="AT64" s="105"/>
      <c r="AU64" s="105"/>
      <c r="AV64" s="102"/>
      <c r="AW64" s="102"/>
      <c r="AX64" s="102"/>
      <c r="AY64" s="102"/>
    </row>
    <row r="65" spans="1:51" ht="12.75" customHeight="1">
      <c r="A65" s="102"/>
      <c r="B65" s="102"/>
      <c r="C65" s="105"/>
      <c r="D65" s="102"/>
      <c r="E65" s="102"/>
      <c r="F65" s="104"/>
      <c r="G65" s="105"/>
      <c r="H65" s="105"/>
      <c r="I65" s="105"/>
      <c r="J65" s="105"/>
      <c r="K65" s="102"/>
      <c r="L65" s="102"/>
      <c r="M65" s="102"/>
      <c r="N65" s="102"/>
      <c r="O65" s="102"/>
      <c r="P65" s="102"/>
      <c r="Q65" s="102"/>
      <c r="R65" s="102"/>
      <c r="S65" s="105"/>
      <c r="T65" s="102"/>
      <c r="U65" s="102"/>
      <c r="V65" s="106"/>
      <c r="W65" s="102"/>
      <c r="X65" s="102"/>
      <c r="Y65" s="102"/>
      <c r="Z65" s="102"/>
      <c r="AA65" s="102"/>
      <c r="AB65" s="102"/>
      <c r="AC65" s="102"/>
      <c r="AD65" s="102"/>
      <c r="AE65" s="102"/>
      <c r="AF65" s="102"/>
      <c r="AG65" s="102"/>
      <c r="AH65" s="102"/>
      <c r="AI65" s="102"/>
      <c r="AJ65" s="234" t="e">
        <f t="shared" si="34"/>
        <v>#N/A</v>
      </c>
      <c r="AK65" s="234" t="e">
        <f t="shared" si="35"/>
        <v>#N/A</v>
      </c>
      <c r="AL65" s="234" t="str">
        <f>$E$3&amp;"8"</f>
        <v>Human8</v>
      </c>
      <c r="AM65" s="102"/>
      <c r="AN65" s="102"/>
      <c r="AO65" s="102"/>
      <c r="AP65" s="102"/>
      <c r="AQ65" s="102"/>
      <c r="AR65" s="105"/>
      <c r="AS65" s="105"/>
      <c r="AT65" s="105"/>
      <c r="AU65" s="105"/>
      <c r="AV65" s="102"/>
      <c r="AW65" s="102"/>
      <c r="AX65" s="102"/>
      <c r="AY65" s="102"/>
    </row>
    <row r="66" spans="1:51" ht="12.75" customHeight="1">
      <c r="A66" s="102"/>
      <c r="B66" s="102"/>
      <c r="C66" s="105"/>
      <c r="D66" s="102"/>
      <c r="E66" s="102"/>
      <c r="F66" s="104"/>
      <c r="G66" s="105"/>
      <c r="H66" s="105"/>
      <c r="I66" s="105"/>
      <c r="J66" s="105"/>
      <c r="K66" s="102"/>
      <c r="L66" s="102"/>
      <c r="M66" s="102"/>
      <c r="N66" s="102"/>
      <c r="O66" s="102"/>
      <c r="P66" s="102"/>
      <c r="Q66" s="102"/>
      <c r="R66" s="102"/>
      <c r="S66" s="105"/>
      <c r="T66" s="102"/>
      <c r="U66" s="102"/>
      <c r="V66" s="106"/>
      <c r="W66" s="102"/>
      <c r="X66" s="102"/>
      <c r="Y66" s="102"/>
      <c r="Z66" s="102"/>
      <c r="AA66" s="102"/>
      <c r="AB66" s="102"/>
      <c r="AC66" s="102"/>
      <c r="AD66" s="102"/>
      <c r="AE66" s="102"/>
      <c r="AF66" s="102"/>
      <c r="AG66" s="102"/>
      <c r="AH66" s="102"/>
      <c r="AI66" s="102"/>
      <c r="AJ66" s="234" t="e">
        <f t="shared" si="34"/>
        <v>#N/A</v>
      </c>
      <c r="AK66" s="234" t="e">
        <f t="shared" si="35"/>
        <v>#N/A</v>
      </c>
      <c r="AL66" s="234" t="str">
        <f>$E$3&amp;"9"</f>
        <v>Human9</v>
      </c>
      <c r="AM66" s="102"/>
      <c r="AN66" s="102"/>
      <c r="AO66" s="102"/>
      <c r="AP66" s="102"/>
      <c r="AQ66" s="102"/>
      <c r="AR66" s="105"/>
      <c r="AS66" s="105"/>
      <c r="AT66" s="105"/>
      <c r="AU66" s="105"/>
      <c r="AV66" s="102"/>
      <c r="AW66" s="102"/>
      <c r="AX66" s="102"/>
      <c r="AY66" s="102"/>
    </row>
    <row r="67" spans="1:51" ht="12.75" customHeight="1">
      <c r="A67" s="102"/>
      <c r="B67" s="102"/>
      <c r="C67" s="105"/>
      <c r="D67" s="102"/>
      <c r="E67" s="102"/>
      <c r="F67" s="104"/>
      <c r="G67" s="105"/>
      <c r="H67" s="105"/>
      <c r="I67" s="105"/>
      <c r="J67" s="105"/>
      <c r="K67" s="102"/>
      <c r="L67" s="102"/>
      <c r="M67" s="102"/>
      <c r="N67" s="102"/>
      <c r="O67" s="102"/>
      <c r="P67" s="102"/>
      <c r="Q67" s="102"/>
      <c r="R67" s="102"/>
      <c r="S67" s="105"/>
      <c r="T67" s="102"/>
      <c r="U67" s="102"/>
      <c r="V67" s="106"/>
      <c r="W67" s="102"/>
      <c r="X67" s="102"/>
      <c r="Y67" s="102"/>
      <c r="Z67" s="102"/>
      <c r="AA67" s="102"/>
      <c r="AB67" s="102"/>
      <c r="AC67" s="102"/>
      <c r="AD67" s="102"/>
      <c r="AE67" s="102"/>
      <c r="AF67" s="102"/>
      <c r="AG67" s="102"/>
      <c r="AH67" s="102"/>
      <c r="AI67" s="102"/>
      <c r="AJ67" s="234" t="e">
        <f t="shared" si="34"/>
        <v>#N/A</v>
      </c>
      <c r="AK67" s="234" t="e">
        <f t="shared" si="35"/>
        <v>#N/A</v>
      </c>
      <c r="AL67" s="234" t="str">
        <f>$E$3&amp;"10"</f>
        <v>Human10</v>
      </c>
      <c r="AM67" s="102"/>
      <c r="AN67" s="102"/>
      <c r="AO67" s="102"/>
      <c r="AP67" s="102"/>
      <c r="AQ67" s="102"/>
      <c r="AR67" s="105"/>
      <c r="AS67" s="105"/>
      <c r="AT67" s="105"/>
      <c r="AU67" s="105"/>
      <c r="AV67" s="102"/>
      <c r="AW67" s="102"/>
      <c r="AX67" s="102"/>
      <c r="AY67" s="102"/>
    </row>
    <row r="68" spans="1:51" ht="12.75" customHeight="1">
      <c r="A68" s="102"/>
      <c r="B68" s="102"/>
      <c r="C68" s="105"/>
      <c r="D68" s="102"/>
      <c r="E68" s="102"/>
      <c r="F68" s="104"/>
      <c r="G68" s="105"/>
      <c r="H68" s="105"/>
      <c r="I68" s="105"/>
      <c r="J68" s="105"/>
      <c r="K68" s="102"/>
      <c r="L68" s="102"/>
      <c r="M68" s="102"/>
      <c r="N68" s="102"/>
      <c r="O68" s="102"/>
      <c r="P68" s="102"/>
      <c r="Q68" s="102"/>
      <c r="R68" s="102"/>
      <c r="S68" s="105"/>
      <c r="T68" s="102"/>
      <c r="U68" s="102"/>
      <c r="V68" s="106"/>
      <c r="W68" s="102"/>
      <c r="X68" s="102"/>
      <c r="Y68" s="102"/>
      <c r="Z68" s="102"/>
      <c r="AA68" s="102"/>
      <c r="AB68" s="102"/>
      <c r="AC68" s="102"/>
      <c r="AD68" s="102"/>
      <c r="AE68" s="102"/>
      <c r="AF68" s="102"/>
      <c r="AG68" s="102"/>
      <c r="AH68" s="102"/>
      <c r="AI68" s="102"/>
      <c r="AJ68" s="102"/>
      <c r="AK68" s="102"/>
      <c r="AL68" s="102"/>
      <c r="AM68" s="102"/>
      <c r="AN68" s="102"/>
      <c r="AO68" s="102"/>
      <c r="AP68" s="102"/>
      <c r="AQ68" s="102"/>
      <c r="AR68" s="105"/>
      <c r="AS68" s="105"/>
      <c r="AT68" s="105"/>
      <c r="AU68" s="105"/>
      <c r="AV68" s="102"/>
      <c r="AW68" s="102"/>
      <c r="AX68" s="102"/>
      <c r="AY68" s="102"/>
    </row>
    <row r="69" spans="1:51" ht="12.75" customHeight="1">
      <c r="A69" s="102"/>
      <c r="B69" s="102"/>
      <c r="C69" s="105"/>
      <c r="D69" s="102"/>
      <c r="E69" s="102"/>
      <c r="F69" s="104"/>
      <c r="G69" s="105"/>
      <c r="H69" s="105"/>
      <c r="I69" s="105"/>
      <c r="J69" s="105"/>
      <c r="K69" s="102"/>
      <c r="L69" s="102"/>
      <c r="M69" s="102"/>
      <c r="N69" s="102"/>
      <c r="O69" s="102"/>
      <c r="P69" s="102"/>
      <c r="Q69" s="102"/>
      <c r="R69" s="102"/>
      <c r="S69" s="105"/>
      <c r="T69" s="102"/>
      <c r="U69" s="102"/>
      <c r="V69" s="106"/>
      <c r="W69" s="102"/>
      <c r="X69" s="102"/>
      <c r="Y69" s="102"/>
      <c r="Z69" s="102"/>
      <c r="AA69" s="102"/>
      <c r="AB69" s="102"/>
      <c r="AC69" s="102"/>
      <c r="AD69" s="102"/>
      <c r="AE69" s="102"/>
      <c r="AF69" s="102"/>
      <c r="AG69" s="102"/>
      <c r="AH69" s="102"/>
      <c r="AI69" s="102"/>
      <c r="AJ69" s="235" t="s">
        <v>225</v>
      </c>
      <c r="AK69" s="234">
        <f t="array" ref="AK69">SUM(IF(ISERROR($AK$58:$AK$67),0,1))</f>
        <v>5</v>
      </c>
      <c r="AL69" s="102"/>
      <c r="AM69" s="102"/>
      <c r="AN69" s="102"/>
      <c r="AO69" s="102"/>
      <c r="AP69" s="102"/>
      <c r="AQ69" s="102"/>
      <c r="AR69" s="105"/>
      <c r="AS69" s="105"/>
      <c r="AT69" s="105"/>
      <c r="AU69" s="105"/>
      <c r="AV69" s="102"/>
      <c r="AW69" s="102"/>
      <c r="AX69" s="102"/>
      <c r="AY69" s="102"/>
    </row>
    <row r="70" spans="1:51" ht="12.75" customHeight="1">
      <c r="A70" s="102"/>
      <c r="B70" s="102"/>
      <c r="C70" s="105"/>
      <c r="D70" s="102"/>
      <c r="E70" s="102"/>
      <c r="F70" s="104"/>
      <c r="G70" s="105"/>
      <c r="H70" s="105"/>
      <c r="I70" s="105"/>
      <c r="J70" s="105"/>
      <c r="K70" s="102"/>
      <c r="L70" s="102"/>
      <c r="M70" s="102"/>
      <c r="N70" s="102"/>
      <c r="O70" s="102"/>
      <c r="P70" s="102"/>
      <c r="Q70" s="102"/>
      <c r="R70" s="102"/>
      <c r="S70" s="105"/>
      <c r="T70" s="102"/>
      <c r="U70" s="102"/>
      <c r="V70" s="106"/>
      <c r="W70" s="102"/>
      <c r="X70" s="102"/>
      <c r="Y70" s="102"/>
      <c r="Z70" s="102"/>
      <c r="AA70" s="102"/>
      <c r="AB70" s="102"/>
      <c r="AC70" s="102"/>
      <c r="AD70" s="102"/>
      <c r="AE70" s="102"/>
      <c r="AF70" s="102"/>
      <c r="AG70" s="102"/>
      <c r="AH70" s="102"/>
      <c r="AI70" s="102"/>
      <c r="AJ70" s="235" t="s">
        <v>226</v>
      </c>
      <c r="AK70" s="234">
        <f t="array" ref="AK70">SUM(IF(ISERROR($AK$48:$AK$57),0,1))</f>
        <v>6</v>
      </c>
      <c r="AL70" s="102"/>
      <c r="AM70" s="102"/>
      <c r="AN70" s="102"/>
      <c r="AO70" s="102"/>
      <c r="AP70" s="102"/>
      <c r="AQ70" s="102"/>
      <c r="AR70" s="105"/>
      <c r="AS70" s="105"/>
      <c r="AT70" s="105"/>
      <c r="AU70" s="105"/>
      <c r="AV70" s="102"/>
      <c r="AW70" s="102"/>
      <c r="AX70" s="102"/>
      <c r="AY70" s="102"/>
    </row>
  </sheetData>
  <mergeCells count="58">
    <mergeCell ref="L31:P31"/>
    <mergeCell ref="L33:R33"/>
    <mergeCell ref="O36:Q36"/>
    <mergeCell ref="O38:Q38"/>
    <mergeCell ref="O37:Q37"/>
    <mergeCell ref="O34:Q34"/>
    <mergeCell ref="O35:Q35"/>
    <mergeCell ref="D30:E30"/>
    <mergeCell ref="D29:E29"/>
    <mergeCell ref="V30:W30"/>
    <mergeCell ref="V29:W29"/>
    <mergeCell ref="V25:W25"/>
    <mergeCell ref="K29:R29"/>
    <mergeCell ref="K26:R26"/>
    <mergeCell ref="K27:R27"/>
    <mergeCell ref="K30:R30"/>
    <mergeCell ref="D35:E35"/>
    <mergeCell ref="D41:E41"/>
    <mergeCell ref="D37:E37"/>
    <mergeCell ref="D40:E40"/>
    <mergeCell ref="D38:E38"/>
    <mergeCell ref="D39:E39"/>
    <mergeCell ref="G3:I3"/>
    <mergeCell ref="V24:W24"/>
    <mergeCell ref="H38:I38"/>
    <mergeCell ref="H37:I37"/>
    <mergeCell ref="H34:I34"/>
    <mergeCell ref="D33:I33"/>
    <mergeCell ref="D26:E26"/>
    <mergeCell ref="D24:E24"/>
    <mergeCell ref="D25:E25"/>
    <mergeCell ref="E3:F3"/>
    <mergeCell ref="H36:I36"/>
    <mergeCell ref="H35:I35"/>
    <mergeCell ref="D36:E36"/>
    <mergeCell ref="D28:E28"/>
    <mergeCell ref="D27:E27"/>
    <mergeCell ref="D34:E34"/>
    <mergeCell ref="AF3:AG3"/>
    <mergeCell ref="AR3:AU3"/>
    <mergeCell ref="U3:W3"/>
    <mergeCell ref="N3:S3"/>
    <mergeCell ref="V28:W28"/>
    <mergeCell ref="K28:R28"/>
    <mergeCell ref="K24:R24"/>
    <mergeCell ref="K25:R25"/>
    <mergeCell ref="V26:W26"/>
    <mergeCell ref="V27:W27"/>
    <mergeCell ref="J3:K3"/>
    <mergeCell ref="L3:M3"/>
    <mergeCell ref="F42:I42"/>
    <mergeCell ref="R42:S42"/>
    <mergeCell ref="F41:I41"/>
    <mergeCell ref="R41:S41"/>
    <mergeCell ref="H39:I39"/>
    <mergeCell ref="M39:P39"/>
    <mergeCell ref="H40:I40"/>
    <mergeCell ref="R40:S40"/>
  </mergeCells>
  <conditionalFormatting sqref="G6:J21">
    <cfRule type="cellIs" dxfId="4" priority="1" stopIfTrue="1" operator="greaterThan">
      <formula>AR6</formula>
    </cfRule>
  </conditionalFormatting>
  <conditionalFormatting sqref="G6:J21">
    <cfRule type="cellIs" dxfId="3" priority="2" stopIfTrue="1" operator="lessThan">
      <formula>AR6</formula>
    </cfRule>
  </conditionalFormatting>
  <dataValidations count="13">
    <dataValidation type="list" allowBlank="1" showErrorMessage="1" sqref="E3">
      <formula1>TeamList</formula1>
    </dataValidation>
    <dataValidation type="decimal" allowBlank="1" showInputMessage="1" showErrorMessage="1" prompt="Wrong Entry - Please enter only numbers between 0 and 2!" sqref="F34 F38">
      <formula1>0</formula1>
      <formula2>2</formula2>
    </dataValidation>
    <dataValidation type="list" allowBlank="1" showInputMessage="1" showErrorMessage="1" prompt="Wrong Entry - Please enter a value from the dropdown list!" sqref="E6:E21">
      <formula1>OFFSET($AJ$58:$AJ$67,0,0,$AK$69,1)</formula1>
    </dataValidation>
    <dataValidation type="list" allowBlank="1" showErrorMessage="1" sqref="D44">
      <formula1>#REF!</formula1>
    </dataValidation>
    <dataValidation type="list" allowBlank="1" showInputMessage="1" showErrorMessage="1" prompt="Wrong Entry - Please enter a value from the dropdown list!" sqref="L6:L21">
      <formula1>StatusDropdown</formula1>
    </dataValidation>
    <dataValidation type="list" allowBlank="1" showInputMessage="1" showErrorMessage="1" prompt="Wrong Entry - Please enter a value from the dropdown list!" sqref="D25:D30">
      <formula1>OFFSET($AK$48:$AK$67,(10-$AK$70),0,$AK$69+$AK$70,1)</formula1>
    </dataValidation>
    <dataValidation type="decimal" allowBlank="1" showInputMessage="1" showErrorMessage="1" prompt="Wrong Entry - Please enter only numbers between 0 and 3!" sqref="F35">
      <formula1>0</formula1>
      <formula2>3</formula2>
    </dataValidation>
    <dataValidation type="decimal" allowBlank="1" showInputMessage="1" showErrorMessage="1" prompt="Wrong Entry - Please enter only numbers!" sqref="M34:M37">
      <formula1>0</formula1>
      <formula2>99</formula2>
    </dataValidation>
    <dataValidation type="list" allowBlank="1" showErrorMessage="1" sqref="Y6:AD21 V25:V30 Y30">
      <formula1>OFFSET(DBSkills,0,0,ROWS(DBSkills),1)</formula1>
    </dataValidation>
    <dataValidation type="decimal" allowBlank="1" showInputMessage="1" showErrorMessage="1" prompt="Wrong Entry - Please enter only numbers!" sqref="M39 F41">
      <formula1>-10000000</formula1>
      <formula2>1000000</formula2>
    </dataValidation>
    <dataValidation type="decimal" allowBlank="1" showInputMessage="1" showErrorMessage="1" prompt="Wrong Entry - Please enter only numbers between 0 and 4!" sqref="F36">
      <formula1>0</formula1>
      <formula2>4</formula2>
    </dataValidation>
    <dataValidation type="decimal" allowBlank="1" showInputMessage="1" showErrorMessage="1" prompt="Wrong Entry - Please do only enter numbers!" sqref="M6:Q21">
      <formula1>0</formula1>
      <formula2>9999</formula2>
    </dataValidation>
    <dataValidation type="decimal" allowBlank="1" showInputMessage="1" showErrorMessage="1" prompt="Wrong Entry - Please enter only 0 or 1!" sqref="F37 M38 F39:F40">
      <formula1>0</formula1>
      <formula2>1</formula2>
    </dataValidation>
  </dataValidation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Z103"/>
  <sheetViews>
    <sheetView workbookViewId="0"/>
  </sheetViews>
  <sheetFormatPr defaultColWidth="14.42578125" defaultRowHeight="15" customHeight="1"/>
  <cols>
    <col min="1" max="1" width="1.5703125" customWidth="1"/>
    <col min="2" max="2" width="10.5703125" customWidth="1"/>
    <col min="3" max="3" width="13.28515625" customWidth="1"/>
    <col min="4" max="4" width="12" customWidth="1"/>
    <col min="5" max="5" width="18.28515625" customWidth="1"/>
    <col min="6" max="6" width="3.28515625" customWidth="1"/>
    <col min="7" max="7" width="12.5703125" customWidth="1"/>
    <col min="8" max="8" width="9.42578125" customWidth="1"/>
    <col min="9" max="9" width="0" hidden="1" customWidth="1"/>
    <col min="10" max="13" width="3" customWidth="1"/>
    <col min="14" max="14" width="41" customWidth="1"/>
    <col min="15" max="15" width="5.140625" customWidth="1"/>
    <col min="16" max="21" width="3.5703125" customWidth="1"/>
    <col min="22" max="26" width="11.42578125" customWidth="1"/>
  </cols>
  <sheetData>
    <row r="1" spans="1:26" ht="29.25" customHeight="1">
      <c r="A1" s="1"/>
      <c r="B1" s="315" t="s">
        <v>364</v>
      </c>
      <c r="C1" s="316"/>
      <c r="D1" s="316"/>
      <c r="E1" s="316"/>
      <c r="F1" s="316"/>
      <c r="G1" s="316"/>
      <c r="H1" s="316"/>
      <c r="I1" s="316"/>
      <c r="J1" s="316"/>
      <c r="K1" s="316"/>
      <c r="L1" s="316"/>
      <c r="M1" s="316"/>
      <c r="N1" s="316"/>
      <c r="O1" s="316"/>
      <c r="P1" s="316"/>
      <c r="Q1" s="316"/>
      <c r="R1" s="316"/>
      <c r="S1" s="316"/>
      <c r="T1" s="316"/>
      <c r="U1" s="316"/>
      <c r="V1" s="1"/>
      <c r="W1" s="1"/>
      <c r="X1" s="1"/>
      <c r="Y1" s="1"/>
      <c r="Z1" s="1"/>
    </row>
    <row r="2" spans="1:26" ht="6.75" customHeight="1">
      <c r="A2" s="1"/>
      <c r="B2" s="1"/>
      <c r="C2" s="1"/>
      <c r="D2" s="1"/>
      <c r="E2" s="1"/>
      <c r="F2" s="1"/>
      <c r="G2" s="1"/>
      <c r="H2" s="1"/>
      <c r="I2" s="1"/>
      <c r="J2" s="1"/>
      <c r="K2" s="1"/>
      <c r="L2" s="1"/>
      <c r="M2" s="1"/>
      <c r="N2" s="1"/>
      <c r="O2" s="1"/>
      <c r="P2" s="1"/>
      <c r="Q2" s="1"/>
      <c r="R2" s="1"/>
      <c r="S2" s="1"/>
      <c r="T2" s="1"/>
      <c r="U2" s="1"/>
      <c r="V2" s="1"/>
      <c r="W2" s="1"/>
      <c r="X2" s="1"/>
      <c r="Y2" s="1"/>
      <c r="Z2" s="1"/>
    </row>
    <row r="3" spans="1:26" ht="19.5" customHeight="1">
      <c r="A3" s="1"/>
      <c r="B3" s="236" t="s">
        <v>16</v>
      </c>
      <c r="C3" s="237" t="s">
        <v>144</v>
      </c>
      <c r="D3" s="237" t="s">
        <v>365</v>
      </c>
      <c r="E3" s="237" t="s">
        <v>4</v>
      </c>
      <c r="F3" s="237" t="s">
        <v>140</v>
      </c>
      <c r="G3" s="238" t="s">
        <v>141</v>
      </c>
      <c r="H3" s="238" t="s">
        <v>126</v>
      </c>
      <c r="I3" s="237" t="s">
        <v>142</v>
      </c>
      <c r="J3" s="237" t="s">
        <v>366</v>
      </c>
      <c r="K3" s="237" t="s">
        <v>367</v>
      </c>
      <c r="L3" s="237" t="s">
        <v>368</v>
      </c>
      <c r="M3" s="237" t="s">
        <v>369</v>
      </c>
      <c r="N3" s="238" t="s">
        <v>370</v>
      </c>
      <c r="O3" s="237" t="s">
        <v>371</v>
      </c>
      <c r="P3" s="237" t="s">
        <v>120</v>
      </c>
      <c r="Q3" s="237" t="s">
        <v>20</v>
      </c>
      <c r="R3" s="237" t="s">
        <v>121</v>
      </c>
      <c r="S3" s="237" t="s">
        <v>122</v>
      </c>
      <c r="T3" s="237" t="s">
        <v>123</v>
      </c>
      <c r="U3" s="239" t="s">
        <v>124</v>
      </c>
      <c r="V3" s="1"/>
      <c r="W3" s="1"/>
      <c r="X3" s="1"/>
      <c r="Y3" s="1"/>
      <c r="Z3" s="1"/>
    </row>
    <row r="4" spans="1:26" ht="12.75" customHeight="1">
      <c r="A4" s="1"/>
      <c r="B4" s="240"/>
      <c r="C4" s="241"/>
      <c r="D4" s="241"/>
      <c r="E4" s="241"/>
      <c r="F4" s="187"/>
      <c r="G4" s="210"/>
      <c r="H4" s="188"/>
      <c r="I4" s="190"/>
      <c r="J4" s="187"/>
      <c r="K4" s="187"/>
      <c r="L4" s="187"/>
      <c r="M4" s="187"/>
      <c r="N4" s="242"/>
      <c r="O4" s="187"/>
      <c r="P4" s="187"/>
      <c r="Q4" s="187"/>
      <c r="R4" s="187"/>
      <c r="S4" s="187"/>
      <c r="T4" s="187"/>
      <c r="U4" s="243"/>
      <c r="V4" s="1"/>
      <c r="W4" s="1"/>
      <c r="X4" s="1"/>
      <c r="Y4" s="1"/>
      <c r="Z4" s="1"/>
    </row>
    <row r="5" spans="1:26" ht="12.75" customHeight="1">
      <c r="A5" s="1"/>
      <c r="B5" s="240"/>
      <c r="C5" s="241"/>
      <c r="D5" s="241"/>
      <c r="E5" s="241"/>
      <c r="F5" s="187"/>
      <c r="G5" s="188"/>
      <c r="H5" s="188"/>
      <c r="I5" s="190"/>
      <c r="J5" s="187"/>
      <c r="K5" s="187"/>
      <c r="L5" s="187"/>
      <c r="M5" s="187"/>
      <c r="N5" s="242"/>
      <c r="O5" s="187"/>
      <c r="P5" s="187"/>
      <c r="Q5" s="187"/>
      <c r="R5" s="187"/>
      <c r="S5" s="187"/>
      <c r="T5" s="187"/>
      <c r="U5" s="243"/>
      <c r="V5" s="1"/>
      <c r="W5" s="1"/>
      <c r="X5" s="1"/>
      <c r="Y5" s="1"/>
      <c r="Z5" s="1"/>
    </row>
    <row r="6" spans="1:26" ht="12.75" customHeight="1">
      <c r="A6" s="1"/>
      <c r="B6" s="240"/>
      <c r="C6" s="241"/>
      <c r="D6" s="241"/>
      <c r="E6" s="241"/>
      <c r="F6" s="187"/>
      <c r="G6" s="188"/>
      <c r="H6" s="188"/>
      <c r="I6" s="190"/>
      <c r="J6" s="187"/>
      <c r="K6" s="187"/>
      <c r="L6" s="187"/>
      <c r="M6" s="187"/>
      <c r="N6" s="242"/>
      <c r="O6" s="187"/>
      <c r="P6" s="187"/>
      <c r="Q6" s="187"/>
      <c r="R6" s="187"/>
      <c r="S6" s="187"/>
      <c r="T6" s="187"/>
      <c r="U6" s="243"/>
      <c r="V6" s="1"/>
      <c r="W6" s="1"/>
      <c r="X6" s="1"/>
      <c r="Y6" s="1"/>
      <c r="Z6" s="1"/>
    </row>
    <row r="7" spans="1:26" ht="12.75" customHeight="1">
      <c r="A7" s="1"/>
      <c r="B7" s="240"/>
      <c r="C7" s="241"/>
      <c r="D7" s="241"/>
      <c r="E7" s="241"/>
      <c r="F7" s="187"/>
      <c r="G7" s="188"/>
      <c r="H7" s="188"/>
      <c r="I7" s="190"/>
      <c r="J7" s="187"/>
      <c r="K7" s="187"/>
      <c r="L7" s="187"/>
      <c r="M7" s="187"/>
      <c r="N7" s="242"/>
      <c r="O7" s="187"/>
      <c r="P7" s="187"/>
      <c r="Q7" s="187"/>
      <c r="R7" s="187"/>
      <c r="S7" s="187"/>
      <c r="T7" s="187"/>
      <c r="U7" s="243"/>
      <c r="V7" s="1"/>
      <c r="W7" s="1"/>
      <c r="X7" s="1"/>
      <c r="Y7" s="1"/>
      <c r="Z7" s="1"/>
    </row>
    <row r="8" spans="1:26" ht="12.75" customHeight="1">
      <c r="A8" s="1"/>
      <c r="B8" s="240"/>
      <c r="C8" s="241"/>
      <c r="D8" s="241"/>
      <c r="E8" s="241"/>
      <c r="F8" s="187"/>
      <c r="G8" s="188"/>
      <c r="H8" s="188"/>
      <c r="I8" s="190"/>
      <c r="J8" s="187"/>
      <c r="K8" s="187"/>
      <c r="L8" s="187"/>
      <c r="M8" s="187"/>
      <c r="N8" s="242"/>
      <c r="O8" s="187"/>
      <c r="P8" s="187"/>
      <c r="Q8" s="187"/>
      <c r="R8" s="187"/>
      <c r="S8" s="187"/>
      <c r="T8" s="187"/>
      <c r="U8" s="243"/>
      <c r="V8" s="1"/>
      <c r="W8" s="1"/>
      <c r="X8" s="1"/>
      <c r="Y8" s="1"/>
      <c r="Z8" s="1"/>
    </row>
    <row r="9" spans="1:26" ht="12.75" customHeight="1">
      <c r="A9" s="1"/>
      <c r="B9" s="240"/>
      <c r="C9" s="241"/>
      <c r="D9" s="241"/>
      <c r="E9" s="241"/>
      <c r="F9" s="187"/>
      <c r="G9" s="188"/>
      <c r="H9" s="188"/>
      <c r="I9" s="190"/>
      <c r="J9" s="187"/>
      <c r="K9" s="187"/>
      <c r="L9" s="187"/>
      <c r="M9" s="187"/>
      <c r="N9" s="242"/>
      <c r="O9" s="187"/>
      <c r="P9" s="187"/>
      <c r="Q9" s="187"/>
      <c r="R9" s="187"/>
      <c r="S9" s="187"/>
      <c r="T9" s="187"/>
      <c r="U9" s="243"/>
      <c r="V9" s="1"/>
      <c r="W9" s="1"/>
      <c r="X9" s="1"/>
      <c r="Y9" s="1"/>
      <c r="Z9" s="1"/>
    </row>
    <row r="10" spans="1:26" ht="12.75" customHeight="1">
      <c r="A10" s="1"/>
      <c r="B10" s="240"/>
      <c r="C10" s="241"/>
      <c r="D10" s="241"/>
      <c r="E10" s="241"/>
      <c r="F10" s="187"/>
      <c r="G10" s="188"/>
      <c r="H10" s="188"/>
      <c r="I10" s="190"/>
      <c r="J10" s="187"/>
      <c r="K10" s="187"/>
      <c r="L10" s="187"/>
      <c r="M10" s="187"/>
      <c r="N10" s="242"/>
      <c r="O10" s="187"/>
      <c r="P10" s="187"/>
      <c r="Q10" s="187"/>
      <c r="R10" s="187"/>
      <c r="S10" s="187"/>
      <c r="T10" s="187"/>
      <c r="U10" s="243"/>
      <c r="V10" s="1"/>
      <c r="W10" s="1"/>
      <c r="X10" s="1"/>
      <c r="Y10" s="1"/>
      <c r="Z10" s="1"/>
    </row>
    <row r="11" spans="1:26" ht="12.75" customHeight="1">
      <c r="A11" s="1"/>
      <c r="B11" s="240"/>
      <c r="C11" s="241"/>
      <c r="D11" s="241"/>
      <c r="E11" s="241"/>
      <c r="F11" s="187"/>
      <c r="G11" s="188"/>
      <c r="H11" s="188"/>
      <c r="I11" s="190"/>
      <c r="J11" s="187"/>
      <c r="K11" s="187"/>
      <c r="L11" s="187"/>
      <c r="M11" s="187"/>
      <c r="N11" s="242"/>
      <c r="O11" s="187"/>
      <c r="P11" s="187"/>
      <c r="Q11" s="187"/>
      <c r="R11" s="187"/>
      <c r="S11" s="187"/>
      <c r="T11" s="187"/>
      <c r="U11" s="243"/>
      <c r="V11" s="1"/>
      <c r="W11" s="1"/>
      <c r="X11" s="1"/>
      <c r="Y11" s="1"/>
      <c r="Z11" s="1"/>
    </row>
    <row r="12" spans="1:26" ht="12.75" customHeight="1">
      <c r="A12" s="1"/>
      <c r="B12" s="240"/>
      <c r="C12" s="241"/>
      <c r="D12" s="241"/>
      <c r="E12" s="241"/>
      <c r="F12" s="187"/>
      <c r="G12" s="188"/>
      <c r="H12" s="188"/>
      <c r="I12" s="190"/>
      <c r="J12" s="187"/>
      <c r="K12" s="187"/>
      <c r="L12" s="187"/>
      <c r="M12" s="187"/>
      <c r="N12" s="242"/>
      <c r="O12" s="187"/>
      <c r="P12" s="187"/>
      <c r="Q12" s="187"/>
      <c r="R12" s="187"/>
      <c r="S12" s="187"/>
      <c r="T12" s="187"/>
      <c r="U12" s="243"/>
      <c r="V12" s="1"/>
      <c r="W12" s="1"/>
      <c r="X12" s="1"/>
      <c r="Y12" s="1"/>
      <c r="Z12" s="1"/>
    </row>
    <row r="13" spans="1:26" ht="12.75" customHeight="1">
      <c r="A13" s="1"/>
      <c r="B13" s="240"/>
      <c r="C13" s="241"/>
      <c r="D13" s="241"/>
      <c r="E13" s="241"/>
      <c r="F13" s="187"/>
      <c r="G13" s="188"/>
      <c r="H13" s="188"/>
      <c r="I13" s="190"/>
      <c r="J13" s="187"/>
      <c r="K13" s="187"/>
      <c r="L13" s="187"/>
      <c r="M13" s="187"/>
      <c r="N13" s="242"/>
      <c r="O13" s="187"/>
      <c r="P13" s="187"/>
      <c r="Q13" s="187"/>
      <c r="R13" s="187"/>
      <c r="S13" s="187"/>
      <c r="T13" s="187"/>
      <c r="U13" s="243"/>
      <c r="V13" s="1"/>
      <c r="W13" s="1"/>
      <c r="X13" s="1"/>
      <c r="Y13" s="1"/>
      <c r="Z13" s="1"/>
    </row>
    <row r="14" spans="1:26" ht="12.75" customHeight="1">
      <c r="A14" s="1"/>
      <c r="B14" s="240"/>
      <c r="C14" s="241"/>
      <c r="D14" s="241"/>
      <c r="E14" s="241"/>
      <c r="F14" s="187"/>
      <c r="G14" s="188"/>
      <c r="H14" s="188"/>
      <c r="I14" s="190"/>
      <c r="J14" s="187"/>
      <c r="K14" s="187"/>
      <c r="L14" s="187"/>
      <c r="M14" s="187"/>
      <c r="N14" s="242"/>
      <c r="O14" s="187"/>
      <c r="P14" s="187"/>
      <c r="Q14" s="187"/>
      <c r="R14" s="187"/>
      <c r="S14" s="187"/>
      <c r="T14" s="187"/>
      <c r="U14" s="243"/>
      <c r="V14" s="1"/>
      <c r="W14" s="1"/>
      <c r="X14" s="1"/>
      <c r="Y14" s="1"/>
      <c r="Z14" s="1"/>
    </row>
    <row r="15" spans="1:26" ht="12.75" customHeight="1">
      <c r="A15" s="1"/>
      <c r="B15" s="244"/>
      <c r="C15" s="190"/>
      <c r="D15" s="190"/>
      <c r="E15" s="190"/>
      <c r="F15" s="187"/>
      <c r="G15" s="188"/>
      <c r="H15" s="188"/>
      <c r="I15" s="190"/>
      <c r="J15" s="187"/>
      <c r="K15" s="187"/>
      <c r="L15" s="187"/>
      <c r="M15" s="187"/>
      <c r="N15" s="242"/>
      <c r="O15" s="187"/>
      <c r="P15" s="187"/>
      <c r="Q15" s="187"/>
      <c r="R15" s="187"/>
      <c r="S15" s="187"/>
      <c r="T15" s="187"/>
      <c r="U15" s="243"/>
      <c r="V15" s="1"/>
      <c r="W15" s="1"/>
      <c r="X15" s="1"/>
      <c r="Y15" s="1"/>
      <c r="Z15" s="1"/>
    </row>
    <row r="16" spans="1:26" ht="12.75" customHeight="1">
      <c r="A16" s="1"/>
      <c r="B16" s="244"/>
      <c r="C16" s="190"/>
      <c r="D16" s="190"/>
      <c r="E16" s="190"/>
      <c r="F16" s="187"/>
      <c r="G16" s="188"/>
      <c r="H16" s="188"/>
      <c r="I16" s="190"/>
      <c r="J16" s="187"/>
      <c r="K16" s="187"/>
      <c r="L16" s="187"/>
      <c r="M16" s="187"/>
      <c r="N16" s="242"/>
      <c r="O16" s="187"/>
      <c r="P16" s="187"/>
      <c r="Q16" s="187"/>
      <c r="R16" s="187"/>
      <c r="S16" s="187"/>
      <c r="T16" s="187"/>
      <c r="U16" s="243"/>
      <c r="V16" s="1"/>
      <c r="W16" s="1"/>
      <c r="X16" s="1"/>
      <c r="Y16" s="1"/>
      <c r="Z16" s="1"/>
    </row>
    <row r="17" spans="1:26" ht="12.75" customHeight="1">
      <c r="A17" s="1"/>
      <c r="B17" s="244"/>
      <c r="C17" s="190"/>
      <c r="D17" s="190"/>
      <c r="E17" s="190"/>
      <c r="F17" s="187"/>
      <c r="G17" s="188"/>
      <c r="H17" s="188"/>
      <c r="I17" s="190"/>
      <c r="J17" s="187"/>
      <c r="K17" s="187"/>
      <c r="L17" s="187"/>
      <c r="M17" s="187"/>
      <c r="N17" s="242"/>
      <c r="O17" s="187"/>
      <c r="P17" s="187"/>
      <c r="Q17" s="187"/>
      <c r="R17" s="187"/>
      <c r="S17" s="187"/>
      <c r="T17" s="187"/>
      <c r="U17" s="243"/>
      <c r="V17" s="1"/>
      <c r="W17" s="1"/>
      <c r="X17" s="1"/>
      <c r="Y17" s="1"/>
      <c r="Z17" s="1"/>
    </row>
    <row r="18" spans="1:26" ht="12.75" customHeight="1">
      <c r="A18" s="1"/>
      <c r="B18" s="244"/>
      <c r="C18" s="190"/>
      <c r="D18" s="190"/>
      <c r="E18" s="190"/>
      <c r="F18" s="187"/>
      <c r="G18" s="188"/>
      <c r="H18" s="188"/>
      <c r="I18" s="190"/>
      <c r="J18" s="187"/>
      <c r="K18" s="187"/>
      <c r="L18" s="187"/>
      <c r="M18" s="187"/>
      <c r="N18" s="242"/>
      <c r="O18" s="187"/>
      <c r="P18" s="187"/>
      <c r="Q18" s="187"/>
      <c r="R18" s="187"/>
      <c r="S18" s="187"/>
      <c r="T18" s="187"/>
      <c r="U18" s="243"/>
      <c r="V18" s="1"/>
      <c r="W18" s="1"/>
      <c r="X18" s="1"/>
      <c r="Y18" s="1"/>
      <c r="Z18" s="1"/>
    </row>
    <row r="19" spans="1:26" ht="12.75" customHeight="1">
      <c r="A19" s="1"/>
      <c r="B19" s="244"/>
      <c r="C19" s="190"/>
      <c r="D19" s="190"/>
      <c r="E19" s="190"/>
      <c r="F19" s="187"/>
      <c r="G19" s="188"/>
      <c r="H19" s="188"/>
      <c r="I19" s="190"/>
      <c r="J19" s="187"/>
      <c r="K19" s="187"/>
      <c r="L19" s="187"/>
      <c r="M19" s="187"/>
      <c r="N19" s="242"/>
      <c r="O19" s="187"/>
      <c r="P19" s="187"/>
      <c r="Q19" s="187"/>
      <c r="R19" s="187"/>
      <c r="S19" s="187"/>
      <c r="T19" s="187"/>
      <c r="U19" s="243"/>
      <c r="V19" s="1"/>
      <c r="W19" s="1"/>
      <c r="X19" s="1"/>
      <c r="Y19" s="1"/>
      <c r="Z19" s="1"/>
    </row>
    <row r="20" spans="1:26" ht="12.75" customHeight="1">
      <c r="A20" s="1"/>
      <c r="B20" s="244"/>
      <c r="C20" s="190"/>
      <c r="D20" s="190"/>
      <c r="E20" s="190"/>
      <c r="F20" s="187"/>
      <c r="G20" s="188"/>
      <c r="H20" s="188"/>
      <c r="I20" s="190"/>
      <c r="J20" s="187"/>
      <c r="K20" s="187"/>
      <c r="L20" s="187"/>
      <c r="M20" s="187"/>
      <c r="N20" s="242"/>
      <c r="O20" s="187"/>
      <c r="P20" s="187"/>
      <c r="Q20" s="187"/>
      <c r="R20" s="187"/>
      <c r="S20" s="187"/>
      <c r="T20" s="187"/>
      <c r="U20" s="243"/>
      <c r="V20" s="1"/>
      <c r="W20" s="1"/>
      <c r="X20" s="1"/>
      <c r="Y20" s="1"/>
      <c r="Z20" s="1"/>
    </row>
    <row r="21" spans="1:26" ht="12.75" customHeight="1">
      <c r="A21" s="1"/>
      <c r="B21" s="244"/>
      <c r="C21" s="190"/>
      <c r="D21" s="190"/>
      <c r="E21" s="190"/>
      <c r="F21" s="187"/>
      <c r="G21" s="188"/>
      <c r="H21" s="188"/>
      <c r="I21" s="190"/>
      <c r="J21" s="187"/>
      <c r="K21" s="187"/>
      <c r="L21" s="187"/>
      <c r="M21" s="187"/>
      <c r="N21" s="242"/>
      <c r="O21" s="187"/>
      <c r="P21" s="187"/>
      <c r="Q21" s="187"/>
      <c r="R21" s="187"/>
      <c r="S21" s="187"/>
      <c r="T21" s="187"/>
      <c r="U21" s="243"/>
      <c r="V21" s="1"/>
      <c r="W21" s="1"/>
      <c r="X21" s="1"/>
      <c r="Y21" s="1"/>
      <c r="Z21" s="1"/>
    </row>
    <row r="22" spans="1:26" ht="12.75" customHeight="1">
      <c r="A22" s="1"/>
      <c r="B22" s="244"/>
      <c r="C22" s="190"/>
      <c r="D22" s="190"/>
      <c r="E22" s="190"/>
      <c r="F22" s="187"/>
      <c r="G22" s="188"/>
      <c r="H22" s="188"/>
      <c r="I22" s="190"/>
      <c r="J22" s="187"/>
      <c r="K22" s="187"/>
      <c r="L22" s="187"/>
      <c r="M22" s="187"/>
      <c r="N22" s="242"/>
      <c r="O22" s="187"/>
      <c r="P22" s="187"/>
      <c r="Q22" s="187"/>
      <c r="R22" s="187"/>
      <c r="S22" s="187"/>
      <c r="T22" s="187"/>
      <c r="U22" s="243"/>
      <c r="V22" s="1"/>
      <c r="W22" s="1"/>
      <c r="X22" s="1"/>
      <c r="Y22" s="1"/>
      <c r="Z22" s="1"/>
    </row>
    <row r="23" spans="1:26" ht="12.75" customHeight="1">
      <c r="A23" s="1"/>
      <c r="B23" s="244"/>
      <c r="C23" s="190"/>
      <c r="D23" s="190"/>
      <c r="E23" s="190"/>
      <c r="F23" s="187"/>
      <c r="G23" s="188"/>
      <c r="H23" s="188"/>
      <c r="I23" s="190"/>
      <c r="J23" s="187"/>
      <c r="K23" s="187"/>
      <c r="L23" s="187"/>
      <c r="M23" s="187"/>
      <c r="N23" s="242"/>
      <c r="O23" s="187"/>
      <c r="P23" s="187"/>
      <c r="Q23" s="187"/>
      <c r="R23" s="187"/>
      <c r="S23" s="187"/>
      <c r="T23" s="187"/>
      <c r="U23" s="243"/>
      <c r="V23" s="1"/>
      <c r="W23" s="1"/>
      <c r="X23" s="1"/>
      <c r="Y23" s="1"/>
      <c r="Z23" s="1"/>
    </row>
    <row r="24" spans="1:26" ht="12.75" customHeight="1">
      <c r="A24" s="1"/>
      <c r="B24" s="244"/>
      <c r="C24" s="190"/>
      <c r="D24" s="190"/>
      <c r="E24" s="190"/>
      <c r="F24" s="187"/>
      <c r="G24" s="188"/>
      <c r="H24" s="188"/>
      <c r="I24" s="190"/>
      <c r="J24" s="187"/>
      <c r="K24" s="187"/>
      <c r="L24" s="187"/>
      <c r="M24" s="187"/>
      <c r="N24" s="242"/>
      <c r="O24" s="187"/>
      <c r="P24" s="187"/>
      <c r="Q24" s="187"/>
      <c r="R24" s="187"/>
      <c r="S24" s="187"/>
      <c r="T24" s="187"/>
      <c r="U24" s="243"/>
      <c r="V24" s="1"/>
      <c r="W24" s="1"/>
      <c r="X24" s="1"/>
      <c r="Y24" s="1"/>
      <c r="Z24" s="1"/>
    </row>
    <row r="25" spans="1:26" ht="12.75" customHeight="1">
      <c r="A25" s="1"/>
      <c r="B25" s="244"/>
      <c r="C25" s="190"/>
      <c r="D25" s="190"/>
      <c r="E25" s="190"/>
      <c r="F25" s="187"/>
      <c r="G25" s="188"/>
      <c r="H25" s="188"/>
      <c r="I25" s="190"/>
      <c r="J25" s="187"/>
      <c r="K25" s="187"/>
      <c r="L25" s="187"/>
      <c r="M25" s="187"/>
      <c r="N25" s="242"/>
      <c r="O25" s="187"/>
      <c r="P25" s="187"/>
      <c r="Q25" s="187"/>
      <c r="R25" s="187"/>
      <c r="S25" s="187"/>
      <c r="T25" s="187"/>
      <c r="U25" s="243"/>
      <c r="V25" s="1"/>
      <c r="W25" s="1"/>
      <c r="X25" s="1"/>
      <c r="Y25" s="1"/>
      <c r="Z25" s="1"/>
    </row>
    <row r="26" spans="1:26" ht="12.75" customHeight="1">
      <c r="A26" s="1"/>
      <c r="B26" s="244"/>
      <c r="C26" s="190"/>
      <c r="D26" s="190"/>
      <c r="E26" s="190"/>
      <c r="F26" s="187"/>
      <c r="G26" s="188"/>
      <c r="H26" s="188"/>
      <c r="I26" s="190"/>
      <c r="J26" s="187"/>
      <c r="K26" s="187"/>
      <c r="L26" s="187"/>
      <c r="M26" s="187"/>
      <c r="N26" s="242"/>
      <c r="O26" s="187"/>
      <c r="P26" s="187"/>
      <c r="Q26" s="187"/>
      <c r="R26" s="187"/>
      <c r="S26" s="187"/>
      <c r="T26" s="187"/>
      <c r="U26" s="243"/>
      <c r="V26" s="1"/>
      <c r="W26" s="1"/>
      <c r="X26" s="1"/>
      <c r="Y26" s="1"/>
      <c r="Z26" s="1"/>
    </row>
    <row r="27" spans="1:26" ht="12.75" customHeight="1">
      <c r="A27" s="1"/>
      <c r="B27" s="244"/>
      <c r="C27" s="190"/>
      <c r="D27" s="190"/>
      <c r="E27" s="190"/>
      <c r="F27" s="187"/>
      <c r="G27" s="188"/>
      <c r="H27" s="188"/>
      <c r="I27" s="190"/>
      <c r="J27" s="187"/>
      <c r="K27" s="187"/>
      <c r="L27" s="187"/>
      <c r="M27" s="187"/>
      <c r="N27" s="242"/>
      <c r="O27" s="187"/>
      <c r="P27" s="187"/>
      <c r="Q27" s="187"/>
      <c r="R27" s="187"/>
      <c r="S27" s="187"/>
      <c r="T27" s="187"/>
      <c r="U27" s="243"/>
      <c r="V27" s="1"/>
      <c r="W27" s="1"/>
      <c r="X27" s="1"/>
      <c r="Y27" s="1"/>
      <c r="Z27" s="1"/>
    </row>
    <row r="28" spans="1:26" ht="12.75" customHeight="1">
      <c r="A28" s="1"/>
      <c r="B28" s="244"/>
      <c r="C28" s="190"/>
      <c r="D28" s="190"/>
      <c r="E28" s="190"/>
      <c r="F28" s="187"/>
      <c r="G28" s="188"/>
      <c r="H28" s="188"/>
      <c r="I28" s="190"/>
      <c r="J28" s="187"/>
      <c r="K28" s="187"/>
      <c r="L28" s="187"/>
      <c r="M28" s="187"/>
      <c r="N28" s="242"/>
      <c r="O28" s="187"/>
      <c r="P28" s="187"/>
      <c r="Q28" s="187"/>
      <c r="R28" s="187"/>
      <c r="S28" s="187"/>
      <c r="T28" s="187"/>
      <c r="U28" s="243"/>
      <c r="V28" s="1"/>
      <c r="W28" s="1"/>
      <c r="X28" s="1"/>
      <c r="Y28" s="1"/>
      <c r="Z28" s="1"/>
    </row>
    <row r="29" spans="1:26" ht="12.75" customHeight="1">
      <c r="A29" s="1"/>
      <c r="B29" s="244"/>
      <c r="C29" s="190"/>
      <c r="D29" s="190"/>
      <c r="E29" s="190"/>
      <c r="F29" s="187"/>
      <c r="G29" s="188"/>
      <c r="H29" s="188"/>
      <c r="I29" s="190"/>
      <c r="J29" s="187"/>
      <c r="K29" s="187"/>
      <c r="L29" s="187"/>
      <c r="M29" s="187"/>
      <c r="N29" s="242"/>
      <c r="O29" s="187"/>
      <c r="P29" s="187"/>
      <c r="Q29" s="187"/>
      <c r="R29" s="187"/>
      <c r="S29" s="187"/>
      <c r="T29" s="187"/>
      <c r="U29" s="243"/>
      <c r="V29" s="1"/>
      <c r="W29" s="1"/>
      <c r="X29" s="1"/>
      <c r="Y29" s="1"/>
      <c r="Z29" s="1"/>
    </row>
    <row r="30" spans="1:26" ht="12.75" customHeight="1">
      <c r="A30" s="1"/>
      <c r="B30" s="244"/>
      <c r="C30" s="190"/>
      <c r="D30" s="190"/>
      <c r="E30" s="190"/>
      <c r="F30" s="187"/>
      <c r="G30" s="188"/>
      <c r="H30" s="188"/>
      <c r="I30" s="190"/>
      <c r="J30" s="187"/>
      <c r="K30" s="187"/>
      <c r="L30" s="187"/>
      <c r="M30" s="187"/>
      <c r="N30" s="242"/>
      <c r="O30" s="187"/>
      <c r="P30" s="187"/>
      <c r="Q30" s="187"/>
      <c r="R30" s="187"/>
      <c r="S30" s="187"/>
      <c r="T30" s="187"/>
      <c r="U30" s="243"/>
      <c r="V30" s="1"/>
      <c r="W30" s="1"/>
      <c r="X30" s="1"/>
      <c r="Y30" s="1"/>
      <c r="Z30" s="1"/>
    </row>
    <row r="31" spans="1:26" ht="12.75" customHeight="1">
      <c r="A31" s="1"/>
      <c r="B31" s="244"/>
      <c r="C31" s="190"/>
      <c r="D31" s="190"/>
      <c r="E31" s="190"/>
      <c r="F31" s="187"/>
      <c r="G31" s="188"/>
      <c r="H31" s="188"/>
      <c r="I31" s="190"/>
      <c r="J31" s="187"/>
      <c r="K31" s="187"/>
      <c r="L31" s="187"/>
      <c r="M31" s="187"/>
      <c r="N31" s="242"/>
      <c r="O31" s="187"/>
      <c r="P31" s="187"/>
      <c r="Q31" s="187"/>
      <c r="R31" s="187"/>
      <c r="S31" s="187"/>
      <c r="T31" s="187"/>
      <c r="U31" s="243"/>
      <c r="V31" s="1"/>
      <c r="W31" s="1"/>
      <c r="X31" s="1"/>
      <c r="Y31" s="1"/>
      <c r="Z31" s="1"/>
    </row>
    <row r="32" spans="1:26" ht="12.75" customHeight="1">
      <c r="A32" s="1"/>
      <c r="B32" s="244"/>
      <c r="C32" s="190"/>
      <c r="D32" s="190"/>
      <c r="E32" s="190"/>
      <c r="F32" s="187"/>
      <c r="G32" s="188"/>
      <c r="H32" s="188"/>
      <c r="I32" s="190"/>
      <c r="J32" s="187"/>
      <c r="K32" s="187"/>
      <c r="L32" s="187"/>
      <c r="M32" s="187"/>
      <c r="N32" s="242"/>
      <c r="O32" s="187"/>
      <c r="P32" s="187"/>
      <c r="Q32" s="187"/>
      <c r="R32" s="187"/>
      <c r="S32" s="187"/>
      <c r="T32" s="187"/>
      <c r="U32" s="243"/>
      <c r="V32" s="1"/>
      <c r="W32" s="1"/>
      <c r="X32" s="1"/>
      <c r="Y32" s="1"/>
      <c r="Z32" s="1"/>
    </row>
    <row r="33" spans="1:26" ht="12.75" customHeight="1">
      <c r="A33" s="1"/>
      <c r="B33" s="244"/>
      <c r="C33" s="190"/>
      <c r="D33" s="190"/>
      <c r="E33" s="190"/>
      <c r="F33" s="187"/>
      <c r="G33" s="188"/>
      <c r="H33" s="188"/>
      <c r="I33" s="190"/>
      <c r="J33" s="187"/>
      <c r="K33" s="187"/>
      <c r="L33" s="187"/>
      <c r="M33" s="187"/>
      <c r="N33" s="242"/>
      <c r="O33" s="187"/>
      <c r="P33" s="187"/>
      <c r="Q33" s="187"/>
      <c r="R33" s="187"/>
      <c r="S33" s="187"/>
      <c r="T33" s="187"/>
      <c r="U33" s="243"/>
      <c r="V33" s="1"/>
      <c r="W33" s="1"/>
      <c r="X33" s="1"/>
      <c r="Y33" s="1"/>
      <c r="Z33" s="1"/>
    </row>
    <row r="34" spans="1:26" ht="12.75" customHeight="1">
      <c r="A34" s="1"/>
      <c r="B34" s="244"/>
      <c r="C34" s="190"/>
      <c r="D34" s="190"/>
      <c r="E34" s="190"/>
      <c r="F34" s="187"/>
      <c r="G34" s="188"/>
      <c r="H34" s="344"/>
      <c r="I34" s="316"/>
      <c r="J34" s="187"/>
      <c r="K34" s="187"/>
      <c r="L34" s="187"/>
      <c r="M34" s="187"/>
      <c r="N34" s="242"/>
      <c r="O34" s="187"/>
      <c r="P34" s="187"/>
      <c r="Q34" s="187"/>
      <c r="R34" s="187"/>
      <c r="S34" s="187"/>
      <c r="T34" s="187"/>
      <c r="U34" s="243"/>
      <c r="V34" s="1"/>
      <c r="W34" s="1"/>
      <c r="X34" s="1"/>
      <c r="Y34" s="1"/>
      <c r="Z34" s="1"/>
    </row>
    <row r="35" spans="1:26" ht="12.75" customHeight="1">
      <c r="A35" s="1"/>
      <c r="B35" s="244"/>
      <c r="C35" s="190"/>
      <c r="D35" s="190"/>
      <c r="E35" s="190"/>
      <c r="F35" s="187"/>
      <c r="G35" s="188"/>
      <c r="H35" s="344"/>
      <c r="I35" s="316"/>
      <c r="J35" s="187"/>
      <c r="K35" s="187"/>
      <c r="L35" s="187"/>
      <c r="M35" s="187"/>
      <c r="N35" s="242"/>
      <c r="O35" s="187"/>
      <c r="P35" s="187"/>
      <c r="Q35" s="187"/>
      <c r="R35" s="187"/>
      <c r="S35" s="187"/>
      <c r="T35" s="187"/>
      <c r="U35" s="243"/>
      <c r="V35" s="1"/>
      <c r="W35" s="1"/>
      <c r="X35" s="1"/>
      <c r="Y35" s="1"/>
      <c r="Z35" s="1"/>
    </row>
    <row r="36" spans="1:26" ht="12.75" customHeight="1">
      <c r="A36" s="1"/>
      <c r="B36" s="244"/>
      <c r="C36" s="190"/>
      <c r="D36" s="190"/>
      <c r="E36" s="190"/>
      <c r="F36" s="187"/>
      <c r="G36" s="188"/>
      <c r="H36" s="344"/>
      <c r="I36" s="316"/>
      <c r="J36" s="187"/>
      <c r="K36" s="187"/>
      <c r="L36" s="187"/>
      <c r="M36" s="187"/>
      <c r="N36" s="242"/>
      <c r="O36" s="187"/>
      <c r="P36" s="187"/>
      <c r="Q36" s="187"/>
      <c r="R36" s="187"/>
      <c r="S36" s="187"/>
      <c r="T36" s="187"/>
      <c r="U36" s="243"/>
      <c r="V36" s="1"/>
      <c r="W36" s="1"/>
      <c r="X36" s="1"/>
      <c r="Y36" s="1"/>
      <c r="Z36" s="1"/>
    </row>
    <row r="37" spans="1:26" ht="12.75" customHeight="1">
      <c r="A37" s="1"/>
      <c r="B37" s="244"/>
      <c r="C37" s="190"/>
      <c r="D37" s="190"/>
      <c r="E37" s="190"/>
      <c r="F37" s="187"/>
      <c r="G37" s="188"/>
      <c r="H37" s="344"/>
      <c r="I37" s="316"/>
      <c r="J37" s="187"/>
      <c r="K37" s="187"/>
      <c r="L37" s="187"/>
      <c r="M37" s="187"/>
      <c r="N37" s="242"/>
      <c r="O37" s="187"/>
      <c r="P37" s="187"/>
      <c r="Q37" s="187"/>
      <c r="R37" s="187"/>
      <c r="S37" s="187"/>
      <c r="T37" s="187"/>
      <c r="U37" s="243"/>
      <c r="V37" s="1"/>
      <c r="W37" s="1"/>
      <c r="X37" s="1"/>
      <c r="Y37" s="1"/>
      <c r="Z37" s="1"/>
    </row>
    <row r="38" spans="1:26" ht="12.75" customHeight="1">
      <c r="A38" s="1"/>
      <c r="B38" s="244"/>
      <c r="C38" s="190"/>
      <c r="D38" s="190"/>
      <c r="E38" s="190"/>
      <c r="F38" s="187"/>
      <c r="G38" s="188"/>
      <c r="H38" s="344"/>
      <c r="I38" s="316"/>
      <c r="J38" s="187"/>
      <c r="K38" s="187"/>
      <c r="L38" s="187"/>
      <c r="M38" s="187"/>
      <c r="N38" s="242"/>
      <c r="O38" s="187"/>
      <c r="P38" s="187"/>
      <c r="Q38" s="187"/>
      <c r="R38" s="187"/>
      <c r="S38" s="187"/>
      <c r="T38" s="187"/>
      <c r="U38" s="243"/>
      <c r="V38" s="1"/>
      <c r="W38" s="1"/>
      <c r="X38" s="1"/>
      <c r="Y38" s="1"/>
      <c r="Z38" s="1"/>
    </row>
    <row r="39" spans="1:26" ht="12.75" customHeight="1">
      <c r="A39" s="1"/>
      <c r="B39" s="244"/>
      <c r="C39" s="190"/>
      <c r="D39" s="190"/>
      <c r="E39" s="190"/>
      <c r="F39" s="187"/>
      <c r="G39" s="188"/>
      <c r="H39" s="344"/>
      <c r="I39" s="316"/>
      <c r="J39" s="187"/>
      <c r="K39" s="187"/>
      <c r="L39" s="187"/>
      <c r="M39" s="187"/>
      <c r="N39" s="242"/>
      <c r="O39" s="187"/>
      <c r="P39" s="187"/>
      <c r="Q39" s="187"/>
      <c r="R39" s="187"/>
      <c r="S39" s="187"/>
      <c r="T39" s="187"/>
      <c r="U39" s="243"/>
      <c r="V39" s="1"/>
      <c r="W39" s="1"/>
      <c r="X39" s="1"/>
      <c r="Y39" s="1"/>
      <c r="Z39" s="1"/>
    </row>
    <row r="40" spans="1:26" ht="12.75" customHeight="1">
      <c r="A40" s="1"/>
      <c r="B40" s="244"/>
      <c r="C40" s="190"/>
      <c r="D40" s="190"/>
      <c r="E40" s="190"/>
      <c r="F40" s="187"/>
      <c r="G40" s="188"/>
      <c r="H40" s="344"/>
      <c r="I40" s="316"/>
      <c r="J40" s="187"/>
      <c r="K40" s="187"/>
      <c r="L40" s="187"/>
      <c r="M40" s="187"/>
      <c r="N40" s="242"/>
      <c r="O40" s="187"/>
      <c r="P40" s="187"/>
      <c r="Q40" s="187"/>
      <c r="R40" s="187"/>
      <c r="S40" s="187"/>
      <c r="T40" s="187"/>
      <c r="U40" s="243"/>
      <c r="V40" s="1"/>
      <c r="W40" s="1"/>
      <c r="X40" s="1"/>
      <c r="Y40" s="1"/>
      <c r="Z40" s="1"/>
    </row>
    <row r="41" spans="1:26" ht="12.75" customHeight="1">
      <c r="A41" s="1"/>
      <c r="B41" s="244"/>
      <c r="C41" s="190"/>
      <c r="D41" s="190"/>
      <c r="E41" s="190"/>
      <c r="F41" s="187"/>
      <c r="G41" s="188"/>
      <c r="H41" s="188"/>
      <c r="I41" s="190"/>
      <c r="J41" s="187"/>
      <c r="K41" s="187"/>
      <c r="L41" s="187"/>
      <c r="M41" s="187"/>
      <c r="N41" s="242"/>
      <c r="O41" s="187"/>
      <c r="P41" s="187"/>
      <c r="Q41" s="187"/>
      <c r="R41" s="187"/>
      <c r="S41" s="187"/>
      <c r="T41" s="187"/>
      <c r="U41" s="243"/>
      <c r="V41" s="1"/>
      <c r="W41" s="1"/>
      <c r="X41" s="1"/>
      <c r="Y41" s="1"/>
      <c r="Z41" s="1"/>
    </row>
    <row r="42" spans="1:26" ht="12.75" customHeight="1">
      <c r="A42" s="1"/>
      <c r="B42" s="244"/>
      <c r="C42" s="190"/>
      <c r="D42" s="190"/>
      <c r="E42" s="190"/>
      <c r="F42" s="187"/>
      <c r="G42" s="188"/>
      <c r="H42" s="188"/>
      <c r="I42" s="190"/>
      <c r="J42" s="187"/>
      <c r="K42" s="187"/>
      <c r="L42" s="187"/>
      <c r="M42" s="187"/>
      <c r="N42" s="242"/>
      <c r="O42" s="187"/>
      <c r="P42" s="187"/>
      <c r="Q42" s="187"/>
      <c r="R42" s="187"/>
      <c r="S42" s="187"/>
      <c r="T42" s="187"/>
      <c r="U42" s="243"/>
      <c r="V42" s="1"/>
      <c r="W42" s="1"/>
      <c r="X42" s="1"/>
      <c r="Y42" s="1"/>
      <c r="Z42" s="1"/>
    </row>
    <row r="43" spans="1:26" ht="12.75" customHeight="1">
      <c r="A43" s="1"/>
      <c r="B43" s="244"/>
      <c r="C43" s="190"/>
      <c r="D43" s="190"/>
      <c r="E43" s="190"/>
      <c r="F43" s="187"/>
      <c r="G43" s="188"/>
      <c r="H43" s="188"/>
      <c r="I43" s="190"/>
      <c r="J43" s="187"/>
      <c r="K43" s="187"/>
      <c r="L43" s="187"/>
      <c r="M43" s="187"/>
      <c r="N43" s="242"/>
      <c r="O43" s="187"/>
      <c r="P43" s="187"/>
      <c r="Q43" s="187"/>
      <c r="R43" s="187"/>
      <c r="S43" s="187"/>
      <c r="T43" s="187"/>
      <c r="U43" s="243"/>
      <c r="V43" s="1"/>
      <c r="W43" s="1"/>
      <c r="X43" s="1"/>
      <c r="Y43" s="1"/>
      <c r="Z43" s="1"/>
    </row>
    <row r="44" spans="1:26" ht="12.75" customHeight="1">
      <c r="A44" s="1"/>
      <c r="B44" s="244"/>
      <c r="C44" s="190"/>
      <c r="D44" s="190"/>
      <c r="E44" s="190"/>
      <c r="F44" s="187"/>
      <c r="G44" s="188"/>
      <c r="H44" s="188"/>
      <c r="I44" s="190"/>
      <c r="J44" s="187"/>
      <c r="K44" s="187"/>
      <c r="L44" s="187"/>
      <c r="M44" s="187"/>
      <c r="N44" s="242"/>
      <c r="O44" s="187"/>
      <c r="P44" s="187"/>
      <c r="Q44" s="187"/>
      <c r="R44" s="187"/>
      <c r="S44" s="187"/>
      <c r="T44" s="187"/>
      <c r="U44" s="243"/>
      <c r="V44" s="1"/>
      <c r="W44" s="1"/>
      <c r="X44" s="1"/>
      <c r="Y44" s="1"/>
      <c r="Z44" s="1"/>
    </row>
    <row r="45" spans="1:26" ht="12.75" customHeight="1">
      <c r="A45" s="1"/>
      <c r="B45" s="244"/>
      <c r="C45" s="190"/>
      <c r="D45" s="190"/>
      <c r="E45" s="190"/>
      <c r="F45" s="187"/>
      <c r="G45" s="188"/>
      <c r="H45" s="188"/>
      <c r="I45" s="190"/>
      <c r="J45" s="187"/>
      <c r="K45" s="187"/>
      <c r="L45" s="187"/>
      <c r="M45" s="187"/>
      <c r="N45" s="242"/>
      <c r="O45" s="187"/>
      <c r="P45" s="187"/>
      <c r="Q45" s="187"/>
      <c r="R45" s="187"/>
      <c r="S45" s="187"/>
      <c r="T45" s="187"/>
      <c r="U45" s="243"/>
      <c r="V45" s="1"/>
      <c r="W45" s="1"/>
      <c r="X45" s="1"/>
      <c r="Y45" s="1"/>
      <c r="Z45" s="1"/>
    </row>
    <row r="46" spans="1:26" ht="12.75" customHeight="1">
      <c r="A46" s="1"/>
      <c r="B46" s="244"/>
      <c r="C46" s="190"/>
      <c r="D46" s="190"/>
      <c r="E46" s="190"/>
      <c r="F46" s="187"/>
      <c r="G46" s="188"/>
      <c r="H46" s="188"/>
      <c r="I46" s="190"/>
      <c r="J46" s="187"/>
      <c r="K46" s="187"/>
      <c r="L46" s="187"/>
      <c r="M46" s="187"/>
      <c r="N46" s="242"/>
      <c r="O46" s="187"/>
      <c r="P46" s="187"/>
      <c r="Q46" s="187"/>
      <c r="R46" s="187"/>
      <c r="S46" s="187"/>
      <c r="T46" s="187"/>
      <c r="U46" s="243"/>
      <c r="V46" s="1"/>
      <c r="W46" s="1"/>
      <c r="X46" s="1"/>
      <c r="Y46" s="1"/>
      <c r="Z46" s="1"/>
    </row>
    <row r="47" spans="1:26" ht="12.75" customHeight="1">
      <c r="A47" s="1"/>
      <c r="B47" s="244"/>
      <c r="C47" s="190"/>
      <c r="D47" s="190"/>
      <c r="E47" s="190"/>
      <c r="F47" s="187"/>
      <c r="G47" s="188"/>
      <c r="H47" s="188"/>
      <c r="I47" s="190"/>
      <c r="J47" s="187"/>
      <c r="K47" s="187"/>
      <c r="L47" s="187"/>
      <c r="M47" s="187"/>
      <c r="N47" s="242"/>
      <c r="O47" s="187"/>
      <c r="P47" s="187"/>
      <c r="Q47" s="187"/>
      <c r="R47" s="187"/>
      <c r="S47" s="187"/>
      <c r="T47" s="187"/>
      <c r="U47" s="243"/>
      <c r="V47" s="1"/>
      <c r="W47" s="1"/>
      <c r="X47" s="1"/>
      <c r="Y47" s="1"/>
      <c r="Z47" s="1"/>
    </row>
    <row r="48" spans="1:26" ht="12.75" customHeight="1">
      <c r="A48" s="1"/>
      <c r="B48" s="244"/>
      <c r="C48" s="190"/>
      <c r="D48" s="190"/>
      <c r="E48" s="190"/>
      <c r="F48" s="187"/>
      <c r="G48" s="188"/>
      <c r="H48" s="188"/>
      <c r="I48" s="190"/>
      <c r="J48" s="187"/>
      <c r="K48" s="187"/>
      <c r="L48" s="187"/>
      <c r="M48" s="187"/>
      <c r="N48" s="242"/>
      <c r="O48" s="187"/>
      <c r="P48" s="187"/>
      <c r="Q48" s="187"/>
      <c r="R48" s="187"/>
      <c r="S48" s="187"/>
      <c r="T48" s="187"/>
      <c r="U48" s="243"/>
      <c r="V48" s="1"/>
      <c r="W48" s="1"/>
      <c r="X48" s="1"/>
      <c r="Y48" s="1"/>
      <c r="Z48" s="1"/>
    </row>
    <row r="49" spans="1:26" ht="12.75" customHeight="1">
      <c r="A49" s="1"/>
      <c r="B49" s="244"/>
      <c r="C49" s="190"/>
      <c r="D49" s="190"/>
      <c r="E49" s="190"/>
      <c r="F49" s="187"/>
      <c r="G49" s="188"/>
      <c r="H49" s="188"/>
      <c r="I49" s="190"/>
      <c r="J49" s="187"/>
      <c r="K49" s="187"/>
      <c r="L49" s="187"/>
      <c r="M49" s="187"/>
      <c r="N49" s="242"/>
      <c r="O49" s="187"/>
      <c r="P49" s="187"/>
      <c r="Q49" s="187"/>
      <c r="R49" s="187"/>
      <c r="S49" s="187"/>
      <c r="T49" s="187"/>
      <c r="U49" s="243"/>
      <c r="V49" s="1"/>
      <c r="W49" s="1"/>
      <c r="X49" s="1"/>
      <c r="Y49" s="1"/>
      <c r="Z49" s="1"/>
    </row>
    <row r="50" spans="1:26" ht="12.75" customHeight="1">
      <c r="A50" s="1"/>
      <c r="B50" s="244"/>
      <c r="C50" s="190"/>
      <c r="D50" s="190"/>
      <c r="E50" s="190"/>
      <c r="F50" s="187"/>
      <c r="G50" s="188"/>
      <c r="H50" s="188"/>
      <c r="I50" s="190"/>
      <c r="J50" s="187"/>
      <c r="K50" s="187"/>
      <c r="L50" s="187"/>
      <c r="M50" s="187"/>
      <c r="N50" s="242"/>
      <c r="O50" s="187"/>
      <c r="P50" s="187"/>
      <c r="Q50" s="187"/>
      <c r="R50" s="187"/>
      <c r="S50" s="187"/>
      <c r="T50" s="187"/>
      <c r="U50" s="243"/>
      <c r="V50" s="1"/>
      <c r="W50" s="1"/>
      <c r="X50" s="1"/>
      <c r="Y50" s="1"/>
      <c r="Z50" s="1"/>
    </row>
    <row r="51" spans="1:26" ht="12.75" customHeight="1">
      <c r="A51" s="1"/>
      <c r="B51" s="244"/>
      <c r="C51" s="190"/>
      <c r="D51" s="190"/>
      <c r="E51" s="190"/>
      <c r="F51" s="187"/>
      <c r="G51" s="188"/>
      <c r="H51" s="188"/>
      <c r="I51" s="190"/>
      <c r="J51" s="187"/>
      <c r="K51" s="187"/>
      <c r="L51" s="187"/>
      <c r="M51" s="187"/>
      <c r="N51" s="242"/>
      <c r="O51" s="187"/>
      <c r="P51" s="187"/>
      <c r="Q51" s="187"/>
      <c r="R51" s="187"/>
      <c r="S51" s="187"/>
      <c r="T51" s="187"/>
      <c r="U51" s="243"/>
      <c r="V51" s="1"/>
      <c r="W51" s="1"/>
      <c r="X51" s="1"/>
      <c r="Y51" s="1"/>
      <c r="Z51" s="1"/>
    </row>
    <row r="52" spans="1:26" ht="12.75" customHeight="1">
      <c r="A52" s="1"/>
      <c r="B52" s="244"/>
      <c r="C52" s="190"/>
      <c r="D52" s="190"/>
      <c r="E52" s="190"/>
      <c r="F52" s="187"/>
      <c r="G52" s="188"/>
      <c r="H52" s="188"/>
      <c r="I52" s="190"/>
      <c r="J52" s="187"/>
      <c r="K52" s="187"/>
      <c r="L52" s="187"/>
      <c r="M52" s="187"/>
      <c r="N52" s="242"/>
      <c r="O52" s="187"/>
      <c r="P52" s="187"/>
      <c r="Q52" s="187"/>
      <c r="R52" s="187"/>
      <c r="S52" s="187"/>
      <c r="T52" s="187"/>
      <c r="U52" s="243"/>
      <c r="V52" s="1"/>
      <c r="W52" s="1"/>
      <c r="X52" s="1"/>
      <c r="Y52" s="1"/>
      <c r="Z52" s="1"/>
    </row>
    <row r="53" spans="1:26" ht="12.75" customHeight="1">
      <c r="A53" s="1"/>
      <c r="B53" s="244"/>
      <c r="C53" s="190"/>
      <c r="D53" s="190"/>
      <c r="E53" s="190"/>
      <c r="F53" s="187"/>
      <c r="G53" s="188"/>
      <c r="H53" s="188"/>
      <c r="I53" s="190"/>
      <c r="J53" s="187"/>
      <c r="K53" s="187"/>
      <c r="L53" s="187"/>
      <c r="M53" s="187"/>
      <c r="N53" s="242"/>
      <c r="O53" s="187"/>
      <c r="P53" s="187"/>
      <c r="Q53" s="187"/>
      <c r="R53" s="187"/>
      <c r="S53" s="187"/>
      <c r="T53" s="187"/>
      <c r="U53" s="243"/>
      <c r="V53" s="1"/>
      <c r="W53" s="1"/>
      <c r="X53" s="1"/>
      <c r="Y53" s="1"/>
      <c r="Z53" s="1"/>
    </row>
    <row r="54" spans="1:26" ht="12.75" customHeight="1">
      <c r="A54" s="1"/>
      <c r="B54" s="244"/>
      <c r="C54" s="190"/>
      <c r="D54" s="190"/>
      <c r="E54" s="190"/>
      <c r="F54" s="187"/>
      <c r="G54" s="188"/>
      <c r="H54" s="188"/>
      <c r="I54" s="190"/>
      <c r="J54" s="187"/>
      <c r="K54" s="187"/>
      <c r="L54" s="187"/>
      <c r="M54" s="187"/>
      <c r="N54" s="242"/>
      <c r="O54" s="187"/>
      <c r="P54" s="187"/>
      <c r="Q54" s="187"/>
      <c r="R54" s="187"/>
      <c r="S54" s="187"/>
      <c r="T54" s="187"/>
      <c r="U54" s="243"/>
      <c r="V54" s="1"/>
      <c r="W54" s="1"/>
      <c r="X54" s="1"/>
      <c r="Y54" s="1"/>
      <c r="Z54" s="1"/>
    </row>
    <row r="55" spans="1:26" ht="12.75" customHeight="1">
      <c r="A55" s="1"/>
      <c r="B55" s="244"/>
      <c r="C55" s="190"/>
      <c r="D55" s="190"/>
      <c r="E55" s="190"/>
      <c r="F55" s="187"/>
      <c r="G55" s="188"/>
      <c r="H55" s="188"/>
      <c r="I55" s="190"/>
      <c r="J55" s="187"/>
      <c r="K55" s="187"/>
      <c r="L55" s="187"/>
      <c r="M55" s="187"/>
      <c r="N55" s="242"/>
      <c r="O55" s="187"/>
      <c r="P55" s="187"/>
      <c r="Q55" s="187"/>
      <c r="R55" s="187"/>
      <c r="S55" s="187"/>
      <c r="T55" s="187"/>
      <c r="U55" s="243"/>
      <c r="V55" s="1"/>
      <c r="W55" s="1"/>
      <c r="X55" s="1"/>
      <c r="Y55" s="1"/>
      <c r="Z55" s="1"/>
    </row>
    <row r="56" spans="1:26" ht="12.75" customHeight="1">
      <c r="A56" s="1"/>
      <c r="B56" s="244"/>
      <c r="C56" s="190"/>
      <c r="D56" s="190"/>
      <c r="E56" s="190"/>
      <c r="F56" s="187"/>
      <c r="G56" s="188"/>
      <c r="H56" s="188"/>
      <c r="I56" s="190"/>
      <c r="J56" s="187"/>
      <c r="K56" s="187"/>
      <c r="L56" s="187"/>
      <c r="M56" s="187"/>
      <c r="N56" s="242"/>
      <c r="O56" s="187"/>
      <c r="P56" s="187"/>
      <c r="Q56" s="187"/>
      <c r="R56" s="187"/>
      <c r="S56" s="187"/>
      <c r="T56" s="187"/>
      <c r="U56" s="243"/>
      <c r="V56" s="1"/>
      <c r="W56" s="1"/>
      <c r="X56" s="1"/>
      <c r="Y56" s="1"/>
      <c r="Z56" s="1"/>
    </row>
    <row r="57" spans="1:26" ht="12.75" customHeight="1">
      <c r="A57" s="1"/>
      <c r="B57" s="244"/>
      <c r="C57" s="190"/>
      <c r="D57" s="190"/>
      <c r="E57" s="190"/>
      <c r="F57" s="187"/>
      <c r="G57" s="188"/>
      <c r="H57" s="188"/>
      <c r="I57" s="190"/>
      <c r="J57" s="187"/>
      <c r="K57" s="187"/>
      <c r="L57" s="187"/>
      <c r="M57" s="187"/>
      <c r="N57" s="242"/>
      <c r="O57" s="187"/>
      <c r="P57" s="187"/>
      <c r="Q57" s="187"/>
      <c r="R57" s="187"/>
      <c r="S57" s="187"/>
      <c r="T57" s="187"/>
      <c r="U57" s="243"/>
      <c r="V57" s="1"/>
      <c r="W57" s="1"/>
      <c r="X57" s="1"/>
      <c r="Y57" s="1"/>
      <c r="Z57" s="1"/>
    </row>
    <row r="58" spans="1:26" ht="12.75" customHeight="1">
      <c r="A58" s="1"/>
      <c r="B58" s="244"/>
      <c r="C58" s="190"/>
      <c r="D58" s="190"/>
      <c r="E58" s="190"/>
      <c r="F58" s="187"/>
      <c r="G58" s="188"/>
      <c r="H58" s="188"/>
      <c r="I58" s="190"/>
      <c r="J58" s="187"/>
      <c r="K58" s="187"/>
      <c r="L58" s="187"/>
      <c r="M58" s="187"/>
      <c r="N58" s="242"/>
      <c r="O58" s="187"/>
      <c r="P58" s="187"/>
      <c r="Q58" s="187"/>
      <c r="R58" s="187"/>
      <c r="S58" s="187"/>
      <c r="T58" s="187"/>
      <c r="U58" s="243"/>
      <c r="V58" s="1"/>
      <c r="W58" s="1"/>
      <c r="X58" s="1"/>
      <c r="Y58" s="1"/>
      <c r="Z58" s="1"/>
    </row>
    <row r="59" spans="1:26" ht="12.75" customHeight="1">
      <c r="A59" s="1"/>
      <c r="B59" s="244"/>
      <c r="C59" s="190"/>
      <c r="D59" s="190"/>
      <c r="E59" s="190"/>
      <c r="F59" s="187"/>
      <c r="G59" s="188"/>
      <c r="H59" s="188"/>
      <c r="I59" s="190"/>
      <c r="J59" s="187"/>
      <c r="K59" s="187"/>
      <c r="L59" s="187"/>
      <c r="M59" s="187"/>
      <c r="N59" s="242"/>
      <c r="O59" s="187"/>
      <c r="P59" s="187"/>
      <c r="Q59" s="187"/>
      <c r="R59" s="187"/>
      <c r="S59" s="187"/>
      <c r="T59" s="187"/>
      <c r="U59" s="243"/>
      <c r="V59" s="1"/>
      <c r="W59" s="1"/>
      <c r="X59" s="1"/>
      <c r="Y59" s="1"/>
      <c r="Z59" s="1"/>
    </row>
    <row r="60" spans="1:26" ht="12.75" customHeight="1">
      <c r="A60" s="1"/>
      <c r="B60" s="244"/>
      <c r="C60" s="190"/>
      <c r="D60" s="190"/>
      <c r="E60" s="190"/>
      <c r="F60" s="187"/>
      <c r="G60" s="188"/>
      <c r="H60" s="188"/>
      <c r="I60" s="190"/>
      <c r="J60" s="187"/>
      <c r="K60" s="187"/>
      <c r="L60" s="187"/>
      <c r="M60" s="187"/>
      <c r="N60" s="242"/>
      <c r="O60" s="187"/>
      <c r="P60" s="187"/>
      <c r="Q60" s="187"/>
      <c r="R60" s="187"/>
      <c r="S60" s="187"/>
      <c r="T60" s="187"/>
      <c r="U60" s="243"/>
      <c r="V60" s="1"/>
      <c r="W60" s="1"/>
      <c r="X60" s="1"/>
      <c r="Y60" s="1"/>
      <c r="Z60" s="1"/>
    </row>
    <row r="61" spans="1:26" ht="12.75" customHeight="1">
      <c r="A61" s="1"/>
      <c r="B61" s="244"/>
      <c r="C61" s="190"/>
      <c r="D61" s="190"/>
      <c r="E61" s="190"/>
      <c r="F61" s="187"/>
      <c r="G61" s="188"/>
      <c r="H61" s="188"/>
      <c r="I61" s="190"/>
      <c r="J61" s="187"/>
      <c r="K61" s="187"/>
      <c r="L61" s="187"/>
      <c r="M61" s="187"/>
      <c r="N61" s="242"/>
      <c r="O61" s="187"/>
      <c r="P61" s="187"/>
      <c r="Q61" s="187"/>
      <c r="R61" s="187"/>
      <c r="S61" s="187"/>
      <c r="T61" s="187"/>
      <c r="U61" s="243"/>
      <c r="V61" s="1"/>
      <c r="W61" s="1"/>
      <c r="X61" s="1"/>
      <c r="Y61" s="1"/>
      <c r="Z61" s="1"/>
    </row>
    <row r="62" spans="1:26" ht="12.75" customHeight="1">
      <c r="A62" s="1"/>
      <c r="B62" s="244"/>
      <c r="C62" s="190"/>
      <c r="D62" s="190"/>
      <c r="E62" s="190"/>
      <c r="F62" s="187"/>
      <c r="G62" s="188"/>
      <c r="H62" s="188"/>
      <c r="I62" s="190"/>
      <c r="J62" s="187"/>
      <c r="K62" s="187"/>
      <c r="L62" s="187"/>
      <c r="M62" s="187"/>
      <c r="N62" s="242"/>
      <c r="O62" s="187"/>
      <c r="P62" s="187"/>
      <c r="Q62" s="187"/>
      <c r="R62" s="187"/>
      <c r="S62" s="187"/>
      <c r="T62" s="187"/>
      <c r="U62" s="243"/>
      <c r="V62" s="1"/>
      <c r="W62" s="1"/>
      <c r="X62" s="1"/>
      <c r="Y62" s="1"/>
      <c r="Z62" s="1"/>
    </row>
    <row r="63" spans="1:26" ht="12.75" customHeight="1">
      <c r="A63" s="1"/>
      <c r="B63" s="244"/>
      <c r="C63" s="190"/>
      <c r="D63" s="190"/>
      <c r="E63" s="190"/>
      <c r="F63" s="187"/>
      <c r="G63" s="188"/>
      <c r="H63" s="188"/>
      <c r="I63" s="190"/>
      <c r="J63" s="187"/>
      <c r="K63" s="187"/>
      <c r="L63" s="187"/>
      <c r="M63" s="187"/>
      <c r="N63" s="242"/>
      <c r="O63" s="187"/>
      <c r="P63" s="187"/>
      <c r="Q63" s="187"/>
      <c r="R63" s="187"/>
      <c r="S63" s="187"/>
      <c r="T63" s="187"/>
      <c r="U63" s="243"/>
      <c r="V63" s="1"/>
      <c r="W63" s="1"/>
      <c r="X63" s="1"/>
      <c r="Y63" s="1"/>
      <c r="Z63" s="1"/>
    </row>
    <row r="64" spans="1:26" ht="12.75" customHeight="1">
      <c r="A64" s="1"/>
      <c r="B64" s="244"/>
      <c r="C64" s="190"/>
      <c r="D64" s="190"/>
      <c r="E64" s="190"/>
      <c r="F64" s="187"/>
      <c r="G64" s="188"/>
      <c r="H64" s="188"/>
      <c r="I64" s="190"/>
      <c r="J64" s="187"/>
      <c r="K64" s="187"/>
      <c r="L64" s="187"/>
      <c r="M64" s="187"/>
      <c r="N64" s="242"/>
      <c r="O64" s="187"/>
      <c r="P64" s="187"/>
      <c r="Q64" s="187"/>
      <c r="R64" s="187"/>
      <c r="S64" s="187"/>
      <c r="T64" s="187"/>
      <c r="U64" s="243"/>
      <c r="V64" s="1"/>
      <c r="W64" s="1"/>
      <c r="X64" s="1"/>
      <c r="Y64" s="1"/>
      <c r="Z64" s="1"/>
    </row>
    <row r="65" spans="1:26" ht="12.75" customHeight="1">
      <c r="A65" s="1"/>
      <c r="B65" s="244"/>
      <c r="C65" s="190"/>
      <c r="D65" s="190"/>
      <c r="E65" s="190"/>
      <c r="F65" s="187"/>
      <c r="G65" s="188"/>
      <c r="H65" s="188"/>
      <c r="I65" s="190"/>
      <c r="J65" s="187"/>
      <c r="K65" s="187"/>
      <c r="L65" s="187"/>
      <c r="M65" s="187"/>
      <c r="N65" s="242"/>
      <c r="O65" s="187"/>
      <c r="P65" s="187"/>
      <c r="Q65" s="187"/>
      <c r="R65" s="187"/>
      <c r="S65" s="187"/>
      <c r="T65" s="187"/>
      <c r="U65" s="243"/>
      <c r="V65" s="1"/>
      <c r="W65" s="1"/>
      <c r="X65" s="1"/>
      <c r="Y65" s="1"/>
      <c r="Z65" s="1"/>
    </row>
    <row r="66" spans="1:26" ht="12.75" customHeight="1">
      <c r="A66" s="1"/>
      <c r="B66" s="244"/>
      <c r="C66" s="190"/>
      <c r="D66" s="190"/>
      <c r="E66" s="190"/>
      <c r="F66" s="187"/>
      <c r="G66" s="188"/>
      <c r="H66" s="188"/>
      <c r="I66" s="190"/>
      <c r="J66" s="187"/>
      <c r="K66" s="187"/>
      <c r="L66" s="187"/>
      <c r="M66" s="187"/>
      <c r="N66" s="242"/>
      <c r="O66" s="187"/>
      <c r="P66" s="187"/>
      <c r="Q66" s="187"/>
      <c r="R66" s="187"/>
      <c r="S66" s="187"/>
      <c r="T66" s="187"/>
      <c r="U66" s="243"/>
      <c r="V66" s="1"/>
      <c r="W66" s="1"/>
      <c r="X66" s="1"/>
      <c r="Y66" s="1"/>
      <c r="Z66" s="1"/>
    </row>
    <row r="67" spans="1:26" ht="12.75" customHeight="1">
      <c r="A67" s="1"/>
      <c r="B67" s="244"/>
      <c r="C67" s="190"/>
      <c r="D67" s="190"/>
      <c r="E67" s="190"/>
      <c r="F67" s="187"/>
      <c r="G67" s="188"/>
      <c r="H67" s="188"/>
      <c r="I67" s="190"/>
      <c r="J67" s="187"/>
      <c r="K67" s="187"/>
      <c r="L67" s="187"/>
      <c r="M67" s="187"/>
      <c r="N67" s="242"/>
      <c r="O67" s="187"/>
      <c r="P67" s="187"/>
      <c r="Q67" s="187"/>
      <c r="R67" s="187"/>
      <c r="S67" s="187"/>
      <c r="T67" s="187"/>
      <c r="U67" s="243"/>
      <c r="V67" s="1"/>
      <c r="W67" s="1"/>
      <c r="X67" s="1"/>
      <c r="Y67" s="1"/>
      <c r="Z67" s="1"/>
    </row>
    <row r="68" spans="1:26" ht="12.75" customHeight="1">
      <c r="A68" s="1"/>
      <c r="B68" s="244"/>
      <c r="C68" s="190"/>
      <c r="D68" s="190"/>
      <c r="E68" s="190"/>
      <c r="F68" s="187"/>
      <c r="G68" s="188"/>
      <c r="H68" s="188"/>
      <c r="I68" s="190"/>
      <c r="J68" s="187"/>
      <c r="K68" s="187"/>
      <c r="L68" s="187"/>
      <c r="M68" s="187"/>
      <c r="N68" s="242"/>
      <c r="O68" s="187"/>
      <c r="P68" s="187"/>
      <c r="Q68" s="187"/>
      <c r="R68" s="187"/>
      <c r="S68" s="187"/>
      <c r="T68" s="187"/>
      <c r="U68" s="243"/>
      <c r="V68" s="1"/>
      <c r="W68" s="1"/>
      <c r="X68" s="1"/>
      <c r="Y68" s="1"/>
      <c r="Z68" s="1"/>
    </row>
    <row r="69" spans="1:26" ht="12.75" customHeight="1">
      <c r="A69" s="1"/>
      <c r="B69" s="244"/>
      <c r="C69" s="190"/>
      <c r="D69" s="190"/>
      <c r="E69" s="190"/>
      <c r="F69" s="187"/>
      <c r="G69" s="188"/>
      <c r="H69" s="188"/>
      <c r="I69" s="190"/>
      <c r="J69" s="187"/>
      <c r="K69" s="187"/>
      <c r="L69" s="187"/>
      <c r="M69" s="187"/>
      <c r="N69" s="242"/>
      <c r="O69" s="187"/>
      <c r="P69" s="187"/>
      <c r="Q69" s="187"/>
      <c r="R69" s="187"/>
      <c r="S69" s="187"/>
      <c r="T69" s="187"/>
      <c r="U69" s="243"/>
      <c r="V69" s="1"/>
      <c r="W69" s="1"/>
      <c r="X69" s="1"/>
      <c r="Y69" s="1"/>
      <c r="Z69" s="1"/>
    </row>
    <row r="70" spans="1:26" ht="12.75" customHeight="1">
      <c r="A70" s="1"/>
      <c r="B70" s="244"/>
      <c r="C70" s="190"/>
      <c r="D70" s="190"/>
      <c r="E70" s="190"/>
      <c r="F70" s="187"/>
      <c r="G70" s="188"/>
      <c r="H70" s="188"/>
      <c r="I70" s="190"/>
      <c r="J70" s="187"/>
      <c r="K70" s="187"/>
      <c r="L70" s="187"/>
      <c r="M70" s="187"/>
      <c r="N70" s="242"/>
      <c r="O70" s="187"/>
      <c r="P70" s="187"/>
      <c r="Q70" s="187"/>
      <c r="R70" s="187"/>
      <c r="S70" s="187"/>
      <c r="T70" s="187"/>
      <c r="U70" s="243"/>
      <c r="V70" s="1"/>
      <c r="W70" s="1"/>
      <c r="X70" s="1"/>
      <c r="Y70" s="1"/>
      <c r="Z70" s="1"/>
    </row>
    <row r="71" spans="1:26" ht="12.75" customHeight="1">
      <c r="A71" s="1"/>
      <c r="B71" s="244"/>
      <c r="C71" s="190"/>
      <c r="D71" s="190"/>
      <c r="E71" s="190"/>
      <c r="F71" s="187"/>
      <c r="G71" s="188"/>
      <c r="H71" s="188"/>
      <c r="I71" s="190"/>
      <c r="J71" s="187"/>
      <c r="K71" s="187"/>
      <c r="L71" s="187"/>
      <c r="M71" s="187"/>
      <c r="N71" s="242"/>
      <c r="O71" s="187"/>
      <c r="P71" s="187"/>
      <c r="Q71" s="187"/>
      <c r="R71" s="187"/>
      <c r="S71" s="187"/>
      <c r="T71" s="187"/>
      <c r="U71" s="243"/>
      <c r="V71" s="1"/>
      <c r="W71" s="1"/>
      <c r="X71" s="1"/>
      <c r="Y71" s="1"/>
      <c r="Z71" s="1"/>
    </row>
    <row r="72" spans="1:26" ht="12.75" customHeight="1">
      <c r="A72" s="1"/>
      <c r="B72" s="244"/>
      <c r="C72" s="190"/>
      <c r="D72" s="190"/>
      <c r="E72" s="190"/>
      <c r="F72" s="187"/>
      <c r="G72" s="188"/>
      <c r="H72" s="188"/>
      <c r="I72" s="190"/>
      <c r="J72" s="187"/>
      <c r="K72" s="187"/>
      <c r="L72" s="187"/>
      <c r="M72" s="187"/>
      <c r="N72" s="242"/>
      <c r="O72" s="187"/>
      <c r="P72" s="187"/>
      <c r="Q72" s="187"/>
      <c r="R72" s="187"/>
      <c r="S72" s="187"/>
      <c r="T72" s="187"/>
      <c r="U72" s="243"/>
      <c r="V72" s="1"/>
      <c r="W72" s="1"/>
      <c r="X72" s="1"/>
      <c r="Y72" s="1"/>
      <c r="Z72" s="1"/>
    </row>
    <row r="73" spans="1:26" ht="12.75" customHeight="1">
      <c r="A73" s="1"/>
      <c r="B73" s="244"/>
      <c r="C73" s="190"/>
      <c r="D73" s="190"/>
      <c r="E73" s="190"/>
      <c r="F73" s="187"/>
      <c r="G73" s="188"/>
      <c r="H73" s="188"/>
      <c r="I73" s="190"/>
      <c r="J73" s="187"/>
      <c r="K73" s="187"/>
      <c r="L73" s="187"/>
      <c r="M73" s="187"/>
      <c r="N73" s="242"/>
      <c r="O73" s="187"/>
      <c r="P73" s="187"/>
      <c r="Q73" s="187"/>
      <c r="R73" s="187"/>
      <c r="S73" s="187"/>
      <c r="T73" s="187"/>
      <c r="U73" s="243"/>
      <c r="V73" s="1"/>
      <c r="W73" s="1"/>
      <c r="X73" s="1"/>
      <c r="Y73" s="1"/>
      <c r="Z73" s="1"/>
    </row>
    <row r="74" spans="1:26" ht="12.75" customHeight="1">
      <c r="A74" s="1"/>
      <c r="B74" s="244"/>
      <c r="C74" s="190"/>
      <c r="D74" s="190"/>
      <c r="E74" s="190"/>
      <c r="F74" s="187"/>
      <c r="G74" s="188"/>
      <c r="H74" s="188"/>
      <c r="I74" s="190"/>
      <c r="J74" s="187"/>
      <c r="K74" s="187"/>
      <c r="L74" s="187"/>
      <c r="M74" s="187"/>
      <c r="N74" s="242"/>
      <c r="O74" s="187"/>
      <c r="P74" s="187"/>
      <c r="Q74" s="187"/>
      <c r="R74" s="187"/>
      <c r="S74" s="187"/>
      <c r="T74" s="187"/>
      <c r="U74" s="243"/>
      <c r="V74" s="1"/>
      <c r="W74" s="1"/>
      <c r="X74" s="1"/>
      <c r="Y74" s="1"/>
      <c r="Z74" s="1"/>
    </row>
    <row r="75" spans="1:26" ht="12.75" customHeight="1">
      <c r="A75" s="1"/>
      <c r="B75" s="244"/>
      <c r="C75" s="190"/>
      <c r="D75" s="190"/>
      <c r="E75" s="190"/>
      <c r="F75" s="187"/>
      <c r="G75" s="188"/>
      <c r="H75" s="188"/>
      <c r="I75" s="190"/>
      <c r="J75" s="187"/>
      <c r="K75" s="187"/>
      <c r="L75" s="187"/>
      <c r="M75" s="187"/>
      <c r="N75" s="242"/>
      <c r="O75" s="187"/>
      <c r="P75" s="187"/>
      <c r="Q75" s="187"/>
      <c r="R75" s="187"/>
      <c r="S75" s="187"/>
      <c r="T75" s="187"/>
      <c r="U75" s="243"/>
      <c r="V75" s="1"/>
      <c r="W75" s="1"/>
      <c r="X75" s="1"/>
      <c r="Y75" s="1"/>
      <c r="Z75" s="1"/>
    </row>
    <row r="76" spans="1:26" ht="12.75" customHeight="1">
      <c r="A76" s="1"/>
      <c r="B76" s="244"/>
      <c r="C76" s="190"/>
      <c r="D76" s="190"/>
      <c r="E76" s="190"/>
      <c r="F76" s="187"/>
      <c r="G76" s="188"/>
      <c r="H76" s="188"/>
      <c r="I76" s="190"/>
      <c r="J76" s="187"/>
      <c r="K76" s="187"/>
      <c r="L76" s="187"/>
      <c r="M76" s="187"/>
      <c r="N76" s="242"/>
      <c r="O76" s="187"/>
      <c r="P76" s="187"/>
      <c r="Q76" s="187"/>
      <c r="R76" s="187"/>
      <c r="S76" s="187"/>
      <c r="T76" s="187"/>
      <c r="U76" s="243"/>
      <c r="V76" s="1"/>
      <c r="W76" s="1"/>
      <c r="X76" s="1"/>
      <c r="Y76" s="1"/>
      <c r="Z76" s="1"/>
    </row>
    <row r="77" spans="1:26" ht="12.75" customHeight="1">
      <c r="A77" s="1"/>
      <c r="B77" s="244"/>
      <c r="C77" s="190"/>
      <c r="D77" s="190"/>
      <c r="E77" s="190"/>
      <c r="F77" s="187"/>
      <c r="G77" s="188"/>
      <c r="H77" s="188"/>
      <c r="I77" s="190"/>
      <c r="J77" s="187"/>
      <c r="K77" s="187"/>
      <c r="L77" s="187"/>
      <c r="M77" s="187"/>
      <c r="N77" s="242"/>
      <c r="O77" s="187"/>
      <c r="P77" s="187"/>
      <c r="Q77" s="187"/>
      <c r="R77" s="187"/>
      <c r="S77" s="187"/>
      <c r="T77" s="187"/>
      <c r="U77" s="243"/>
      <c r="V77" s="1"/>
      <c r="W77" s="1"/>
      <c r="X77" s="1"/>
      <c r="Y77" s="1"/>
      <c r="Z77" s="1"/>
    </row>
    <row r="78" spans="1:26" ht="12.75" customHeight="1">
      <c r="A78" s="1"/>
      <c r="B78" s="244"/>
      <c r="C78" s="190"/>
      <c r="D78" s="190"/>
      <c r="E78" s="190"/>
      <c r="F78" s="187"/>
      <c r="G78" s="188"/>
      <c r="H78" s="188"/>
      <c r="I78" s="190"/>
      <c r="J78" s="187"/>
      <c r="K78" s="187"/>
      <c r="L78" s="187"/>
      <c r="M78" s="187"/>
      <c r="N78" s="242"/>
      <c r="O78" s="187"/>
      <c r="P78" s="187"/>
      <c r="Q78" s="187"/>
      <c r="R78" s="187"/>
      <c r="S78" s="187"/>
      <c r="T78" s="187"/>
      <c r="U78" s="243"/>
      <c r="V78" s="1"/>
      <c r="W78" s="1"/>
      <c r="X78" s="1"/>
      <c r="Y78" s="1"/>
      <c r="Z78" s="1"/>
    </row>
    <row r="79" spans="1:26" ht="12.75" customHeight="1">
      <c r="A79" s="1"/>
      <c r="B79" s="244"/>
      <c r="C79" s="190"/>
      <c r="D79" s="190"/>
      <c r="E79" s="190"/>
      <c r="F79" s="187"/>
      <c r="G79" s="188"/>
      <c r="H79" s="188"/>
      <c r="I79" s="190"/>
      <c r="J79" s="187"/>
      <c r="K79" s="187"/>
      <c r="L79" s="187"/>
      <c r="M79" s="187"/>
      <c r="N79" s="242"/>
      <c r="O79" s="187"/>
      <c r="P79" s="187"/>
      <c r="Q79" s="187"/>
      <c r="R79" s="187"/>
      <c r="S79" s="187"/>
      <c r="T79" s="187"/>
      <c r="U79" s="243"/>
      <c r="V79" s="1"/>
      <c r="W79" s="1"/>
      <c r="X79" s="1"/>
      <c r="Y79" s="1"/>
      <c r="Z79" s="1"/>
    </row>
    <row r="80" spans="1:26" ht="12.75" customHeight="1">
      <c r="A80" s="1"/>
      <c r="B80" s="244"/>
      <c r="C80" s="190"/>
      <c r="D80" s="190"/>
      <c r="E80" s="190"/>
      <c r="F80" s="187"/>
      <c r="G80" s="188"/>
      <c r="H80" s="188"/>
      <c r="I80" s="190"/>
      <c r="J80" s="187"/>
      <c r="K80" s="187"/>
      <c r="L80" s="187"/>
      <c r="M80" s="187"/>
      <c r="N80" s="242"/>
      <c r="O80" s="187"/>
      <c r="P80" s="187"/>
      <c r="Q80" s="187"/>
      <c r="R80" s="187"/>
      <c r="S80" s="187"/>
      <c r="T80" s="187"/>
      <c r="U80" s="243"/>
      <c r="V80" s="1"/>
      <c r="W80" s="1"/>
      <c r="X80" s="1"/>
      <c r="Y80" s="1"/>
      <c r="Z80" s="1"/>
    </row>
    <row r="81" spans="1:26" ht="12.75" customHeight="1">
      <c r="A81" s="1"/>
      <c r="B81" s="244"/>
      <c r="C81" s="190"/>
      <c r="D81" s="190"/>
      <c r="E81" s="190"/>
      <c r="F81" s="187"/>
      <c r="G81" s="188"/>
      <c r="H81" s="188"/>
      <c r="I81" s="190"/>
      <c r="J81" s="187"/>
      <c r="K81" s="187"/>
      <c r="L81" s="187"/>
      <c r="M81" s="187"/>
      <c r="N81" s="242"/>
      <c r="O81" s="187"/>
      <c r="P81" s="187"/>
      <c r="Q81" s="187"/>
      <c r="R81" s="187"/>
      <c r="S81" s="187"/>
      <c r="T81" s="187"/>
      <c r="U81" s="243"/>
      <c r="V81" s="1"/>
      <c r="W81" s="1"/>
      <c r="X81" s="1"/>
      <c r="Y81" s="1"/>
      <c r="Z81" s="1"/>
    </row>
    <row r="82" spans="1:26" ht="12.75" customHeight="1">
      <c r="A82" s="1"/>
      <c r="B82" s="244"/>
      <c r="C82" s="190"/>
      <c r="D82" s="190"/>
      <c r="E82" s="190"/>
      <c r="F82" s="187"/>
      <c r="G82" s="188"/>
      <c r="H82" s="188"/>
      <c r="I82" s="190"/>
      <c r="J82" s="187"/>
      <c r="K82" s="187"/>
      <c r="L82" s="187"/>
      <c r="M82" s="187"/>
      <c r="N82" s="242"/>
      <c r="O82" s="187"/>
      <c r="P82" s="187"/>
      <c r="Q82" s="187"/>
      <c r="R82" s="187"/>
      <c r="S82" s="187"/>
      <c r="T82" s="187"/>
      <c r="U82" s="243"/>
      <c r="V82" s="1"/>
      <c r="W82" s="1"/>
      <c r="X82" s="1"/>
      <c r="Y82" s="1"/>
      <c r="Z82" s="1"/>
    </row>
    <row r="83" spans="1:26" ht="12.75" customHeight="1">
      <c r="A83" s="1"/>
      <c r="B83" s="244"/>
      <c r="C83" s="190"/>
      <c r="D83" s="190"/>
      <c r="E83" s="190"/>
      <c r="F83" s="187"/>
      <c r="G83" s="188"/>
      <c r="H83" s="188"/>
      <c r="I83" s="190"/>
      <c r="J83" s="187"/>
      <c r="K83" s="187"/>
      <c r="L83" s="187"/>
      <c r="M83" s="187"/>
      <c r="N83" s="242"/>
      <c r="O83" s="187"/>
      <c r="P83" s="187"/>
      <c r="Q83" s="187"/>
      <c r="R83" s="187"/>
      <c r="S83" s="187"/>
      <c r="T83" s="187"/>
      <c r="U83" s="243"/>
      <c r="V83" s="1"/>
      <c r="W83" s="1"/>
      <c r="X83" s="1"/>
      <c r="Y83" s="1"/>
      <c r="Z83" s="1"/>
    </row>
    <row r="84" spans="1:26" ht="12.75" customHeight="1">
      <c r="A84" s="1"/>
      <c r="B84" s="244"/>
      <c r="C84" s="190"/>
      <c r="D84" s="190"/>
      <c r="E84" s="190"/>
      <c r="F84" s="187"/>
      <c r="G84" s="188"/>
      <c r="H84" s="188"/>
      <c r="I84" s="190"/>
      <c r="J84" s="187"/>
      <c r="K84" s="187"/>
      <c r="L84" s="187"/>
      <c r="M84" s="187"/>
      <c r="N84" s="242"/>
      <c r="O84" s="187"/>
      <c r="P84" s="187"/>
      <c r="Q84" s="187"/>
      <c r="R84" s="187"/>
      <c r="S84" s="187"/>
      <c r="T84" s="187"/>
      <c r="U84" s="243"/>
      <c r="V84" s="1"/>
      <c r="W84" s="1"/>
      <c r="X84" s="1"/>
      <c r="Y84" s="1"/>
      <c r="Z84" s="1"/>
    </row>
    <row r="85" spans="1:26" ht="12.75" customHeight="1">
      <c r="A85" s="1"/>
      <c r="B85" s="244"/>
      <c r="C85" s="190"/>
      <c r="D85" s="190"/>
      <c r="E85" s="190"/>
      <c r="F85" s="187"/>
      <c r="G85" s="188"/>
      <c r="H85" s="188"/>
      <c r="I85" s="190"/>
      <c r="J85" s="187"/>
      <c r="K85" s="187"/>
      <c r="L85" s="187"/>
      <c r="M85" s="187"/>
      <c r="N85" s="242"/>
      <c r="O85" s="187"/>
      <c r="P85" s="187"/>
      <c r="Q85" s="187"/>
      <c r="R85" s="187"/>
      <c r="S85" s="187"/>
      <c r="T85" s="187"/>
      <c r="U85" s="243"/>
      <c r="V85" s="1"/>
      <c r="W85" s="1"/>
      <c r="X85" s="1"/>
      <c r="Y85" s="1"/>
      <c r="Z85" s="1"/>
    </row>
    <row r="86" spans="1:26" ht="12.75" customHeight="1">
      <c r="A86" s="1"/>
      <c r="B86" s="244"/>
      <c r="C86" s="190"/>
      <c r="D86" s="190"/>
      <c r="E86" s="190"/>
      <c r="F86" s="187"/>
      <c r="G86" s="188"/>
      <c r="H86" s="188"/>
      <c r="I86" s="190"/>
      <c r="J86" s="187"/>
      <c r="K86" s="187"/>
      <c r="L86" s="187"/>
      <c r="M86" s="187"/>
      <c r="N86" s="242"/>
      <c r="O86" s="187"/>
      <c r="P86" s="187"/>
      <c r="Q86" s="187"/>
      <c r="R86" s="187"/>
      <c r="S86" s="187"/>
      <c r="T86" s="187"/>
      <c r="U86" s="243"/>
      <c r="V86" s="1"/>
      <c r="W86" s="1"/>
      <c r="X86" s="1"/>
      <c r="Y86" s="1"/>
      <c r="Z86" s="1"/>
    </row>
    <row r="87" spans="1:26" ht="12.75" customHeight="1">
      <c r="A87" s="1"/>
      <c r="B87" s="244"/>
      <c r="C87" s="190"/>
      <c r="D87" s="190"/>
      <c r="E87" s="190"/>
      <c r="F87" s="187"/>
      <c r="G87" s="188"/>
      <c r="H87" s="188"/>
      <c r="I87" s="190"/>
      <c r="J87" s="187"/>
      <c r="K87" s="187"/>
      <c r="L87" s="187"/>
      <c r="M87" s="187"/>
      <c r="N87" s="242"/>
      <c r="O87" s="187"/>
      <c r="P87" s="187"/>
      <c r="Q87" s="187"/>
      <c r="R87" s="187"/>
      <c r="S87" s="187"/>
      <c r="T87" s="187"/>
      <c r="U87" s="243"/>
      <c r="V87" s="1"/>
      <c r="W87" s="1"/>
      <c r="X87" s="1"/>
      <c r="Y87" s="1"/>
      <c r="Z87" s="1"/>
    </row>
    <row r="88" spans="1:26" ht="12.75" customHeight="1">
      <c r="A88" s="1"/>
      <c r="B88" s="244"/>
      <c r="C88" s="190"/>
      <c r="D88" s="190"/>
      <c r="E88" s="190"/>
      <c r="F88" s="187"/>
      <c r="G88" s="188"/>
      <c r="H88" s="188"/>
      <c r="I88" s="190"/>
      <c r="J88" s="187"/>
      <c r="K88" s="187"/>
      <c r="L88" s="187"/>
      <c r="M88" s="187"/>
      <c r="N88" s="242"/>
      <c r="O88" s="187"/>
      <c r="P88" s="187"/>
      <c r="Q88" s="187"/>
      <c r="R88" s="187"/>
      <c r="S88" s="187"/>
      <c r="T88" s="187"/>
      <c r="U88" s="243"/>
      <c r="V88" s="1"/>
      <c r="W88" s="1"/>
      <c r="X88" s="1"/>
      <c r="Y88" s="1"/>
      <c r="Z88" s="1"/>
    </row>
    <row r="89" spans="1:26" ht="12.75" customHeight="1">
      <c r="A89" s="1"/>
      <c r="B89" s="244"/>
      <c r="C89" s="190"/>
      <c r="D89" s="190"/>
      <c r="E89" s="190"/>
      <c r="F89" s="187"/>
      <c r="G89" s="188"/>
      <c r="H89" s="188"/>
      <c r="I89" s="190"/>
      <c r="J89" s="187"/>
      <c r="K89" s="187"/>
      <c r="L89" s="187"/>
      <c r="M89" s="187"/>
      <c r="N89" s="242"/>
      <c r="O89" s="187"/>
      <c r="P89" s="187"/>
      <c r="Q89" s="187"/>
      <c r="R89" s="187"/>
      <c r="S89" s="187"/>
      <c r="T89" s="187"/>
      <c r="U89" s="243"/>
      <c r="V89" s="1"/>
      <c r="W89" s="1"/>
      <c r="X89" s="1"/>
      <c r="Y89" s="1"/>
      <c r="Z89" s="1"/>
    </row>
    <row r="90" spans="1:26" ht="12.75" customHeight="1">
      <c r="A90" s="1"/>
      <c r="B90" s="244"/>
      <c r="C90" s="190"/>
      <c r="D90" s="190"/>
      <c r="E90" s="190"/>
      <c r="F90" s="187"/>
      <c r="G90" s="188"/>
      <c r="H90" s="188"/>
      <c r="I90" s="190"/>
      <c r="J90" s="187"/>
      <c r="K90" s="187"/>
      <c r="L90" s="187"/>
      <c r="M90" s="187"/>
      <c r="N90" s="242"/>
      <c r="O90" s="187"/>
      <c r="P90" s="187"/>
      <c r="Q90" s="187"/>
      <c r="R90" s="187"/>
      <c r="S90" s="187"/>
      <c r="T90" s="187"/>
      <c r="U90" s="243"/>
      <c r="V90" s="1"/>
      <c r="W90" s="1"/>
      <c r="X90" s="1"/>
      <c r="Y90" s="1"/>
      <c r="Z90" s="1"/>
    </row>
    <row r="91" spans="1:26" ht="12.75" customHeight="1">
      <c r="A91" s="1"/>
      <c r="B91" s="244"/>
      <c r="C91" s="190"/>
      <c r="D91" s="190"/>
      <c r="E91" s="190"/>
      <c r="F91" s="187"/>
      <c r="G91" s="188"/>
      <c r="H91" s="188"/>
      <c r="I91" s="190"/>
      <c r="J91" s="187"/>
      <c r="K91" s="187"/>
      <c r="L91" s="187"/>
      <c r="M91" s="187"/>
      <c r="N91" s="242"/>
      <c r="O91" s="187"/>
      <c r="P91" s="187"/>
      <c r="Q91" s="187"/>
      <c r="R91" s="187"/>
      <c r="S91" s="187"/>
      <c r="T91" s="187"/>
      <c r="U91" s="243"/>
      <c r="V91" s="1"/>
      <c r="W91" s="1"/>
      <c r="X91" s="1"/>
      <c r="Y91" s="1"/>
      <c r="Z91" s="1"/>
    </row>
    <row r="92" spans="1:26" ht="12.75" customHeight="1">
      <c r="A92" s="1"/>
      <c r="B92" s="244"/>
      <c r="C92" s="190"/>
      <c r="D92" s="190"/>
      <c r="E92" s="190"/>
      <c r="F92" s="187"/>
      <c r="G92" s="188"/>
      <c r="H92" s="188"/>
      <c r="I92" s="190"/>
      <c r="J92" s="187"/>
      <c r="K92" s="187"/>
      <c r="L92" s="187"/>
      <c r="M92" s="187"/>
      <c r="N92" s="242"/>
      <c r="O92" s="187"/>
      <c r="P92" s="187"/>
      <c r="Q92" s="187"/>
      <c r="R92" s="187"/>
      <c r="S92" s="187"/>
      <c r="T92" s="187"/>
      <c r="U92" s="243"/>
      <c r="V92" s="1"/>
      <c r="W92" s="1"/>
      <c r="X92" s="1"/>
      <c r="Y92" s="1"/>
      <c r="Z92" s="1"/>
    </row>
    <row r="93" spans="1:26" ht="12.75" customHeight="1">
      <c r="A93" s="1"/>
      <c r="B93" s="244"/>
      <c r="C93" s="190"/>
      <c r="D93" s="190"/>
      <c r="E93" s="190"/>
      <c r="F93" s="187"/>
      <c r="G93" s="188"/>
      <c r="H93" s="188"/>
      <c r="I93" s="190"/>
      <c r="J93" s="187"/>
      <c r="K93" s="187"/>
      <c r="L93" s="187"/>
      <c r="M93" s="187"/>
      <c r="N93" s="242"/>
      <c r="O93" s="187"/>
      <c r="P93" s="187"/>
      <c r="Q93" s="187"/>
      <c r="R93" s="187"/>
      <c r="S93" s="187"/>
      <c r="T93" s="187"/>
      <c r="U93" s="243"/>
      <c r="V93" s="1"/>
      <c r="W93" s="1"/>
      <c r="X93" s="1"/>
      <c r="Y93" s="1"/>
      <c r="Z93" s="1"/>
    </row>
    <row r="94" spans="1:26" ht="12.75" customHeight="1">
      <c r="A94" s="1"/>
      <c r="B94" s="244"/>
      <c r="C94" s="190"/>
      <c r="D94" s="190"/>
      <c r="E94" s="190"/>
      <c r="F94" s="187"/>
      <c r="G94" s="188"/>
      <c r="H94" s="188"/>
      <c r="I94" s="190"/>
      <c r="J94" s="187"/>
      <c r="K94" s="187"/>
      <c r="L94" s="187"/>
      <c r="M94" s="187"/>
      <c r="N94" s="242"/>
      <c r="O94" s="187"/>
      <c r="P94" s="187"/>
      <c r="Q94" s="187"/>
      <c r="R94" s="187"/>
      <c r="S94" s="187"/>
      <c r="T94" s="187"/>
      <c r="U94" s="243"/>
      <c r="V94" s="1"/>
      <c r="W94" s="1"/>
      <c r="X94" s="1"/>
      <c r="Y94" s="1"/>
      <c r="Z94" s="1"/>
    </row>
    <row r="95" spans="1:26" ht="12.75" customHeight="1">
      <c r="A95" s="1"/>
      <c r="B95" s="244"/>
      <c r="C95" s="190"/>
      <c r="D95" s="190"/>
      <c r="E95" s="190"/>
      <c r="F95" s="187"/>
      <c r="G95" s="188"/>
      <c r="H95" s="188"/>
      <c r="I95" s="190"/>
      <c r="J95" s="187"/>
      <c r="K95" s="187"/>
      <c r="L95" s="187"/>
      <c r="M95" s="187"/>
      <c r="N95" s="242"/>
      <c r="O95" s="187"/>
      <c r="P95" s="187"/>
      <c r="Q95" s="187"/>
      <c r="R95" s="187"/>
      <c r="S95" s="187"/>
      <c r="T95" s="187"/>
      <c r="U95" s="243"/>
      <c r="V95" s="1"/>
      <c r="W95" s="1"/>
      <c r="X95" s="1"/>
      <c r="Y95" s="1"/>
      <c r="Z95" s="1"/>
    </row>
    <row r="96" spans="1:26" ht="12.75" customHeight="1">
      <c r="A96" s="1"/>
      <c r="B96" s="244"/>
      <c r="C96" s="190"/>
      <c r="D96" s="190"/>
      <c r="E96" s="190"/>
      <c r="F96" s="187"/>
      <c r="G96" s="188"/>
      <c r="H96" s="188"/>
      <c r="I96" s="190"/>
      <c r="J96" s="187"/>
      <c r="K96" s="187"/>
      <c r="L96" s="187"/>
      <c r="M96" s="187"/>
      <c r="N96" s="242"/>
      <c r="O96" s="187"/>
      <c r="P96" s="187"/>
      <c r="Q96" s="187"/>
      <c r="R96" s="187"/>
      <c r="S96" s="187"/>
      <c r="T96" s="187"/>
      <c r="U96" s="243"/>
      <c r="V96" s="1"/>
      <c r="W96" s="1"/>
      <c r="X96" s="1"/>
      <c r="Y96" s="1"/>
      <c r="Z96" s="1"/>
    </row>
    <row r="97" spans="1:26" ht="12.75" customHeight="1">
      <c r="A97" s="1"/>
      <c r="B97" s="244"/>
      <c r="C97" s="190"/>
      <c r="D97" s="190"/>
      <c r="E97" s="190"/>
      <c r="F97" s="187"/>
      <c r="G97" s="188"/>
      <c r="H97" s="188"/>
      <c r="I97" s="190"/>
      <c r="J97" s="187"/>
      <c r="K97" s="187"/>
      <c r="L97" s="187"/>
      <c r="M97" s="187"/>
      <c r="N97" s="242"/>
      <c r="O97" s="187"/>
      <c r="P97" s="187"/>
      <c r="Q97" s="187"/>
      <c r="R97" s="187"/>
      <c r="S97" s="187"/>
      <c r="T97" s="187"/>
      <c r="U97" s="243"/>
      <c r="V97" s="1"/>
      <c r="W97" s="1"/>
      <c r="X97" s="1"/>
      <c r="Y97" s="1"/>
      <c r="Z97" s="1"/>
    </row>
    <row r="98" spans="1:26" ht="12.75" customHeight="1">
      <c r="A98" s="1"/>
      <c r="B98" s="244"/>
      <c r="C98" s="190"/>
      <c r="D98" s="190"/>
      <c r="E98" s="190"/>
      <c r="F98" s="187"/>
      <c r="G98" s="188"/>
      <c r="H98" s="188"/>
      <c r="I98" s="190"/>
      <c r="J98" s="187"/>
      <c r="K98" s="187"/>
      <c r="L98" s="187"/>
      <c r="M98" s="187"/>
      <c r="N98" s="242"/>
      <c r="O98" s="187"/>
      <c r="P98" s="187"/>
      <c r="Q98" s="187"/>
      <c r="R98" s="187"/>
      <c r="S98" s="187"/>
      <c r="T98" s="187"/>
      <c r="U98" s="243"/>
      <c r="V98" s="1"/>
      <c r="W98" s="1"/>
      <c r="X98" s="1"/>
      <c r="Y98" s="1"/>
      <c r="Z98" s="1"/>
    </row>
    <row r="99" spans="1:26" ht="12.75" customHeight="1">
      <c r="A99" s="1"/>
      <c r="B99" s="244"/>
      <c r="C99" s="190"/>
      <c r="D99" s="190"/>
      <c r="E99" s="190"/>
      <c r="F99" s="187"/>
      <c r="G99" s="188"/>
      <c r="H99" s="188"/>
      <c r="I99" s="190"/>
      <c r="J99" s="187"/>
      <c r="K99" s="187"/>
      <c r="L99" s="187"/>
      <c r="M99" s="187"/>
      <c r="N99" s="242"/>
      <c r="O99" s="187"/>
      <c r="P99" s="187"/>
      <c r="Q99" s="187"/>
      <c r="R99" s="187"/>
      <c r="S99" s="187"/>
      <c r="T99" s="187"/>
      <c r="U99" s="243"/>
      <c r="V99" s="1"/>
      <c r="W99" s="1"/>
      <c r="X99" s="1"/>
      <c r="Y99" s="1"/>
      <c r="Z99" s="1"/>
    </row>
    <row r="100" spans="1:26" ht="12.75" customHeight="1">
      <c r="A100" s="1"/>
      <c r="B100" s="244"/>
      <c r="C100" s="190"/>
      <c r="D100" s="190"/>
      <c r="E100" s="190"/>
      <c r="F100" s="187"/>
      <c r="G100" s="188"/>
      <c r="H100" s="188"/>
      <c r="I100" s="190"/>
      <c r="J100" s="187"/>
      <c r="K100" s="187"/>
      <c r="L100" s="187"/>
      <c r="M100" s="187"/>
      <c r="N100" s="242"/>
      <c r="O100" s="187"/>
      <c r="P100" s="187"/>
      <c r="Q100" s="187"/>
      <c r="R100" s="187"/>
      <c r="S100" s="187"/>
      <c r="T100" s="187"/>
      <c r="U100" s="243"/>
      <c r="V100" s="1"/>
      <c r="W100" s="1"/>
      <c r="X100" s="1"/>
      <c r="Y100" s="1"/>
      <c r="Z100" s="1"/>
    </row>
    <row r="101" spans="1:26" ht="12.75" customHeight="1">
      <c r="A101" s="1"/>
      <c r="B101" s="244"/>
      <c r="C101" s="190"/>
      <c r="D101" s="190"/>
      <c r="E101" s="190"/>
      <c r="F101" s="187"/>
      <c r="G101" s="188"/>
      <c r="H101" s="188"/>
      <c r="I101" s="190"/>
      <c r="J101" s="187"/>
      <c r="K101" s="187"/>
      <c r="L101" s="187"/>
      <c r="M101" s="187"/>
      <c r="N101" s="242"/>
      <c r="O101" s="187"/>
      <c r="P101" s="187"/>
      <c r="Q101" s="187"/>
      <c r="R101" s="187"/>
      <c r="S101" s="187"/>
      <c r="T101" s="187"/>
      <c r="U101" s="243"/>
      <c r="V101" s="1"/>
      <c r="W101" s="1"/>
      <c r="X101" s="1"/>
      <c r="Y101" s="1"/>
      <c r="Z101" s="1"/>
    </row>
    <row r="102" spans="1:26" ht="12.75" customHeight="1">
      <c r="A102" s="1"/>
      <c r="B102" s="244"/>
      <c r="C102" s="190"/>
      <c r="D102" s="190"/>
      <c r="E102" s="190"/>
      <c r="F102" s="187"/>
      <c r="G102" s="188"/>
      <c r="H102" s="188"/>
      <c r="I102" s="190"/>
      <c r="J102" s="187"/>
      <c r="K102" s="187"/>
      <c r="L102" s="187"/>
      <c r="M102" s="187"/>
      <c r="N102" s="242"/>
      <c r="O102" s="187"/>
      <c r="P102" s="187"/>
      <c r="Q102" s="187"/>
      <c r="R102" s="187"/>
      <c r="S102" s="187"/>
      <c r="T102" s="187"/>
      <c r="U102" s="243"/>
      <c r="V102" s="1"/>
      <c r="W102" s="1"/>
      <c r="X102" s="1"/>
      <c r="Y102" s="1"/>
      <c r="Z102" s="1"/>
    </row>
    <row r="103" spans="1:26" ht="13.5" customHeight="1">
      <c r="A103" s="1"/>
      <c r="B103" s="245"/>
      <c r="C103" s="246"/>
      <c r="D103" s="246"/>
      <c r="E103" s="246"/>
      <c r="F103" s="247"/>
      <c r="G103" s="248"/>
      <c r="H103" s="248"/>
      <c r="I103" s="246"/>
      <c r="J103" s="247"/>
      <c r="K103" s="247"/>
      <c r="L103" s="247"/>
      <c r="M103" s="247"/>
      <c r="N103" s="249"/>
      <c r="O103" s="247"/>
      <c r="P103" s="247"/>
      <c r="Q103" s="247"/>
      <c r="R103" s="247"/>
      <c r="S103" s="247"/>
      <c r="T103" s="247"/>
      <c r="U103" s="250"/>
      <c r="V103" s="1"/>
      <c r="W103" s="1"/>
      <c r="X103" s="1"/>
      <c r="Y103" s="1"/>
      <c r="Z103" s="1"/>
    </row>
  </sheetData>
  <mergeCells count="8">
    <mergeCell ref="H39:I39"/>
    <mergeCell ref="H40:I40"/>
    <mergeCell ref="B1:U1"/>
    <mergeCell ref="H34:I34"/>
    <mergeCell ref="H35:I35"/>
    <mergeCell ref="H36:I36"/>
    <mergeCell ref="H37:I37"/>
    <mergeCell ref="H38:I38"/>
  </mergeCells>
  <conditionalFormatting sqref="U14 G5 H5:U13 G7:G13 F10:F13 B4:B103 C15:G102 J15:U102 H15:I33 H41:I102">
    <cfRule type="expression" dxfId="2" priority="1" stopIfTrue="1">
      <formula>EVEN($H$11)</formula>
    </cfRule>
  </conditionalFormatting>
  <dataValidations count="1">
    <dataValidation type="list" allowBlank="1" showErrorMessage="1" sqref="C4:C103">
      <formula1>RetireTypes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Y70"/>
  <sheetViews>
    <sheetView workbookViewId="0"/>
  </sheetViews>
  <sheetFormatPr defaultColWidth="14.42578125" defaultRowHeight="15" customHeight="1"/>
  <cols>
    <col min="1" max="1" width="0.7109375" customWidth="1"/>
    <col min="2" max="2" width="0.5703125" customWidth="1"/>
    <col min="3" max="3" width="3.7109375" customWidth="1"/>
    <col min="4" max="4" width="15.7109375" customWidth="1"/>
    <col min="5" max="5" width="12.140625" customWidth="1"/>
    <col min="6" max="6" width="5.85546875" customWidth="1"/>
    <col min="7" max="7" width="3.140625" customWidth="1"/>
    <col min="8" max="10" width="3.42578125" customWidth="1"/>
    <col min="11" max="11" width="55.42578125" customWidth="1"/>
    <col min="12" max="12" width="5.85546875" customWidth="1"/>
    <col min="13" max="18" width="3.42578125" customWidth="1"/>
    <col min="19" max="19" width="8" customWidth="1"/>
    <col min="20" max="20" width="0.5703125" customWidth="1"/>
    <col min="21" max="22" width="7.140625" customWidth="1"/>
    <col min="23" max="23" width="7.42578125" customWidth="1"/>
    <col min="24" max="24" width="0.5703125" customWidth="1"/>
    <col min="25" max="30" width="12.42578125" customWidth="1"/>
    <col min="31" max="31" width="13.28515625" customWidth="1"/>
    <col min="32" max="32" width="17.42578125" customWidth="1"/>
    <col min="33" max="33" width="6.42578125" customWidth="1"/>
    <col min="34" max="34" width="24.140625" customWidth="1"/>
    <col min="35" max="35" width="10.140625" hidden="1" customWidth="1"/>
    <col min="36" max="43" width="11.42578125" hidden="1" customWidth="1"/>
    <col min="44" max="47" width="3.5703125" hidden="1" customWidth="1"/>
    <col min="48" max="51" width="11.42578125" hidden="1" customWidth="1"/>
  </cols>
  <sheetData>
    <row r="1" spans="1:51" ht="3.75" customHeight="1">
      <c r="A1" s="102"/>
      <c r="B1" s="102"/>
      <c r="C1" s="103"/>
      <c r="D1" s="102"/>
      <c r="E1" s="102"/>
      <c r="F1" s="104"/>
      <c r="G1" s="105"/>
      <c r="H1" s="105"/>
      <c r="I1" s="105"/>
      <c r="J1" s="105"/>
      <c r="K1" s="102"/>
      <c r="L1" s="102"/>
      <c r="M1" s="102"/>
      <c r="N1" s="102"/>
      <c r="O1" s="102"/>
      <c r="P1" s="102"/>
      <c r="Q1" s="102"/>
      <c r="R1" s="102"/>
      <c r="S1" s="105"/>
      <c r="T1" s="102"/>
      <c r="U1" s="102"/>
      <c r="V1" s="106"/>
      <c r="W1" s="102"/>
      <c r="X1" s="102"/>
      <c r="Y1" s="102"/>
      <c r="Z1" s="102"/>
      <c r="AA1" s="102"/>
      <c r="AB1" s="102"/>
      <c r="AC1" s="102"/>
      <c r="AD1" s="102"/>
      <c r="AE1" s="102"/>
      <c r="AF1" s="102"/>
      <c r="AG1" s="102"/>
      <c r="AH1" s="102"/>
      <c r="AI1" s="102"/>
      <c r="AJ1" s="102"/>
      <c r="AK1" s="102"/>
      <c r="AL1" s="102"/>
      <c r="AM1" s="102"/>
      <c r="AN1" s="102"/>
      <c r="AO1" s="102"/>
      <c r="AP1" s="102"/>
      <c r="AQ1" s="102"/>
      <c r="AR1" s="105"/>
      <c r="AS1" s="105"/>
      <c r="AT1" s="105"/>
      <c r="AU1" s="105"/>
      <c r="AV1" s="102"/>
      <c r="AW1" s="102"/>
      <c r="AX1" s="102"/>
      <c r="AY1" s="102"/>
    </row>
    <row r="2" spans="1:51" ht="3" customHeight="1">
      <c r="A2" s="102"/>
      <c r="B2" s="107"/>
      <c r="C2" s="108"/>
      <c r="D2" s="109"/>
      <c r="E2" s="109"/>
      <c r="F2" s="110"/>
      <c r="G2" s="108"/>
      <c r="H2" s="108"/>
      <c r="I2" s="108"/>
      <c r="J2" s="108"/>
      <c r="K2" s="109"/>
      <c r="L2" s="109"/>
      <c r="M2" s="109"/>
      <c r="N2" s="109"/>
      <c r="O2" s="109"/>
      <c r="P2" s="109"/>
      <c r="Q2" s="109"/>
      <c r="R2" s="109"/>
      <c r="S2" s="109"/>
      <c r="T2" s="111"/>
      <c r="U2" s="102"/>
      <c r="V2" s="112"/>
      <c r="W2" s="113"/>
      <c r="X2" s="113"/>
      <c r="Y2" s="102"/>
      <c r="Z2" s="102"/>
      <c r="AA2" s="102"/>
      <c r="AB2" s="102"/>
      <c r="AC2" s="102"/>
      <c r="AD2" s="102"/>
      <c r="AE2" s="102"/>
      <c r="AF2" s="102"/>
      <c r="AG2" s="102"/>
      <c r="AH2" s="102"/>
      <c r="AI2" s="102"/>
      <c r="AJ2" s="102"/>
      <c r="AK2" s="102"/>
      <c r="AL2" s="102"/>
      <c r="AM2" s="102"/>
      <c r="AN2" s="102"/>
      <c r="AO2" s="102"/>
      <c r="AP2" s="102"/>
      <c r="AQ2" s="102"/>
      <c r="AR2" s="105"/>
      <c r="AS2" s="105"/>
      <c r="AT2" s="105"/>
      <c r="AU2" s="105"/>
      <c r="AV2" s="102"/>
      <c r="AW2" s="102"/>
      <c r="AX2" s="102"/>
      <c r="AY2" s="102"/>
    </row>
    <row r="3" spans="1:51" ht="18" customHeight="1">
      <c r="A3" s="102"/>
      <c r="B3" s="114"/>
      <c r="C3" s="115"/>
      <c r="D3" s="116" t="s">
        <v>131</v>
      </c>
      <c r="E3" s="339"/>
      <c r="F3" s="340"/>
      <c r="G3" s="342" t="s">
        <v>133</v>
      </c>
      <c r="H3" s="316"/>
      <c r="I3" s="316"/>
      <c r="J3" s="339"/>
      <c r="K3" s="340"/>
      <c r="L3" s="342" t="s">
        <v>134</v>
      </c>
      <c r="M3" s="316"/>
      <c r="N3" s="339"/>
      <c r="O3" s="340"/>
      <c r="P3" s="340"/>
      <c r="Q3" s="340"/>
      <c r="R3" s="340"/>
      <c r="S3" s="340"/>
      <c r="T3" s="117"/>
      <c r="U3" s="338" t="s">
        <v>136</v>
      </c>
      <c r="V3" s="316"/>
      <c r="W3" s="316"/>
      <c r="X3" s="118"/>
      <c r="Y3" s="119" t="s">
        <v>137</v>
      </c>
      <c r="Z3" s="102"/>
      <c r="AA3" s="102"/>
      <c r="AB3" s="102"/>
      <c r="AC3" s="102"/>
      <c r="AD3" s="102"/>
      <c r="AE3" s="102"/>
      <c r="AF3" s="336" t="s">
        <v>138</v>
      </c>
      <c r="AG3" s="337"/>
      <c r="AH3" s="120"/>
      <c r="AI3" s="102"/>
      <c r="AJ3" s="102"/>
      <c r="AK3" s="102"/>
      <c r="AL3" s="102"/>
      <c r="AM3" s="102"/>
      <c r="AN3" s="102"/>
      <c r="AO3" s="102"/>
      <c r="AP3" s="102"/>
      <c r="AQ3" s="102"/>
      <c r="AR3" s="335" t="s">
        <v>139</v>
      </c>
      <c r="AS3" s="316"/>
      <c r="AT3" s="316"/>
      <c r="AU3" s="316"/>
      <c r="AV3" s="102"/>
      <c r="AW3" s="102"/>
      <c r="AX3" s="102"/>
      <c r="AY3" s="102"/>
    </row>
    <row r="4" spans="1:51" ht="3" customHeight="1">
      <c r="A4" s="102"/>
      <c r="B4" s="107"/>
      <c r="C4" s="108"/>
      <c r="D4" s="109"/>
      <c r="E4" s="109"/>
      <c r="F4" s="110"/>
      <c r="G4" s="108"/>
      <c r="H4" s="108"/>
      <c r="I4" s="108"/>
      <c r="J4" s="108"/>
      <c r="K4" s="109"/>
      <c r="L4" s="109"/>
      <c r="M4" s="109"/>
      <c r="N4" s="109"/>
      <c r="O4" s="109"/>
      <c r="P4" s="109"/>
      <c r="Q4" s="109"/>
      <c r="R4" s="109"/>
      <c r="S4" s="108"/>
      <c r="T4" s="111"/>
      <c r="U4" s="121"/>
      <c r="V4" s="122"/>
      <c r="W4" s="121"/>
      <c r="X4" s="121"/>
      <c r="Y4" s="121"/>
      <c r="Z4" s="121"/>
      <c r="AA4" s="121"/>
      <c r="AB4" s="121"/>
      <c r="AC4" s="121"/>
      <c r="AD4" s="121"/>
      <c r="AE4" s="121"/>
      <c r="AF4" s="121"/>
      <c r="AG4" s="121"/>
      <c r="AH4" s="120"/>
      <c r="AI4" s="102"/>
      <c r="AJ4" s="102"/>
      <c r="AK4" s="102"/>
      <c r="AL4" s="102"/>
      <c r="AM4" s="102"/>
      <c r="AN4" s="102"/>
      <c r="AO4" s="102"/>
      <c r="AP4" s="102"/>
      <c r="AQ4" s="102"/>
      <c r="AR4" s="105"/>
      <c r="AS4" s="105"/>
      <c r="AT4" s="105"/>
      <c r="AU4" s="105"/>
      <c r="AV4" s="102"/>
      <c r="AW4" s="102"/>
      <c r="AX4" s="102"/>
      <c r="AY4" s="102"/>
    </row>
    <row r="5" spans="1:51" ht="13.5" customHeight="1">
      <c r="A5" s="123"/>
      <c r="B5" s="124"/>
      <c r="C5" s="125" t="s">
        <v>140</v>
      </c>
      <c r="D5" s="126" t="s">
        <v>141</v>
      </c>
      <c r="E5" s="126" t="s">
        <v>126</v>
      </c>
      <c r="F5" s="127" t="s">
        <v>142</v>
      </c>
      <c r="G5" s="127" t="str">
        <f>T_MA</f>
        <v>MA</v>
      </c>
      <c r="H5" s="127" t="str">
        <f>T_ST</f>
        <v>ST</v>
      </c>
      <c r="I5" s="127" t="str">
        <f>T_AG</f>
        <v>AG</v>
      </c>
      <c r="J5" s="127" t="str">
        <f>T_AV</f>
        <v>AV</v>
      </c>
      <c r="K5" s="128" t="s">
        <v>143</v>
      </c>
      <c r="L5" s="125" t="s">
        <v>144</v>
      </c>
      <c r="M5" s="129" t="s">
        <v>120</v>
      </c>
      <c r="N5" s="130" t="s">
        <v>20</v>
      </c>
      <c r="O5" s="130" t="s">
        <v>121</v>
      </c>
      <c r="P5" s="130" t="s">
        <v>122</v>
      </c>
      <c r="Q5" s="130" t="s">
        <v>123</v>
      </c>
      <c r="R5" s="131" t="s">
        <v>124</v>
      </c>
      <c r="S5" s="132" t="s">
        <v>145</v>
      </c>
      <c r="T5" s="117"/>
      <c r="U5" s="133" t="s">
        <v>146</v>
      </c>
      <c r="V5" s="133" t="s">
        <v>147</v>
      </c>
      <c r="W5" s="134" t="s">
        <v>148</v>
      </c>
      <c r="X5" s="135"/>
      <c r="Y5" s="136" t="s">
        <v>149</v>
      </c>
      <c r="Z5" s="136" t="s">
        <v>150</v>
      </c>
      <c r="AA5" s="136" t="s">
        <v>151</v>
      </c>
      <c r="AB5" s="136" t="s">
        <v>152</v>
      </c>
      <c r="AC5" s="136" t="s">
        <v>153</v>
      </c>
      <c r="AD5" s="137" t="s">
        <v>154</v>
      </c>
      <c r="AE5" s="138" t="s">
        <v>155</v>
      </c>
      <c r="AF5" s="139" t="s">
        <v>156</v>
      </c>
      <c r="AG5" s="140" t="s">
        <v>157</v>
      </c>
      <c r="AH5" s="120"/>
      <c r="AI5" s="123"/>
      <c r="AJ5" s="141" t="s">
        <v>158</v>
      </c>
      <c r="AK5" s="141" t="s">
        <v>159</v>
      </c>
      <c r="AL5" s="123"/>
      <c r="AM5" s="123"/>
      <c r="AN5" s="123"/>
      <c r="AO5" s="123"/>
      <c r="AP5" s="123"/>
      <c r="AQ5" s="141" t="s">
        <v>160</v>
      </c>
      <c r="AR5" s="104" t="str">
        <f>T_MA</f>
        <v>MA</v>
      </c>
      <c r="AS5" s="104" t="str">
        <f>T_ST</f>
        <v>ST</v>
      </c>
      <c r="AT5" s="104" t="str">
        <f>T_AG</f>
        <v>AG</v>
      </c>
      <c r="AU5" s="104" t="str">
        <f>T_AV</f>
        <v>AV</v>
      </c>
      <c r="AV5" s="123"/>
      <c r="AW5" s="102"/>
      <c r="AX5" s="102"/>
      <c r="AY5" s="102"/>
    </row>
    <row r="6" spans="1:51" ht="13.5" customHeight="1">
      <c r="A6" s="102"/>
      <c r="B6" s="114"/>
      <c r="C6" s="142">
        <v>1</v>
      </c>
      <c r="D6" s="143"/>
      <c r="E6" s="143"/>
      <c r="F6" s="144" t="str">
        <f>IF($E6&lt;&gt;"",IF($AJ6&lt;&gt;"",IF(AND($L6=T_Journey,VLOOKUP($AJ6,DBPlayers,2,0)&lt;12),T_Error&amp;"7",IF("Journeymen not available"=0,T_Error&amp;"8",IF(COUNTIF($E$6:$E6,$E6)-$AQ6&gt;VLOOKUP($AJ6,DBPlayers,2,0),T_Error&amp;"2",IF(L6=T_MNG,0,COUNTIF($E$6:$E6,$E6)-$AQ6)&amp;"/"&amp;(VLOOKUP($AJ6,DBPlayers,2,0))))),T_Error&amp;"1"),"")</f>
        <v/>
      </c>
      <c r="G6" s="145" t="str">
        <f t="shared" ref="G6:G21" si="0">IF(OR($E6="",LEFT($F6,LEN(T_Error))=T_Error),"",MAX(1,VLOOKUP($AJ6,DBPlayers,4,0)+COUNTIF($Y6:$AD6,T_MA&amp;"+")-IF(ISERROR(FIND(T_MA&amp;"-",$AE6)),0,IF(ISERROR(FIND(T_MA&amp;"-",$AE6,FIND(T_MA&amp;"-",$AE6)+LEN(T_MA)+1)),1,2))))</f>
        <v/>
      </c>
      <c r="H6" s="145" t="str">
        <f t="shared" ref="H6:H21" si="1">IF(OR(($E6=""),(LEFT($F6,LEN(T_Error))=T_Error)),"",MAX(1,VLOOKUP($AJ6,DBPlayers,5,0)+COUNTIF($Y6:$AD6,T_ST&amp;"+")-IF(ISERROR(FIND(T_ST&amp;"-",$AE6)),0,IF(ISERROR(FIND(T_ST&amp;"-",$AE6,FIND(T_ST&amp;"-",$AE6)+LEN(T_ST)+1)),1,2))))</f>
        <v/>
      </c>
      <c r="I6" s="145" t="str">
        <f t="shared" ref="I6:I21" si="2">IF(OR(($E6=""),(LEFT($F6,LEN(T_Error))=T_Error)),"",MAX(1,VLOOKUP($AJ6,DBPlayers,6,0)+COUNTIF($Y6:$AD6,T_AG&amp;"+")-IF(ISERROR(FIND(T_AG&amp;"-",$AE6)),0,IF(ISERROR(FIND(T_AG&amp;"-",$AE6,FIND(T_AG&amp;"-",$AE6)+LEN(T_AG)+1)),1,2))))</f>
        <v/>
      </c>
      <c r="J6" s="145" t="str">
        <f t="shared" ref="J6:J21" si="3">IF(OR(($E6=""),(LEFT($F6,LEN(T_Error))=T_Error)),"",MAX(1,VLOOKUP($AJ6,DBPlayers,7,0)+COUNTIF($Y6:$AD6,T_AV&amp;"+")-IF(ISERROR(FIND(T_AV&amp;"-",$AE6)),0,IF(ISERROR(FIND(T_AV&amp;"-",$AE6,FIND(T_AV&amp;"-",$AE6)+LEN(T_AV)+1)),1,2))))</f>
        <v/>
      </c>
      <c r="K6" s="146" t="str">
        <f t="shared" ref="K6:K21" ca="1" si="4">IF($E6="","",IF(LEFT($F6,LEN(T_Error))=T_Error,INDIRECT("T_Error"&amp;RIGHT($F6,1)),IF(VLOOKUP($AJ6,DBPlayers,8,0)&lt;&gt;0,IF($L6=T_Journey,T_Loner&amp;", ","")&amp;VLOOKUP($AJ6,DBPlayers,8,0)&amp;IF($W6&gt;0,", ",""),IF($L6=T_Journey,T_Loner,""))&amp;IF($W6&gt;0,IF(Y6&lt;&gt;"",Y6,T_MS),"")&amp;IF($W6&gt;1,", "&amp;IF(Z6&lt;&gt;"",Z6,T_MS),"")&amp;IF($W6&gt;2,", "&amp;IF(AA6&lt;&gt;"",AA6,T_MS),"")&amp;IF($W6&gt;3,", "&amp;IF(AB6&lt;&gt;"",AB6,T_MS),"")&amp;IF($W6&gt;4,", "&amp;IF(AC6&lt;&gt;"",AC6,T_MS),"")&amp;IF($W6&gt;5,", "&amp;IF(AD6&lt;&gt;"",AD6,T_MS),"")&amp;IF(AF6&lt;&gt;"",IF(OR($W6&gt;0,VLOOKUP($AJ6,DBPlayers,8,0)&lt;&gt;0),", ","")&amp;AF6,"")&amp;IF(AE6&lt;&gt;"",IF(OR($W6&gt;0,AF6&lt;&gt;"",VLOOKUP($AJ6,DBPlayers,8,0)&lt;&gt;0),", ","")&amp;AE6,"")))</f>
        <v/>
      </c>
      <c r="L6" s="147"/>
      <c r="M6" s="148"/>
      <c r="N6" s="149"/>
      <c r="O6" s="149"/>
      <c r="P6" s="149"/>
      <c r="Q6" s="149"/>
      <c r="R6" s="150" t="str">
        <f t="shared" ref="R6:R21" si="5">IF(OR(($E6=""),(LEFT($F6,LEN(T_Error))=T_Error)),"",M6*SPP_CP+N6*SPP_TD+O6*SPP_IN+P6*SPP_CS+Q6*SPP_VP)</f>
        <v/>
      </c>
      <c r="S6" s="151" t="str">
        <f>IF(OR($E6="",LEFT($F6,LEN(T_Error))=T_Error),"",IF($L6=T_MNG,0,VLOOKUP($AJ6,DBPlayers,11,0)+SUM($AK6:$AP6)+AG6))</f>
        <v/>
      </c>
      <c r="T6" s="117"/>
      <c r="U6" s="152" t="str">
        <f t="shared" ref="U6:U21" si="6">IF(OR(($E6=""),(LEFT($F6,LEN(T_Error))=T_Error)),"",VLOOKUP($AJ6,DBPlayers,9,0))</f>
        <v/>
      </c>
      <c r="V6" s="152" t="str">
        <f t="shared" ref="V6:V21" si="7">IF(OR(($E6=""),(LEFT($F6,LEN(T_Error))=T_Error)),"",VLOOKUP($AJ6,DBPlayers,10,0))</f>
        <v/>
      </c>
      <c r="W6" s="153" t="str">
        <f t="shared" ref="W6:W21" si="8">IF(R6="","",IF($R6&gt;=SPP_6,6,IF($R6&gt;=SPP_5,5,IF($R6&gt;=SPP_4,4,IF($R6&gt;=SPP_3,3,IF($R6&gt;=SPP_2,2,IF($R6&gt;=SPP_1,1,0)))))))</f>
        <v/>
      </c>
      <c r="X6" s="121"/>
      <c r="Y6" s="154"/>
      <c r="Z6" s="154"/>
      <c r="AA6" s="154"/>
      <c r="AB6" s="154"/>
      <c r="AC6" s="154"/>
      <c r="AD6" s="155"/>
      <c r="AE6" s="156"/>
      <c r="AF6" s="157"/>
      <c r="AG6" s="158"/>
      <c r="AH6" s="120"/>
      <c r="AI6" s="123">
        <v>1</v>
      </c>
      <c r="AJ6" s="159" t="str">
        <f t="shared" ref="AJ6:AJ21" si="9">IF(OR(E6="",ISERROR(VLOOKUP(E6,$AJ$58:$AL$67,3,0))),"",VLOOKUP(E6,$AJ$58:$AL$67,3,0))</f>
        <v/>
      </c>
      <c r="AK6" s="159">
        <f>IF(Y6="",0,IF(ISERROR(FIND(VLOOKUP(Y6,DBSkills,2,0),$U6)),0,IMP_REGULAR)+IF(ISERROR(FIND(VLOOKUP(Y6,DBSkills,2,0),$V6)),0,IMP_DOUBLE)+IF(Y6=T_ST&amp;"+",IMP_ST,0)+IF(Y6=T_AG&amp;"+",IMP_AG,0)+IF(Y6=T_MA&amp;"+",IMP_MA,0)+IF(Y6=T_AV&amp;"+",IMP_MA,0))</f>
        <v>0</v>
      </c>
      <c r="AL6" s="159">
        <f t="shared" ref="AL6:AL21" si="10">IF(Z6="",0,IF(Z6=T_ST&amp;"+",50000,IF(Z6=T_AG&amp;"+",40000,IF(OR(Z6=T_MA&amp;"+",Z6=T_AV&amp;"+"),30000,IF(ISERROR(FIND(VLOOKUP(Z6,DBSkills,2,0),$V6)),20000,30000)))))</f>
        <v>0</v>
      </c>
      <c r="AM6" s="159">
        <f t="shared" ref="AM6:AM21" si="11">IF(AA6="",0,IF(AA6=T_ST&amp;"+",50000,IF(AA6=T_AG&amp;"+",40000,IF(OR(AA6=T_MA&amp;"+",AA6=T_AV&amp;"+"),30000,IF(ISERROR(FIND(VLOOKUP(AA6,DBSkills,2,0),$V6)),20000,30000)))))</f>
        <v>0</v>
      </c>
      <c r="AN6" s="159">
        <f t="shared" ref="AN6:AN21" si="12">IF(AB6="",0,IF(AB6=T_ST&amp;"+",50000,IF(AB6=T_AG&amp;"+",40000,IF(OR(AB6=T_MA&amp;"+",AB6=T_AV&amp;"+"),30000,IF(ISERROR(FIND(VLOOKUP(AB6,DBSkills,2,0),$V6)),20000,30000)))))</f>
        <v>0</v>
      </c>
      <c r="AO6" s="159">
        <f t="shared" ref="AO6:AO21" si="13">IF(AC6="",0,IF(AC6=T_ST&amp;"+",50000,IF(AC6=T_AG&amp;"+",40000,IF(OR(AC6=T_MA&amp;"+",AC6=T_AV&amp;"+"),30000,IF(ISERROR(FIND(VLOOKUP(AC6,DBSkills,2,0),$V6)),20000,30000)))))</f>
        <v>0</v>
      </c>
      <c r="AP6" s="159">
        <f t="shared" ref="AP6:AP21" si="14">IF(AD6="",0,IF(AD6=T_ST&amp;"+",50000,IF(AD6=T_AG&amp;"+",40000,IF(OR(AD6=T_MA&amp;"+",AD6=T_AV&amp;"+"),30000,IF(ISERROR(FIND(VLOOKUP(AD6,DBSkills,2,0),$V6)),20000,30000)))))</f>
        <v>0</v>
      </c>
      <c r="AQ6" s="159" t="str">
        <f t="array" ref="AQ6">IF(ISERROR($AJ6),0,IF($AJ6="","",SUM(IF($AJ6=$AJ$6:$AJ6,IF($L$6:$L6=T_MNG,1,0),0))))</f>
        <v/>
      </c>
      <c r="AR6" s="160" t="str">
        <f t="shared" ref="AR6:AR21" si="15">IF(OR($E6="",LEFT($F6,LEN(T_Error))=T_Error),"",MAX(1,VLOOKUP($AJ6,DBPlayers,4,0)))</f>
        <v/>
      </c>
      <c r="AS6" s="160" t="str">
        <f t="shared" ref="AS6:AS21" si="16">IF(OR(($E6=""),(LEFT($F6,LEN(T_Error))=T_Error)),"",MAX(1,VLOOKUP($AJ6,DBPlayers,5,0)))</f>
        <v/>
      </c>
      <c r="AT6" s="160" t="str">
        <f t="shared" ref="AT6:AT21" si="17">IF(OR(($E6=""),(LEFT($F6,LEN(T_Error))=T_Error)),"",MAX(1,VLOOKUP($AJ6,DBPlayers,6,0)))</f>
        <v/>
      </c>
      <c r="AU6" s="160" t="str">
        <f t="shared" ref="AU6:AU21" si="18">IF(OR(($E6=""),(LEFT($F6,LEN(T_Error))=T_Error)),"",MAX(1,VLOOKUP($AJ6,DBPlayers,7,0)))</f>
        <v/>
      </c>
      <c r="AV6" s="102"/>
      <c r="AW6" s="102"/>
      <c r="AX6" s="102"/>
      <c r="AY6" s="102"/>
    </row>
    <row r="7" spans="1:51" ht="13.5" customHeight="1">
      <c r="A7" s="102"/>
      <c r="B7" s="114"/>
      <c r="C7" s="161">
        <v>2</v>
      </c>
      <c r="D7" s="162"/>
      <c r="E7" s="162"/>
      <c r="F7" s="163" t="str">
        <f>IF($E7&lt;&gt;"",IF($AJ7&lt;&gt;"",IF(AND($L7=T_Journey,VLOOKUP($AJ7,DBPlayers,2,0)&lt;12),T_Error&amp;"7",IF("Journeymen not available"=0,T_Error&amp;"8",IF(COUNTIF($E$6:$E7,$E7)-$AQ7&gt;VLOOKUP($AJ7,DBPlayers,2,0),T_Error&amp;"2",IF(L7=T_MNG,0,COUNTIF($E$6:$E7,$E7)-$AQ7)&amp;"/"&amp;(VLOOKUP($AJ7,DBPlayers,2,0))))),T_Error&amp;"1"),"")</f>
        <v/>
      </c>
      <c r="G7" s="164" t="str">
        <f t="shared" si="0"/>
        <v/>
      </c>
      <c r="H7" s="164" t="str">
        <f t="shared" si="1"/>
        <v/>
      </c>
      <c r="I7" s="164" t="str">
        <f t="shared" si="2"/>
        <v/>
      </c>
      <c r="J7" s="164" t="str">
        <f t="shared" si="3"/>
        <v/>
      </c>
      <c r="K7" s="167" t="str">
        <f t="shared" ca="1" si="4"/>
        <v/>
      </c>
      <c r="L7" s="168"/>
      <c r="M7" s="169"/>
      <c r="N7" s="170"/>
      <c r="O7" s="170"/>
      <c r="P7" s="170"/>
      <c r="Q7" s="170"/>
      <c r="R7" s="171" t="str">
        <f t="shared" si="5"/>
        <v/>
      </c>
      <c r="S7" s="172" t="str">
        <f t="shared" ref="S7:S21" si="19">IF(OR($E7="",LEFT($F7,LEN(T_Error))=T_Error),"",IF($L7=T_MNG,0,VLOOKUP($AJ7,DBPlayers,11,0)+SUM($AK7:$AP7)))</f>
        <v/>
      </c>
      <c r="T7" s="117"/>
      <c r="U7" s="152" t="str">
        <f t="shared" si="6"/>
        <v/>
      </c>
      <c r="V7" s="152" t="str">
        <f t="shared" si="7"/>
        <v/>
      </c>
      <c r="W7" s="153" t="str">
        <f t="shared" si="8"/>
        <v/>
      </c>
      <c r="X7" s="121"/>
      <c r="Y7" s="154"/>
      <c r="Z7" s="154"/>
      <c r="AA7" s="154"/>
      <c r="AB7" s="154"/>
      <c r="AC7" s="154"/>
      <c r="AD7" s="155"/>
      <c r="AE7" s="156"/>
      <c r="AF7" s="173"/>
      <c r="AG7" s="174"/>
      <c r="AH7" s="120"/>
      <c r="AI7" s="123">
        <v>2</v>
      </c>
      <c r="AJ7" s="159" t="str">
        <f t="shared" si="9"/>
        <v/>
      </c>
      <c r="AK7" s="159">
        <f t="shared" ref="AK7:AK21" si="20">IF(Y7="",0,IF(Y7=T_ST&amp;"+",50000,IF(Y7=T_AG&amp;"+",40000,IF(OR(Y7=T_MA&amp;"+",Y7=T_AV&amp;"+"),30000,IF(ISERROR(FIND(VLOOKUP(Y7,DBSkills,2,0),$V7)),20000,30000)))))</f>
        <v>0</v>
      </c>
      <c r="AL7" s="159">
        <f t="shared" si="10"/>
        <v>0</v>
      </c>
      <c r="AM7" s="159">
        <f t="shared" si="11"/>
        <v>0</v>
      </c>
      <c r="AN7" s="159">
        <f t="shared" si="12"/>
        <v>0</v>
      </c>
      <c r="AO7" s="159">
        <f t="shared" si="13"/>
        <v>0</v>
      </c>
      <c r="AP7" s="159">
        <f t="shared" si="14"/>
        <v>0</v>
      </c>
      <c r="AQ7" s="159" t="str">
        <f t="array" ref="AQ7">IF(ISERROR($AJ7),0,IF($AJ7="","",SUM(IF($AJ7=$AJ$6:$AJ7,IF($L$6:$L7=T_MNG,1,0),0))))</f>
        <v/>
      </c>
      <c r="AR7" s="160" t="str">
        <f t="shared" si="15"/>
        <v/>
      </c>
      <c r="AS7" s="160" t="str">
        <f t="shared" si="16"/>
        <v/>
      </c>
      <c r="AT7" s="160" t="str">
        <f t="shared" si="17"/>
        <v/>
      </c>
      <c r="AU7" s="160" t="str">
        <f t="shared" si="18"/>
        <v/>
      </c>
      <c r="AV7" s="102"/>
      <c r="AW7" s="123"/>
      <c r="AX7" s="123"/>
      <c r="AY7" s="123"/>
    </row>
    <row r="8" spans="1:51" ht="13.5" customHeight="1">
      <c r="A8" s="102"/>
      <c r="B8" s="114"/>
      <c r="C8" s="161">
        <v>3</v>
      </c>
      <c r="D8" s="162"/>
      <c r="E8" s="162"/>
      <c r="F8" s="163" t="str">
        <f>IF($E8&lt;&gt;"",IF($AJ8&lt;&gt;"",IF(AND($L8=T_Journey,VLOOKUP($AJ8,DBPlayers,2,0)&lt;12),T_Error&amp;"7",IF("Journeymen not available"=0,T_Error&amp;"8",IF(COUNTIF($E$6:$E8,$E8)-$AQ8&gt;VLOOKUP($AJ8,DBPlayers,2,0),T_Error&amp;"2",IF(L8=T_MNG,0,COUNTIF($E$6:$E8,$E8)-$AQ8)&amp;"/"&amp;(VLOOKUP($AJ8,DBPlayers,2,0))))),T_Error&amp;"1"),"")</f>
        <v/>
      </c>
      <c r="G8" s="164" t="str">
        <f t="shared" si="0"/>
        <v/>
      </c>
      <c r="H8" s="164" t="str">
        <f t="shared" si="1"/>
        <v/>
      </c>
      <c r="I8" s="164" t="str">
        <f t="shared" si="2"/>
        <v/>
      </c>
      <c r="J8" s="164" t="str">
        <f t="shared" si="3"/>
        <v/>
      </c>
      <c r="K8" s="167" t="str">
        <f t="shared" ca="1" si="4"/>
        <v/>
      </c>
      <c r="L8" s="168"/>
      <c r="M8" s="169"/>
      <c r="N8" s="170"/>
      <c r="O8" s="170"/>
      <c r="P8" s="170"/>
      <c r="Q8" s="170"/>
      <c r="R8" s="171" t="str">
        <f t="shared" si="5"/>
        <v/>
      </c>
      <c r="S8" s="172" t="str">
        <f t="shared" si="19"/>
        <v/>
      </c>
      <c r="T8" s="117"/>
      <c r="U8" s="152" t="str">
        <f t="shared" si="6"/>
        <v/>
      </c>
      <c r="V8" s="152" t="str">
        <f t="shared" si="7"/>
        <v/>
      </c>
      <c r="W8" s="153" t="str">
        <f t="shared" si="8"/>
        <v/>
      </c>
      <c r="X8" s="121"/>
      <c r="Y8" s="154"/>
      <c r="Z8" s="154"/>
      <c r="AA8" s="154"/>
      <c r="AB8" s="154"/>
      <c r="AC8" s="154"/>
      <c r="AD8" s="155"/>
      <c r="AE8" s="156"/>
      <c r="AF8" s="154"/>
      <c r="AG8" s="155"/>
      <c r="AH8" s="120"/>
      <c r="AI8" s="123">
        <v>3</v>
      </c>
      <c r="AJ8" s="159" t="str">
        <f t="shared" si="9"/>
        <v/>
      </c>
      <c r="AK8" s="159">
        <f t="shared" si="20"/>
        <v>0</v>
      </c>
      <c r="AL8" s="159">
        <f t="shared" si="10"/>
        <v>0</v>
      </c>
      <c r="AM8" s="159">
        <f t="shared" si="11"/>
        <v>0</v>
      </c>
      <c r="AN8" s="159">
        <f t="shared" si="12"/>
        <v>0</v>
      </c>
      <c r="AO8" s="159">
        <f t="shared" si="13"/>
        <v>0</v>
      </c>
      <c r="AP8" s="159">
        <f t="shared" si="14"/>
        <v>0</v>
      </c>
      <c r="AQ8" s="159" t="str">
        <f t="array" ref="AQ8">IF(ISERROR($AJ8),0,IF($AJ8="","",SUM(IF($AJ8=$AJ$6:$AJ8,IF($L$6:$L8=T_MNG,1,0),0))))</f>
        <v/>
      </c>
      <c r="AR8" s="160" t="str">
        <f t="shared" si="15"/>
        <v/>
      </c>
      <c r="AS8" s="160" t="str">
        <f t="shared" si="16"/>
        <v/>
      </c>
      <c r="AT8" s="160" t="str">
        <f t="shared" si="17"/>
        <v/>
      </c>
      <c r="AU8" s="160" t="str">
        <f t="shared" si="18"/>
        <v/>
      </c>
      <c r="AV8" s="102"/>
      <c r="AW8" s="102"/>
      <c r="AX8" s="102"/>
      <c r="AY8" s="102"/>
    </row>
    <row r="9" spans="1:51" ht="13.5" customHeight="1">
      <c r="A9" s="102"/>
      <c r="B9" s="114"/>
      <c r="C9" s="161">
        <v>4</v>
      </c>
      <c r="D9" s="162"/>
      <c r="E9" s="162"/>
      <c r="F9" s="163" t="str">
        <f>IF($E9&lt;&gt;"",IF($AJ9&lt;&gt;"",IF(AND($L9=T_Journey,VLOOKUP($AJ9,DBPlayers,2,0)&lt;12),T_Error&amp;"7",IF("Journeymen not available"=0,T_Error&amp;"8",IF(COUNTIF($E$6:$E9,$E9)-$AQ9&gt;VLOOKUP($AJ9,DBPlayers,2,0),T_Error&amp;"2",IF(L9=T_MNG,0,COUNTIF($E$6:$E9,$E9)-$AQ9)&amp;"/"&amp;(VLOOKUP($AJ9,DBPlayers,2,0))))),T_Error&amp;"1"),"")</f>
        <v/>
      </c>
      <c r="G9" s="164" t="str">
        <f t="shared" si="0"/>
        <v/>
      </c>
      <c r="H9" s="164" t="str">
        <f t="shared" si="1"/>
        <v/>
      </c>
      <c r="I9" s="164" t="str">
        <f t="shared" si="2"/>
        <v/>
      </c>
      <c r="J9" s="164" t="str">
        <f t="shared" si="3"/>
        <v/>
      </c>
      <c r="K9" s="167" t="str">
        <f t="shared" ca="1" si="4"/>
        <v/>
      </c>
      <c r="L9" s="168"/>
      <c r="M9" s="169"/>
      <c r="N9" s="170"/>
      <c r="O9" s="170"/>
      <c r="P9" s="170"/>
      <c r="Q9" s="170"/>
      <c r="R9" s="171" t="str">
        <f t="shared" si="5"/>
        <v/>
      </c>
      <c r="S9" s="172" t="str">
        <f t="shared" si="19"/>
        <v/>
      </c>
      <c r="T9" s="117"/>
      <c r="U9" s="152" t="str">
        <f t="shared" si="6"/>
        <v/>
      </c>
      <c r="V9" s="152" t="str">
        <f t="shared" si="7"/>
        <v/>
      </c>
      <c r="W9" s="153" t="str">
        <f t="shared" si="8"/>
        <v/>
      </c>
      <c r="X9" s="121"/>
      <c r="Y9" s="154"/>
      <c r="Z9" s="154"/>
      <c r="AA9" s="154"/>
      <c r="AB9" s="154"/>
      <c r="AC9" s="154"/>
      <c r="AD9" s="155"/>
      <c r="AE9" s="156"/>
      <c r="AF9" s="154"/>
      <c r="AG9" s="155"/>
      <c r="AH9" s="120"/>
      <c r="AI9" s="123">
        <v>4</v>
      </c>
      <c r="AJ9" s="159" t="str">
        <f t="shared" si="9"/>
        <v/>
      </c>
      <c r="AK9" s="159">
        <f t="shared" si="20"/>
        <v>0</v>
      </c>
      <c r="AL9" s="159">
        <f t="shared" si="10"/>
        <v>0</v>
      </c>
      <c r="AM9" s="159">
        <f t="shared" si="11"/>
        <v>0</v>
      </c>
      <c r="AN9" s="159">
        <f t="shared" si="12"/>
        <v>0</v>
      </c>
      <c r="AO9" s="159">
        <f t="shared" si="13"/>
        <v>0</v>
      </c>
      <c r="AP9" s="159">
        <f t="shared" si="14"/>
        <v>0</v>
      </c>
      <c r="AQ9" s="159" t="str">
        <f t="array" ref="AQ9">IF(ISERROR($AJ9),0,IF($AJ9="","",SUM(IF($AJ9=$AJ$6:$AJ9,IF($L$6:$L9=T_MNG,1,0),0))))</f>
        <v/>
      </c>
      <c r="AR9" s="160" t="str">
        <f t="shared" si="15"/>
        <v/>
      </c>
      <c r="AS9" s="160" t="str">
        <f t="shared" si="16"/>
        <v/>
      </c>
      <c r="AT9" s="160" t="str">
        <f t="shared" si="17"/>
        <v/>
      </c>
      <c r="AU9" s="160" t="str">
        <f t="shared" si="18"/>
        <v/>
      </c>
      <c r="AV9" s="102"/>
      <c r="AW9" s="102"/>
      <c r="AX9" s="102"/>
      <c r="AY9" s="102"/>
    </row>
    <row r="10" spans="1:51" ht="13.5" customHeight="1">
      <c r="A10" s="102"/>
      <c r="B10" s="114"/>
      <c r="C10" s="161">
        <v>5</v>
      </c>
      <c r="D10" s="162"/>
      <c r="E10" s="162"/>
      <c r="F10" s="163" t="str">
        <f>IF($E10&lt;&gt;"",IF($AJ10&lt;&gt;"",IF(AND($L10=T_Journey,VLOOKUP($AJ10,DBPlayers,2,0)&lt;12),T_Error&amp;"7",IF("Journeymen not available"=0,T_Error&amp;"8",IF(COUNTIF($E$6:$E10,$E10)-$AQ10&gt;VLOOKUP($AJ10,DBPlayers,2,0),T_Error&amp;"2",IF(L10=T_MNG,0,COUNTIF($E$6:$E10,$E10)-$AQ10)&amp;"/"&amp;(VLOOKUP($AJ10,DBPlayers,2,0))))),T_Error&amp;"1"),"")</f>
        <v/>
      </c>
      <c r="G10" s="164" t="str">
        <f t="shared" si="0"/>
        <v/>
      </c>
      <c r="H10" s="164" t="str">
        <f t="shared" si="1"/>
        <v/>
      </c>
      <c r="I10" s="164" t="str">
        <f t="shared" si="2"/>
        <v/>
      </c>
      <c r="J10" s="164" t="str">
        <f t="shared" si="3"/>
        <v/>
      </c>
      <c r="K10" s="167" t="str">
        <f t="shared" ca="1" si="4"/>
        <v/>
      </c>
      <c r="L10" s="168"/>
      <c r="M10" s="169"/>
      <c r="N10" s="170"/>
      <c r="O10" s="170"/>
      <c r="P10" s="170"/>
      <c r="Q10" s="170"/>
      <c r="R10" s="171" t="str">
        <f t="shared" si="5"/>
        <v/>
      </c>
      <c r="S10" s="172" t="str">
        <f t="shared" si="19"/>
        <v/>
      </c>
      <c r="T10" s="117"/>
      <c r="U10" s="152" t="str">
        <f t="shared" si="6"/>
        <v/>
      </c>
      <c r="V10" s="152" t="str">
        <f t="shared" si="7"/>
        <v/>
      </c>
      <c r="W10" s="153" t="str">
        <f t="shared" si="8"/>
        <v/>
      </c>
      <c r="X10" s="121"/>
      <c r="Y10" s="154"/>
      <c r="Z10" s="154"/>
      <c r="AA10" s="154"/>
      <c r="AB10" s="154"/>
      <c r="AC10" s="154"/>
      <c r="AD10" s="155"/>
      <c r="AE10" s="156"/>
      <c r="AF10" s="154"/>
      <c r="AG10" s="155"/>
      <c r="AH10" s="120"/>
      <c r="AI10" s="123">
        <v>5</v>
      </c>
      <c r="AJ10" s="159" t="str">
        <f t="shared" si="9"/>
        <v/>
      </c>
      <c r="AK10" s="159">
        <f t="shared" si="20"/>
        <v>0</v>
      </c>
      <c r="AL10" s="159">
        <f t="shared" si="10"/>
        <v>0</v>
      </c>
      <c r="AM10" s="159">
        <f t="shared" si="11"/>
        <v>0</v>
      </c>
      <c r="AN10" s="159">
        <f t="shared" si="12"/>
        <v>0</v>
      </c>
      <c r="AO10" s="159">
        <f t="shared" si="13"/>
        <v>0</v>
      </c>
      <c r="AP10" s="159">
        <f t="shared" si="14"/>
        <v>0</v>
      </c>
      <c r="AQ10" s="159" t="str">
        <f t="array" ref="AQ10">IF(ISERROR($AJ10),0,IF($AJ10="","",SUM(IF($AJ10=$AJ$6:$AJ10,IF($L$6:$L10=T_MNG,1,0),0))))</f>
        <v/>
      </c>
      <c r="AR10" s="160" t="str">
        <f t="shared" si="15"/>
        <v/>
      </c>
      <c r="AS10" s="160" t="str">
        <f t="shared" si="16"/>
        <v/>
      </c>
      <c r="AT10" s="160" t="str">
        <f t="shared" si="17"/>
        <v/>
      </c>
      <c r="AU10" s="160" t="str">
        <f t="shared" si="18"/>
        <v/>
      </c>
      <c r="AV10" s="102"/>
      <c r="AW10" s="102"/>
      <c r="AX10" s="102"/>
      <c r="AY10" s="102"/>
    </row>
    <row r="11" spans="1:51" ht="13.5" customHeight="1">
      <c r="A11" s="102"/>
      <c r="B11" s="114"/>
      <c r="C11" s="161">
        <v>6</v>
      </c>
      <c r="D11" s="162"/>
      <c r="E11" s="162"/>
      <c r="F11" s="163" t="str">
        <f>IF($E11&lt;&gt;"",IF($AJ11&lt;&gt;"",IF(AND($L11=T_Journey,VLOOKUP($AJ11,DBPlayers,2,0)&lt;12),T_Error&amp;"7",IF("Journeymen not available"=0,T_Error&amp;"8",IF(COUNTIF($E$6:$E11,$E11)-$AQ11&gt;VLOOKUP($AJ11,DBPlayers,2,0),T_Error&amp;"2",IF(L11=T_MNG,0,COUNTIF($E$6:$E11,$E11)-$AQ11)&amp;"/"&amp;(VLOOKUP($AJ11,DBPlayers,2,0))))),T_Error&amp;"1"),"")</f>
        <v/>
      </c>
      <c r="G11" s="164" t="str">
        <f t="shared" si="0"/>
        <v/>
      </c>
      <c r="H11" s="164" t="str">
        <f t="shared" si="1"/>
        <v/>
      </c>
      <c r="I11" s="164" t="str">
        <f t="shared" si="2"/>
        <v/>
      </c>
      <c r="J11" s="164" t="str">
        <f t="shared" si="3"/>
        <v/>
      </c>
      <c r="K11" s="167" t="str">
        <f t="shared" ca="1" si="4"/>
        <v/>
      </c>
      <c r="L11" s="168"/>
      <c r="M11" s="169"/>
      <c r="N11" s="170"/>
      <c r="O11" s="170"/>
      <c r="P11" s="170"/>
      <c r="Q11" s="170"/>
      <c r="R11" s="171" t="str">
        <f t="shared" si="5"/>
        <v/>
      </c>
      <c r="S11" s="172" t="str">
        <f t="shared" si="19"/>
        <v/>
      </c>
      <c r="T11" s="117"/>
      <c r="U11" s="152" t="str">
        <f t="shared" si="6"/>
        <v/>
      </c>
      <c r="V11" s="152" t="str">
        <f t="shared" si="7"/>
        <v/>
      </c>
      <c r="W11" s="153" t="str">
        <f t="shared" si="8"/>
        <v/>
      </c>
      <c r="X11" s="121"/>
      <c r="Y11" s="154"/>
      <c r="Z11" s="154"/>
      <c r="AA11" s="154"/>
      <c r="AB11" s="154"/>
      <c r="AC11" s="154"/>
      <c r="AD11" s="155"/>
      <c r="AE11" s="156"/>
      <c r="AF11" s="154"/>
      <c r="AG11" s="155"/>
      <c r="AH11" s="120"/>
      <c r="AI11" s="123">
        <v>6</v>
      </c>
      <c r="AJ11" s="159" t="str">
        <f t="shared" si="9"/>
        <v/>
      </c>
      <c r="AK11" s="159">
        <f t="shared" si="20"/>
        <v>0</v>
      </c>
      <c r="AL11" s="159">
        <f t="shared" si="10"/>
        <v>0</v>
      </c>
      <c r="AM11" s="159">
        <f t="shared" si="11"/>
        <v>0</v>
      </c>
      <c r="AN11" s="159">
        <f t="shared" si="12"/>
        <v>0</v>
      </c>
      <c r="AO11" s="159">
        <f t="shared" si="13"/>
        <v>0</v>
      </c>
      <c r="AP11" s="159">
        <f t="shared" si="14"/>
        <v>0</v>
      </c>
      <c r="AQ11" s="159" t="str">
        <f t="array" ref="AQ11">IF(ISERROR($AJ11),0,IF($AJ11="","",SUM(IF($AJ11=$AJ$6:$AJ11,IF($L$6:$L11=T_MNG,1,0),0))))</f>
        <v/>
      </c>
      <c r="AR11" s="160" t="str">
        <f t="shared" si="15"/>
        <v/>
      </c>
      <c r="AS11" s="160" t="str">
        <f t="shared" si="16"/>
        <v/>
      </c>
      <c r="AT11" s="160" t="str">
        <f t="shared" si="17"/>
        <v/>
      </c>
      <c r="AU11" s="160" t="str">
        <f t="shared" si="18"/>
        <v/>
      </c>
      <c r="AV11" s="102"/>
      <c r="AW11" s="102"/>
      <c r="AX11" s="102"/>
      <c r="AY11" s="102"/>
    </row>
    <row r="12" spans="1:51" ht="13.5" customHeight="1">
      <c r="A12" s="102"/>
      <c r="B12" s="114"/>
      <c r="C12" s="161">
        <v>7</v>
      </c>
      <c r="D12" s="162"/>
      <c r="E12" s="162"/>
      <c r="F12" s="163" t="str">
        <f>IF($E12&lt;&gt;"",IF($AJ12&lt;&gt;"",IF(AND($L12=T_Journey,VLOOKUP($AJ12,DBPlayers,2,0)&lt;12),T_Error&amp;"7",IF("Journeymen not available"=0,T_Error&amp;"8",IF(COUNTIF($E$6:$E12,$E12)-$AQ12&gt;VLOOKUP($AJ12,DBPlayers,2,0),T_Error&amp;"2",IF(L12=T_MNG,0,COUNTIF($E$6:$E12,$E12)-$AQ12)&amp;"/"&amp;(VLOOKUP($AJ12,DBPlayers,2,0))))),T_Error&amp;"1"),"")</f>
        <v/>
      </c>
      <c r="G12" s="164" t="str">
        <f t="shared" si="0"/>
        <v/>
      </c>
      <c r="H12" s="164" t="str">
        <f t="shared" si="1"/>
        <v/>
      </c>
      <c r="I12" s="164" t="str">
        <f t="shared" si="2"/>
        <v/>
      </c>
      <c r="J12" s="164" t="str">
        <f t="shared" si="3"/>
        <v/>
      </c>
      <c r="K12" s="167" t="str">
        <f t="shared" ca="1" si="4"/>
        <v/>
      </c>
      <c r="L12" s="168"/>
      <c r="M12" s="169"/>
      <c r="N12" s="170"/>
      <c r="O12" s="170"/>
      <c r="P12" s="170"/>
      <c r="Q12" s="170"/>
      <c r="R12" s="171" t="str">
        <f t="shared" si="5"/>
        <v/>
      </c>
      <c r="S12" s="172" t="str">
        <f t="shared" si="19"/>
        <v/>
      </c>
      <c r="T12" s="117"/>
      <c r="U12" s="152" t="str">
        <f t="shared" si="6"/>
        <v/>
      </c>
      <c r="V12" s="152" t="str">
        <f t="shared" si="7"/>
        <v/>
      </c>
      <c r="W12" s="153" t="str">
        <f t="shared" si="8"/>
        <v/>
      </c>
      <c r="X12" s="121"/>
      <c r="Y12" s="154"/>
      <c r="Z12" s="154"/>
      <c r="AA12" s="154"/>
      <c r="AB12" s="154"/>
      <c r="AC12" s="154"/>
      <c r="AD12" s="155"/>
      <c r="AE12" s="156"/>
      <c r="AF12" s="154"/>
      <c r="AG12" s="155"/>
      <c r="AH12" s="120"/>
      <c r="AI12" s="123">
        <v>7</v>
      </c>
      <c r="AJ12" s="159" t="str">
        <f t="shared" si="9"/>
        <v/>
      </c>
      <c r="AK12" s="159">
        <f t="shared" si="20"/>
        <v>0</v>
      </c>
      <c r="AL12" s="159">
        <f t="shared" si="10"/>
        <v>0</v>
      </c>
      <c r="AM12" s="159">
        <f t="shared" si="11"/>
        <v>0</v>
      </c>
      <c r="AN12" s="159">
        <f t="shared" si="12"/>
        <v>0</v>
      </c>
      <c r="AO12" s="159">
        <f t="shared" si="13"/>
        <v>0</v>
      </c>
      <c r="AP12" s="159">
        <f t="shared" si="14"/>
        <v>0</v>
      </c>
      <c r="AQ12" s="159" t="str">
        <f t="array" ref="AQ12">IF(ISERROR($AJ12),0,IF($AJ12="","",SUM(IF($AJ12=$AJ$6:$AJ12,IF($L$6:$L12=T_MNG,1,0),0))))</f>
        <v/>
      </c>
      <c r="AR12" s="160" t="str">
        <f t="shared" si="15"/>
        <v/>
      </c>
      <c r="AS12" s="160" t="str">
        <f t="shared" si="16"/>
        <v/>
      </c>
      <c r="AT12" s="160" t="str">
        <f t="shared" si="17"/>
        <v/>
      </c>
      <c r="AU12" s="160" t="str">
        <f t="shared" si="18"/>
        <v/>
      </c>
      <c r="AV12" s="102"/>
      <c r="AW12" s="102"/>
      <c r="AX12" s="102"/>
      <c r="AY12" s="102"/>
    </row>
    <row r="13" spans="1:51" ht="13.5" customHeight="1">
      <c r="A13" s="102"/>
      <c r="B13" s="114"/>
      <c r="C13" s="161">
        <v>8</v>
      </c>
      <c r="D13" s="162"/>
      <c r="E13" s="162"/>
      <c r="F13" s="163" t="str">
        <f>IF($E13&lt;&gt;"",IF($AJ13&lt;&gt;"",IF(AND($L13=T_Journey,VLOOKUP($AJ13,DBPlayers,2,0)&lt;12),T_Error&amp;"7",IF("Journeymen not available"=0,T_Error&amp;"8",IF(COUNTIF($E$6:$E13,$E13)-$AQ13&gt;VLOOKUP($AJ13,DBPlayers,2,0),T_Error&amp;"2",IF(L13=T_MNG,0,COUNTIF($E$6:$E13,$E13)-$AQ13)&amp;"/"&amp;(VLOOKUP($AJ13,DBPlayers,2,0))))),T_Error&amp;"1"),"")</f>
        <v/>
      </c>
      <c r="G13" s="164" t="str">
        <f t="shared" si="0"/>
        <v/>
      </c>
      <c r="H13" s="164" t="str">
        <f t="shared" si="1"/>
        <v/>
      </c>
      <c r="I13" s="164" t="str">
        <f t="shared" si="2"/>
        <v/>
      </c>
      <c r="J13" s="164" t="str">
        <f t="shared" si="3"/>
        <v/>
      </c>
      <c r="K13" s="167" t="str">
        <f t="shared" ca="1" si="4"/>
        <v/>
      </c>
      <c r="L13" s="168"/>
      <c r="M13" s="169"/>
      <c r="N13" s="170"/>
      <c r="O13" s="170"/>
      <c r="P13" s="170"/>
      <c r="Q13" s="170"/>
      <c r="R13" s="171" t="str">
        <f t="shared" si="5"/>
        <v/>
      </c>
      <c r="S13" s="172" t="str">
        <f t="shared" si="19"/>
        <v/>
      </c>
      <c r="T13" s="117"/>
      <c r="U13" s="152" t="str">
        <f t="shared" si="6"/>
        <v/>
      </c>
      <c r="V13" s="152" t="str">
        <f t="shared" si="7"/>
        <v/>
      </c>
      <c r="W13" s="153" t="str">
        <f t="shared" si="8"/>
        <v/>
      </c>
      <c r="X13" s="121"/>
      <c r="Y13" s="154"/>
      <c r="Z13" s="154"/>
      <c r="AA13" s="154"/>
      <c r="AB13" s="154"/>
      <c r="AC13" s="154"/>
      <c r="AD13" s="155"/>
      <c r="AE13" s="156"/>
      <c r="AF13" s="154"/>
      <c r="AG13" s="155"/>
      <c r="AH13" s="120"/>
      <c r="AI13" s="123">
        <v>8</v>
      </c>
      <c r="AJ13" s="159" t="str">
        <f t="shared" si="9"/>
        <v/>
      </c>
      <c r="AK13" s="159">
        <f t="shared" si="20"/>
        <v>0</v>
      </c>
      <c r="AL13" s="159">
        <f t="shared" si="10"/>
        <v>0</v>
      </c>
      <c r="AM13" s="159">
        <f t="shared" si="11"/>
        <v>0</v>
      </c>
      <c r="AN13" s="159">
        <f t="shared" si="12"/>
        <v>0</v>
      </c>
      <c r="AO13" s="159">
        <f t="shared" si="13"/>
        <v>0</v>
      </c>
      <c r="AP13" s="159">
        <f t="shared" si="14"/>
        <v>0</v>
      </c>
      <c r="AQ13" s="159" t="str">
        <f t="array" ref="AQ13">IF(ISERROR($AJ13),0,IF($AJ13="","",SUM(IF($AJ13=$AJ$6:$AJ13,IF($L$6:$L13=T_MNG,1,0),0))))</f>
        <v/>
      </c>
      <c r="AR13" s="160" t="str">
        <f t="shared" si="15"/>
        <v/>
      </c>
      <c r="AS13" s="160" t="str">
        <f t="shared" si="16"/>
        <v/>
      </c>
      <c r="AT13" s="160" t="str">
        <f t="shared" si="17"/>
        <v/>
      </c>
      <c r="AU13" s="160" t="str">
        <f t="shared" si="18"/>
        <v/>
      </c>
      <c r="AV13" s="102"/>
      <c r="AW13" s="102"/>
      <c r="AX13" s="102"/>
      <c r="AY13" s="102"/>
    </row>
    <row r="14" spans="1:51" ht="13.5" customHeight="1">
      <c r="A14" s="102"/>
      <c r="B14" s="114"/>
      <c r="C14" s="161">
        <v>9</v>
      </c>
      <c r="D14" s="162"/>
      <c r="E14" s="162"/>
      <c r="F14" s="163" t="str">
        <f>IF($E14&lt;&gt;"",IF($AJ14&lt;&gt;"",IF(AND($L14=T_Journey,VLOOKUP($AJ14,DBPlayers,2,0)&lt;12),T_Error&amp;"7",IF("Journeymen not available"=0,T_Error&amp;"8",IF(COUNTIF($E$6:$E14,$E14)-$AQ14&gt;VLOOKUP($AJ14,DBPlayers,2,0),T_Error&amp;"2",IF(L14=T_MNG,0,COUNTIF($E$6:$E14,$E14)-$AQ14)&amp;"/"&amp;(VLOOKUP($AJ14,DBPlayers,2,0))))),T_Error&amp;"1"),"")</f>
        <v/>
      </c>
      <c r="G14" s="164" t="str">
        <f t="shared" si="0"/>
        <v/>
      </c>
      <c r="H14" s="164" t="str">
        <f t="shared" si="1"/>
        <v/>
      </c>
      <c r="I14" s="164" t="str">
        <f t="shared" si="2"/>
        <v/>
      </c>
      <c r="J14" s="164" t="str">
        <f t="shared" si="3"/>
        <v/>
      </c>
      <c r="K14" s="167" t="str">
        <f t="shared" ca="1" si="4"/>
        <v/>
      </c>
      <c r="L14" s="168"/>
      <c r="M14" s="169"/>
      <c r="N14" s="170"/>
      <c r="O14" s="170"/>
      <c r="P14" s="170"/>
      <c r="Q14" s="170"/>
      <c r="R14" s="171" t="str">
        <f t="shared" si="5"/>
        <v/>
      </c>
      <c r="S14" s="172" t="str">
        <f t="shared" si="19"/>
        <v/>
      </c>
      <c r="T14" s="117"/>
      <c r="U14" s="152" t="str">
        <f t="shared" si="6"/>
        <v/>
      </c>
      <c r="V14" s="152" t="str">
        <f t="shared" si="7"/>
        <v/>
      </c>
      <c r="W14" s="153" t="str">
        <f t="shared" si="8"/>
        <v/>
      </c>
      <c r="X14" s="121"/>
      <c r="Y14" s="154"/>
      <c r="Z14" s="154"/>
      <c r="AA14" s="154"/>
      <c r="AB14" s="154"/>
      <c r="AC14" s="154"/>
      <c r="AD14" s="155"/>
      <c r="AE14" s="156"/>
      <c r="AF14" s="154"/>
      <c r="AG14" s="155"/>
      <c r="AH14" s="120"/>
      <c r="AI14" s="123">
        <v>9</v>
      </c>
      <c r="AJ14" s="159" t="str">
        <f t="shared" si="9"/>
        <v/>
      </c>
      <c r="AK14" s="159">
        <f t="shared" si="20"/>
        <v>0</v>
      </c>
      <c r="AL14" s="159">
        <f t="shared" si="10"/>
        <v>0</v>
      </c>
      <c r="AM14" s="159">
        <f t="shared" si="11"/>
        <v>0</v>
      </c>
      <c r="AN14" s="159">
        <f t="shared" si="12"/>
        <v>0</v>
      </c>
      <c r="AO14" s="159">
        <f t="shared" si="13"/>
        <v>0</v>
      </c>
      <c r="AP14" s="159">
        <f t="shared" si="14"/>
        <v>0</v>
      </c>
      <c r="AQ14" s="159" t="str">
        <f t="array" ref="AQ14">IF(ISERROR($AJ14),0,IF($AJ14="","",SUM(IF($AJ14=$AJ$6:$AJ14,IF($L$6:$L14=T_MNG,1,0),0))))</f>
        <v/>
      </c>
      <c r="AR14" s="160" t="str">
        <f t="shared" si="15"/>
        <v/>
      </c>
      <c r="AS14" s="160" t="str">
        <f t="shared" si="16"/>
        <v/>
      </c>
      <c r="AT14" s="160" t="str">
        <f t="shared" si="17"/>
        <v/>
      </c>
      <c r="AU14" s="160" t="str">
        <f t="shared" si="18"/>
        <v/>
      </c>
      <c r="AV14" s="102"/>
      <c r="AW14" s="102"/>
      <c r="AX14" s="102"/>
      <c r="AY14" s="102"/>
    </row>
    <row r="15" spans="1:51" ht="13.5" customHeight="1">
      <c r="A15" s="102"/>
      <c r="B15" s="114"/>
      <c r="C15" s="161">
        <v>10</v>
      </c>
      <c r="D15" s="162"/>
      <c r="E15" s="162"/>
      <c r="F15" s="163" t="str">
        <f>IF($E15&lt;&gt;"",IF($AJ15&lt;&gt;"",IF(AND($L15=T_Journey,VLOOKUP($AJ15,DBPlayers,2,0)&lt;12),T_Error&amp;"7",IF("Journeymen not available"=0,T_Error&amp;"8",IF(COUNTIF($E$6:$E15,$E15)-$AQ15&gt;VLOOKUP($AJ15,DBPlayers,2,0),T_Error&amp;"2",IF(L15=T_MNG,0,COUNTIF($E$6:$E15,$E15)-$AQ15)&amp;"/"&amp;(VLOOKUP($AJ15,DBPlayers,2,0))))),T_Error&amp;"1"),"")</f>
        <v/>
      </c>
      <c r="G15" s="164" t="str">
        <f t="shared" si="0"/>
        <v/>
      </c>
      <c r="H15" s="164" t="str">
        <f t="shared" si="1"/>
        <v/>
      </c>
      <c r="I15" s="164" t="str">
        <f t="shared" si="2"/>
        <v/>
      </c>
      <c r="J15" s="164" t="str">
        <f t="shared" si="3"/>
        <v/>
      </c>
      <c r="K15" s="167" t="str">
        <f t="shared" ca="1" si="4"/>
        <v/>
      </c>
      <c r="L15" s="168"/>
      <c r="M15" s="169"/>
      <c r="N15" s="170"/>
      <c r="O15" s="170"/>
      <c r="P15" s="170"/>
      <c r="Q15" s="170"/>
      <c r="R15" s="171" t="str">
        <f t="shared" si="5"/>
        <v/>
      </c>
      <c r="S15" s="172" t="str">
        <f t="shared" si="19"/>
        <v/>
      </c>
      <c r="T15" s="117"/>
      <c r="U15" s="152" t="str">
        <f t="shared" si="6"/>
        <v/>
      </c>
      <c r="V15" s="152" t="str">
        <f t="shared" si="7"/>
        <v/>
      </c>
      <c r="W15" s="153" t="str">
        <f t="shared" si="8"/>
        <v/>
      </c>
      <c r="X15" s="121"/>
      <c r="Y15" s="154"/>
      <c r="Z15" s="154"/>
      <c r="AA15" s="154"/>
      <c r="AB15" s="154"/>
      <c r="AC15" s="154"/>
      <c r="AD15" s="155"/>
      <c r="AE15" s="156"/>
      <c r="AF15" s="154"/>
      <c r="AG15" s="155"/>
      <c r="AH15" s="120"/>
      <c r="AI15" s="123">
        <v>10</v>
      </c>
      <c r="AJ15" s="159" t="str">
        <f t="shared" si="9"/>
        <v/>
      </c>
      <c r="AK15" s="159">
        <f t="shared" si="20"/>
        <v>0</v>
      </c>
      <c r="AL15" s="159">
        <f t="shared" si="10"/>
        <v>0</v>
      </c>
      <c r="AM15" s="159">
        <f t="shared" si="11"/>
        <v>0</v>
      </c>
      <c r="AN15" s="159">
        <f t="shared" si="12"/>
        <v>0</v>
      </c>
      <c r="AO15" s="159">
        <f t="shared" si="13"/>
        <v>0</v>
      </c>
      <c r="AP15" s="159">
        <f t="shared" si="14"/>
        <v>0</v>
      </c>
      <c r="AQ15" s="159" t="str">
        <f t="array" ref="AQ15">IF(ISERROR($AJ15),0,IF($AJ15="","",SUM(IF($AJ15=$AJ$6:$AJ15,IF($L$6:$L15=T_MNG,1,0),0))))</f>
        <v/>
      </c>
      <c r="AR15" s="160" t="str">
        <f t="shared" si="15"/>
        <v/>
      </c>
      <c r="AS15" s="160" t="str">
        <f t="shared" si="16"/>
        <v/>
      </c>
      <c r="AT15" s="160" t="str">
        <f t="shared" si="17"/>
        <v/>
      </c>
      <c r="AU15" s="160" t="str">
        <f t="shared" si="18"/>
        <v/>
      </c>
      <c r="AV15" s="102"/>
      <c r="AW15" s="102"/>
      <c r="AX15" s="102"/>
      <c r="AY15" s="102"/>
    </row>
    <row r="16" spans="1:51" ht="13.5" customHeight="1">
      <c r="A16" s="102"/>
      <c r="B16" s="114"/>
      <c r="C16" s="161">
        <v>11</v>
      </c>
      <c r="D16" s="162"/>
      <c r="E16" s="162"/>
      <c r="F16" s="163" t="str">
        <f>IF($E16&lt;&gt;"",IF($AJ16&lt;&gt;"",IF(AND($L16=T_Journey,VLOOKUP($AJ16,DBPlayers,2,0)&lt;12),T_Error&amp;"7",IF("Journeymen not available"=0,T_Error&amp;"8",IF(COUNTIF($E$6:$E16,$E16)-$AQ16&gt;VLOOKUP($AJ16,DBPlayers,2,0),T_Error&amp;"2",IF(L16=T_MNG,0,COUNTIF($E$6:$E16,$E16)-$AQ16)&amp;"/"&amp;(VLOOKUP($AJ16,DBPlayers,2,0))))),T_Error&amp;"1"),"")</f>
        <v/>
      </c>
      <c r="G16" s="164" t="str">
        <f t="shared" si="0"/>
        <v/>
      </c>
      <c r="H16" s="164" t="str">
        <f t="shared" si="1"/>
        <v/>
      </c>
      <c r="I16" s="164" t="str">
        <f t="shared" si="2"/>
        <v/>
      </c>
      <c r="J16" s="164" t="str">
        <f t="shared" si="3"/>
        <v/>
      </c>
      <c r="K16" s="167" t="str">
        <f t="shared" ca="1" si="4"/>
        <v/>
      </c>
      <c r="L16" s="168"/>
      <c r="M16" s="169"/>
      <c r="N16" s="170"/>
      <c r="O16" s="170"/>
      <c r="P16" s="170"/>
      <c r="Q16" s="170"/>
      <c r="R16" s="171" t="str">
        <f t="shared" si="5"/>
        <v/>
      </c>
      <c r="S16" s="172" t="str">
        <f t="shared" si="19"/>
        <v/>
      </c>
      <c r="T16" s="117"/>
      <c r="U16" s="152" t="str">
        <f t="shared" si="6"/>
        <v/>
      </c>
      <c r="V16" s="152" t="str">
        <f t="shared" si="7"/>
        <v/>
      </c>
      <c r="W16" s="153" t="str">
        <f t="shared" si="8"/>
        <v/>
      </c>
      <c r="X16" s="121"/>
      <c r="Y16" s="154"/>
      <c r="Z16" s="154"/>
      <c r="AA16" s="154"/>
      <c r="AB16" s="154"/>
      <c r="AC16" s="154"/>
      <c r="AD16" s="155"/>
      <c r="AE16" s="156"/>
      <c r="AF16" s="154"/>
      <c r="AG16" s="155"/>
      <c r="AH16" s="120"/>
      <c r="AI16" s="123">
        <v>11</v>
      </c>
      <c r="AJ16" s="159" t="str">
        <f t="shared" si="9"/>
        <v/>
      </c>
      <c r="AK16" s="159">
        <f t="shared" si="20"/>
        <v>0</v>
      </c>
      <c r="AL16" s="159">
        <f t="shared" si="10"/>
        <v>0</v>
      </c>
      <c r="AM16" s="159">
        <f t="shared" si="11"/>
        <v>0</v>
      </c>
      <c r="AN16" s="159">
        <f t="shared" si="12"/>
        <v>0</v>
      </c>
      <c r="AO16" s="159">
        <f t="shared" si="13"/>
        <v>0</v>
      </c>
      <c r="AP16" s="159">
        <f t="shared" si="14"/>
        <v>0</v>
      </c>
      <c r="AQ16" s="159" t="str">
        <f t="array" ref="AQ16">IF(ISERROR($AJ16),0,IF($AJ16="","",SUM(IF($AJ16=$AJ$6:$AJ16,IF($L$6:$L16=T_MNG,1,0),0))))</f>
        <v/>
      </c>
      <c r="AR16" s="160" t="str">
        <f t="shared" si="15"/>
        <v/>
      </c>
      <c r="AS16" s="160" t="str">
        <f t="shared" si="16"/>
        <v/>
      </c>
      <c r="AT16" s="160" t="str">
        <f t="shared" si="17"/>
        <v/>
      </c>
      <c r="AU16" s="160" t="str">
        <f t="shared" si="18"/>
        <v/>
      </c>
      <c r="AV16" s="102"/>
      <c r="AW16" s="102"/>
      <c r="AX16" s="102"/>
      <c r="AY16" s="102"/>
    </row>
    <row r="17" spans="1:51" ht="13.5" customHeight="1">
      <c r="A17" s="102"/>
      <c r="B17" s="114"/>
      <c r="C17" s="161">
        <v>12</v>
      </c>
      <c r="D17" s="162"/>
      <c r="E17" s="162"/>
      <c r="F17" s="163" t="str">
        <f>IF($E17&lt;&gt;"",IF($AJ17&lt;&gt;"",IF(AND($L17=T_Journey,VLOOKUP($AJ17,DBPlayers,2,0)&lt;12),T_Error&amp;"7",IF("Journeymen not available"=0,T_Error&amp;"8",IF(COUNTIF($E$6:$E17,$E17)-$AQ17&gt;VLOOKUP($AJ17,DBPlayers,2,0),T_Error&amp;"2",IF(L17=T_MNG,0,COUNTIF($E$6:$E17,$E17)-$AQ17)&amp;"/"&amp;(VLOOKUP($AJ17,DBPlayers,2,0))))),T_Error&amp;"1"),"")</f>
        <v/>
      </c>
      <c r="G17" s="164" t="str">
        <f t="shared" si="0"/>
        <v/>
      </c>
      <c r="H17" s="164" t="str">
        <f t="shared" si="1"/>
        <v/>
      </c>
      <c r="I17" s="164" t="str">
        <f t="shared" si="2"/>
        <v/>
      </c>
      <c r="J17" s="164" t="str">
        <f t="shared" si="3"/>
        <v/>
      </c>
      <c r="K17" s="167" t="str">
        <f t="shared" ca="1" si="4"/>
        <v/>
      </c>
      <c r="L17" s="168"/>
      <c r="M17" s="169"/>
      <c r="N17" s="170"/>
      <c r="O17" s="170"/>
      <c r="P17" s="170"/>
      <c r="Q17" s="170"/>
      <c r="R17" s="171" t="str">
        <f t="shared" si="5"/>
        <v/>
      </c>
      <c r="S17" s="172" t="str">
        <f t="shared" si="19"/>
        <v/>
      </c>
      <c r="T17" s="117"/>
      <c r="U17" s="152" t="str">
        <f t="shared" si="6"/>
        <v/>
      </c>
      <c r="V17" s="152" t="str">
        <f t="shared" si="7"/>
        <v/>
      </c>
      <c r="W17" s="153" t="str">
        <f t="shared" si="8"/>
        <v/>
      </c>
      <c r="X17" s="121"/>
      <c r="Y17" s="154"/>
      <c r="Z17" s="154"/>
      <c r="AA17" s="154"/>
      <c r="AB17" s="154"/>
      <c r="AC17" s="154"/>
      <c r="AD17" s="155"/>
      <c r="AE17" s="156"/>
      <c r="AF17" s="154"/>
      <c r="AG17" s="155"/>
      <c r="AH17" s="120"/>
      <c r="AI17" s="123">
        <v>12</v>
      </c>
      <c r="AJ17" s="159" t="str">
        <f t="shared" si="9"/>
        <v/>
      </c>
      <c r="AK17" s="159">
        <f t="shared" si="20"/>
        <v>0</v>
      </c>
      <c r="AL17" s="159">
        <f t="shared" si="10"/>
        <v>0</v>
      </c>
      <c r="AM17" s="159">
        <f t="shared" si="11"/>
        <v>0</v>
      </c>
      <c r="AN17" s="159">
        <f t="shared" si="12"/>
        <v>0</v>
      </c>
      <c r="AO17" s="159">
        <f t="shared" si="13"/>
        <v>0</v>
      </c>
      <c r="AP17" s="159">
        <f t="shared" si="14"/>
        <v>0</v>
      </c>
      <c r="AQ17" s="159" t="str">
        <f t="array" ref="AQ17">IF(ISERROR($AJ17),0,IF($AJ17="","",SUM(IF($AJ17=$AJ$6:$AJ17,IF($L$6:$L17=T_MNG,1,0),0))))</f>
        <v/>
      </c>
      <c r="AR17" s="160" t="str">
        <f t="shared" si="15"/>
        <v/>
      </c>
      <c r="AS17" s="160" t="str">
        <f t="shared" si="16"/>
        <v/>
      </c>
      <c r="AT17" s="160" t="str">
        <f t="shared" si="17"/>
        <v/>
      </c>
      <c r="AU17" s="160" t="str">
        <f t="shared" si="18"/>
        <v/>
      </c>
      <c r="AV17" s="102"/>
      <c r="AW17" s="102"/>
      <c r="AX17" s="102"/>
      <c r="AY17" s="102"/>
    </row>
    <row r="18" spans="1:51" ht="13.5" customHeight="1">
      <c r="A18" s="102"/>
      <c r="B18" s="114"/>
      <c r="C18" s="161">
        <v>13</v>
      </c>
      <c r="D18" s="162"/>
      <c r="E18" s="162"/>
      <c r="F18" s="163" t="str">
        <f>IF($E18&lt;&gt;"",IF($AJ18&lt;&gt;"",IF(AND($L18=T_Journey,VLOOKUP($AJ18,DBPlayers,2,0)&lt;12),T_Error&amp;"7",IF("Journeymen not available"=0,T_Error&amp;"8",IF(COUNTIF($E$6:$E18,$E18)-$AQ18&gt;VLOOKUP($AJ18,DBPlayers,2,0),T_Error&amp;"2",IF(L18=T_MNG,0,COUNTIF($E$6:$E18,$E18)-$AQ18)&amp;"/"&amp;(VLOOKUP($AJ18,DBPlayers,2,0))))),T_Error&amp;"1"),"")</f>
        <v/>
      </c>
      <c r="G18" s="164" t="str">
        <f t="shared" si="0"/>
        <v/>
      </c>
      <c r="H18" s="164" t="str">
        <f t="shared" si="1"/>
        <v/>
      </c>
      <c r="I18" s="164" t="str">
        <f t="shared" si="2"/>
        <v/>
      </c>
      <c r="J18" s="164" t="str">
        <f t="shared" si="3"/>
        <v/>
      </c>
      <c r="K18" s="167" t="str">
        <f t="shared" ca="1" si="4"/>
        <v/>
      </c>
      <c r="L18" s="168"/>
      <c r="M18" s="169"/>
      <c r="N18" s="170"/>
      <c r="O18" s="170"/>
      <c r="P18" s="170"/>
      <c r="Q18" s="170"/>
      <c r="R18" s="171" t="str">
        <f t="shared" si="5"/>
        <v/>
      </c>
      <c r="S18" s="172" t="str">
        <f t="shared" si="19"/>
        <v/>
      </c>
      <c r="T18" s="117"/>
      <c r="U18" s="152" t="str">
        <f t="shared" si="6"/>
        <v/>
      </c>
      <c r="V18" s="152" t="str">
        <f t="shared" si="7"/>
        <v/>
      </c>
      <c r="W18" s="153" t="str">
        <f t="shared" si="8"/>
        <v/>
      </c>
      <c r="X18" s="121"/>
      <c r="Y18" s="154"/>
      <c r="Z18" s="154"/>
      <c r="AA18" s="154"/>
      <c r="AB18" s="154"/>
      <c r="AC18" s="154"/>
      <c r="AD18" s="155"/>
      <c r="AE18" s="156"/>
      <c r="AF18" s="154"/>
      <c r="AG18" s="155"/>
      <c r="AH18" s="120"/>
      <c r="AI18" s="123">
        <v>13</v>
      </c>
      <c r="AJ18" s="159" t="str">
        <f t="shared" si="9"/>
        <v/>
      </c>
      <c r="AK18" s="159">
        <f t="shared" si="20"/>
        <v>0</v>
      </c>
      <c r="AL18" s="159">
        <f t="shared" si="10"/>
        <v>0</v>
      </c>
      <c r="AM18" s="159">
        <f t="shared" si="11"/>
        <v>0</v>
      </c>
      <c r="AN18" s="159">
        <f t="shared" si="12"/>
        <v>0</v>
      </c>
      <c r="AO18" s="159">
        <f t="shared" si="13"/>
        <v>0</v>
      </c>
      <c r="AP18" s="159">
        <f t="shared" si="14"/>
        <v>0</v>
      </c>
      <c r="AQ18" s="159" t="str">
        <f t="array" ref="AQ18">IF(ISERROR($AJ18),0,IF($AJ18="","",SUM(IF($AJ18=$AJ$6:$AJ18,IF($L$6:$L18=T_MNG,1,0),0))))</f>
        <v/>
      </c>
      <c r="AR18" s="160" t="str">
        <f t="shared" si="15"/>
        <v/>
      </c>
      <c r="AS18" s="160" t="str">
        <f t="shared" si="16"/>
        <v/>
      </c>
      <c r="AT18" s="160" t="str">
        <f t="shared" si="17"/>
        <v/>
      </c>
      <c r="AU18" s="160" t="str">
        <f t="shared" si="18"/>
        <v/>
      </c>
      <c r="AV18" s="102"/>
      <c r="AW18" s="102"/>
      <c r="AX18" s="102"/>
      <c r="AY18" s="102"/>
    </row>
    <row r="19" spans="1:51" ht="13.5" customHeight="1">
      <c r="A19" s="102"/>
      <c r="B19" s="114"/>
      <c r="C19" s="161">
        <v>14</v>
      </c>
      <c r="D19" s="162"/>
      <c r="E19" s="162"/>
      <c r="F19" s="163" t="str">
        <f>IF($E19&lt;&gt;"",IF($AJ19&lt;&gt;"",IF(AND($L19=T_Journey,VLOOKUP($AJ19,DBPlayers,2,0)&lt;12),T_Error&amp;"7",IF("Journeymen not available"=0,T_Error&amp;"8",IF(COUNTIF($E$6:$E19,$E19)-$AQ19&gt;VLOOKUP($AJ19,DBPlayers,2,0),T_Error&amp;"2",IF(L19=T_MNG,0,COUNTIF($E$6:$E19,$E19)-$AQ19)&amp;"/"&amp;(VLOOKUP($AJ19,DBPlayers,2,0))))),T_Error&amp;"1"),"")</f>
        <v/>
      </c>
      <c r="G19" s="164" t="str">
        <f t="shared" si="0"/>
        <v/>
      </c>
      <c r="H19" s="164" t="str">
        <f t="shared" si="1"/>
        <v/>
      </c>
      <c r="I19" s="164" t="str">
        <f t="shared" si="2"/>
        <v/>
      </c>
      <c r="J19" s="164" t="str">
        <f t="shared" si="3"/>
        <v/>
      </c>
      <c r="K19" s="167" t="str">
        <f t="shared" ca="1" si="4"/>
        <v/>
      </c>
      <c r="L19" s="168"/>
      <c r="M19" s="169"/>
      <c r="N19" s="170"/>
      <c r="O19" s="170"/>
      <c r="P19" s="170"/>
      <c r="Q19" s="170"/>
      <c r="R19" s="171" t="str">
        <f t="shared" si="5"/>
        <v/>
      </c>
      <c r="S19" s="172" t="str">
        <f t="shared" si="19"/>
        <v/>
      </c>
      <c r="T19" s="117"/>
      <c r="U19" s="152" t="str">
        <f t="shared" si="6"/>
        <v/>
      </c>
      <c r="V19" s="152" t="str">
        <f t="shared" si="7"/>
        <v/>
      </c>
      <c r="W19" s="153" t="str">
        <f t="shared" si="8"/>
        <v/>
      </c>
      <c r="X19" s="121"/>
      <c r="Y19" s="154"/>
      <c r="Z19" s="154"/>
      <c r="AA19" s="154"/>
      <c r="AB19" s="154"/>
      <c r="AC19" s="154"/>
      <c r="AD19" s="155"/>
      <c r="AE19" s="156"/>
      <c r="AF19" s="154"/>
      <c r="AG19" s="155"/>
      <c r="AH19" s="120"/>
      <c r="AI19" s="123">
        <v>14</v>
      </c>
      <c r="AJ19" s="159" t="str">
        <f t="shared" si="9"/>
        <v/>
      </c>
      <c r="AK19" s="159">
        <f t="shared" si="20"/>
        <v>0</v>
      </c>
      <c r="AL19" s="159">
        <f t="shared" si="10"/>
        <v>0</v>
      </c>
      <c r="AM19" s="159">
        <f t="shared" si="11"/>
        <v>0</v>
      </c>
      <c r="AN19" s="159">
        <f t="shared" si="12"/>
        <v>0</v>
      </c>
      <c r="AO19" s="159">
        <f t="shared" si="13"/>
        <v>0</v>
      </c>
      <c r="AP19" s="159">
        <f t="shared" si="14"/>
        <v>0</v>
      </c>
      <c r="AQ19" s="159" t="str">
        <f t="array" ref="AQ19">IF(ISERROR($AJ19),0,IF($AJ19="","",SUM(IF($AJ19=$AJ$6:$AJ19,IF($L$6:$L19=T_MNG,1,0),0))))</f>
        <v/>
      </c>
      <c r="AR19" s="160" t="str">
        <f t="shared" si="15"/>
        <v/>
      </c>
      <c r="AS19" s="160" t="str">
        <f t="shared" si="16"/>
        <v/>
      </c>
      <c r="AT19" s="160" t="str">
        <f t="shared" si="17"/>
        <v/>
      </c>
      <c r="AU19" s="160" t="str">
        <f t="shared" si="18"/>
        <v/>
      </c>
      <c r="AV19" s="102"/>
      <c r="AW19" s="102"/>
      <c r="AX19" s="102"/>
      <c r="AY19" s="102"/>
    </row>
    <row r="20" spans="1:51" ht="13.5" customHeight="1">
      <c r="A20" s="102"/>
      <c r="B20" s="114"/>
      <c r="C20" s="161">
        <v>15</v>
      </c>
      <c r="D20" s="162"/>
      <c r="E20" s="162"/>
      <c r="F20" s="163" t="str">
        <f>IF($E20&lt;&gt;"",IF($AJ20&lt;&gt;"",IF(AND($L20=T_Journey,VLOOKUP($AJ20,DBPlayers,2,0)&lt;12),T_Error&amp;"7",IF("Journeymen not available"=0,T_Error&amp;"8",IF(COUNTIF($E$6:$E20,$E20)-$AQ20&gt;VLOOKUP($AJ20,DBPlayers,2,0),T_Error&amp;"2",IF(L20=T_MNG,0,COUNTIF($E$6:$E20,$E20)-$AQ20)&amp;"/"&amp;(VLOOKUP($AJ20,DBPlayers,2,0))))),T_Error&amp;"1"),"")</f>
        <v/>
      </c>
      <c r="G20" s="164" t="str">
        <f t="shared" si="0"/>
        <v/>
      </c>
      <c r="H20" s="164" t="str">
        <f t="shared" si="1"/>
        <v/>
      </c>
      <c r="I20" s="164" t="str">
        <f t="shared" si="2"/>
        <v/>
      </c>
      <c r="J20" s="164" t="str">
        <f t="shared" si="3"/>
        <v/>
      </c>
      <c r="K20" s="167" t="str">
        <f t="shared" ca="1" si="4"/>
        <v/>
      </c>
      <c r="L20" s="168"/>
      <c r="M20" s="169"/>
      <c r="N20" s="170"/>
      <c r="O20" s="170"/>
      <c r="P20" s="170"/>
      <c r="Q20" s="170"/>
      <c r="R20" s="171" t="str">
        <f t="shared" si="5"/>
        <v/>
      </c>
      <c r="S20" s="172" t="str">
        <f t="shared" si="19"/>
        <v/>
      </c>
      <c r="T20" s="117"/>
      <c r="U20" s="152" t="str">
        <f t="shared" si="6"/>
        <v/>
      </c>
      <c r="V20" s="152" t="str">
        <f t="shared" si="7"/>
        <v/>
      </c>
      <c r="W20" s="153" t="str">
        <f t="shared" si="8"/>
        <v/>
      </c>
      <c r="X20" s="121"/>
      <c r="Y20" s="154"/>
      <c r="Z20" s="154"/>
      <c r="AA20" s="154"/>
      <c r="AB20" s="154"/>
      <c r="AC20" s="154"/>
      <c r="AD20" s="155"/>
      <c r="AE20" s="156"/>
      <c r="AF20" s="154"/>
      <c r="AG20" s="155"/>
      <c r="AH20" s="120"/>
      <c r="AI20" s="123">
        <v>15</v>
      </c>
      <c r="AJ20" s="159" t="str">
        <f t="shared" si="9"/>
        <v/>
      </c>
      <c r="AK20" s="159">
        <f t="shared" si="20"/>
        <v>0</v>
      </c>
      <c r="AL20" s="159">
        <f t="shared" si="10"/>
        <v>0</v>
      </c>
      <c r="AM20" s="159">
        <f t="shared" si="11"/>
        <v>0</v>
      </c>
      <c r="AN20" s="159">
        <f t="shared" si="12"/>
        <v>0</v>
      </c>
      <c r="AO20" s="159">
        <f t="shared" si="13"/>
        <v>0</v>
      </c>
      <c r="AP20" s="159">
        <f t="shared" si="14"/>
        <v>0</v>
      </c>
      <c r="AQ20" s="159" t="str">
        <f t="array" ref="AQ20">IF(ISERROR($AJ20),0,IF($AJ20="","",SUM(IF($AJ20=$AJ$6:$AJ20,IF($L$6:$L20=T_MNG,1,0),0))))</f>
        <v/>
      </c>
      <c r="AR20" s="160" t="str">
        <f t="shared" si="15"/>
        <v/>
      </c>
      <c r="AS20" s="160" t="str">
        <f t="shared" si="16"/>
        <v/>
      </c>
      <c r="AT20" s="160" t="str">
        <f t="shared" si="17"/>
        <v/>
      </c>
      <c r="AU20" s="160" t="str">
        <f t="shared" si="18"/>
        <v/>
      </c>
      <c r="AV20" s="102"/>
      <c r="AW20" s="102"/>
      <c r="AX20" s="102"/>
      <c r="AY20" s="102"/>
    </row>
    <row r="21" spans="1:51" ht="13.5" customHeight="1">
      <c r="A21" s="102"/>
      <c r="B21" s="114"/>
      <c r="C21" s="176">
        <v>16</v>
      </c>
      <c r="D21" s="175"/>
      <c r="E21" s="175"/>
      <c r="F21" s="177" t="str">
        <f>IF($E21&lt;&gt;"",IF($AJ21&lt;&gt;"",IF(AND($L21=T_Journey,VLOOKUP($AJ21,DBPlayers,2,0)&lt;12),T_Error&amp;"7",IF("Journeymen not available"=0,T_Error&amp;"8",IF(COUNTIF($E$6:$E21,$E21)-$AQ21&gt;VLOOKUP($AJ21,DBPlayers,2,0),T_Error&amp;"2",IF(L21=T_MNG,0,COUNTIF($E$6:$E21,$E21)-$AQ21)&amp;"/"&amp;(VLOOKUP($AJ21,DBPlayers,2,0))))),T_Error&amp;"1"),"")</f>
        <v/>
      </c>
      <c r="G21" s="178" t="str">
        <f t="shared" si="0"/>
        <v/>
      </c>
      <c r="H21" s="178" t="str">
        <f t="shared" si="1"/>
        <v/>
      </c>
      <c r="I21" s="178" t="str">
        <f t="shared" si="2"/>
        <v/>
      </c>
      <c r="J21" s="178" t="str">
        <f t="shared" si="3"/>
        <v/>
      </c>
      <c r="K21" s="179" t="str">
        <f t="shared" ca="1" si="4"/>
        <v/>
      </c>
      <c r="L21" s="180"/>
      <c r="M21" s="181"/>
      <c r="N21" s="182"/>
      <c r="O21" s="182"/>
      <c r="P21" s="182"/>
      <c r="Q21" s="182"/>
      <c r="R21" s="183" t="str">
        <f t="shared" si="5"/>
        <v/>
      </c>
      <c r="S21" s="184" t="str">
        <f t="shared" si="19"/>
        <v/>
      </c>
      <c r="T21" s="117"/>
      <c r="U21" s="152" t="str">
        <f t="shared" si="6"/>
        <v/>
      </c>
      <c r="V21" s="152" t="str">
        <f t="shared" si="7"/>
        <v/>
      </c>
      <c r="W21" s="153" t="str">
        <f t="shared" si="8"/>
        <v/>
      </c>
      <c r="X21" s="121"/>
      <c r="Y21" s="154"/>
      <c r="Z21" s="154"/>
      <c r="AA21" s="154"/>
      <c r="AB21" s="154"/>
      <c r="AC21" s="154"/>
      <c r="AD21" s="185"/>
      <c r="AE21" s="186"/>
      <c r="AF21" s="154"/>
      <c r="AG21" s="185"/>
      <c r="AH21" s="120"/>
      <c r="AI21" s="123">
        <v>16</v>
      </c>
      <c r="AJ21" s="159" t="str">
        <f t="shared" si="9"/>
        <v/>
      </c>
      <c r="AK21" s="159">
        <f t="shared" si="20"/>
        <v>0</v>
      </c>
      <c r="AL21" s="159">
        <f t="shared" si="10"/>
        <v>0</v>
      </c>
      <c r="AM21" s="159">
        <f t="shared" si="11"/>
        <v>0</v>
      </c>
      <c r="AN21" s="159">
        <f t="shared" si="12"/>
        <v>0</v>
      </c>
      <c r="AO21" s="159">
        <f t="shared" si="13"/>
        <v>0</v>
      </c>
      <c r="AP21" s="159">
        <f t="shared" si="14"/>
        <v>0</v>
      </c>
      <c r="AQ21" s="159" t="str">
        <f t="array" ref="AQ21">IF(ISERROR($AJ21),0,IF($AJ21="","",SUM(IF($AJ21=$AJ$6:$AJ21,IF($L$6:$L21=T_MNG,1,0),0))))</f>
        <v/>
      </c>
      <c r="AR21" s="160" t="str">
        <f t="shared" si="15"/>
        <v/>
      </c>
      <c r="AS21" s="160" t="str">
        <f t="shared" si="16"/>
        <v/>
      </c>
      <c r="AT21" s="160" t="str">
        <f t="shared" si="17"/>
        <v/>
      </c>
      <c r="AU21" s="160" t="str">
        <f t="shared" si="18"/>
        <v/>
      </c>
      <c r="AV21" s="102"/>
      <c r="AW21" s="102"/>
      <c r="AX21" s="102"/>
      <c r="AY21" s="102"/>
    </row>
    <row r="22" spans="1:51" ht="18" customHeight="1">
      <c r="A22" s="102"/>
      <c r="B22" s="114"/>
      <c r="C22" s="187"/>
      <c r="D22" s="188"/>
      <c r="E22" s="189" t="s">
        <v>186</v>
      </c>
      <c r="F22" s="190" t="str">
        <f>COUNTIF(S6:S21,"&gt;0")&amp;"/16"</f>
        <v>0/16</v>
      </c>
      <c r="G22" s="191"/>
      <c r="H22" s="192" t="str">
        <f>IF(AND(AQ22&gt;0,AQ22+AM22&gt;11),T_Error8,IF(AM22&lt;11,AQ22&amp;" / "&amp;11-AM22&amp;" "&amp;T_AllowedJourney,""))</f>
        <v>0 / 11 allowed Journeymen used</v>
      </c>
      <c r="I22" s="190"/>
      <c r="J22" s="190"/>
      <c r="K22" s="193"/>
      <c r="L22" s="189" t="s">
        <v>187</v>
      </c>
      <c r="M22" s="190">
        <f t="shared" ref="M22:Q22" si="21">SUMIF($R$6:$R$21,"&gt;=0",M$6:M$21)</f>
        <v>0</v>
      </c>
      <c r="N22" s="190">
        <f t="shared" si="21"/>
        <v>0</v>
      </c>
      <c r="O22" s="190">
        <f t="shared" si="21"/>
        <v>0</v>
      </c>
      <c r="P22" s="190">
        <f t="shared" si="21"/>
        <v>0</v>
      </c>
      <c r="Q22" s="190">
        <f t="shared" si="21"/>
        <v>0</v>
      </c>
      <c r="R22" s="190">
        <f t="shared" ref="R22:S22" si="22">SUM(R6:R21)</f>
        <v>0</v>
      </c>
      <c r="S22" s="194">
        <f t="shared" si="22"/>
        <v>0</v>
      </c>
      <c r="T22" s="117"/>
      <c r="U22" s="195"/>
      <c r="V22" s="196"/>
      <c r="W22" s="197"/>
      <c r="X22" s="198"/>
      <c r="Y22" s="198"/>
      <c r="Z22" s="198"/>
      <c r="AA22" s="198"/>
      <c r="AB22" s="198"/>
      <c r="AC22" s="198"/>
      <c r="AD22" s="198"/>
      <c r="AE22" s="198"/>
      <c r="AF22" s="198"/>
      <c r="AG22" s="198"/>
      <c r="AH22" s="102"/>
      <c r="AI22" s="123"/>
      <c r="AJ22" s="102"/>
      <c r="AK22" s="102"/>
      <c r="AL22" s="199" t="s">
        <v>188</v>
      </c>
      <c r="AM22" s="200">
        <f>COUNTIF($S$6:$S$21,"&gt;0")-$AQ$22</f>
        <v>0</v>
      </c>
      <c r="AN22" s="123"/>
      <c r="AO22" s="123"/>
      <c r="AP22" s="199" t="s">
        <v>189</v>
      </c>
      <c r="AQ22" s="159">
        <f t="array" ref="AQ22">SUM(IF(L6:L21=T_Journey,IF(S6:S21&lt;&gt;"",1,0),0))</f>
        <v>0</v>
      </c>
      <c r="AR22" s="105"/>
      <c r="AS22" s="105"/>
      <c r="AT22" s="105"/>
      <c r="AU22" s="105"/>
      <c r="AV22" s="102"/>
      <c r="AW22" s="102"/>
      <c r="AX22" s="102"/>
      <c r="AY22" s="102"/>
    </row>
    <row r="23" spans="1:51" ht="3" customHeight="1">
      <c r="A23" s="102"/>
      <c r="B23" s="107"/>
      <c r="C23" s="108"/>
      <c r="D23" s="109"/>
      <c r="E23" s="109"/>
      <c r="F23" s="110"/>
      <c r="G23" s="108"/>
      <c r="H23" s="108"/>
      <c r="I23" s="108"/>
      <c r="J23" s="108"/>
      <c r="K23" s="109"/>
      <c r="L23" s="109"/>
      <c r="M23" s="109"/>
      <c r="N23" s="109"/>
      <c r="O23" s="109"/>
      <c r="P23" s="109"/>
      <c r="Q23" s="109"/>
      <c r="R23" s="109"/>
      <c r="S23" s="201"/>
      <c r="T23" s="111"/>
      <c r="U23" s="121"/>
      <c r="V23" s="202"/>
      <c r="W23" s="121"/>
      <c r="X23" s="121"/>
      <c r="Y23" s="102"/>
      <c r="Z23" s="113"/>
      <c r="AA23" s="113"/>
      <c r="AB23" s="102"/>
      <c r="AC23" s="102"/>
      <c r="AD23" s="102"/>
      <c r="AE23" s="102"/>
      <c r="AF23" s="102"/>
      <c r="AG23" s="102"/>
      <c r="AH23" s="102"/>
      <c r="AI23" s="123"/>
      <c r="AJ23" s="123"/>
      <c r="AK23" s="123"/>
      <c r="AL23" s="123"/>
      <c r="AM23" s="123"/>
      <c r="AN23" s="123"/>
      <c r="AO23" s="123"/>
      <c r="AP23" s="123"/>
      <c r="AQ23" s="123"/>
      <c r="AR23" s="105"/>
      <c r="AS23" s="105"/>
      <c r="AT23" s="105"/>
      <c r="AU23" s="105"/>
      <c r="AV23" s="102"/>
      <c r="AW23" s="102"/>
      <c r="AX23" s="102"/>
      <c r="AY23" s="102"/>
    </row>
    <row r="24" spans="1:51" ht="13.5" customHeight="1">
      <c r="A24" s="102"/>
      <c r="B24" s="114"/>
      <c r="C24" s="203"/>
      <c r="D24" s="351" t="s">
        <v>190</v>
      </c>
      <c r="E24" s="316"/>
      <c r="F24" s="127" t="s">
        <v>142</v>
      </c>
      <c r="G24" s="127" t="str">
        <f>T_MA</f>
        <v>MA</v>
      </c>
      <c r="H24" s="127" t="str">
        <f>T_ST</f>
        <v>ST</v>
      </c>
      <c r="I24" s="127" t="str">
        <f>T_AG</f>
        <v>AG</v>
      </c>
      <c r="J24" s="127" t="str">
        <f>T_AV</f>
        <v>AV</v>
      </c>
      <c r="K24" s="348" t="s">
        <v>191</v>
      </c>
      <c r="L24" s="316"/>
      <c r="M24" s="316"/>
      <c r="N24" s="316"/>
      <c r="O24" s="316"/>
      <c r="P24" s="316"/>
      <c r="Q24" s="316"/>
      <c r="R24" s="316"/>
      <c r="S24" s="204"/>
      <c r="T24" s="117"/>
      <c r="U24" s="133" t="s">
        <v>146</v>
      </c>
      <c r="V24" s="341" t="s">
        <v>192</v>
      </c>
      <c r="W24" s="316"/>
      <c r="X24" s="121"/>
      <c r="Y24" s="113"/>
      <c r="Z24" s="102"/>
      <c r="AA24" s="102"/>
      <c r="AB24" s="102"/>
      <c r="AC24" s="102"/>
      <c r="AD24" s="102"/>
      <c r="AE24" s="102"/>
      <c r="AF24" s="102"/>
      <c r="AG24" s="102"/>
      <c r="AH24" s="102"/>
      <c r="AI24" s="123"/>
      <c r="AJ24" s="123"/>
      <c r="AK24" s="123"/>
      <c r="AL24" s="123"/>
      <c r="AM24" s="123"/>
      <c r="AN24" s="123"/>
      <c r="AO24" s="123"/>
      <c r="AP24" s="141"/>
      <c r="AQ24" s="141" t="s">
        <v>160</v>
      </c>
      <c r="AR24" s="105"/>
      <c r="AS24" s="105"/>
      <c r="AT24" s="105"/>
      <c r="AU24" s="105"/>
      <c r="AV24" s="102"/>
      <c r="AW24" s="102"/>
      <c r="AX24" s="102"/>
      <c r="AY24" s="102"/>
    </row>
    <row r="25" spans="1:51" ht="13.5" customHeight="1">
      <c r="A25" s="102"/>
      <c r="B25" s="114"/>
      <c r="C25" s="115"/>
      <c r="D25" s="346"/>
      <c r="E25" s="316"/>
      <c r="F25" s="205" t="str">
        <f>IF($D25="","",IF($AJ25="",T_Error&amp;"1",IF(COUNTIF($D$25:$D25,"&lt;&gt;")&gt;$R$31,T_Error&amp;"3",IF(ISERROR(FIND(T_Merc,$D25)),IF(COUNTIF($D$25:$D25,D25)&gt;1,T_Error&amp;"4",IF(COUNTIF($AJ$25:$AJ25,"=Star")&gt;2,T_Error&amp;"5",IF(AND($D25=Brick,$F$31&lt;&gt;"1/1"),T_Error&amp;"6","1/1"))),IF(COUNTIF($AJ$6:$AJ25,$AJ25)-$AQ25&gt;VLOOKUP($AJ25,DBPlayers,2,0)+VLOOKUP($AJ25,$AL$58:$AM$67,2,0),T_Error&amp;"2",COUNTIF($AJ$6:$AJ25,$AJ25)-$AQ25&amp;"/"&amp;(VLOOKUP($AJ25,DBPlayers,2,0)))))))</f>
        <v/>
      </c>
      <c r="G25" s="205" t="str">
        <f t="shared" ref="G25:G30" si="23">IF(OR(LEFT($F25,LEN(T_Error))=T_Error,$D25=""),"",IF(ISERROR(FIND(T_Merc,$D25)),VLOOKUP($D25,DBStars,2,0),VLOOKUP($AJ25,DBPlayers,4,0)))</f>
        <v/>
      </c>
      <c r="H25" s="205" t="str">
        <f t="shared" ref="H25:H30" si="24">IF(OR(LEFT($F25,LEN(T_Error))=T_Error,$D25=""),"",IF(ISERROR(FIND(T_Merc,$D25)),VLOOKUP($D25,DBStars,3,0),VLOOKUP($AJ25,DBPlayers,5,0)))</f>
        <v/>
      </c>
      <c r="I25" s="205" t="str">
        <f t="shared" ref="I25:I30" si="25">IF(OR(LEFT($F25,LEN(T_Error))=T_Error,$D25=""),"",IF(ISERROR(FIND(T_Merc,$D25)),VLOOKUP($D25,DBStars,4,0),VLOOKUP($AJ25,DBPlayers,6,0)))</f>
        <v/>
      </c>
      <c r="J25" s="205" t="str">
        <f t="shared" ref="J25:J30" si="26">IF(OR(LEFT($F25,LEN(T_Error))=T_Error,$D25=""),"",IF(ISERROR(FIND(T_Merc,$D25)),VLOOKUP($D25,DBStars,5,0),VLOOKUP($AJ25,DBPlayers,7,0)))</f>
        <v/>
      </c>
      <c r="K25" s="347" t="str">
        <f t="shared" ref="K25:K30" ca="1" si="27">IF($D25="","",IF(LEFT($F25,LEN(T_Error))=T_Error,INDIRECT("T_Error"&amp;RIGHT($F25,1)),IF(ISERROR(FIND(T_Merc,$D25)),VLOOKUP($D25,DBStars,6,0),T_Loner&amp;", "&amp;VLOOKUP($AJ25,DBPlayers,8,0)&amp;IF($V25="","",", "&amp;$V25))))</f>
        <v/>
      </c>
      <c r="L25" s="316"/>
      <c r="M25" s="316"/>
      <c r="N25" s="316"/>
      <c r="O25" s="316"/>
      <c r="P25" s="316"/>
      <c r="Q25" s="316"/>
      <c r="R25" s="316"/>
      <c r="S25" s="206" t="str">
        <f t="shared" ref="S25:S30" si="28">IF(OR(LEFT($F25,LEN(T_Error))=T_Error,$D25=""),"",IF(ISERROR(FIND(T_Merc,$D25)),VLOOKUP($D25,DBStars,7,0),VLOOKUP($AJ25,DBPlayers,11,0)+30000+IF(V25&lt;&gt;"",50000,0)))</f>
        <v/>
      </c>
      <c r="T25" s="117"/>
      <c r="U25" s="207" t="str">
        <f t="shared" ref="U25:U30" si="29">IF(OR(LEFT($F25,LEN(T_Error))=T_Error,$D25=""),"",IF(ISERROR(FIND("Mercenary",$D25)),"none",VLOOKUP($AJ25,DBPlayers,9,0)))</f>
        <v/>
      </c>
      <c r="V25" s="334"/>
      <c r="W25" s="316"/>
      <c r="X25" s="121"/>
      <c r="Y25" s="102"/>
      <c r="Z25" s="102"/>
      <c r="AA25" s="102"/>
      <c r="AB25" s="102"/>
      <c r="AC25" s="102"/>
      <c r="AD25" s="102"/>
      <c r="AE25" s="102"/>
      <c r="AF25" s="102"/>
      <c r="AG25" s="102"/>
      <c r="AH25" s="102"/>
      <c r="AI25" s="199" t="s">
        <v>193</v>
      </c>
      <c r="AJ25" s="159" t="str">
        <f t="shared" ref="AJ25:AJ30" si="30">IF(ISERROR(VLOOKUP(MID($D25,1,LEN($D25)-LEN(" Mercenary")),$AJ$58:$AL$67,3,0)),IF(ISERROR(VLOOKUP(D25,AK48:AK57,1,0)),"","Star"),VLOOKUP(MID($D25,1,LEN($D25)-LEN(" Mercenary")),$AJ$58:$AL$67,3,0))</f>
        <v/>
      </c>
      <c r="AK25" s="123"/>
      <c r="AL25" s="123"/>
      <c r="AM25" s="123"/>
      <c r="AN25" s="123"/>
      <c r="AO25" s="123"/>
      <c r="AP25" s="123"/>
      <c r="AQ25" s="159" t="str">
        <f t="array" ref="AQ25">IF($AJ25&lt;&gt;"",SUM(IF($AJ25=$AJ$6:$AJ25,IF($L$6:$L25=T_MNG,1,0),0)),"")</f>
        <v/>
      </c>
      <c r="AR25" s="105"/>
      <c r="AS25" s="105"/>
      <c r="AT25" s="105"/>
      <c r="AU25" s="105"/>
      <c r="AV25" s="102"/>
      <c r="AW25" s="102"/>
      <c r="AX25" s="102"/>
      <c r="AY25" s="102"/>
    </row>
    <row r="26" spans="1:51" ht="13.5" customHeight="1">
      <c r="A26" s="102"/>
      <c r="B26" s="114"/>
      <c r="C26" s="208"/>
      <c r="D26" s="346"/>
      <c r="E26" s="316"/>
      <c r="F26" s="205" t="str">
        <f>IF($D26="","",IF($AJ26="",T_Error&amp;"1",IF(COUNTIF($D$25:$D26,"&lt;&gt;")&gt;$R$31,T_Error&amp;"3",IF(ISERROR(FIND(T_Merc,$D26)),IF(COUNTIF($D$25:$D26,D26)&gt;1,T_Error&amp;"4",IF(COUNTIF($AJ$25:$AJ26,"=Star")&gt;2,T_Error&amp;"5",IF(AND($D26=Brick,$F$31&lt;&gt;"1/1"),T_Error&amp;"6","1/1"))),IF(COUNTIF($AJ$6:$AJ26,$AJ26)-$AQ26&gt;VLOOKUP($AJ26,DBPlayers,2,0)+VLOOKUP($AJ26,$AL$58:$AM$67,2,0),T_Error&amp;"2",COUNTIF($AJ$6:$AJ26,$AJ26)-$AQ26&amp;"/"&amp;(VLOOKUP($AJ26,DBPlayers,2,0)))))))</f>
        <v/>
      </c>
      <c r="G26" s="205" t="str">
        <f t="shared" si="23"/>
        <v/>
      </c>
      <c r="H26" s="205" t="str">
        <f t="shared" si="24"/>
        <v/>
      </c>
      <c r="I26" s="205" t="str">
        <f t="shared" si="25"/>
        <v/>
      </c>
      <c r="J26" s="205" t="str">
        <f t="shared" si="26"/>
        <v/>
      </c>
      <c r="K26" s="347" t="str">
        <f t="shared" ca="1" si="27"/>
        <v/>
      </c>
      <c r="L26" s="316"/>
      <c r="M26" s="316"/>
      <c r="N26" s="316"/>
      <c r="O26" s="316"/>
      <c r="P26" s="316"/>
      <c r="Q26" s="316"/>
      <c r="R26" s="316"/>
      <c r="S26" s="206" t="str">
        <f t="shared" si="28"/>
        <v/>
      </c>
      <c r="T26" s="117"/>
      <c r="U26" s="207" t="str">
        <f t="shared" si="29"/>
        <v/>
      </c>
      <c r="V26" s="334"/>
      <c r="W26" s="316"/>
      <c r="X26" s="121"/>
      <c r="Y26" s="102"/>
      <c r="Z26" s="102"/>
      <c r="AA26" s="102"/>
      <c r="AB26" s="102"/>
      <c r="AC26" s="102"/>
      <c r="AD26" s="102"/>
      <c r="AE26" s="102"/>
      <c r="AF26" s="102"/>
      <c r="AG26" s="102"/>
      <c r="AH26" s="102"/>
      <c r="AI26" s="199" t="s">
        <v>194</v>
      </c>
      <c r="AJ26" s="159" t="str">
        <f t="shared" si="30"/>
        <v/>
      </c>
      <c r="AK26" s="123"/>
      <c r="AL26" s="123"/>
      <c r="AM26" s="123"/>
      <c r="AN26" s="123"/>
      <c r="AO26" s="123"/>
      <c r="AP26" s="123"/>
      <c r="AQ26" s="159" t="str">
        <f t="array" ref="AQ26">IF($AJ26&lt;&gt;"",SUM(IF($AJ26=$AJ$6:$AJ26,IF($L$6:$L26=T_MNG,1,0),0)),"")</f>
        <v/>
      </c>
      <c r="AR26" s="105"/>
      <c r="AS26" s="105"/>
      <c r="AT26" s="105"/>
      <c r="AU26" s="105"/>
      <c r="AV26" s="102"/>
      <c r="AW26" s="102"/>
      <c r="AX26" s="102"/>
      <c r="AY26" s="102"/>
    </row>
    <row r="27" spans="1:51" ht="13.5" customHeight="1">
      <c r="A27" s="102"/>
      <c r="B27" s="114"/>
      <c r="C27" s="208"/>
      <c r="D27" s="346"/>
      <c r="E27" s="316"/>
      <c r="F27" s="205" t="str">
        <f>IF($D27="","",IF($AJ27="",T_Error&amp;"1",IF(COUNTIF($D$25:$D27,"&lt;&gt;")&gt;$R$31,T_Error&amp;"3",IF(ISERROR(FIND(T_Merc,$D27)),IF(COUNTIF($D$25:$D27,D27)&gt;1,T_Error&amp;"4",IF(COUNTIF($AJ$25:$AJ27,"=Star")&gt;2,T_Error&amp;"5",IF(AND($D27=Brick,$F$31&lt;&gt;"1/1"),T_Error&amp;"6","1/1"))),IF(COUNTIF($AJ$6:$AJ27,$AJ27)-$AQ27&gt;VLOOKUP($AJ27,DBPlayers,2,0)+VLOOKUP($AJ27,$AL$58:$AM$67,2,0),T_Error&amp;"2",COUNTIF($AJ$6:$AJ27,$AJ27)-$AQ27&amp;"/"&amp;(VLOOKUP($AJ27,DBPlayers,2,0)))))))</f>
        <v/>
      </c>
      <c r="G27" s="205" t="str">
        <f t="shared" si="23"/>
        <v/>
      </c>
      <c r="H27" s="205" t="str">
        <f t="shared" si="24"/>
        <v/>
      </c>
      <c r="I27" s="205" t="str">
        <f t="shared" si="25"/>
        <v/>
      </c>
      <c r="J27" s="205" t="str">
        <f t="shared" si="26"/>
        <v/>
      </c>
      <c r="K27" s="347" t="str">
        <f t="shared" ca="1" si="27"/>
        <v/>
      </c>
      <c r="L27" s="316"/>
      <c r="M27" s="316"/>
      <c r="N27" s="316"/>
      <c r="O27" s="316"/>
      <c r="P27" s="316"/>
      <c r="Q27" s="316"/>
      <c r="R27" s="316"/>
      <c r="S27" s="206" t="str">
        <f t="shared" si="28"/>
        <v/>
      </c>
      <c r="T27" s="117"/>
      <c r="U27" s="207" t="str">
        <f t="shared" si="29"/>
        <v/>
      </c>
      <c r="V27" s="334"/>
      <c r="W27" s="316"/>
      <c r="X27" s="121"/>
      <c r="Y27" s="102"/>
      <c r="Z27" s="102"/>
      <c r="AA27" s="102"/>
      <c r="AB27" s="102"/>
      <c r="AC27" s="102"/>
      <c r="AD27" s="102"/>
      <c r="AE27" s="102"/>
      <c r="AF27" s="102"/>
      <c r="AG27" s="102"/>
      <c r="AH27" s="102"/>
      <c r="AI27" s="199" t="s">
        <v>195</v>
      </c>
      <c r="AJ27" s="159" t="str">
        <f t="shared" si="30"/>
        <v/>
      </c>
      <c r="AK27" s="123"/>
      <c r="AL27" s="123"/>
      <c r="AM27" s="123"/>
      <c r="AN27" s="123"/>
      <c r="AO27" s="123"/>
      <c r="AP27" s="123"/>
      <c r="AQ27" s="159" t="str">
        <f t="array" ref="AQ27">IF($AJ27&lt;&gt;"",SUM(IF($AJ27=$AJ$6:$AJ27,IF($L$6:$L27=T_MNG,1,0),0)),"")</f>
        <v/>
      </c>
      <c r="AR27" s="105"/>
      <c r="AS27" s="105"/>
      <c r="AT27" s="105"/>
      <c r="AU27" s="105"/>
      <c r="AV27" s="102"/>
      <c r="AW27" s="102"/>
      <c r="AX27" s="102"/>
      <c r="AY27" s="102"/>
    </row>
    <row r="28" spans="1:51" ht="13.5" customHeight="1">
      <c r="A28" s="102"/>
      <c r="B28" s="114"/>
      <c r="C28" s="187"/>
      <c r="D28" s="346"/>
      <c r="E28" s="316"/>
      <c r="F28" s="205" t="str">
        <f>IF($D28="","",IF($AJ28="",T_Error&amp;"1",IF(COUNTIF($D$25:$D28,"&lt;&gt;")&gt;$R$31,T_Error&amp;"3",IF(ISERROR(FIND(T_Merc,$D28)),IF(COUNTIF($D$25:$D28,D28)&gt;1,T_Error&amp;"4",IF(COUNTIF($AJ$25:$AJ28,"=Star")&gt;2,T_Error&amp;"5",IF(AND($D28=Brick,$F$31&lt;&gt;"1/1"),T_Error&amp;"6","1/1"))),IF(COUNTIF($AJ$6:$AJ28,$AJ28)-$AQ28&gt;VLOOKUP($AJ28,DBPlayers,2,0)+VLOOKUP($AJ28,$AL$58:$AM$67,2,0),T_Error&amp;"2",COUNTIF($AJ$6:$AJ28,$AJ28)-$AQ28&amp;"/"&amp;(VLOOKUP($AJ28,DBPlayers,2,0)))))))</f>
        <v/>
      </c>
      <c r="G28" s="205" t="str">
        <f t="shared" si="23"/>
        <v/>
      </c>
      <c r="H28" s="205" t="str">
        <f t="shared" si="24"/>
        <v/>
      </c>
      <c r="I28" s="205" t="str">
        <f t="shared" si="25"/>
        <v/>
      </c>
      <c r="J28" s="205" t="str">
        <f t="shared" si="26"/>
        <v/>
      </c>
      <c r="K28" s="347" t="str">
        <f t="shared" ca="1" si="27"/>
        <v/>
      </c>
      <c r="L28" s="316"/>
      <c r="M28" s="316"/>
      <c r="N28" s="316"/>
      <c r="O28" s="316"/>
      <c r="P28" s="316"/>
      <c r="Q28" s="316"/>
      <c r="R28" s="316"/>
      <c r="S28" s="206" t="str">
        <f t="shared" si="28"/>
        <v/>
      </c>
      <c r="T28" s="117"/>
      <c r="U28" s="207" t="str">
        <f t="shared" si="29"/>
        <v/>
      </c>
      <c r="V28" s="334"/>
      <c r="W28" s="316"/>
      <c r="X28" s="121"/>
      <c r="Y28" s="102"/>
      <c r="Z28" s="102"/>
      <c r="AA28" s="102"/>
      <c r="AB28" s="102"/>
      <c r="AC28" s="102"/>
      <c r="AD28" s="102"/>
      <c r="AE28" s="102"/>
      <c r="AF28" s="102"/>
      <c r="AG28" s="102"/>
      <c r="AH28" s="102"/>
      <c r="AI28" s="199" t="s">
        <v>196</v>
      </c>
      <c r="AJ28" s="159" t="str">
        <f t="shared" si="30"/>
        <v/>
      </c>
      <c r="AK28" s="123"/>
      <c r="AL28" s="123"/>
      <c r="AM28" s="123"/>
      <c r="AN28" s="123"/>
      <c r="AO28" s="123"/>
      <c r="AP28" s="123"/>
      <c r="AQ28" s="159" t="str">
        <f t="array" ref="AQ28">IF($AJ28&lt;&gt;"",SUM(IF($AJ28=$AJ$6:$AJ28,IF($L$6:$L28=T_MNG,1,0),0)),"")</f>
        <v/>
      </c>
      <c r="AR28" s="105"/>
      <c r="AS28" s="105"/>
      <c r="AT28" s="105"/>
      <c r="AU28" s="105"/>
      <c r="AV28" s="102"/>
      <c r="AW28" s="102"/>
      <c r="AX28" s="102"/>
      <c r="AY28" s="102"/>
    </row>
    <row r="29" spans="1:51" ht="13.5" customHeight="1">
      <c r="A29" s="102"/>
      <c r="B29" s="114"/>
      <c r="C29" s="190"/>
      <c r="D29" s="346"/>
      <c r="E29" s="316"/>
      <c r="F29" s="205" t="str">
        <f>IF($D29="","",IF($AJ29="",T_Error&amp;"1",IF(COUNTIF($D$25:$D29,"&lt;&gt;")&gt;$R$31,T_Error&amp;"3",IF(ISERROR(FIND(T_Merc,$D29)),IF(COUNTIF($D$25:$D29,D29)&gt;1,T_Error&amp;"4",IF(COUNTIF($AJ$25:$AJ29,"=Star")&gt;2,T_Error&amp;"5",IF(AND($D29=Brick,$F$31&lt;&gt;"1/1"),T_Error&amp;"6","1/1"))),IF(COUNTIF($AJ$6:$AJ29,$AJ29)-$AQ29&gt;VLOOKUP($AJ29,DBPlayers,2,0)+VLOOKUP($AJ29,$AL$58:$AM$67,2,0),T_Error&amp;"2",COUNTIF($AJ$6:$AJ29,$AJ29)-$AQ29&amp;"/"&amp;(VLOOKUP($AJ29,DBPlayers,2,0)))))))</f>
        <v/>
      </c>
      <c r="G29" s="205" t="str">
        <f t="shared" si="23"/>
        <v/>
      </c>
      <c r="H29" s="205" t="str">
        <f t="shared" si="24"/>
        <v/>
      </c>
      <c r="I29" s="205" t="str">
        <f t="shared" si="25"/>
        <v/>
      </c>
      <c r="J29" s="205" t="str">
        <f t="shared" si="26"/>
        <v/>
      </c>
      <c r="K29" s="347" t="str">
        <f t="shared" ca="1" si="27"/>
        <v/>
      </c>
      <c r="L29" s="316"/>
      <c r="M29" s="316"/>
      <c r="N29" s="316"/>
      <c r="O29" s="316"/>
      <c r="P29" s="316"/>
      <c r="Q29" s="316"/>
      <c r="R29" s="316"/>
      <c r="S29" s="206" t="str">
        <f t="shared" si="28"/>
        <v/>
      </c>
      <c r="T29" s="117"/>
      <c r="U29" s="207" t="str">
        <f t="shared" si="29"/>
        <v/>
      </c>
      <c r="V29" s="334"/>
      <c r="W29" s="316"/>
      <c r="X29" s="121"/>
      <c r="Y29" s="102"/>
      <c r="Z29" s="102"/>
      <c r="AA29" s="102"/>
      <c r="AB29" s="102"/>
      <c r="AC29" s="102"/>
      <c r="AD29" s="102"/>
      <c r="AE29" s="102"/>
      <c r="AF29" s="102"/>
      <c r="AG29" s="102"/>
      <c r="AH29" s="102"/>
      <c r="AI29" s="199" t="s">
        <v>197</v>
      </c>
      <c r="AJ29" s="159" t="str">
        <f t="shared" si="30"/>
        <v/>
      </c>
      <c r="AK29" s="123"/>
      <c r="AL29" s="123"/>
      <c r="AM29" s="123"/>
      <c r="AN29" s="123"/>
      <c r="AO29" s="123"/>
      <c r="AP29" s="123"/>
      <c r="AQ29" s="159" t="str">
        <f t="array" ref="AQ29">IF($AJ29&lt;&gt;"",SUM(IF($AJ29=$AJ$6:$AJ29,IF($L$6:$L29=T_MNG,1,0),0)),"")</f>
        <v/>
      </c>
      <c r="AR29" s="105"/>
      <c r="AS29" s="105"/>
      <c r="AT29" s="105"/>
      <c r="AU29" s="105"/>
      <c r="AV29" s="102"/>
      <c r="AW29" s="102"/>
      <c r="AX29" s="102"/>
      <c r="AY29" s="102"/>
    </row>
    <row r="30" spans="1:51" ht="13.5" customHeight="1">
      <c r="A30" s="102"/>
      <c r="B30" s="114"/>
      <c r="C30" s="190"/>
      <c r="D30" s="346"/>
      <c r="E30" s="316"/>
      <c r="F30" s="205" t="str">
        <f>IF($D30="","",IF($AJ30="",T_Error&amp;"1",IF(COUNTIF($D$25:$D30,"&lt;&gt;")&gt;$R$31,T_Error&amp;"3",IF(ISERROR(FIND(T_Merc,$D30)),IF(COUNTIF($D$25:$D30,D30)&gt;1,T_Error&amp;"4",IF(COUNTIF($AJ$25:$AJ30,"=Star")&gt;2,T_Error&amp;"5",IF(AND($D30=Brick,$F$31&lt;&gt;"1/1"),T_Error&amp;"6","1/1"))),IF(COUNTIF($AJ$6:$AJ30,$AJ30)-$AQ30&gt;VLOOKUP($AJ30,DBPlayers,2,0)+VLOOKUP($AJ30,$AL$58:$AM$67,2,0),T_Error&amp;"2",COUNTIF($AJ$6:$AJ30,$AJ30)-$AQ30&amp;"/"&amp;(VLOOKUP($AJ30,DBPlayers,2,0)))))))</f>
        <v/>
      </c>
      <c r="G30" s="205" t="str">
        <f t="shared" si="23"/>
        <v/>
      </c>
      <c r="H30" s="205" t="str">
        <f t="shared" si="24"/>
        <v/>
      </c>
      <c r="I30" s="205" t="str">
        <f t="shared" si="25"/>
        <v/>
      </c>
      <c r="J30" s="205" t="str">
        <f t="shared" si="26"/>
        <v/>
      </c>
      <c r="K30" s="347" t="str">
        <f t="shared" ca="1" si="27"/>
        <v/>
      </c>
      <c r="L30" s="316"/>
      <c r="M30" s="316"/>
      <c r="N30" s="316"/>
      <c r="O30" s="316"/>
      <c r="P30" s="316"/>
      <c r="Q30" s="316"/>
      <c r="R30" s="316"/>
      <c r="S30" s="206" t="str">
        <f t="shared" si="28"/>
        <v/>
      </c>
      <c r="T30" s="117"/>
      <c r="U30" s="207" t="str">
        <f t="shared" si="29"/>
        <v/>
      </c>
      <c r="V30" s="334"/>
      <c r="W30" s="316"/>
      <c r="X30" s="121"/>
      <c r="Y30" s="209"/>
      <c r="Z30" s="102"/>
      <c r="AA30" s="102"/>
      <c r="AB30" s="102"/>
      <c r="AC30" s="102"/>
      <c r="AD30" s="102"/>
      <c r="AE30" s="102"/>
      <c r="AF30" s="102"/>
      <c r="AG30" s="102"/>
      <c r="AH30" s="102"/>
      <c r="AI30" s="199" t="s">
        <v>198</v>
      </c>
      <c r="AJ30" s="159" t="str">
        <f t="shared" si="30"/>
        <v/>
      </c>
      <c r="AK30" s="123"/>
      <c r="AL30" s="123"/>
      <c r="AM30" s="123"/>
      <c r="AN30" s="123"/>
      <c r="AO30" s="123"/>
      <c r="AP30" s="123"/>
      <c r="AQ30" s="159" t="str">
        <f t="array" ref="AQ30">IF($AJ30&lt;&gt;"",SUM(IF($AJ30=$AJ$6:$AJ30,IF($L$6:$L30=T_MNG,1,0),0)),"")</f>
        <v/>
      </c>
      <c r="AR30" s="105"/>
      <c r="AS30" s="105"/>
      <c r="AT30" s="105"/>
      <c r="AU30" s="105"/>
      <c r="AV30" s="102"/>
      <c r="AW30" s="102"/>
      <c r="AX30" s="102"/>
      <c r="AY30" s="102"/>
    </row>
    <row r="31" spans="1:51" ht="13.5" customHeight="1">
      <c r="A31" s="102"/>
      <c r="B31" s="114"/>
      <c r="C31" s="190"/>
      <c r="D31" s="210"/>
      <c r="E31" s="210"/>
      <c r="F31" s="205" t="str">
        <f>IF($D31="","",IF(COUNTIF($D$25:$D31,"&lt;&gt;")&gt;$R$31,T_Error&amp;"3",IF(COUNTIF($AJ$25:$AJ30,"=Star")&gt;2,T_Error&amp;"5","1/1")))</f>
        <v/>
      </c>
      <c r="G31" s="205" t="str">
        <f>IF(OR(LEFT($F31,LEN(T_Error))=T_Error,$D31=""),"",VLOOKUP($D31,DBStars,2,0))</f>
        <v/>
      </c>
      <c r="H31" s="205" t="str">
        <f>IF(OR(LEFT($F31,LEN(T_Error))=T_Error,$D31=""),"",VLOOKUP($D31,DBStars,3,0))</f>
        <v/>
      </c>
      <c r="I31" s="205" t="str">
        <f>IF(OR(LEFT($F31,LEN(T_Error))=T_Error,$D31=""),"",VLOOKUP($D31,DBStars,4,0))</f>
        <v/>
      </c>
      <c r="J31" s="205" t="str">
        <f>IF(OR(LEFT($F31,LEN(T_Error))=T_Error,$D31=""),"",VLOOKUP($D31,DBStars,5,0))</f>
        <v/>
      </c>
      <c r="K31" s="193" t="str">
        <f ca="1">IF($D31="","",IF(LEFT($F31,LEN(T_Error))=T_Error,INDIRECT("T_"&amp;$F31),VLOOKUP($D31,DBStars,6,0)))</f>
        <v/>
      </c>
      <c r="L31" s="343" t="s">
        <v>199</v>
      </c>
      <c r="M31" s="316"/>
      <c r="N31" s="316"/>
      <c r="O31" s="316"/>
      <c r="P31" s="316"/>
      <c r="Q31" s="189" t="str">
        <f>COUNTIF(J25:J31,"&gt;0")&amp;" /"</f>
        <v>0 /</v>
      </c>
      <c r="R31" s="211">
        <f>16-COUNTIF(S6:S21,"&gt;0")</f>
        <v>16</v>
      </c>
      <c r="S31" s="206"/>
      <c r="T31" s="117"/>
      <c r="U31" s="207" t="str">
        <f>IF($D31="","",IF(ISERROR(FIND("Mercenary",$D31)),"",VLOOKUP($AJ31,DBPlayers,9,0)))</f>
        <v/>
      </c>
      <c r="V31" s="154"/>
      <c r="W31" s="154"/>
      <c r="X31" s="121"/>
      <c r="Y31" s="102"/>
      <c r="Z31" s="102"/>
      <c r="AA31" s="102"/>
      <c r="AB31" s="102"/>
      <c r="AC31" s="102"/>
      <c r="AD31" s="102"/>
      <c r="AE31" s="102"/>
      <c r="AF31" s="102"/>
      <c r="AG31" s="102"/>
      <c r="AH31" s="102"/>
      <c r="AI31" s="102"/>
      <c r="AJ31" s="102"/>
      <c r="AK31" s="102"/>
      <c r="AL31" s="102"/>
      <c r="AM31" s="102"/>
      <c r="AN31" s="102"/>
      <c r="AO31" s="102"/>
      <c r="AP31" s="102"/>
      <c r="AQ31" s="102"/>
      <c r="AR31" s="105"/>
      <c r="AS31" s="105"/>
      <c r="AT31" s="105"/>
      <c r="AU31" s="105"/>
      <c r="AV31" s="102"/>
      <c r="AW31" s="102"/>
      <c r="AX31" s="102"/>
      <c r="AY31" s="102"/>
    </row>
    <row r="32" spans="1:51" ht="3" customHeight="1">
      <c r="A32" s="102"/>
      <c r="B32" s="107"/>
      <c r="C32" s="108"/>
      <c r="D32" s="109"/>
      <c r="E32" s="109"/>
      <c r="F32" s="110"/>
      <c r="G32" s="108"/>
      <c r="H32" s="108"/>
      <c r="I32" s="108"/>
      <c r="J32" s="108"/>
      <c r="K32" s="109"/>
      <c r="L32" s="109"/>
      <c r="M32" s="109"/>
      <c r="N32" s="109"/>
      <c r="O32" s="109"/>
      <c r="P32" s="109"/>
      <c r="Q32" s="109"/>
      <c r="R32" s="109"/>
      <c r="S32" s="201"/>
      <c r="T32" s="111"/>
      <c r="U32" s="121"/>
      <c r="V32" s="121"/>
      <c r="W32" s="121"/>
      <c r="X32" s="121"/>
      <c r="Y32" s="102"/>
      <c r="Z32" s="102"/>
      <c r="AA32" s="102"/>
      <c r="AB32" s="102"/>
      <c r="AC32" s="102"/>
      <c r="AD32" s="102"/>
      <c r="AE32" s="102"/>
      <c r="AF32" s="102"/>
      <c r="AG32" s="102"/>
      <c r="AH32" s="102"/>
      <c r="AI32" s="102"/>
      <c r="AJ32" s="102"/>
      <c r="AK32" s="102"/>
      <c r="AL32" s="102"/>
      <c r="AM32" s="102"/>
      <c r="AN32" s="102"/>
      <c r="AO32" s="102"/>
      <c r="AP32" s="102"/>
      <c r="AQ32" s="102"/>
      <c r="AR32" s="105"/>
      <c r="AS32" s="105"/>
      <c r="AT32" s="105"/>
      <c r="AU32" s="105"/>
      <c r="AV32" s="102"/>
      <c r="AW32" s="102"/>
      <c r="AX32" s="102"/>
      <c r="AY32" s="102"/>
    </row>
    <row r="33" spans="1:51" ht="13.5" customHeight="1">
      <c r="A33" s="102"/>
      <c r="B33" s="114"/>
      <c r="C33" s="115"/>
      <c r="D33" s="345" t="s">
        <v>936</v>
      </c>
      <c r="E33" s="316"/>
      <c r="F33" s="316"/>
      <c r="G33" s="316"/>
      <c r="H33" s="316"/>
      <c r="I33" s="316"/>
      <c r="J33" s="115"/>
      <c r="K33" s="212"/>
      <c r="L33" s="345" t="s">
        <v>201</v>
      </c>
      <c r="M33" s="316"/>
      <c r="N33" s="316"/>
      <c r="O33" s="316"/>
      <c r="P33" s="316"/>
      <c r="Q33" s="316"/>
      <c r="R33" s="316"/>
      <c r="S33" s="213"/>
      <c r="T33" s="117"/>
      <c r="U33" s="102"/>
      <c r="V33" s="106"/>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5"/>
      <c r="AS33" s="105"/>
      <c r="AT33" s="105"/>
      <c r="AU33" s="105"/>
      <c r="AV33" s="102"/>
      <c r="AW33" s="102"/>
      <c r="AX33" s="102"/>
      <c r="AY33" s="102"/>
    </row>
    <row r="34" spans="1:51" ht="13.5" customHeight="1">
      <c r="A34" s="102"/>
      <c r="B34" s="114"/>
      <c r="C34" s="191"/>
      <c r="D34" s="343" t="s">
        <v>202</v>
      </c>
      <c r="E34" s="316"/>
      <c r="F34" s="116">
        <v>0</v>
      </c>
      <c r="G34" s="189" t="s">
        <v>203</v>
      </c>
      <c r="H34" s="344">
        <v>50000</v>
      </c>
      <c r="I34" s="316"/>
      <c r="J34" s="190"/>
      <c r="K34" s="191"/>
      <c r="L34" s="189" t="s">
        <v>204</v>
      </c>
      <c r="M34" s="187"/>
      <c r="N34" s="189" t="s">
        <v>203</v>
      </c>
      <c r="O34" s="352">
        <f>IF(ISERROR(VLOOKUP($E$3,Database!$B$6:$C$30,2,0)),0,VLOOKUP($E$3,Database!$B$6:$C$30,2,0))</f>
        <v>0</v>
      </c>
      <c r="P34" s="316"/>
      <c r="Q34" s="316"/>
      <c r="R34" s="191" t="s">
        <v>205</v>
      </c>
      <c r="S34" s="194">
        <f>M34*O34</f>
        <v>0</v>
      </c>
      <c r="T34" s="117"/>
      <c r="U34" s="214"/>
      <c r="V34" s="106"/>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5"/>
      <c r="AS34" s="105"/>
      <c r="AT34" s="105"/>
      <c r="AU34" s="105"/>
      <c r="AV34" s="102"/>
      <c r="AW34" s="102"/>
      <c r="AX34" s="102"/>
      <c r="AY34" s="102"/>
    </row>
    <row r="35" spans="1:51" ht="13.5" customHeight="1">
      <c r="A35" s="102"/>
      <c r="B35" s="114"/>
      <c r="C35" s="191"/>
      <c r="D35" s="343" t="s">
        <v>206</v>
      </c>
      <c r="E35" s="316"/>
      <c r="F35" s="116">
        <v>0</v>
      </c>
      <c r="G35" s="189" t="s">
        <v>203</v>
      </c>
      <c r="H35" s="344">
        <f>IF($E$3=Goblin,50000,100000)</f>
        <v>100000</v>
      </c>
      <c r="I35" s="316"/>
      <c r="J35" s="190"/>
      <c r="K35" s="191"/>
      <c r="L35" s="189" t="s">
        <v>207</v>
      </c>
      <c r="M35" s="187">
        <v>0</v>
      </c>
      <c r="N35" s="189" t="s">
        <v>203</v>
      </c>
      <c r="O35" s="352">
        <v>10000</v>
      </c>
      <c r="P35" s="316"/>
      <c r="Q35" s="316"/>
      <c r="R35" s="191" t="s">
        <v>205</v>
      </c>
      <c r="S35" s="194">
        <f t="shared" ref="S35:S38" si="31">O35*M35</f>
        <v>0</v>
      </c>
      <c r="T35" s="117"/>
      <c r="U35" s="11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5"/>
      <c r="AS35" s="105"/>
      <c r="AT35" s="105"/>
      <c r="AU35" s="105"/>
      <c r="AV35" s="102"/>
      <c r="AW35" s="102"/>
      <c r="AX35" s="102"/>
      <c r="AY35" s="102"/>
    </row>
    <row r="36" spans="1:51" ht="13.5" customHeight="1">
      <c r="A36" s="102"/>
      <c r="B36" s="114"/>
      <c r="C36" s="191"/>
      <c r="D36" s="343" t="s">
        <v>208</v>
      </c>
      <c r="E36" s="316"/>
      <c r="F36" s="116">
        <v>0</v>
      </c>
      <c r="G36" s="189" t="s">
        <v>203</v>
      </c>
      <c r="H36" s="344">
        <v>100000</v>
      </c>
      <c r="I36" s="316"/>
      <c r="J36" s="190"/>
      <c r="K36" s="191"/>
      <c r="L36" s="189" t="s">
        <v>209</v>
      </c>
      <c r="M36" s="187">
        <v>0</v>
      </c>
      <c r="N36" s="189" t="s">
        <v>203</v>
      </c>
      <c r="O36" s="352">
        <v>10000</v>
      </c>
      <c r="P36" s="316"/>
      <c r="Q36" s="316"/>
      <c r="R36" s="191" t="s">
        <v>205</v>
      </c>
      <c r="S36" s="194">
        <f t="shared" si="31"/>
        <v>0</v>
      </c>
      <c r="T36" s="117"/>
      <c r="U36" s="214"/>
      <c r="V36" s="106"/>
      <c r="W36" s="102"/>
      <c r="X36" s="102"/>
      <c r="Y36" s="113"/>
      <c r="Z36" s="113"/>
      <c r="AA36" s="113"/>
      <c r="AB36" s="102"/>
      <c r="AC36" s="102"/>
      <c r="AD36" s="102"/>
      <c r="AE36" s="102"/>
      <c r="AF36" s="102"/>
      <c r="AG36" s="102"/>
      <c r="AH36" s="102"/>
      <c r="AI36" s="102"/>
      <c r="AJ36" s="102"/>
      <c r="AK36" s="102"/>
      <c r="AL36" s="102"/>
      <c r="AM36" s="102"/>
      <c r="AN36" s="102"/>
      <c r="AO36" s="102"/>
      <c r="AP36" s="102"/>
      <c r="AQ36" s="102"/>
      <c r="AR36" s="105"/>
      <c r="AS36" s="105"/>
      <c r="AT36" s="105"/>
      <c r="AU36" s="105"/>
      <c r="AV36" s="102"/>
      <c r="AW36" s="102"/>
      <c r="AX36" s="102"/>
      <c r="AY36" s="102"/>
    </row>
    <row r="37" spans="1:51" ht="13.5" customHeight="1">
      <c r="A37" s="102"/>
      <c r="B37" s="114"/>
      <c r="C37" s="191"/>
      <c r="D37" s="343" t="s">
        <v>210</v>
      </c>
      <c r="E37" s="316"/>
      <c r="F37" s="116">
        <v>0</v>
      </c>
      <c r="G37" s="189" t="s">
        <v>203</v>
      </c>
      <c r="H37" s="344">
        <f>IF($E$3=Halfling,100000,300000)</f>
        <v>300000</v>
      </c>
      <c r="I37" s="316"/>
      <c r="J37" s="190"/>
      <c r="K37" s="191"/>
      <c r="L37" s="189" t="s">
        <v>211</v>
      </c>
      <c r="M37" s="187">
        <v>0</v>
      </c>
      <c r="N37" s="189" t="s">
        <v>203</v>
      </c>
      <c r="O37" s="352">
        <v>10000</v>
      </c>
      <c r="P37" s="316"/>
      <c r="Q37" s="316"/>
      <c r="R37" s="191" t="s">
        <v>205</v>
      </c>
      <c r="S37" s="194">
        <f t="shared" si="31"/>
        <v>0</v>
      </c>
      <c r="T37" s="117"/>
      <c r="U37" s="214"/>
      <c r="V37" s="215"/>
      <c r="W37" s="113"/>
      <c r="X37" s="113"/>
      <c r="Y37" s="216"/>
      <c r="Z37" s="113"/>
      <c r="AA37" s="217"/>
      <c r="AB37" s="102"/>
      <c r="AC37" s="102"/>
      <c r="AD37" s="102"/>
      <c r="AE37" s="102"/>
      <c r="AF37" s="102"/>
      <c r="AG37" s="102"/>
      <c r="AH37" s="102"/>
      <c r="AI37" s="102"/>
      <c r="AJ37" s="102"/>
      <c r="AK37" s="102"/>
      <c r="AL37" s="102"/>
      <c r="AM37" s="102"/>
      <c r="AN37" s="102"/>
      <c r="AO37" s="102"/>
      <c r="AP37" s="102"/>
      <c r="AQ37" s="102"/>
      <c r="AR37" s="105"/>
      <c r="AS37" s="105"/>
      <c r="AT37" s="105"/>
      <c r="AU37" s="105"/>
      <c r="AV37" s="102"/>
      <c r="AW37" s="102"/>
      <c r="AX37" s="102"/>
      <c r="AY37" s="102"/>
    </row>
    <row r="38" spans="1:51" ht="13.5" customHeight="1">
      <c r="A38" s="102"/>
      <c r="B38" s="114"/>
      <c r="C38" s="191"/>
      <c r="D38" s="343" t="s">
        <v>212</v>
      </c>
      <c r="E38" s="316"/>
      <c r="F38" s="116">
        <v>0</v>
      </c>
      <c r="G38" s="189" t="s">
        <v>203</v>
      </c>
      <c r="H38" s="344">
        <v>100000</v>
      </c>
      <c r="I38" s="316"/>
      <c r="J38" s="190"/>
      <c r="K38" s="191"/>
      <c r="L38" s="189" t="s">
        <v>213</v>
      </c>
      <c r="M38" s="187"/>
      <c r="N38" s="189" t="s">
        <v>203</v>
      </c>
      <c r="O38" s="352">
        <v>50000</v>
      </c>
      <c r="P38" s="316"/>
      <c r="Q38" s="316"/>
      <c r="R38" s="191" t="s">
        <v>205</v>
      </c>
      <c r="S38" s="194">
        <f t="shared" si="31"/>
        <v>0</v>
      </c>
      <c r="T38" s="117"/>
      <c r="U38" s="214"/>
      <c r="V38" s="112"/>
      <c r="W38" s="113"/>
      <c r="X38" s="113"/>
      <c r="Y38" s="113"/>
      <c r="Z38" s="113"/>
      <c r="AA38" s="113"/>
      <c r="AB38" s="102"/>
      <c r="AC38" s="102"/>
      <c r="AD38" s="102"/>
      <c r="AE38" s="102"/>
      <c r="AF38" s="102"/>
      <c r="AG38" s="102"/>
      <c r="AH38" s="102"/>
      <c r="AI38" s="102"/>
      <c r="AJ38" s="102"/>
      <c r="AK38" s="102"/>
      <c r="AL38" s="102"/>
      <c r="AM38" s="102"/>
      <c r="AN38" s="102"/>
      <c r="AO38" s="102"/>
      <c r="AP38" s="102"/>
      <c r="AQ38" s="102"/>
      <c r="AR38" s="105"/>
      <c r="AS38" s="105"/>
      <c r="AT38" s="105"/>
      <c r="AU38" s="105"/>
      <c r="AV38" s="102"/>
      <c r="AW38" s="102"/>
      <c r="AX38" s="102"/>
      <c r="AY38" s="102"/>
    </row>
    <row r="39" spans="1:51" ht="13.5" customHeight="1">
      <c r="A39" s="102"/>
      <c r="B39" s="114"/>
      <c r="C39" s="191"/>
      <c r="D39" s="343" t="s">
        <v>214</v>
      </c>
      <c r="E39" s="316"/>
      <c r="F39" s="116">
        <v>0</v>
      </c>
      <c r="G39" s="189" t="s">
        <v>203</v>
      </c>
      <c r="H39" s="344">
        <v>150000</v>
      </c>
      <c r="I39" s="316"/>
      <c r="J39" s="190"/>
      <c r="K39" s="212"/>
      <c r="L39" s="189" t="s">
        <v>215</v>
      </c>
      <c r="M39" s="353"/>
      <c r="N39" s="316"/>
      <c r="O39" s="316"/>
      <c r="P39" s="316"/>
      <c r="Q39" s="212"/>
      <c r="R39" s="212"/>
      <c r="S39" s="115"/>
      <c r="T39" s="117"/>
      <c r="U39" s="214"/>
      <c r="V39" s="215"/>
      <c r="W39" s="113"/>
      <c r="X39" s="113"/>
      <c r="Y39" s="113"/>
      <c r="Z39" s="113"/>
      <c r="AA39" s="113"/>
      <c r="AB39" s="102"/>
      <c r="AC39" s="102"/>
      <c r="AD39" s="102"/>
      <c r="AE39" s="102"/>
      <c r="AF39" s="102"/>
      <c r="AG39" s="102"/>
      <c r="AH39" s="102"/>
      <c r="AI39" s="102"/>
      <c r="AJ39" s="102"/>
      <c r="AK39" s="102"/>
      <c r="AL39" s="102"/>
      <c r="AM39" s="102"/>
      <c r="AN39" s="102"/>
      <c r="AO39" s="102"/>
      <c r="AP39" s="102"/>
      <c r="AQ39" s="102"/>
      <c r="AR39" s="105"/>
      <c r="AS39" s="105"/>
      <c r="AT39" s="105"/>
      <c r="AU39" s="105"/>
      <c r="AV39" s="102"/>
      <c r="AW39" s="102"/>
      <c r="AX39" s="102"/>
      <c r="AY39" s="102"/>
    </row>
    <row r="40" spans="1:51" ht="13.5" customHeight="1">
      <c r="A40" s="102"/>
      <c r="B40" s="114"/>
      <c r="C40" s="191"/>
      <c r="D40" s="343" t="s">
        <v>216</v>
      </c>
      <c r="E40" s="316"/>
      <c r="F40" s="116">
        <v>0</v>
      </c>
      <c r="G40" s="189" t="s">
        <v>203</v>
      </c>
      <c r="H40" s="344">
        <v>100000</v>
      </c>
      <c r="I40" s="316"/>
      <c r="J40" s="190"/>
      <c r="K40" s="212"/>
      <c r="L40" s="189"/>
      <c r="M40" s="115"/>
      <c r="N40" s="218"/>
      <c r="O40" s="218"/>
      <c r="P40" s="218"/>
      <c r="Q40" s="132" t="s">
        <v>217</v>
      </c>
      <c r="R40" s="350">
        <f>SUM(S6:S21,S34:S38)</f>
        <v>0</v>
      </c>
      <c r="S40" s="316"/>
      <c r="T40" s="117"/>
      <c r="U40" s="214"/>
      <c r="V40" s="215"/>
      <c r="W40" s="113"/>
      <c r="X40" s="113"/>
      <c r="Y40" s="113"/>
      <c r="Z40" s="113"/>
      <c r="AA40" s="113"/>
      <c r="AB40" s="102"/>
      <c r="AC40" s="102"/>
      <c r="AD40" s="102"/>
      <c r="AE40" s="102"/>
      <c r="AF40" s="102"/>
      <c r="AG40" s="102"/>
      <c r="AH40" s="102"/>
      <c r="AI40" s="102"/>
      <c r="AJ40" s="102"/>
      <c r="AK40" s="102"/>
      <c r="AL40" s="102"/>
      <c r="AM40" s="102"/>
      <c r="AN40" s="102"/>
      <c r="AO40" s="102"/>
      <c r="AP40" s="102"/>
      <c r="AQ40" s="102"/>
      <c r="AR40" s="105"/>
      <c r="AS40" s="105"/>
      <c r="AT40" s="105"/>
      <c r="AU40" s="105"/>
      <c r="AV40" s="102"/>
      <c r="AW40" s="102"/>
      <c r="AX40" s="102"/>
      <c r="AY40" s="102"/>
    </row>
    <row r="41" spans="1:51" ht="13.5" customHeight="1">
      <c r="A41" s="102"/>
      <c r="B41" s="114"/>
      <c r="C41" s="212"/>
      <c r="D41" s="343" t="s">
        <v>218</v>
      </c>
      <c r="E41" s="316"/>
      <c r="F41" s="349">
        <v>0</v>
      </c>
      <c r="G41" s="316"/>
      <c r="H41" s="316"/>
      <c r="I41" s="316"/>
      <c r="J41" s="212"/>
      <c r="K41" s="212"/>
      <c r="L41" s="212"/>
      <c r="M41" s="212"/>
      <c r="N41" s="191"/>
      <c r="O41" s="191"/>
      <c r="P41" s="191"/>
      <c r="Q41" s="132" t="s">
        <v>219</v>
      </c>
      <c r="R41" s="350">
        <f>SUMPRODUCT(F34:F40,H34:H40)+F41+F42</f>
        <v>0</v>
      </c>
      <c r="S41" s="316"/>
      <c r="T41" s="117"/>
      <c r="U41" s="214"/>
      <c r="V41" s="215"/>
      <c r="W41" s="113"/>
      <c r="X41" s="113"/>
      <c r="Y41" s="113"/>
      <c r="Z41" s="113"/>
      <c r="AA41" s="113"/>
      <c r="AB41" s="102"/>
      <c r="AC41" s="102"/>
      <c r="AD41" s="102"/>
      <c r="AE41" s="102"/>
      <c r="AF41" s="102"/>
      <c r="AG41" s="102"/>
      <c r="AH41" s="102"/>
      <c r="AI41" s="102"/>
      <c r="AJ41" s="102"/>
      <c r="AK41" s="102"/>
      <c r="AL41" s="102"/>
      <c r="AM41" s="102"/>
      <c r="AN41" s="102"/>
      <c r="AO41" s="102"/>
      <c r="AP41" s="102"/>
      <c r="AQ41" s="102"/>
      <c r="AR41" s="105"/>
      <c r="AS41" s="105"/>
      <c r="AT41" s="105"/>
      <c r="AU41" s="105"/>
      <c r="AV41" s="102"/>
      <c r="AW41" s="102"/>
      <c r="AX41" s="102"/>
      <c r="AY41" s="102"/>
    </row>
    <row r="42" spans="1:51" ht="13.5" customHeight="1">
      <c r="A42" s="102"/>
      <c r="B42" s="114"/>
      <c r="C42" s="191"/>
      <c r="D42" s="189"/>
      <c r="E42" s="189" t="s">
        <v>220</v>
      </c>
      <c r="F42" s="344">
        <f>SUM(S25:S30)</f>
        <v>0</v>
      </c>
      <c r="G42" s="316"/>
      <c r="H42" s="316"/>
      <c r="I42" s="316"/>
      <c r="J42" s="191"/>
      <c r="K42" s="191"/>
      <c r="L42" s="212"/>
      <c r="M42" s="212"/>
      <c r="N42" s="191"/>
      <c r="O42" s="191"/>
      <c r="P42" s="191"/>
      <c r="Q42" s="132" t="s">
        <v>221</v>
      </c>
      <c r="R42" s="350">
        <f>R40+R41</f>
        <v>0</v>
      </c>
      <c r="S42" s="316"/>
      <c r="T42" s="117"/>
      <c r="U42" s="214"/>
      <c r="V42" s="215"/>
      <c r="W42" s="113"/>
      <c r="X42" s="113"/>
      <c r="Y42" s="113"/>
      <c r="Z42" s="113"/>
      <c r="AA42" s="113"/>
      <c r="AB42" s="102"/>
      <c r="AC42" s="102"/>
      <c r="AD42" s="102"/>
      <c r="AE42" s="102"/>
      <c r="AF42" s="102"/>
      <c r="AG42" s="102"/>
      <c r="AH42" s="102"/>
      <c r="AI42" s="102"/>
      <c r="AJ42" s="102"/>
      <c r="AK42" s="102"/>
      <c r="AL42" s="102"/>
      <c r="AM42" s="102"/>
      <c r="AN42" s="102"/>
      <c r="AO42" s="102"/>
      <c r="AP42" s="102"/>
      <c r="AQ42" s="102"/>
      <c r="AR42" s="105"/>
      <c r="AS42" s="105"/>
      <c r="AT42" s="105"/>
      <c r="AU42" s="105"/>
      <c r="AV42" s="102"/>
      <c r="AW42" s="102"/>
      <c r="AX42" s="102"/>
      <c r="AY42" s="102"/>
    </row>
    <row r="43" spans="1:51" ht="3" customHeight="1">
      <c r="A43" s="102"/>
      <c r="B43" s="219"/>
      <c r="C43" s="220"/>
      <c r="D43" s="221"/>
      <c r="E43" s="221"/>
      <c r="F43" s="222"/>
      <c r="G43" s="220"/>
      <c r="H43" s="220"/>
      <c r="I43" s="220"/>
      <c r="J43" s="220"/>
      <c r="K43" s="221"/>
      <c r="L43" s="221"/>
      <c r="M43" s="221"/>
      <c r="N43" s="221"/>
      <c r="O43" s="221"/>
      <c r="P43" s="221"/>
      <c r="Q43" s="221"/>
      <c r="R43" s="221"/>
      <c r="S43" s="220"/>
      <c r="T43" s="223"/>
      <c r="U43" s="214"/>
      <c r="V43" s="215"/>
      <c r="W43" s="113"/>
      <c r="X43" s="113"/>
      <c r="Y43" s="113"/>
      <c r="Z43" s="113"/>
      <c r="AA43" s="113"/>
      <c r="AB43" s="102"/>
      <c r="AC43" s="102"/>
      <c r="AD43" s="102"/>
      <c r="AE43" s="102"/>
      <c r="AF43" s="102"/>
      <c r="AG43" s="102"/>
      <c r="AH43" s="102"/>
      <c r="AI43" s="102"/>
      <c r="AJ43" s="102"/>
      <c r="AK43" s="102"/>
      <c r="AL43" s="102"/>
      <c r="AM43" s="102"/>
      <c r="AN43" s="102"/>
      <c r="AO43" s="102"/>
      <c r="AP43" s="102"/>
      <c r="AQ43" s="102"/>
      <c r="AR43" s="105"/>
      <c r="AS43" s="105"/>
      <c r="AT43" s="105"/>
      <c r="AU43" s="105"/>
      <c r="AV43" s="102"/>
      <c r="AW43" s="102"/>
      <c r="AX43" s="102"/>
      <c r="AY43" s="102"/>
    </row>
    <row r="44" spans="1:51" ht="13.5" customHeight="1">
      <c r="A44" s="102"/>
      <c r="B44" s="102"/>
      <c r="C44" s="102"/>
      <c r="D44" s="102"/>
      <c r="E44" s="102"/>
      <c r="F44" s="102"/>
      <c r="G44" s="102"/>
      <c r="H44" s="102"/>
      <c r="I44" s="102"/>
      <c r="J44" s="102"/>
      <c r="K44" s="102"/>
      <c r="L44" s="102"/>
      <c r="M44" s="102"/>
      <c r="N44" s="102"/>
      <c r="O44" s="102"/>
      <c r="P44" s="102"/>
      <c r="Q44" s="102"/>
      <c r="R44" s="102"/>
      <c r="S44" s="105"/>
      <c r="T44" s="102"/>
      <c r="U44" s="102"/>
      <c r="V44" s="215"/>
      <c r="W44" s="113"/>
      <c r="X44" s="113"/>
      <c r="Y44" s="113"/>
      <c r="Z44" s="113"/>
      <c r="AA44" s="113"/>
      <c r="AB44" s="102"/>
      <c r="AC44" s="102"/>
      <c r="AD44" s="102"/>
      <c r="AE44" s="102"/>
      <c r="AF44" s="102"/>
      <c r="AG44" s="102"/>
      <c r="AH44" s="102"/>
      <c r="AI44" s="102"/>
      <c r="AJ44" s="102"/>
      <c r="AK44" s="102"/>
      <c r="AL44" s="102"/>
      <c r="AM44" s="102"/>
      <c r="AN44" s="102"/>
      <c r="AO44" s="102"/>
      <c r="AP44" s="102"/>
      <c r="AQ44" s="102"/>
      <c r="AR44" s="105"/>
      <c r="AS44" s="105"/>
      <c r="AT44" s="105"/>
      <c r="AU44" s="105"/>
      <c r="AV44" s="102"/>
      <c r="AW44" s="102"/>
      <c r="AX44" s="102"/>
      <c r="AY44" s="102"/>
    </row>
    <row r="45" spans="1:51" ht="13.5" customHeight="1">
      <c r="A45" s="102"/>
      <c r="B45" s="102"/>
      <c r="C45" s="105"/>
      <c r="D45" s="102"/>
      <c r="E45" s="102"/>
      <c r="F45" s="104"/>
      <c r="G45" s="105"/>
      <c r="H45" s="105"/>
      <c r="I45" s="105"/>
      <c r="J45" s="105"/>
      <c r="K45" s="102"/>
      <c r="L45" s="102"/>
      <c r="M45" s="102"/>
      <c r="N45" s="102"/>
      <c r="O45" s="102"/>
      <c r="P45" s="102"/>
      <c r="Q45" s="102"/>
      <c r="R45" s="102"/>
      <c r="S45" s="105"/>
      <c r="T45" s="102"/>
      <c r="U45" s="102"/>
      <c r="V45" s="106"/>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5"/>
      <c r="AS45" s="105"/>
      <c r="AT45" s="105"/>
      <c r="AU45" s="105"/>
      <c r="AV45" s="102"/>
      <c r="AW45" s="102"/>
      <c r="AX45" s="102"/>
      <c r="AY45" s="102"/>
    </row>
    <row r="46" spans="1:51" ht="13.5" customHeight="1">
      <c r="A46" s="102"/>
      <c r="B46" s="102"/>
      <c r="C46" s="105"/>
      <c r="D46" s="102"/>
      <c r="E46" s="102"/>
      <c r="F46" s="104"/>
      <c r="G46" s="105"/>
      <c r="H46" s="105"/>
      <c r="I46" s="105"/>
      <c r="J46" s="105"/>
      <c r="K46" s="102"/>
      <c r="L46" s="102"/>
      <c r="M46" s="102"/>
      <c r="N46" s="102"/>
      <c r="O46" s="102"/>
      <c r="P46" s="102"/>
      <c r="Q46" s="102"/>
      <c r="R46" s="102"/>
      <c r="S46" s="105"/>
      <c r="T46" s="102"/>
      <c r="U46" s="102"/>
      <c r="V46" s="106"/>
      <c r="W46" s="102"/>
      <c r="X46" s="102"/>
      <c r="Y46" s="102"/>
      <c r="Z46" s="102"/>
      <c r="AA46" s="102"/>
      <c r="AB46" s="102"/>
      <c r="AC46" s="102"/>
      <c r="AD46" s="102"/>
      <c r="AE46" s="102"/>
      <c r="AF46" s="102"/>
      <c r="AG46" s="102"/>
      <c r="AH46" s="102"/>
      <c r="AI46" s="102"/>
      <c r="AJ46" s="102"/>
      <c r="AK46" s="106"/>
      <c r="AL46" s="102"/>
      <c r="AM46" s="102"/>
      <c r="AN46" s="102"/>
      <c r="AO46" s="102"/>
      <c r="AP46" s="102"/>
      <c r="AQ46" s="102"/>
      <c r="AR46" s="105"/>
      <c r="AS46" s="105"/>
      <c r="AT46" s="105"/>
      <c r="AU46" s="105"/>
      <c r="AV46" s="102"/>
      <c r="AW46" s="102"/>
      <c r="AX46" s="102"/>
      <c r="AY46" s="102"/>
    </row>
    <row r="47" spans="1:51" ht="13.5" customHeight="1">
      <c r="A47" s="102"/>
      <c r="B47" s="102"/>
      <c r="C47" s="105"/>
      <c r="D47" s="102"/>
      <c r="E47" s="102"/>
      <c r="F47" s="104"/>
      <c r="G47" s="105"/>
      <c r="H47" s="105"/>
      <c r="I47" s="105"/>
      <c r="J47" s="105"/>
      <c r="K47" s="102"/>
      <c r="L47" s="102"/>
      <c r="M47" s="102"/>
      <c r="N47" s="102"/>
      <c r="O47" s="102"/>
      <c r="P47" s="102"/>
      <c r="Q47" s="102"/>
      <c r="R47" s="102"/>
      <c r="S47" s="105"/>
      <c r="T47" s="102"/>
      <c r="U47" s="102"/>
      <c r="V47" s="106"/>
      <c r="W47" s="102"/>
      <c r="X47" s="102"/>
      <c r="Y47" s="102"/>
      <c r="Z47" s="102"/>
      <c r="AA47" s="102"/>
      <c r="AB47" s="102"/>
      <c r="AC47" s="102"/>
      <c r="AD47" s="102"/>
      <c r="AE47" s="102"/>
      <c r="AF47" s="102"/>
      <c r="AG47" s="102"/>
      <c r="AH47" s="102"/>
      <c r="AI47" s="102"/>
      <c r="AJ47" s="102"/>
      <c r="AK47" s="106" t="s">
        <v>222</v>
      </c>
      <c r="AL47" s="102" t="s">
        <v>223</v>
      </c>
      <c r="AM47" s="102"/>
      <c r="AN47" s="102"/>
      <c r="AO47" s="102"/>
      <c r="AP47" s="102"/>
      <c r="AQ47" s="102"/>
      <c r="AR47" s="105"/>
      <c r="AS47" s="105"/>
      <c r="AT47" s="105"/>
      <c r="AU47" s="105"/>
      <c r="AV47" s="102"/>
      <c r="AW47" s="102"/>
      <c r="AX47" s="102"/>
      <c r="AY47" s="102"/>
    </row>
    <row r="48" spans="1:51" ht="13.5" customHeight="1">
      <c r="A48" s="102"/>
      <c r="B48" s="102"/>
      <c r="C48" s="105"/>
      <c r="D48" s="102"/>
      <c r="E48" s="102"/>
      <c r="F48" s="104"/>
      <c r="G48" s="105"/>
      <c r="H48" s="105"/>
      <c r="I48" s="105"/>
      <c r="J48" s="105"/>
      <c r="K48" s="102"/>
      <c r="L48" s="102"/>
      <c r="M48" s="102"/>
      <c r="N48" s="102"/>
      <c r="O48" s="102"/>
      <c r="P48" s="102"/>
      <c r="Q48" s="102"/>
      <c r="R48" s="102"/>
      <c r="S48" s="105"/>
      <c r="T48" s="102"/>
      <c r="U48" s="102"/>
      <c r="V48" s="106"/>
      <c r="W48" s="102"/>
      <c r="X48" s="102"/>
      <c r="Y48" s="102"/>
      <c r="Z48" s="102"/>
      <c r="AA48" s="102"/>
      <c r="AB48" s="102"/>
      <c r="AC48" s="102"/>
      <c r="AD48" s="102"/>
      <c r="AE48" s="102"/>
      <c r="AF48" s="102"/>
      <c r="AG48" s="102"/>
      <c r="AH48" s="102"/>
      <c r="AI48" s="102"/>
      <c r="AJ48" s="102"/>
      <c r="AK48" s="234" t="e">
        <f t="shared" ref="AK48:AK57" si="32">VLOOKUP(AL48,DBTeamStars,2,0)</f>
        <v>#N/A</v>
      </c>
      <c r="AL48" s="234" t="str">
        <f>$E$3&amp;"10"</f>
        <v>10</v>
      </c>
      <c r="AM48" s="102"/>
      <c r="AN48" s="102"/>
      <c r="AO48" s="102"/>
      <c r="AP48" s="102"/>
      <c r="AQ48" s="102"/>
      <c r="AR48" s="105"/>
      <c r="AS48" s="105"/>
      <c r="AT48" s="105"/>
      <c r="AU48" s="105"/>
      <c r="AV48" s="102"/>
      <c r="AW48" s="102"/>
      <c r="AX48" s="102"/>
      <c r="AY48" s="102"/>
    </row>
    <row r="49" spans="1:51" ht="13.5" customHeight="1">
      <c r="A49" s="102"/>
      <c r="B49" s="102"/>
      <c r="C49" s="105"/>
      <c r="D49" s="102"/>
      <c r="E49" s="102"/>
      <c r="F49" s="104"/>
      <c r="G49" s="105"/>
      <c r="H49" s="105"/>
      <c r="I49" s="105"/>
      <c r="J49" s="105"/>
      <c r="K49" s="102"/>
      <c r="L49" s="102"/>
      <c r="M49" s="102"/>
      <c r="N49" s="102"/>
      <c r="O49" s="102"/>
      <c r="P49" s="102"/>
      <c r="Q49" s="102"/>
      <c r="R49" s="102"/>
      <c r="S49" s="105"/>
      <c r="T49" s="102"/>
      <c r="U49" s="102"/>
      <c r="V49" s="106"/>
      <c r="W49" s="102"/>
      <c r="X49" s="102"/>
      <c r="Y49" s="102"/>
      <c r="Z49" s="102"/>
      <c r="AA49" s="102"/>
      <c r="AB49" s="102"/>
      <c r="AC49" s="102"/>
      <c r="AD49" s="102"/>
      <c r="AE49" s="102"/>
      <c r="AF49" s="102"/>
      <c r="AG49" s="102"/>
      <c r="AH49" s="102"/>
      <c r="AI49" s="102"/>
      <c r="AJ49" s="102"/>
      <c r="AK49" s="234" t="e">
        <f t="shared" si="32"/>
        <v>#N/A</v>
      </c>
      <c r="AL49" s="234" t="str">
        <f>$E$3&amp;"9"</f>
        <v>9</v>
      </c>
      <c r="AM49" s="102"/>
      <c r="AN49" s="102"/>
      <c r="AO49" s="102"/>
      <c r="AP49" s="102"/>
      <c r="AQ49" s="102"/>
      <c r="AR49" s="105"/>
      <c r="AS49" s="105"/>
      <c r="AT49" s="105"/>
      <c r="AU49" s="105"/>
      <c r="AV49" s="102"/>
      <c r="AW49" s="102"/>
      <c r="AX49" s="102"/>
      <c r="AY49" s="102"/>
    </row>
    <row r="50" spans="1:51" ht="13.5" customHeight="1">
      <c r="A50" s="102"/>
      <c r="B50" s="102"/>
      <c r="C50" s="105"/>
      <c r="D50" s="102"/>
      <c r="E50" s="102"/>
      <c r="F50" s="104"/>
      <c r="G50" s="105"/>
      <c r="H50" s="105"/>
      <c r="I50" s="105"/>
      <c r="J50" s="105"/>
      <c r="K50" s="102"/>
      <c r="L50" s="102"/>
      <c r="M50" s="102"/>
      <c r="N50" s="102"/>
      <c r="O50" s="102"/>
      <c r="P50" s="102"/>
      <c r="Q50" s="102"/>
      <c r="R50" s="102"/>
      <c r="S50" s="105"/>
      <c r="T50" s="102"/>
      <c r="U50" s="102"/>
      <c r="V50" s="106"/>
      <c r="W50" s="102"/>
      <c r="X50" s="102"/>
      <c r="Y50" s="102"/>
      <c r="Z50" s="102"/>
      <c r="AA50" s="102"/>
      <c r="AB50" s="102"/>
      <c r="AC50" s="102"/>
      <c r="AD50" s="102"/>
      <c r="AE50" s="102"/>
      <c r="AF50" s="102"/>
      <c r="AG50" s="102"/>
      <c r="AH50" s="102"/>
      <c r="AI50" s="102"/>
      <c r="AJ50" s="102"/>
      <c r="AK50" s="234" t="e">
        <f t="shared" si="32"/>
        <v>#N/A</v>
      </c>
      <c r="AL50" s="234" t="str">
        <f>$E$3&amp;"8"</f>
        <v>8</v>
      </c>
      <c r="AM50" s="102"/>
      <c r="AN50" s="102"/>
      <c r="AO50" s="102"/>
      <c r="AP50" s="102"/>
      <c r="AQ50" s="102"/>
      <c r="AR50" s="105"/>
      <c r="AS50" s="105"/>
      <c r="AT50" s="105"/>
      <c r="AU50" s="105"/>
      <c r="AV50" s="102"/>
      <c r="AW50" s="102"/>
      <c r="AX50" s="102"/>
      <c r="AY50" s="102"/>
    </row>
    <row r="51" spans="1:51" ht="13.5" customHeight="1">
      <c r="A51" s="102"/>
      <c r="B51" s="102"/>
      <c r="C51" s="105"/>
      <c r="D51" s="102"/>
      <c r="E51" s="102"/>
      <c r="F51" s="104"/>
      <c r="G51" s="105"/>
      <c r="H51" s="105"/>
      <c r="I51" s="105"/>
      <c r="J51" s="105"/>
      <c r="K51" s="102"/>
      <c r="L51" s="102"/>
      <c r="M51" s="102"/>
      <c r="N51" s="102"/>
      <c r="O51" s="102"/>
      <c r="P51" s="102"/>
      <c r="Q51" s="102"/>
      <c r="R51" s="102"/>
      <c r="S51" s="105"/>
      <c r="T51" s="102"/>
      <c r="U51" s="102"/>
      <c r="V51" s="106"/>
      <c r="W51" s="102"/>
      <c r="X51" s="102"/>
      <c r="Y51" s="102"/>
      <c r="Z51" s="102"/>
      <c r="AA51" s="102"/>
      <c r="AB51" s="102"/>
      <c r="AC51" s="102"/>
      <c r="AD51" s="102"/>
      <c r="AE51" s="102"/>
      <c r="AF51" s="102"/>
      <c r="AG51" s="102"/>
      <c r="AH51" s="102"/>
      <c r="AI51" s="102"/>
      <c r="AJ51" s="102"/>
      <c r="AK51" s="234" t="e">
        <f t="shared" si="32"/>
        <v>#N/A</v>
      </c>
      <c r="AL51" s="234" t="str">
        <f>$E$3&amp;"7"</f>
        <v>7</v>
      </c>
      <c r="AM51" s="102"/>
      <c r="AN51" s="102"/>
      <c r="AO51" s="102"/>
      <c r="AP51" s="102"/>
      <c r="AQ51" s="102"/>
      <c r="AR51" s="105"/>
      <c r="AS51" s="105"/>
      <c r="AT51" s="105"/>
      <c r="AU51" s="105"/>
      <c r="AV51" s="102"/>
      <c r="AW51" s="102"/>
      <c r="AX51" s="102"/>
      <c r="AY51" s="102"/>
    </row>
    <row r="52" spans="1:51" ht="13.5" customHeight="1">
      <c r="A52" s="102"/>
      <c r="B52" s="102"/>
      <c r="C52" s="105"/>
      <c r="D52" s="102"/>
      <c r="E52" s="102"/>
      <c r="F52" s="104"/>
      <c r="G52" s="105"/>
      <c r="H52" s="105"/>
      <c r="I52" s="105"/>
      <c r="J52" s="105"/>
      <c r="K52" s="102"/>
      <c r="L52" s="102"/>
      <c r="M52" s="102"/>
      <c r="N52" s="102"/>
      <c r="O52" s="102"/>
      <c r="P52" s="102"/>
      <c r="Q52" s="102"/>
      <c r="R52" s="102"/>
      <c r="S52" s="105"/>
      <c r="T52" s="102"/>
      <c r="U52" s="102"/>
      <c r="V52" s="106"/>
      <c r="W52" s="102"/>
      <c r="X52" s="102"/>
      <c r="Y52" s="102"/>
      <c r="Z52" s="102"/>
      <c r="AA52" s="102"/>
      <c r="AB52" s="102"/>
      <c r="AC52" s="102"/>
      <c r="AD52" s="102"/>
      <c r="AE52" s="102"/>
      <c r="AF52" s="102"/>
      <c r="AG52" s="102"/>
      <c r="AH52" s="102"/>
      <c r="AI52" s="102"/>
      <c r="AJ52" s="102"/>
      <c r="AK52" s="234" t="e">
        <f t="shared" si="32"/>
        <v>#N/A</v>
      </c>
      <c r="AL52" s="234" t="str">
        <f>$E$3&amp;"6"</f>
        <v>6</v>
      </c>
      <c r="AM52" s="102"/>
      <c r="AN52" s="102"/>
      <c r="AO52" s="102"/>
      <c r="AP52" s="102"/>
      <c r="AQ52" s="102"/>
      <c r="AR52" s="105"/>
      <c r="AS52" s="105"/>
      <c r="AT52" s="105"/>
      <c r="AU52" s="105"/>
      <c r="AV52" s="102"/>
      <c r="AW52" s="102"/>
      <c r="AX52" s="102"/>
      <c r="AY52" s="102"/>
    </row>
    <row r="53" spans="1:51" ht="13.5" customHeight="1">
      <c r="A53" s="102"/>
      <c r="B53" s="102"/>
      <c r="C53" s="105"/>
      <c r="D53" s="102"/>
      <c r="E53" s="102"/>
      <c r="F53" s="104"/>
      <c r="G53" s="105"/>
      <c r="H53" s="105"/>
      <c r="I53" s="105"/>
      <c r="J53" s="105"/>
      <c r="K53" s="102"/>
      <c r="L53" s="102"/>
      <c r="M53" s="102"/>
      <c r="N53" s="102"/>
      <c r="O53" s="102"/>
      <c r="P53" s="102"/>
      <c r="Q53" s="102"/>
      <c r="R53" s="102"/>
      <c r="S53" s="105"/>
      <c r="T53" s="102"/>
      <c r="U53" s="102"/>
      <c r="V53" s="106"/>
      <c r="W53" s="102"/>
      <c r="X53" s="102"/>
      <c r="Y53" s="102"/>
      <c r="Z53" s="102"/>
      <c r="AA53" s="102"/>
      <c r="AB53" s="102"/>
      <c r="AC53" s="102"/>
      <c r="AD53" s="102"/>
      <c r="AE53" s="102"/>
      <c r="AF53" s="102"/>
      <c r="AG53" s="102"/>
      <c r="AH53" s="102"/>
      <c r="AI53" s="102"/>
      <c r="AJ53" s="102"/>
      <c r="AK53" s="234" t="e">
        <f t="shared" si="32"/>
        <v>#N/A</v>
      </c>
      <c r="AL53" s="234" t="str">
        <f>$E$3&amp;"5"</f>
        <v>5</v>
      </c>
      <c r="AM53" s="102"/>
      <c r="AN53" s="102"/>
      <c r="AO53" s="102"/>
      <c r="AP53" s="102"/>
      <c r="AQ53" s="102"/>
      <c r="AR53" s="105"/>
      <c r="AS53" s="105"/>
      <c r="AT53" s="105"/>
      <c r="AU53" s="105"/>
      <c r="AV53" s="102"/>
      <c r="AW53" s="102"/>
      <c r="AX53" s="102"/>
      <c r="AY53" s="102"/>
    </row>
    <row r="54" spans="1:51" ht="13.5" customHeight="1">
      <c r="A54" s="102"/>
      <c r="B54" s="102"/>
      <c r="C54" s="105"/>
      <c r="D54" s="102"/>
      <c r="E54" s="102"/>
      <c r="F54" s="104"/>
      <c r="G54" s="105"/>
      <c r="H54" s="105"/>
      <c r="I54" s="105"/>
      <c r="J54" s="105"/>
      <c r="K54" s="102"/>
      <c r="L54" s="102"/>
      <c r="M54" s="102"/>
      <c r="N54" s="102"/>
      <c r="O54" s="102"/>
      <c r="P54" s="102"/>
      <c r="Q54" s="102"/>
      <c r="R54" s="102"/>
      <c r="S54" s="105"/>
      <c r="T54" s="102"/>
      <c r="U54" s="102"/>
      <c r="V54" s="106"/>
      <c r="W54" s="102"/>
      <c r="X54" s="102"/>
      <c r="Y54" s="102"/>
      <c r="Z54" s="102"/>
      <c r="AA54" s="102"/>
      <c r="AB54" s="102"/>
      <c r="AC54" s="102"/>
      <c r="AD54" s="102"/>
      <c r="AE54" s="102"/>
      <c r="AF54" s="102"/>
      <c r="AG54" s="102"/>
      <c r="AH54" s="102"/>
      <c r="AI54" s="102"/>
      <c r="AJ54" s="102"/>
      <c r="AK54" s="234" t="e">
        <f t="shared" si="32"/>
        <v>#N/A</v>
      </c>
      <c r="AL54" s="234" t="str">
        <f>$E$3&amp;"4"</f>
        <v>4</v>
      </c>
      <c r="AM54" s="102"/>
      <c r="AN54" s="102"/>
      <c r="AO54" s="102"/>
      <c r="AP54" s="102"/>
      <c r="AQ54" s="102"/>
      <c r="AR54" s="105"/>
      <c r="AS54" s="105"/>
      <c r="AT54" s="105"/>
      <c r="AU54" s="105"/>
      <c r="AV54" s="102"/>
      <c r="AW54" s="102"/>
      <c r="AX54" s="102"/>
      <c r="AY54" s="102"/>
    </row>
    <row r="55" spans="1:51" ht="13.5" customHeight="1">
      <c r="A55" s="102"/>
      <c r="B55" s="102"/>
      <c r="C55" s="105"/>
      <c r="D55" s="102"/>
      <c r="E55" s="102"/>
      <c r="F55" s="104"/>
      <c r="G55" s="105"/>
      <c r="H55" s="105"/>
      <c r="I55" s="105"/>
      <c r="J55" s="105"/>
      <c r="K55" s="102"/>
      <c r="L55" s="102"/>
      <c r="M55" s="102"/>
      <c r="N55" s="102"/>
      <c r="O55" s="102"/>
      <c r="P55" s="102"/>
      <c r="Q55" s="102"/>
      <c r="R55" s="102"/>
      <c r="S55" s="105"/>
      <c r="T55" s="102"/>
      <c r="U55" s="102"/>
      <c r="V55" s="106"/>
      <c r="W55" s="102"/>
      <c r="X55" s="102"/>
      <c r="Y55" s="102"/>
      <c r="Z55" s="102"/>
      <c r="AA55" s="102"/>
      <c r="AB55" s="102"/>
      <c r="AC55" s="102"/>
      <c r="AD55" s="102"/>
      <c r="AE55" s="102"/>
      <c r="AF55" s="102"/>
      <c r="AG55" s="102"/>
      <c r="AH55" s="102"/>
      <c r="AI55" s="102"/>
      <c r="AJ55" s="102"/>
      <c r="AK55" s="234" t="e">
        <f t="shared" si="32"/>
        <v>#N/A</v>
      </c>
      <c r="AL55" s="234" t="str">
        <f>$E$3&amp;"3"</f>
        <v>3</v>
      </c>
      <c r="AM55" s="102"/>
      <c r="AN55" s="102"/>
      <c r="AO55" s="102"/>
      <c r="AP55" s="102"/>
      <c r="AQ55" s="102"/>
      <c r="AR55" s="105"/>
      <c r="AS55" s="105"/>
      <c r="AT55" s="105"/>
      <c r="AU55" s="105"/>
      <c r="AV55" s="102"/>
      <c r="AW55" s="102"/>
      <c r="AX55" s="102"/>
      <c r="AY55" s="102"/>
    </row>
    <row r="56" spans="1:51" ht="13.5" customHeight="1">
      <c r="A56" s="102"/>
      <c r="B56" s="102"/>
      <c r="C56" s="105"/>
      <c r="D56" s="102"/>
      <c r="E56" s="102"/>
      <c r="F56" s="104"/>
      <c r="G56" s="105"/>
      <c r="H56" s="105"/>
      <c r="I56" s="105"/>
      <c r="J56" s="105"/>
      <c r="K56" s="102"/>
      <c r="L56" s="102"/>
      <c r="M56" s="102"/>
      <c r="N56" s="102"/>
      <c r="O56" s="102"/>
      <c r="P56" s="102"/>
      <c r="Q56" s="102"/>
      <c r="R56" s="102"/>
      <c r="S56" s="105"/>
      <c r="T56" s="102"/>
      <c r="U56" s="102"/>
      <c r="V56" s="106"/>
      <c r="W56" s="102"/>
      <c r="X56" s="102"/>
      <c r="Y56" s="102"/>
      <c r="Z56" s="102"/>
      <c r="AA56" s="102"/>
      <c r="AB56" s="102"/>
      <c r="AC56" s="102"/>
      <c r="AD56" s="102"/>
      <c r="AE56" s="102"/>
      <c r="AF56" s="102"/>
      <c r="AG56" s="102"/>
      <c r="AH56" s="102"/>
      <c r="AI56" s="102"/>
      <c r="AJ56" s="102"/>
      <c r="AK56" s="234" t="e">
        <f t="shared" si="32"/>
        <v>#N/A</v>
      </c>
      <c r="AL56" s="234" t="str">
        <f>$E$3&amp;"2"</f>
        <v>2</v>
      </c>
      <c r="AM56" s="102"/>
      <c r="AN56" s="102"/>
      <c r="AO56" s="102"/>
      <c r="AP56" s="102"/>
      <c r="AQ56" s="102"/>
      <c r="AR56" s="105"/>
      <c r="AS56" s="105"/>
      <c r="AT56" s="105"/>
      <c r="AU56" s="105"/>
      <c r="AV56" s="102"/>
      <c r="AW56" s="102"/>
      <c r="AX56" s="102"/>
      <c r="AY56" s="102"/>
    </row>
    <row r="57" spans="1:51" ht="13.5" customHeight="1">
      <c r="A57" s="102"/>
      <c r="B57" s="102"/>
      <c r="C57" s="105"/>
      <c r="D57" s="102"/>
      <c r="E57" s="102"/>
      <c r="F57" s="104"/>
      <c r="G57" s="105"/>
      <c r="H57" s="105"/>
      <c r="I57" s="105"/>
      <c r="J57" s="105"/>
      <c r="K57" s="102"/>
      <c r="L57" s="102"/>
      <c r="M57" s="102"/>
      <c r="N57" s="102"/>
      <c r="O57" s="102"/>
      <c r="P57" s="102"/>
      <c r="Q57" s="102"/>
      <c r="R57" s="102"/>
      <c r="S57" s="105"/>
      <c r="T57" s="102"/>
      <c r="U57" s="102"/>
      <c r="V57" s="106"/>
      <c r="W57" s="102"/>
      <c r="X57" s="102"/>
      <c r="Y57" s="102"/>
      <c r="Z57" s="102"/>
      <c r="AA57" s="102"/>
      <c r="AB57" s="102"/>
      <c r="AC57" s="102"/>
      <c r="AD57" s="102"/>
      <c r="AE57" s="102"/>
      <c r="AF57" s="102"/>
      <c r="AG57" s="102"/>
      <c r="AH57" s="102"/>
      <c r="AI57" s="102"/>
      <c r="AJ57" s="106" t="s">
        <v>224</v>
      </c>
      <c r="AK57" s="234" t="e">
        <f t="shared" si="32"/>
        <v>#N/A</v>
      </c>
      <c r="AL57" s="234" t="str">
        <f t="shared" ref="AL57:AL58" si="33">$E$3&amp;"1"</f>
        <v>1</v>
      </c>
      <c r="AM57" s="102"/>
      <c r="AN57" s="102"/>
      <c r="AO57" s="102"/>
      <c r="AP57" s="102"/>
      <c r="AQ57" s="102"/>
      <c r="AR57" s="105"/>
      <c r="AS57" s="105"/>
      <c r="AT57" s="105"/>
      <c r="AU57" s="105"/>
      <c r="AV57" s="102"/>
      <c r="AW57" s="102"/>
      <c r="AX57" s="102"/>
      <c r="AY57" s="102"/>
    </row>
    <row r="58" spans="1:51" ht="13.5" customHeight="1">
      <c r="A58" s="102"/>
      <c r="B58" s="102"/>
      <c r="C58" s="105"/>
      <c r="D58" s="102"/>
      <c r="E58" s="102"/>
      <c r="F58" s="104"/>
      <c r="G58" s="105"/>
      <c r="H58" s="105"/>
      <c r="I58" s="105"/>
      <c r="J58" s="105"/>
      <c r="K58" s="102"/>
      <c r="L58" s="102"/>
      <c r="M58" s="102"/>
      <c r="N58" s="102"/>
      <c r="O58" s="102"/>
      <c r="P58" s="102"/>
      <c r="Q58" s="102"/>
      <c r="R58" s="102"/>
      <c r="S58" s="105"/>
      <c r="T58" s="102"/>
      <c r="U58" s="102"/>
      <c r="V58" s="106"/>
      <c r="W58" s="102"/>
      <c r="X58" s="102"/>
      <c r="Y58" s="102"/>
      <c r="Z58" s="102"/>
      <c r="AA58" s="102"/>
      <c r="AB58" s="102"/>
      <c r="AC58" s="102"/>
      <c r="AD58" s="102"/>
      <c r="AE58" s="102"/>
      <c r="AF58" s="102"/>
      <c r="AG58" s="102"/>
      <c r="AH58" s="102"/>
      <c r="AI58" s="102"/>
      <c r="AJ58" s="234" t="e">
        <f t="shared" ref="AJ58:AJ67" si="34">VLOOKUP(AL58,DBPlayers,3,0)</f>
        <v>#N/A</v>
      </c>
      <c r="AK58" s="234" t="e">
        <f t="shared" ref="AK58:AK67" si="35">AJ58&amp;" "&amp;T_Merc</f>
        <v>#N/A</v>
      </c>
      <c r="AL58" s="234" t="str">
        <f t="shared" si="33"/>
        <v>1</v>
      </c>
      <c r="AM58" s="102"/>
      <c r="AN58" s="235"/>
      <c r="AO58" s="102"/>
      <c r="AP58" s="102"/>
      <c r="AQ58" s="102"/>
      <c r="AR58" s="105"/>
      <c r="AS58" s="105"/>
      <c r="AT58" s="105"/>
      <c r="AU58" s="105"/>
      <c r="AV58" s="102"/>
      <c r="AW58" s="102"/>
      <c r="AX58" s="102"/>
      <c r="AY58" s="102"/>
    </row>
    <row r="59" spans="1:51" ht="13.5" customHeight="1">
      <c r="A59" s="102"/>
      <c r="B59" s="102"/>
      <c r="C59" s="105"/>
      <c r="D59" s="102"/>
      <c r="E59" s="102"/>
      <c r="F59" s="104"/>
      <c r="G59" s="105"/>
      <c r="H59" s="105"/>
      <c r="I59" s="105"/>
      <c r="J59" s="105"/>
      <c r="K59" s="102"/>
      <c r="L59" s="102"/>
      <c r="M59" s="102"/>
      <c r="N59" s="102"/>
      <c r="O59" s="102"/>
      <c r="P59" s="102"/>
      <c r="Q59" s="102"/>
      <c r="R59" s="102"/>
      <c r="S59" s="105"/>
      <c r="T59" s="102"/>
      <c r="U59" s="102"/>
      <c r="V59" s="106"/>
      <c r="W59" s="102"/>
      <c r="X59" s="102"/>
      <c r="Y59" s="102"/>
      <c r="Z59" s="102"/>
      <c r="AA59" s="102"/>
      <c r="AB59" s="102"/>
      <c r="AC59" s="102"/>
      <c r="AD59" s="102"/>
      <c r="AE59" s="102"/>
      <c r="AF59" s="102"/>
      <c r="AG59" s="102"/>
      <c r="AH59" s="102"/>
      <c r="AI59" s="102"/>
      <c r="AJ59" s="234" t="e">
        <f t="shared" si="34"/>
        <v>#N/A</v>
      </c>
      <c r="AK59" s="234" t="e">
        <f t="shared" si="35"/>
        <v>#N/A</v>
      </c>
      <c r="AL59" s="234" t="str">
        <f>$E$3&amp;"2"</f>
        <v>2</v>
      </c>
      <c r="AM59" s="102"/>
      <c r="AN59" s="102"/>
      <c r="AO59" s="102"/>
      <c r="AP59" s="102"/>
      <c r="AQ59" s="102"/>
      <c r="AR59" s="105"/>
      <c r="AS59" s="105"/>
      <c r="AT59" s="105"/>
      <c r="AU59" s="105"/>
      <c r="AV59" s="102"/>
      <c r="AW59" s="102"/>
      <c r="AX59" s="102"/>
      <c r="AY59" s="102"/>
    </row>
    <row r="60" spans="1:51" ht="12.75" customHeight="1">
      <c r="A60" s="102"/>
      <c r="B60" s="102"/>
      <c r="C60" s="105"/>
      <c r="D60" s="102"/>
      <c r="E60" s="102"/>
      <c r="F60" s="104"/>
      <c r="G60" s="105"/>
      <c r="H60" s="105"/>
      <c r="I60" s="105"/>
      <c r="J60" s="105"/>
      <c r="K60" s="102"/>
      <c r="L60" s="102"/>
      <c r="M60" s="102"/>
      <c r="N60" s="102"/>
      <c r="O60" s="102"/>
      <c r="P60" s="102"/>
      <c r="Q60" s="102"/>
      <c r="R60" s="102"/>
      <c r="S60" s="105"/>
      <c r="T60" s="102"/>
      <c r="U60" s="102"/>
      <c r="V60" s="106"/>
      <c r="W60" s="102"/>
      <c r="X60" s="102"/>
      <c r="Y60" s="102"/>
      <c r="Z60" s="102"/>
      <c r="AA60" s="102"/>
      <c r="AB60" s="102"/>
      <c r="AC60" s="102"/>
      <c r="AD60" s="102"/>
      <c r="AE60" s="102"/>
      <c r="AF60" s="102"/>
      <c r="AG60" s="102"/>
      <c r="AH60" s="102"/>
      <c r="AI60" s="102"/>
      <c r="AJ60" s="234" t="e">
        <f t="shared" si="34"/>
        <v>#N/A</v>
      </c>
      <c r="AK60" s="234" t="e">
        <f t="shared" si="35"/>
        <v>#N/A</v>
      </c>
      <c r="AL60" s="234" t="str">
        <f>$E$3&amp;"3"</f>
        <v>3</v>
      </c>
      <c r="AM60" s="102"/>
      <c r="AN60" s="102"/>
      <c r="AO60" s="102"/>
      <c r="AP60" s="102"/>
      <c r="AQ60" s="102"/>
      <c r="AR60" s="105"/>
      <c r="AS60" s="105"/>
      <c r="AT60" s="105"/>
      <c r="AU60" s="105"/>
      <c r="AV60" s="102"/>
      <c r="AW60" s="102"/>
      <c r="AX60" s="102"/>
      <c r="AY60" s="102"/>
    </row>
    <row r="61" spans="1:51" ht="12.75" customHeight="1">
      <c r="A61" s="102"/>
      <c r="B61" s="102"/>
      <c r="C61" s="105"/>
      <c r="D61" s="102"/>
      <c r="E61" s="102"/>
      <c r="F61" s="104"/>
      <c r="G61" s="105"/>
      <c r="H61" s="105"/>
      <c r="I61" s="105"/>
      <c r="J61" s="105"/>
      <c r="K61" s="102"/>
      <c r="L61" s="102"/>
      <c r="M61" s="102"/>
      <c r="N61" s="102"/>
      <c r="O61" s="102"/>
      <c r="P61" s="102"/>
      <c r="Q61" s="102"/>
      <c r="R61" s="102"/>
      <c r="S61" s="105"/>
      <c r="T61" s="102"/>
      <c r="U61" s="102"/>
      <c r="V61" s="106"/>
      <c r="W61" s="102"/>
      <c r="X61" s="102"/>
      <c r="Y61" s="102"/>
      <c r="Z61" s="102"/>
      <c r="AA61" s="102"/>
      <c r="AB61" s="102"/>
      <c r="AC61" s="102"/>
      <c r="AD61" s="102"/>
      <c r="AE61" s="102"/>
      <c r="AF61" s="102"/>
      <c r="AG61" s="102"/>
      <c r="AH61" s="102"/>
      <c r="AI61" s="102"/>
      <c r="AJ61" s="234" t="e">
        <f t="shared" si="34"/>
        <v>#N/A</v>
      </c>
      <c r="AK61" s="234" t="e">
        <f t="shared" si="35"/>
        <v>#N/A</v>
      </c>
      <c r="AL61" s="234" t="str">
        <f>$E$3&amp;"4"</f>
        <v>4</v>
      </c>
      <c r="AM61" s="102"/>
      <c r="AN61" s="102"/>
      <c r="AO61" s="102"/>
      <c r="AP61" s="102"/>
      <c r="AQ61" s="102"/>
      <c r="AR61" s="105"/>
      <c r="AS61" s="105"/>
      <c r="AT61" s="105"/>
      <c r="AU61" s="105"/>
      <c r="AV61" s="102"/>
      <c r="AW61" s="102"/>
      <c r="AX61" s="102"/>
      <c r="AY61" s="102"/>
    </row>
    <row r="62" spans="1:51" ht="12.75" customHeight="1">
      <c r="A62" s="102"/>
      <c r="B62" s="102"/>
      <c r="C62" s="105"/>
      <c r="D62" s="102"/>
      <c r="E62" s="102"/>
      <c r="F62" s="104"/>
      <c r="G62" s="105"/>
      <c r="H62" s="105"/>
      <c r="I62" s="105"/>
      <c r="J62" s="105"/>
      <c r="K62" s="102"/>
      <c r="L62" s="102"/>
      <c r="M62" s="102"/>
      <c r="N62" s="102"/>
      <c r="O62" s="102"/>
      <c r="P62" s="102"/>
      <c r="Q62" s="102"/>
      <c r="R62" s="102"/>
      <c r="S62" s="105"/>
      <c r="T62" s="102"/>
      <c r="U62" s="102"/>
      <c r="V62" s="106"/>
      <c r="W62" s="102"/>
      <c r="X62" s="102"/>
      <c r="Y62" s="102"/>
      <c r="Z62" s="102"/>
      <c r="AA62" s="102"/>
      <c r="AB62" s="102"/>
      <c r="AC62" s="102"/>
      <c r="AD62" s="102"/>
      <c r="AE62" s="102"/>
      <c r="AF62" s="102"/>
      <c r="AG62" s="102"/>
      <c r="AH62" s="102"/>
      <c r="AI62" s="102"/>
      <c r="AJ62" s="234" t="e">
        <f t="shared" si="34"/>
        <v>#N/A</v>
      </c>
      <c r="AK62" s="234" t="e">
        <f t="shared" si="35"/>
        <v>#N/A</v>
      </c>
      <c r="AL62" s="234" t="str">
        <f>$E$3&amp;"5"</f>
        <v>5</v>
      </c>
      <c r="AM62" s="102"/>
      <c r="AN62" s="102"/>
      <c r="AO62" s="102"/>
      <c r="AP62" s="102"/>
      <c r="AQ62" s="102"/>
      <c r="AR62" s="105"/>
      <c r="AS62" s="105"/>
      <c r="AT62" s="105"/>
      <c r="AU62" s="105"/>
      <c r="AV62" s="102"/>
      <c r="AW62" s="102"/>
      <c r="AX62" s="102"/>
      <c r="AY62" s="102"/>
    </row>
    <row r="63" spans="1:51" ht="12.75" customHeight="1">
      <c r="A63" s="102"/>
      <c r="B63" s="102"/>
      <c r="C63" s="105"/>
      <c r="D63" s="102"/>
      <c r="E63" s="102"/>
      <c r="F63" s="104"/>
      <c r="G63" s="105"/>
      <c r="H63" s="105"/>
      <c r="I63" s="105"/>
      <c r="J63" s="105"/>
      <c r="K63" s="102"/>
      <c r="L63" s="102"/>
      <c r="M63" s="102"/>
      <c r="N63" s="102"/>
      <c r="O63" s="102"/>
      <c r="P63" s="102"/>
      <c r="Q63" s="102"/>
      <c r="R63" s="102"/>
      <c r="S63" s="105"/>
      <c r="T63" s="102"/>
      <c r="U63" s="102"/>
      <c r="V63" s="106"/>
      <c r="W63" s="102"/>
      <c r="X63" s="102"/>
      <c r="Y63" s="102"/>
      <c r="Z63" s="102"/>
      <c r="AA63" s="102"/>
      <c r="AB63" s="102"/>
      <c r="AC63" s="102"/>
      <c r="AD63" s="102"/>
      <c r="AE63" s="102"/>
      <c r="AF63" s="102"/>
      <c r="AG63" s="102"/>
      <c r="AH63" s="102"/>
      <c r="AI63" s="102"/>
      <c r="AJ63" s="234" t="e">
        <f t="shared" si="34"/>
        <v>#N/A</v>
      </c>
      <c r="AK63" s="234" t="e">
        <f t="shared" si="35"/>
        <v>#N/A</v>
      </c>
      <c r="AL63" s="234" t="str">
        <f>$E$3&amp;"6"</f>
        <v>6</v>
      </c>
      <c r="AM63" s="102"/>
      <c r="AN63" s="102"/>
      <c r="AO63" s="102"/>
      <c r="AP63" s="102"/>
      <c r="AQ63" s="102"/>
      <c r="AR63" s="105"/>
      <c r="AS63" s="105"/>
      <c r="AT63" s="105"/>
      <c r="AU63" s="105"/>
      <c r="AV63" s="102"/>
      <c r="AW63" s="102"/>
      <c r="AX63" s="102"/>
      <c r="AY63" s="102"/>
    </row>
    <row r="64" spans="1:51" ht="12.75" customHeight="1">
      <c r="A64" s="102"/>
      <c r="B64" s="102"/>
      <c r="C64" s="105"/>
      <c r="D64" s="102"/>
      <c r="E64" s="102"/>
      <c r="F64" s="104"/>
      <c r="G64" s="105"/>
      <c r="H64" s="105"/>
      <c r="I64" s="105"/>
      <c r="J64" s="105"/>
      <c r="K64" s="102"/>
      <c r="L64" s="102"/>
      <c r="M64" s="102"/>
      <c r="N64" s="102"/>
      <c r="O64" s="102"/>
      <c r="P64" s="102"/>
      <c r="Q64" s="102"/>
      <c r="R64" s="102"/>
      <c r="S64" s="105"/>
      <c r="T64" s="102"/>
      <c r="U64" s="102"/>
      <c r="V64" s="106"/>
      <c r="W64" s="102"/>
      <c r="X64" s="102"/>
      <c r="Y64" s="102"/>
      <c r="Z64" s="102"/>
      <c r="AA64" s="102"/>
      <c r="AB64" s="102"/>
      <c r="AC64" s="102"/>
      <c r="AD64" s="102"/>
      <c r="AE64" s="102"/>
      <c r="AF64" s="102"/>
      <c r="AG64" s="102"/>
      <c r="AH64" s="102"/>
      <c r="AI64" s="102"/>
      <c r="AJ64" s="234" t="e">
        <f t="shared" si="34"/>
        <v>#N/A</v>
      </c>
      <c r="AK64" s="234" t="e">
        <f t="shared" si="35"/>
        <v>#N/A</v>
      </c>
      <c r="AL64" s="234" t="str">
        <f>$E$3&amp;"7"</f>
        <v>7</v>
      </c>
      <c r="AM64" s="102"/>
      <c r="AN64" s="102"/>
      <c r="AO64" s="102"/>
      <c r="AP64" s="102"/>
      <c r="AQ64" s="102"/>
      <c r="AR64" s="105"/>
      <c r="AS64" s="105"/>
      <c r="AT64" s="105"/>
      <c r="AU64" s="105"/>
      <c r="AV64" s="102"/>
      <c r="AW64" s="102"/>
      <c r="AX64" s="102"/>
      <c r="AY64" s="102"/>
    </row>
    <row r="65" spans="1:51" ht="12.75" customHeight="1">
      <c r="A65" s="102"/>
      <c r="B65" s="102"/>
      <c r="C65" s="105"/>
      <c r="D65" s="102"/>
      <c r="E65" s="102"/>
      <c r="F65" s="104"/>
      <c r="G65" s="105"/>
      <c r="H65" s="105"/>
      <c r="I65" s="105"/>
      <c r="J65" s="105"/>
      <c r="K65" s="102"/>
      <c r="L65" s="102"/>
      <c r="M65" s="102"/>
      <c r="N65" s="102"/>
      <c r="O65" s="102"/>
      <c r="P65" s="102"/>
      <c r="Q65" s="102"/>
      <c r="R65" s="102"/>
      <c r="S65" s="105"/>
      <c r="T65" s="102"/>
      <c r="U65" s="102"/>
      <c r="V65" s="106"/>
      <c r="W65" s="102"/>
      <c r="X65" s="102"/>
      <c r="Y65" s="102"/>
      <c r="Z65" s="102"/>
      <c r="AA65" s="102"/>
      <c r="AB65" s="102"/>
      <c r="AC65" s="102"/>
      <c r="AD65" s="102"/>
      <c r="AE65" s="102"/>
      <c r="AF65" s="102"/>
      <c r="AG65" s="102"/>
      <c r="AH65" s="102"/>
      <c r="AI65" s="102"/>
      <c r="AJ65" s="234" t="e">
        <f t="shared" si="34"/>
        <v>#N/A</v>
      </c>
      <c r="AK65" s="234" t="e">
        <f t="shared" si="35"/>
        <v>#N/A</v>
      </c>
      <c r="AL65" s="234" t="str">
        <f>$E$3&amp;"8"</f>
        <v>8</v>
      </c>
      <c r="AM65" s="102"/>
      <c r="AN65" s="102"/>
      <c r="AO65" s="102"/>
      <c r="AP65" s="102"/>
      <c r="AQ65" s="102"/>
      <c r="AR65" s="105"/>
      <c r="AS65" s="105"/>
      <c r="AT65" s="105"/>
      <c r="AU65" s="105"/>
      <c r="AV65" s="102"/>
      <c r="AW65" s="102"/>
      <c r="AX65" s="102"/>
      <c r="AY65" s="102"/>
    </row>
    <row r="66" spans="1:51" ht="12.75" customHeight="1">
      <c r="A66" s="102"/>
      <c r="B66" s="102"/>
      <c r="C66" s="105"/>
      <c r="D66" s="102"/>
      <c r="E66" s="102"/>
      <c r="F66" s="104"/>
      <c r="G66" s="105"/>
      <c r="H66" s="105"/>
      <c r="I66" s="105"/>
      <c r="J66" s="105"/>
      <c r="K66" s="102"/>
      <c r="L66" s="102"/>
      <c r="M66" s="102"/>
      <c r="N66" s="102"/>
      <c r="O66" s="102"/>
      <c r="P66" s="102"/>
      <c r="Q66" s="102"/>
      <c r="R66" s="102"/>
      <c r="S66" s="105"/>
      <c r="T66" s="102"/>
      <c r="U66" s="102"/>
      <c r="V66" s="106"/>
      <c r="W66" s="102"/>
      <c r="X66" s="102"/>
      <c r="Y66" s="102"/>
      <c r="Z66" s="102"/>
      <c r="AA66" s="102"/>
      <c r="AB66" s="102"/>
      <c r="AC66" s="102"/>
      <c r="AD66" s="102"/>
      <c r="AE66" s="102"/>
      <c r="AF66" s="102"/>
      <c r="AG66" s="102"/>
      <c r="AH66" s="102"/>
      <c r="AI66" s="102"/>
      <c r="AJ66" s="234" t="e">
        <f t="shared" si="34"/>
        <v>#N/A</v>
      </c>
      <c r="AK66" s="234" t="e">
        <f t="shared" si="35"/>
        <v>#N/A</v>
      </c>
      <c r="AL66" s="234" t="str">
        <f>$E$3&amp;"9"</f>
        <v>9</v>
      </c>
      <c r="AM66" s="102"/>
      <c r="AN66" s="102"/>
      <c r="AO66" s="102"/>
      <c r="AP66" s="102"/>
      <c r="AQ66" s="102"/>
      <c r="AR66" s="105"/>
      <c r="AS66" s="105"/>
      <c r="AT66" s="105"/>
      <c r="AU66" s="105"/>
      <c r="AV66" s="102"/>
      <c r="AW66" s="102"/>
      <c r="AX66" s="102"/>
      <c r="AY66" s="102"/>
    </row>
    <row r="67" spans="1:51" ht="12.75" customHeight="1">
      <c r="A67" s="102"/>
      <c r="B67" s="102"/>
      <c r="C67" s="105"/>
      <c r="D67" s="102"/>
      <c r="E67" s="102"/>
      <c r="F67" s="104"/>
      <c r="G67" s="105"/>
      <c r="H67" s="105"/>
      <c r="I67" s="105"/>
      <c r="J67" s="105"/>
      <c r="K67" s="102"/>
      <c r="L67" s="102"/>
      <c r="M67" s="102"/>
      <c r="N67" s="102"/>
      <c r="O67" s="102"/>
      <c r="P67" s="102"/>
      <c r="Q67" s="102"/>
      <c r="R67" s="102"/>
      <c r="S67" s="105"/>
      <c r="T67" s="102"/>
      <c r="U67" s="102"/>
      <c r="V67" s="106"/>
      <c r="W67" s="102"/>
      <c r="X67" s="102"/>
      <c r="Y67" s="102"/>
      <c r="Z67" s="102"/>
      <c r="AA67" s="102"/>
      <c r="AB67" s="102"/>
      <c r="AC67" s="102"/>
      <c r="AD67" s="102"/>
      <c r="AE67" s="102"/>
      <c r="AF67" s="102"/>
      <c r="AG67" s="102"/>
      <c r="AH67" s="102"/>
      <c r="AI67" s="102"/>
      <c r="AJ67" s="234" t="e">
        <f t="shared" si="34"/>
        <v>#N/A</v>
      </c>
      <c r="AK67" s="234" t="e">
        <f t="shared" si="35"/>
        <v>#N/A</v>
      </c>
      <c r="AL67" s="234" t="str">
        <f>$E$3&amp;"10"</f>
        <v>10</v>
      </c>
      <c r="AM67" s="102"/>
      <c r="AN67" s="102"/>
      <c r="AO67" s="102"/>
      <c r="AP67" s="102"/>
      <c r="AQ67" s="102"/>
      <c r="AR67" s="105"/>
      <c r="AS67" s="105"/>
      <c r="AT67" s="105"/>
      <c r="AU67" s="105"/>
      <c r="AV67" s="102"/>
      <c r="AW67" s="102"/>
      <c r="AX67" s="102"/>
      <c r="AY67" s="102"/>
    </row>
    <row r="68" spans="1:51" ht="12.75" customHeight="1">
      <c r="A68" s="102"/>
      <c r="B68" s="102"/>
      <c r="C68" s="105"/>
      <c r="D68" s="102"/>
      <c r="E68" s="102"/>
      <c r="F68" s="104"/>
      <c r="G68" s="105"/>
      <c r="H68" s="105"/>
      <c r="I68" s="105"/>
      <c r="J68" s="105"/>
      <c r="K68" s="102"/>
      <c r="L68" s="102"/>
      <c r="M68" s="102"/>
      <c r="N68" s="102"/>
      <c r="O68" s="102"/>
      <c r="P68" s="102"/>
      <c r="Q68" s="102"/>
      <c r="R68" s="102"/>
      <c r="S68" s="105"/>
      <c r="T68" s="102"/>
      <c r="U68" s="102"/>
      <c r="V68" s="106"/>
      <c r="W68" s="102"/>
      <c r="X68" s="102"/>
      <c r="Y68" s="102"/>
      <c r="Z68" s="102"/>
      <c r="AA68" s="102"/>
      <c r="AB68" s="102"/>
      <c r="AC68" s="102"/>
      <c r="AD68" s="102"/>
      <c r="AE68" s="102"/>
      <c r="AF68" s="102"/>
      <c r="AG68" s="102"/>
      <c r="AH68" s="102"/>
      <c r="AI68" s="102"/>
      <c r="AJ68" s="102"/>
      <c r="AK68" s="102"/>
      <c r="AL68" s="102"/>
      <c r="AM68" s="102"/>
      <c r="AN68" s="102"/>
      <c r="AO68" s="102"/>
      <c r="AP68" s="102"/>
      <c r="AQ68" s="102"/>
      <c r="AR68" s="105"/>
      <c r="AS68" s="105"/>
      <c r="AT68" s="105"/>
      <c r="AU68" s="105"/>
      <c r="AV68" s="102"/>
      <c r="AW68" s="102"/>
      <c r="AX68" s="102"/>
      <c r="AY68" s="102"/>
    </row>
    <row r="69" spans="1:51" ht="12.75" customHeight="1">
      <c r="A69" s="102"/>
      <c r="B69" s="102"/>
      <c r="C69" s="105"/>
      <c r="D69" s="102"/>
      <c r="E69" s="102"/>
      <c r="F69" s="104"/>
      <c r="G69" s="105"/>
      <c r="H69" s="105"/>
      <c r="I69" s="105"/>
      <c r="J69" s="105"/>
      <c r="K69" s="102"/>
      <c r="L69" s="102"/>
      <c r="M69" s="102"/>
      <c r="N69" s="102"/>
      <c r="O69" s="102"/>
      <c r="P69" s="102"/>
      <c r="Q69" s="102"/>
      <c r="R69" s="102"/>
      <c r="S69" s="105"/>
      <c r="T69" s="102"/>
      <c r="U69" s="102"/>
      <c r="V69" s="106"/>
      <c r="W69" s="102"/>
      <c r="X69" s="102"/>
      <c r="Y69" s="102"/>
      <c r="Z69" s="102"/>
      <c r="AA69" s="102"/>
      <c r="AB69" s="102"/>
      <c r="AC69" s="102"/>
      <c r="AD69" s="102"/>
      <c r="AE69" s="102"/>
      <c r="AF69" s="102"/>
      <c r="AG69" s="102"/>
      <c r="AH69" s="102"/>
      <c r="AI69" s="102"/>
      <c r="AJ69" s="235" t="s">
        <v>225</v>
      </c>
      <c r="AK69" s="234">
        <f t="array" ref="AK69">SUM(IF(ISERROR($AK$58:$AK$67),0,1))</f>
        <v>0</v>
      </c>
      <c r="AL69" s="102"/>
      <c r="AM69" s="102"/>
      <c r="AN69" s="102"/>
      <c r="AO69" s="102"/>
      <c r="AP69" s="102"/>
      <c r="AQ69" s="102"/>
      <c r="AR69" s="105"/>
      <c r="AS69" s="105"/>
      <c r="AT69" s="105"/>
      <c r="AU69" s="105"/>
      <c r="AV69" s="102"/>
      <c r="AW69" s="102"/>
      <c r="AX69" s="102"/>
      <c r="AY69" s="102"/>
    </row>
    <row r="70" spans="1:51" ht="12.75" customHeight="1">
      <c r="A70" s="102"/>
      <c r="B70" s="102"/>
      <c r="C70" s="105"/>
      <c r="D70" s="102"/>
      <c r="E70" s="102"/>
      <c r="F70" s="104"/>
      <c r="G70" s="105"/>
      <c r="H70" s="105"/>
      <c r="I70" s="105"/>
      <c r="J70" s="105"/>
      <c r="K70" s="102"/>
      <c r="L70" s="102"/>
      <c r="M70" s="102"/>
      <c r="N70" s="102"/>
      <c r="O70" s="102"/>
      <c r="P70" s="102"/>
      <c r="Q70" s="102"/>
      <c r="R70" s="102"/>
      <c r="S70" s="105"/>
      <c r="T70" s="102"/>
      <c r="U70" s="102"/>
      <c r="V70" s="106"/>
      <c r="W70" s="102"/>
      <c r="X70" s="102"/>
      <c r="Y70" s="102"/>
      <c r="Z70" s="102"/>
      <c r="AA70" s="102"/>
      <c r="AB70" s="102"/>
      <c r="AC70" s="102"/>
      <c r="AD70" s="102"/>
      <c r="AE70" s="102"/>
      <c r="AF70" s="102"/>
      <c r="AG70" s="102"/>
      <c r="AH70" s="102"/>
      <c r="AI70" s="102"/>
      <c r="AJ70" s="235" t="s">
        <v>226</v>
      </c>
      <c r="AK70" s="234">
        <f t="array" ref="AK70">SUM(IF(ISERROR($AK$48:$AK$57),0,1))</f>
        <v>0</v>
      </c>
      <c r="AL70" s="102"/>
      <c r="AM70" s="102"/>
      <c r="AN70" s="102"/>
      <c r="AO70" s="102"/>
      <c r="AP70" s="102"/>
      <c r="AQ70" s="102"/>
      <c r="AR70" s="105"/>
      <c r="AS70" s="105"/>
      <c r="AT70" s="105"/>
      <c r="AU70" s="105"/>
      <c r="AV70" s="102"/>
      <c r="AW70" s="102"/>
      <c r="AX70" s="102"/>
      <c r="AY70" s="102"/>
    </row>
  </sheetData>
  <mergeCells count="58">
    <mergeCell ref="G3:I3"/>
    <mergeCell ref="E3:F3"/>
    <mergeCell ref="D28:E28"/>
    <mergeCell ref="D25:E25"/>
    <mergeCell ref="D24:E24"/>
    <mergeCell ref="O34:Q34"/>
    <mergeCell ref="H34:I34"/>
    <mergeCell ref="K29:R29"/>
    <mergeCell ref="K28:R28"/>
    <mergeCell ref="K27:R27"/>
    <mergeCell ref="K30:R30"/>
    <mergeCell ref="L31:P31"/>
    <mergeCell ref="K26:R26"/>
    <mergeCell ref="L33:R33"/>
    <mergeCell ref="D33:I33"/>
    <mergeCell ref="D27:E27"/>
    <mergeCell ref="D26:E26"/>
    <mergeCell ref="V25:W25"/>
    <mergeCell ref="U3:W3"/>
    <mergeCell ref="N3:S3"/>
    <mergeCell ref="AR3:AU3"/>
    <mergeCell ref="AF3:AG3"/>
    <mergeCell ref="K25:R25"/>
    <mergeCell ref="V24:W24"/>
    <mergeCell ref="K24:R24"/>
    <mergeCell ref="J3:K3"/>
    <mergeCell ref="L3:M3"/>
    <mergeCell ref="V26:W26"/>
    <mergeCell ref="V28:W28"/>
    <mergeCell ref="V27:W27"/>
    <mergeCell ref="V29:W29"/>
    <mergeCell ref="V30:W30"/>
    <mergeCell ref="F41:I41"/>
    <mergeCell ref="R41:S41"/>
    <mergeCell ref="R42:S42"/>
    <mergeCell ref="R40:S40"/>
    <mergeCell ref="F42:I42"/>
    <mergeCell ref="H40:I40"/>
    <mergeCell ref="H39:I39"/>
    <mergeCell ref="M39:P39"/>
    <mergeCell ref="H36:I36"/>
    <mergeCell ref="H37:I37"/>
    <mergeCell ref="O36:Q36"/>
    <mergeCell ref="D41:E41"/>
    <mergeCell ref="D40:E40"/>
    <mergeCell ref="D38:E38"/>
    <mergeCell ref="D35:E35"/>
    <mergeCell ref="D39:E39"/>
    <mergeCell ref="D37:E37"/>
    <mergeCell ref="D36:E36"/>
    <mergeCell ref="O35:Q35"/>
    <mergeCell ref="O38:Q38"/>
    <mergeCell ref="O37:Q37"/>
    <mergeCell ref="D34:E34"/>
    <mergeCell ref="D29:E29"/>
    <mergeCell ref="D30:E30"/>
    <mergeCell ref="H38:I38"/>
    <mergeCell ref="H35:I35"/>
  </mergeCells>
  <conditionalFormatting sqref="G6:J21">
    <cfRule type="cellIs" dxfId="1" priority="1" stopIfTrue="1" operator="greaterThan">
      <formula>AR6</formula>
    </cfRule>
  </conditionalFormatting>
  <conditionalFormatting sqref="G6:J21">
    <cfRule type="cellIs" dxfId="0" priority="2" stopIfTrue="1" operator="lessThan">
      <formula>AR6</formula>
    </cfRule>
  </conditionalFormatting>
  <dataValidations count="13">
    <dataValidation type="list" allowBlank="1" showErrorMessage="1" sqref="E3">
      <formula1>TeamList</formula1>
    </dataValidation>
    <dataValidation type="decimal" allowBlank="1" showInputMessage="1" showErrorMessage="1" prompt="Wrong Entry - Please enter only numbers between 0 and 2!" sqref="F34 F38">
      <formula1>0</formula1>
      <formula2>2</formula2>
    </dataValidation>
    <dataValidation type="list" allowBlank="1" showInputMessage="1" showErrorMessage="1" prompt="Wrong Entry - Please enter a value from the dropdown list!" sqref="E6:E21">
      <formula1>OFFSET($AJ$58:$AJ$67,0,0,$AK$69,1)</formula1>
    </dataValidation>
    <dataValidation type="list" allowBlank="1" showErrorMessage="1" sqref="D44">
      <formula1>#REF!</formula1>
    </dataValidation>
    <dataValidation type="list" allowBlank="1" showInputMessage="1" showErrorMessage="1" prompt="Wrong Entry - Please enter a value from the dropdown list!" sqref="L6:L21">
      <formula1>StatusDropdown</formula1>
    </dataValidation>
    <dataValidation type="list" allowBlank="1" showInputMessage="1" showErrorMessage="1" prompt="Wrong Entry - Please enter a value from the dropdown list!" sqref="D25:D30">
      <formula1>OFFSET($AK$48:$AK$67,(10-$AK$70),0,$AK$69+$AK$70,1)</formula1>
    </dataValidation>
    <dataValidation type="decimal" allowBlank="1" showInputMessage="1" showErrorMessage="1" prompt="Wrong Entry - Please enter only numbers between 0 and 3!" sqref="F35">
      <formula1>0</formula1>
      <formula2>3</formula2>
    </dataValidation>
    <dataValidation type="decimal" allowBlank="1" showInputMessage="1" showErrorMessage="1" prompt="Wrong Entry - Please enter only numbers!" sqref="M34:M37">
      <formula1>0</formula1>
      <formula2>99</formula2>
    </dataValidation>
    <dataValidation type="list" allowBlank="1" showErrorMessage="1" sqref="Y6:AD21 V25:V30 Y30">
      <formula1>OFFSET(DBSkills,0,0,ROWS(DBSkills),1)</formula1>
    </dataValidation>
    <dataValidation type="decimal" allowBlank="1" showInputMessage="1" showErrorMessage="1" prompt="Wrong Entry - Please enter only numbers!" sqref="M39 F41">
      <formula1>-10000000</formula1>
      <formula2>1000000</formula2>
    </dataValidation>
    <dataValidation type="decimal" allowBlank="1" showInputMessage="1" showErrorMessage="1" prompt="Wrong Entry - Please enter only numbers between 0 and 4!" sqref="F36">
      <formula1>0</formula1>
      <formula2>4</formula2>
    </dataValidation>
    <dataValidation type="decimal" allowBlank="1" showInputMessage="1" showErrorMessage="1" prompt="Wrong Entry - Please do only enter numbers!" sqref="M6:Q21">
      <formula1>0</formula1>
      <formula2>9999</formula2>
    </dataValidation>
    <dataValidation type="decimal" allowBlank="1" showInputMessage="1" showErrorMessage="1" prompt="Wrong Entry - Please enter only 0 or 1!" sqref="F37 M38 F39:F40">
      <formula1>0</formula1>
      <formula2>1</formula2>
    </dataValidation>
  </dataValidation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Z46"/>
  <sheetViews>
    <sheetView workbookViewId="0"/>
  </sheetViews>
  <sheetFormatPr defaultColWidth="14.42578125" defaultRowHeight="15" customHeight="1"/>
  <cols>
    <col min="1" max="1" width="2.28515625" customWidth="1"/>
    <col min="2" max="2" width="30.7109375" customWidth="1"/>
    <col min="3" max="4" width="11.42578125" customWidth="1"/>
    <col min="5" max="5" width="5.28515625" customWidth="1"/>
    <col min="6" max="6" width="82.7109375" customWidth="1"/>
    <col min="7" max="26" width="11.42578125" customWidth="1"/>
  </cols>
  <sheetData>
    <row r="1" spans="1:26" ht="36.75" customHeight="1">
      <c r="A1" s="251"/>
      <c r="B1" s="251"/>
      <c r="C1" s="251"/>
      <c r="D1" s="251"/>
      <c r="E1" s="251"/>
      <c r="F1" s="252" t="s">
        <v>373</v>
      </c>
      <c r="G1" s="253"/>
      <c r="H1" s="251"/>
      <c r="I1" s="251"/>
      <c r="J1" s="251"/>
      <c r="K1" s="251"/>
      <c r="L1" s="251"/>
      <c r="M1" s="251"/>
      <c r="N1" s="251"/>
      <c r="O1" s="251"/>
      <c r="P1" s="251"/>
      <c r="Q1" s="251"/>
      <c r="R1" s="251"/>
      <c r="S1" s="251"/>
      <c r="T1" s="251"/>
      <c r="U1" s="251"/>
      <c r="V1" s="251"/>
      <c r="W1" s="251"/>
      <c r="X1" s="251"/>
      <c r="Y1" s="251"/>
      <c r="Z1" s="251"/>
    </row>
    <row r="2" spans="1:26" ht="45.75" customHeight="1">
      <c r="A2" s="251"/>
      <c r="B2" s="251"/>
      <c r="C2" s="251"/>
      <c r="D2" s="251"/>
      <c r="E2" s="251"/>
      <c r="F2" s="254" t="s">
        <v>374</v>
      </c>
      <c r="G2" s="251"/>
      <c r="H2" s="251"/>
      <c r="I2" s="251"/>
      <c r="J2" s="251"/>
      <c r="K2" s="251"/>
      <c r="L2" s="251"/>
      <c r="M2" s="251"/>
      <c r="N2" s="251"/>
      <c r="O2" s="251"/>
      <c r="P2" s="251"/>
      <c r="Q2" s="251"/>
      <c r="R2" s="251"/>
      <c r="S2" s="251"/>
      <c r="T2" s="251"/>
      <c r="U2" s="251"/>
      <c r="V2" s="251"/>
      <c r="W2" s="251"/>
      <c r="X2" s="251"/>
      <c r="Y2" s="251"/>
      <c r="Z2" s="251"/>
    </row>
    <row r="3" spans="1:26" ht="14.25" customHeight="1">
      <c r="A3" s="251"/>
      <c r="B3" s="251"/>
      <c r="C3" s="251"/>
      <c r="D3" s="251"/>
      <c r="E3" s="251"/>
      <c r="F3" s="251"/>
      <c r="G3" s="251"/>
      <c r="H3" s="251"/>
      <c r="I3" s="251"/>
      <c r="J3" s="251"/>
      <c r="K3" s="251"/>
      <c r="L3" s="251"/>
      <c r="M3" s="251"/>
      <c r="N3" s="251"/>
      <c r="O3" s="251"/>
      <c r="P3" s="251"/>
      <c r="Q3" s="251"/>
      <c r="R3" s="251"/>
      <c r="S3" s="251"/>
      <c r="T3" s="251"/>
      <c r="U3" s="251"/>
      <c r="V3" s="251"/>
      <c r="W3" s="251"/>
      <c r="X3" s="251"/>
      <c r="Y3" s="251"/>
      <c r="Z3" s="251"/>
    </row>
    <row r="4" spans="1:26" ht="15" customHeight="1">
      <c r="A4" s="251"/>
      <c r="B4" s="255" t="s">
        <v>375</v>
      </c>
      <c r="C4" s="256"/>
      <c r="D4" s="251"/>
      <c r="E4" s="251"/>
      <c r="F4" s="257"/>
      <c r="G4" s="251"/>
      <c r="H4" s="251"/>
      <c r="I4" s="251"/>
      <c r="J4" s="251"/>
      <c r="K4" s="251"/>
      <c r="L4" s="251"/>
      <c r="M4" s="251"/>
      <c r="N4" s="251"/>
      <c r="O4" s="251"/>
      <c r="P4" s="251"/>
      <c r="Q4" s="251"/>
      <c r="R4" s="251"/>
      <c r="S4" s="251"/>
      <c r="T4" s="251"/>
      <c r="U4" s="251"/>
      <c r="V4" s="251"/>
      <c r="W4" s="251"/>
      <c r="X4" s="251"/>
      <c r="Y4" s="251"/>
      <c r="Z4" s="251"/>
    </row>
    <row r="5" spans="1:26" ht="15" customHeight="1">
      <c r="A5" s="251"/>
      <c r="B5" s="258" t="s">
        <v>376</v>
      </c>
      <c r="C5" s="251"/>
      <c r="D5" s="251"/>
      <c r="E5" s="251"/>
      <c r="F5" s="251"/>
      <c r="G5" s="251"/>
      <c r="H5" s="251"/>
      <c r="I5" s="251"/>
      <c r="J5" s="251"/>
      <c r="K5" s="251"/>
      <c r="L5" s="251"/>
      <c r="M5" s="251"/>
      <c r="N5" s="251"/>
      <c r="O5" s="251"/>
      <c r="P5" s="251"/>
      <c r="Q5" s="251"/>
      <c r="R5" s="251"/>
      <c r="S5" s="251"/>
      <c r="T5" s="251"/>
      <c r="U5" s="251"/>
      <c r="V5" s="251"/>
      <c r="W5" s="251"/>
      <c r="X5" s="251"/>
      <c r="Y5" s="251"/>
      <c r="Z5" s="251"/>
    </row>
    <row r="6" spans="1:26" ht="15" customHeight="1">
      <c r="A6" s="251"/>
      <c r="B6" s="258" t="s">
        <v>377</v>
      </c>
      <c r="C6" s="251"/>
      <c r="D6" s="251"/>
      <c r="E6" s="251"/>
      <c r="F6" s="251"/>
      <c r="G6" s="251"/>
      <c r="H6" s="251"/>
      <c r="I6" s="251"/>
      <c r="J6" s="251"/>
      <c r="K6" s="251"/>
      <c r="L6" s="251"/>
      <c r="M6" s="251"/>
      <c r="N6" s="251"/>
      <c r="O6" s="251"/>
      <c r="P6" s="251"/>
      <c r="Q6" s="251"/>
      <c r="R6" s="251"/>
      <c r="S6" s="251"/>
      <c r="T6" s="251"/>
      <c r="U6" s="251"/>
      <c r="V6" s="251"/>
      <c r="W6" s="251"/>
      <c r="X6" s="251"/>
      <c r="Y6" s="251"/>
      <c r="Z6" s="251"/>
    </row>
    <row r="7" spans="1:26" ht="15" customHeight="1">
      <c r="A7" s="251"/>
      <c r="B7" s="258" t="s">
        <v>378</v>
      </c>
      <c r="C7" s="251"/>
      <c r="D7" s="251"/>
      <c r="E7" s="251"/>
      <c r="F7" s="251"/>
      <c r="G7" s="251"/>
      <c r="H7" s="251"/>
      <c r="I7" s="251"/>
      <c r="J7" s="251"/>
      <c r="K7" s="251"/>
      <c r="L7" s="251"/>
      <c r="M7" s="251"/>
      <c r="N7" s="251"/>
      <c r="O7" s="251"/>
      <c r="P7" s="251"/>
      <c r="Q7" s="251"/>
      <c r="R7" s="251"/>
      <c r="S7" s="251"/>
      <c r="T7" s="251"/>
      <c r="U7" s="251"/>
      <c r="V7" s="251"/>
      <c r="W7" s="251"/>
      <c r="X7" s="251"/>
      <c r="Y7" s="251"/>
      <c r="Z7" s="251"/>
    </row>
    <row r="8" spans="1:26" ht="15" customHeight="1">
      <c r="A8" s="251"/>
      <c r="B8" s="258" t="s">
        <v>379</v>
      </c>
      <c r="C8" s="251"/>
      <c r="D8" s="251"/>
      <c r="E8" s="251"/>
      <c r="F8" s="251"/>
      <c r="G8" s="251"/>
      <c r="H8" s="251"/>
      <c r="I8" s="251"/>
      <c r="J8" s="251"/>
      <c r="K8" s="251"/>
      <c r="L8" s="251"/>
      <c r="M8" s="251"/>
      <c r="N8" s="251"/>
      <c r="O8" s="251"/>
      <c r="P8" s="251"/>
      <c r="Q8" s="251"/>
      <c r="R8" s="251"/>
      <c r="S8" s="251"/>
      <c r="T8" s="251"/>
      <c r="U8" s="251"/>
      <c r="V8" s="251"/>
      <c r="W8" s="251"/>
      <c r="X8" s="251"/>
      <c r="Y8" s="251"/>
      <c r="Z8" s="251"/>
    </row>
    <row r="9" spans="1:26" ht="5.25" customHeight="1">
      <c r="A9" s="251"/>
      <c r="B9" s="258"/>
      <c r="C9" s="251"/>
      <c r="D9" s="251"/>
      <c r="E9" s="251"/>
      <c r="F9" s="251"/>
      <c r="G9" s="251"/>
      <c r="H9" s="251"/>
      <c r="I9" s="251"/>
      <c r="J9" s="251"/>
      <c r="K9" s="251"/>
      <c r="L9" s="251"/>
      <c r="M9" s="251"/>
      <c r="N9" s="251"/>
      <c r="O9" s="251"/>
      <c r="P9" s="251"/>
      <c r="Q9" s="251"/>
      <c r="R9" s="251"/>
      <c r="S9" s="251"/>
      <c r="T9" s="251"/>
      <c r="U9" s="251"/>
      <c r="V9" s="251"/>
      <c r="W9" s="251"/>
      <c r="X9" s="251"/>
      <c r="Y9" s="251"/>
      <c r="Z9" s="251"/>
    </row>
    <row r="10" spans="1:26" ht="15" customHeight="1">
      <c r="A10" s="251"/>
      <c r="B10" s="255" t="s">
        <v>380</v>
      </c>
      <c r="C10" s="259" t="str">
        <f>Ruleset</f>
        <v>LRB 6</v>
      </c>
      <c r="D10" s="258" t="s">
        <v>381</v>
      </c>
      <c r="E10" s="251"/>
      <c r="F10" s="251"/>
      <c r="G10" s="251"/>
      <c r="H10" s="251"/>
      <c r="I10" s="251"/>
      <c r="J10" s="251"/>
      <c r="K10" s="251"/>
      <c r="L10" s="251"/>
      <c r="M10" s="251"/>
      <c r="N10" s="251"/>
      <c r="O10" s="251"/>
      <c r="P10" s="251"/>
      <c r="Q10" s="251"/>
      <c r="R10" s="251"/>
      <c r="S10" s="251"/>
      <c r="T10" s="251"/>
      <c r="U10" s="251"/>
      <c r="V10" s="251"/>
      <c r="W10" s="251"/>
      <c r="X10" s="251"/>
      <c r="Y10" s="251"/>
      <c r="Z10" s="251"/>
    </row>
    <row r="11" spans="1:26" ht="6" customHeight="1">
      <c r="A11" s="251"/>
      <c r="B11" s="255"/>
      <c r="C11" s="256"/>
      <c r="D11" s="251"/>
      <c r="E11" s="251"/>
      <c r="F11" s="251"/>
      <c r="G11" s="251"/>
      <c r="H11" s="251"/>
      <c r="I11" s="251"/>
      <c r="J11" s="251"/>
      <c r="K11" s="251"/>
      <c r="L11" s="251"/>
      <c r="M11" s="251"/>
      <c r="N11" s="251"/>
      <c r="O11" s="251"/>
      <c r="P11" s="251"/>
      <c r="Q11" s="251"/>
      <c r="R11" s="251"/>
      <c r="S11" s="251"/>
      <c r="T11" s="251"/>
      <c r="U11" s="251"/>
      <c r="V11" s="251"/>
      <c r="W11" s="251"/>
      <c r="X11" s="251"/>
      <c r="Y11" s="251"/>
      <c r="Z11" s="251"/>
    </row>
    <row r="12" spans="1:26" ht="15" customHeight="1">
      <c r="A12" s="251"/>
      <c r="B12" s="255" t="s">
        <v>382</v>
      </c>
      <c r="C12" s="251"/>
      <c r="D12" s="251"/>
      <c r="E12" s="251"/>
      <c r="F12" s="251"/>
      <c r="G12" s="251"/>
      <c r="H12" s="251"/>
      <c r="I12" s="251"/>
      <c r="J12" s="251"/>
      <c r="K12" s="251"/>
      <c r="L12" s="251"/>
      <c r="M12" s="251"/>
      <c r="N12" s="251"/>
      <c r="O12" s="251"/>
      <c r="P12" s="251"/>
      <c r="Q12" s="251"/>
      <c r="R12" s="251"/>
      <c r="S12" s="251"/>
      <c r="T12" s="251"/>
      <c r="U12" s="251"/>
      <c r="V12" s="251"/>
      <c r="W12" s="251"/>
      <c r="X12" s="251"/>
      <c r="Y12" s="251"/>
      <c r="Z12" s="251"/>
    </row>
    <row r="13" spans="1:26" ht="16.5" customHeight="1">
      <c r="A13" s="251"/>
      <c r="B13" s="258" t="s">
        <v>383</v>
      </c>
      <c r="C13" s="251"/>
      <c r="D13" s="251"/>
      <c r="E13" s="251"/>
      <c r="F13" s="251"/>
      <c r="G13" s="251"/>
      <c r="H13" s="251"/>
      <c r="I13" s="251"/>
      <c r="J13" s="251"/>
      <c r="K13" s="251"/>
      <c r="L13" s="251"/>
      <c r="M13" s="251"/>
      <c r="N13" s="251"/>
      <c r="O13" s="251"/>
      <c r="P13" s="251"/>
      <c r="Q13" s="251"/>
      <c r="R13" s="251"/>
      <c r="S13" s="251"/>
      <c r="T13" s="251"/>
      <c r="U13" s="251"/>
      <c r="V13" s="251"/>
      <c r="W13" s="251"/>
      <c r="X13" s="251"/>
      <c r="Y13" s="251"/>
      <c r="Z13" s="251"/>
    </row>
    <row r="14" spans="1:26" ht="16.5" customHeight="1">
      <c r="A14" s="251"/>
      <c r="B14" s="258" t="s">
        <v>384</v>
      </c>
      <c r="C14" s="251"/>
      <c r="D14" s="251"/>
      <c r="E14" s="251"/>
      <c r="F14" s="251"/>
      <c r="G14" s="251"/>
      <c r="H14" s="251"/>
      <c r="I14" s="251"/>
      <c r="J14" s="251"/>
      <c r="K14" s="251"/>
      <c r="L14" s="251"/>
      <c r="M14" s="251"/>
      <c r="N14" s="251"/>
      <c r="O14" s="251"/>
      <c r="P14" s="251"/>
      <c r="Q14" s="251"/>
      <c r="R14" s="251"/>
      <c r="S14" s="251"/>
      <c r="T14" s="251"/>
      <c r="U14" s="251"/>
      <c r="V14" s="251"/>
      <c r="W14" s="251"/>
      <c r="X14" s="251"/>
      <c r="Y14" s="251"/>
      <c r="Z14" s="251"/>
    </row>
    <row r="15" spans="1:26" ht="13.5" customHeight="1">
      <c r="A15" s="251"/>
      <c r="B15" s="258" t="s">
        <v>385</v>
      </c>
      <c r="C15" s="251"/>
      <c r="D15" s="251"/>
      <c r="E15" s="251"/>
      <c r="F15" s="251"/>
      <c r="G15" s="251"/>
      <c r="H15" s="251"/>
      <c r="I15" s="251"/>
      <c r="J15" s="251"/>
      <c r="K15" s="251"/>
      <c r="L15" s="251"/>
      <c r="M15" s="251"/>
      <c r="N15" s="251"/>
      <c r="O15" s="251"/>
      <c r="P15" s="251"/>
      <c r="Q15" s="251"/>
      <c r="R15" s="251"/>
      <c r="S15" s="251"/>
      <c r="T15" s="251"/>
      <c r="U15" s="251"/>
      <c r="V15" s="251"/>
      <c r="W15" s="251"/>
      <c r="X15" s="251"/>
      <c r="Y15" s="251"/>
      <c r="Z15" s="251"/>
    </row>
    <row r="16" spans="1:26" ht="16.5" customHeight="1">
      <c r="A16" s="251"/>
      <c r="B16" s="258" t="s">
        <v>386</v>
      </c>
      <c r="C16" s="251"/>
      <c r="D16" s="251"/>
      <c r="E16" s="251"/>
      <c r="F16" s="251"/>
      <c r="G16" s="251"/>
      <c r="H16" s="251"/>
      <c r="I16" s="251"/>
      <c r="J16" s="251"/>
      <c r="K16" s="251"/>
      <c r="L16" s="251"/>
      <c r="M16" s="251"/>
      <c r="N16" s="251"/>
      <c r="O16" s="251"/>
      <c r="P16" s="251"/>
      <c r="Q16" s="251"/>
      <c r="R16" s="251"/>
      <c r="S16" s="251"/>
      <c r="T16" s="251"/>
      <c r="U16" s="251"/>
      <c r="V16" s="251"/>
      <c r="W16" s="251"/>
      <c r="X16" s="251"/>
      <c r="Y16" s="251"/>
      <c r="Z16" s="251"/>
    </row>
    <row r="17" spans="1:26" ht="16.5" customHeight="1">
      <c r="A17" s="251"/>
      <c r="B17" s="258" t="s">
        <v>387</v>
      </c>
      <c r="C17" s="251"/>
      <c r="D17" s="251"/>
      <c r="E17" s="251"/>
      <c r="F17" s="251"/>
      <c r="G17" s="251"/>
      <c r="H17" s="251"/>
      <c r="I17" s="251"/>
      <c r="J17" s="251"/>
      <c r="K17" s="251"/>
      <c r="L17" s="251"/>
      <c r="M17" s="251"/>
      <c r="N17" s="251"/>
      <c r="O17" s="251"/>
      <c r="P17" s="251"/>
      <c r="Q17" s="251"/>
      <c r="R17" s="251"/>
      <c r="S17" s="251"/>
      <c r="T17" s="251"/>
      <c r="U17" s="251"/>
      <c r="V17" s="251"/>
      <c r="W17" s="251"/>
      <c r="X17" s="251"/>
      <c r="Y17" s="251"/>
      <c r="Z17" s="251"/>
    </row>
    <row r="18" spans="1:26" ht="13.5" customHeight="1">
      <c r="A18" s="251"/>
      <c r="B18" s="258" t="s">
        <v>388</v>
      </c>
      <c r="C18" s="251"/>
      <c r="D18" s="251"/>
      <c r="E18" s="251"/>
      <c r="F18" s="251"/>
      <c r="G18" s="251"/>
      <c r="H18" s="251"/>
      <c r="I18" s="251"/>
      <c r="J18" s="251"/>
      <c r="K18" s="251"/>
      <c r="L18" s="251"/>
      <c r="M18" s="251"/>
      <c r="N18" s="251"/>
      <c r="O18" s="251"/>
      <c r="P18" s="251"/>
      <c r="Q18" s="251"/>
      <c r="R18" s="251"/>
      <c r="S18" s="251"/>
      <c r="T18" s="251"/>
      <c r="U18" s="251"/>
      <c r="V18" s="251"/>
      <c r="W18" s="251"/>
      <c r="X18" s="251"/>
      <c r="Y18" s="251"/>
      <c r="Z18" s="251"/>
    </row>
    <row r="19" spans="1:26" ht="13.5" customHeight="1">
      <c r="A19" s="251"/>
      <c r="B19" s="258" t="s">
        <v>389</v>
      </c>
      <c r="C19" s="251"/>
      <c r="D19" s="251"/>
      <c r="E19" s="251"/>
      <c r="F19" s="251"/>
      <c r="G19" s="251"/>
      <c r="H19" s="251"/>
      <c r="I19" s="251"/>
      <c r="J19" s="251"/>
      <c r="K19" s="251"/>
      <c r="L19" s="251"/>
      <c r="M19" s="251"/>
      <c r="N19" s="251"/>
      <c r="O19" s="251"/>
      <c r="P19" s="251"/>
      <c r="Q19" s="251"/>
      <c r="R19" s="251"/>
      <c r="S19" s="251"/>
      <c r="T19" s="251"/>
      <c r="U19" s="251"/>
      <c r="V19" s="251"/>
      <c r="W19" s="251"/>
      <c r="X19" s="251"/>
      <c r="Y19" s="251"/>
      <c r="Z19" s="251"/>
    </row>
    <row r="20" spans="1:26" ht="16.5" customHeight="1">
      <c r="A20" s="251"/>
      <c r="B20" s="258" t="s">
        <v>390</v>
      </c>
      <c r="C20" s="251"/>
      <c r="D20" s="251"/>
      <c r="E20" s="251"/>
      <c r="F20" s="251"/>
      <c r="G20" s="251"/>
      <c r="H20" s="251"/>
      <c r="I20" s="251"/>
      <c r="J20" s="251"/>
      <c r="K20" s="251"/>
      <c r="L20" s="251"/>
      <c r="M20" s="251"/>
      <c r="N20" s="251"/>
      <c r="O20" s="251"/>
      <c r="P20" s="251"/>
      <c r="Q20" s="251"/>
      <c r="R20" s="251"/>
      <c r="S20" s="251"/>
      <c r="T20" s="251"/>
      <c r="U20" s="251"/>
      <c r="V20" s="251"/>
      <c r="W20" s="251"/>
      <c r="X20" s="251"/>
      <c r="Y20" s="251"/>
      <c r="Z20" s="251"/>
    </row>
    <row r="21" spans="1:26" ht="13.5" customHeight="1">
      <c r="A21" s="251"/>
      <c r="B21" s="258" t="s">
        <v>391</v>
      </c>
      <c r="C21" s="251"/>
      <c r="D21" s="251"/>
      <c r="E21" s="251"/>
      <c r="F21" s="251"/>
      <c r="G21" s="251"/>
      <c r="H21" s="251"/>
      <c r="I21" s="251"/>
      <c r="J21" s="251"/>
      <c r="K21" s="251"/>
      <c r="L21" s="251"/>
      <c r="M21" s="251"/>
      <c r="N21" s="251"/>
      <c r="O21" s="251"/>
      <c r="P21" s="251"/>
      <c r="Q21" s="251"/>
      <c r="R21" s="251"/>
      <c r="S21" s="251"/>
      <c r="T21" s="251"/>
      <c r="U21" s="251"/>
      <c r="V21" s="251"/>
      <c r="W21" s="251"/>
      <c r="X21" s="251"/>
      <c r="Y21" s="251"/>
      <c r="Z21" s="251"/>
    </row>
    <row r="22" spans="1:26" ht="13.5" customHeight="1">
      <c r="A22" s="251"/>
      <c r="B22" s="258" t="s">
        <v>392</v>
      </c>
      <c r="C22" s="251"/>
      <c r="D22" s="251"/>
      <c r="E22" s="251"/>
      <c r="F22" s="251"/>
      <c r="G22" s="251"/>
      <c r="H22" s="251"/>
      <c r="I22" s="251"/>
      <c r="J22" s="251"/>
      <c r="K22" s="251"/>
      <c r="L22" s="251"/>
      <c r="M22" s="251"/>
      <c r="N22" s="251"/>
      <c r="O22" s="251"/>
      <c r="P22" s="251"/>
      <c r="Q22" s="251"/>
      <c r="R22" s="251"/>
      <c r="S22" s="251"/>
      <c r="T22" s="251"/>
      <c r="U22" s="251"/>
      <c r="V22" s="251"/>
      <c r="W22" s="251"/>
      <c r="X22" s="251"/>
      <c r="Y22" s="251"/>
      <c r="Z22" s="251"/>
    </row>
    <row r="23" spans="1:26" ht="16.5" customHeight="1">
      <c r="A23" s="251"/>
      <c r="B23" s="258" t="s">
        <v>393</v>
      </c>
      <c r="C23" s="251"/>
      <c r="D23" s="251"/>
      <c r="E23" s="251"/>
      <c r="F23" s="251"/>
      <c r="G23" s="251"/>
      <c r="H23" s="251"/>
      <c r="I23" s="251"/>
      <c r="J23" s="251"/>
      <c r="K23" s="251"/>
      <c r="L23" s="251"/>
      <c r="M23" s="251"/>
      <c r="N23" s="251"/>
      <c r="O23" s="251"/>
      <c r="P23" s="251"/>
      <c r="Q23" s="251"/>
      <c r="R23" s="251"/>
      <c r="S23" s="251"/>
      <c r="T23" s="251"/>
      <c r="U23" s="251"/>
      <c r="V23" s="251"/>
      <c r="W23" s="251"/>
      <c r="X23" s="251"/>
      <c r="Y23" s="251"/>
      <c r="Z23" s="251"/>
    </row>
    <row r="24" spans="1:26" ht="13.5" customHeight="1">
      <c r="A24" s="251"/>
      <c r="B24" s="258" t="s">
        <v>394</v>
      </c>
      <c r="C24" s="251"/>
      <c r="D24" s="251"/>
      <c r="E24" s="251"/>
      <c r="F24" s="251"/>
      <c r="G24" s="251"/>
      <c r="H24" s="251"/>
      <c r="I24" s="251"/>
      <c r="J24" s="251"/>
      <c r="K24" s="251"/>
      <c r="L24" s="251"/>
      <c r="M24" s="251"/>
      <c r="N24" s="251"/>
      <c r="O24" s="251"/>
      <c r="P24" s="251"/>
      <c r="Q24" s="251"/>
      <c r="R24" s="251"/>
      <c r="S24" s="251"/>
      <c r="T24" s="251"/>
      <c r="U24" s="251"/>
      <c r="V24" s="251"/>
      <c r="W24" s="251"/>
      <c r="X24" s="251"/>
      <c r="Y24" s="251"/>
      <c r="Z24" s="251"/>
    </row>
    <row r="25" spans="1:26" ht="16.5" customHeight="1">
      <c r="A25" s="251"/>
      <c r="B25" s="258" t="s">
        <v>395</v>
      </c>
      <c r="C25" s="251"/>
      <c r="D25" s="251"/>
      <c r="E25" s="251"/>
      <c r="F25" s="251"/>
      <c r="G25" s="251"/>
      <c r="H25" s="251"/>
      <c r="I25" s="251"/>
      <c r="J25" s="251"/>
      <c r="K25" s="251"/>
      <c r="L25" s="251"/>
      <c r="M25" s="251"/>
      <c r="N25" s="251"/>
      <c r="O25" s="251"/>
      <c r="P25" s="251"/>
      <c r="Q25" s="251"/>
      <c r="R25" s="251"/>
      <c r="S25" s="251"/>
      <c r="T25" s="251"/>
      <c r="U25" s="251"/>
      <c r="V25" s="251"/>
      <c r="W25" s="251"/>
      <c r="X25" s="251"/>
      <c r="Y25" s="251"/>
      <c r="Z25" s="251"/>
    </row>
    <row r="26" spans="1:26" ht="13.5" customHeight="1">
      <c r="A26" s="251"/>
      <c r="B26" s="258" t="s">
        <v>396</v>
      </c>
      <c r="C26" s="251"/>
      <c r="D26" s="251"/>
      <c r="E26" s="251"/>
      <c r="F26" s="251"/>
      <c r="G26" s="251"/>
      <c r="H26" s="251"/>
      <c r="I26" s="251"/>
      <c r="J26" s="251"/>
      <c r="K26" s="251"/>
      <c r="L26" s="251"/>
      <c r="M26" s="251"/>
      <c r="N26" s="251"/>
      <c r="O26" s="251"/>
      <c r="P26" s="251"/>
      <c r="Q26" s="251"/>
      <c r="R26" s="251"/>
      <c r="S26" s="251"/>
      <c r="T26" s="251"/>
      <c r="U26" s="251"/>
      <c r="V26" s="251"/>
      <c r="W26" s="251"/>
      <c r="X26" s="251"/>
      <c r="Y26" s="251"/>
      <c r="Z26" s="251"/>
    </row>
    <row r="27" spans="1:26" ht="16.5" customHeight="1">
      <c r="A27" s="251"/>
      <c r="B27" s="258" t="s">
        <v>397</v>
      </c>
      <c r="C27" s="251"/>
      <c r="D27" s="251"/>
      <c r="E27" s="251"/>
      <c r="F27" s="251"/>
      <c r="G27" s="251"/>
      <c r="H27" s="251"/>
      <c r="I27" s="251"/>
      <c r="J27" s="251"/>
      <c r="K27" s="251"/>
      <c r="L27" s="251"/>
      <c r="M27" s="251"/>
      <c r="N27" s="251"/>
      <c r="O27" s="251"/>
      <c r="P27" s="251"/>
      <c r="Q27" s="251"/>
      <c r="R27" s="251"/>
      <c r="S27" s="251"/>
      <c r="T27" s="251"/>
      <c r="U27" s="251"/>
      <c r="V27" s="251"/>
      <c r="W27" s="251"/>
      <c r="X27" s="251"/>
      <c r="Y27" s="251"/>
      <c r="Z27" s="251"/>
    </row>
    <row r="28" spans="1:26" ht="13.5" customHeight="1">
      <c r="A28" s="251"/>
      <c r="B28" s="258" t="s">
        <v>398</v>
      </c>
      <c r="C28" s="251"/>
      <c r="D28" s="251"/>
      <c r="E28" s="251"/>
      <c r="F28" s="251"/>
      <c r="G28" s="251"/>
      <c r="H28" s="251"/>
      <c r="I28" s="251"/>
      <c r="J28" s="251"/>
      <c r="K28" s="251"/>
      <c r="L28" s="251"/>
      <c r="M28" s="251"/>
      <c r="N28" s="251"/>
      <c r="O28" s="251"/>
      <c r="P28" s="251"/>
      <c r="Q28" s="251"/>
      <c r="R28" s="251"/>
      <c r="S28" s="251"/>
      <c r="T28" s="251"/>
      <c r="U28" s="251"/>
      <c r="V28" s="251"/>
      <c r="W28" s="251"/>
      <c r="X28" s="251"/>
      <c r="Y28" s="251"/>
      <c r="Z28" s="251"/>
    </row>
    <row r="29" spans="1:26" ht="16.5" customHeight="1">
      <c r="A29" s="251"/>
      <c r="B29" s="258" t="s">
        <v>399</v>
      </c>
      <c r="C29" s="251"/>
      <c r="D29" s="251"/>
      <c r="E29" s="251"/>
      <c r="F29" s="251"/>
      <c r="G29" s="251"/>
      <c r="H29" s="251"/>
      <c r="I29" s="251"/>
      <c r="J29" s="251"/>
      <c r="K29" s="251"/>
      <c r="L29" s="251"/>
      <c r="M29" s="251"/>
      <c r="N29" s="251"/>
      <c r="O29" s="251"/>
      <c r="P29" s="251"/>
      <c r="Q29" s="251"/>
      <c r="R29" s="251"/>
      <c r="S29" s="251"/>
      <c r="T29" s="251"/>
      <c r="U29" s="251"/>
      <c r="V29" s="251"/>
      <c r="W29" s="251"/>
      <c r="X29" s="251"/>
      <c r="Y29" s="251"/>
      <c r="Z29" s="251"/>
    </row>
    <row r="30" spans="1:26" ht="13.5" customHeight="1">
      <c r="A30" s="251"/>
      <c r="B30" s="258" t="s">
        <v>400</v>
      </c>
      <c r="C30" s="251"/>
      <c r="D30" s="251"/>
      <c r="E30" s="251"/>
      <c r="F30" s="251"/>
      <c r="G30" s="251"/>
      <c r="H30" s="251"/>
      <c r="I30" s="251"/>
      <c r="J30" s="251"/>
      <c r="K30" s="251"/>
      <c r="L30" s="251"/>
      <c r="M30" s="251"/>
      <c r="N30" s="251"/>
      <c r="O30" s="251"/>
      <c r="P30" s="251"/>
      <c r="Q30" s="251"/>
      <c r="R30" s="251"/>
      <c r="S30" s="251"/>
      <c r="T30" s="251"/>
      <c r="U30" s="251"/>
      <c r="V30" s="251"/>
      <c r="W30" s="251"/>
      <c r="X30" s="251"/>
      <c r="Y30" s="251"/>
      <c r="Z30" s="251"/>
    </row>
    <row r="31" spans="1:26" ht="16.5" customHeight="1">
      <c r="A31" s="251"/>
      <c r="B31" s="258" t="s">
        <v>401</v>
      </c>
      <c r="C31" s="251"/>
      <c r="D31" s="251"/>
      <c r="E31" s="251"/>
      <c r="F31" s="251"/>
      <c r="G31" s="251"/>
      <c r="H31" s="251"/>
      <c r="I31" s="251"/>
      <c r="J31" s="251"/>
      <c r="K31" s="251"/>
      <c r="L31" s="251"/>
      <c r="M31" s="251"/>
      <c r="N31" s="251"/>
      <c r="O31" s="251"/>
      <c r="P31" s="251"/>
      <c r="Q31" s="251"/>
      <c r="R31" s="251"/>
      <c r="S31" s="251"/>
      <c r="T31" s="251"/>
      <c r="U31" s="251"/>
      <c r="V31" s="251"/>
      <c r="W31" s="251"/>
      <c r="X31" s="251"/>
      <c r="Y31" s="251"/>
      <c r="Z31" s="251"/>
    </row>
    <row r="32" spans="1:26" ht="13.5" customHeight="1">
      <c r="A32" s="251"/>
      <c r="B32" s="258" t="s">
        <v>402</v>
      </c>
      <c r="C32" s="251"/>
      <c r="D32" s="251"/>
      <c r="E32" s="251"/>
      <c r="F32" s="251"/>
      <c r="G32" s="251"/>
      <c r="H32" s="251"/>
      <c r="I32" s="251"/>
      <c r="J32" s="251"/>
      <c r="K32" s="251"/>
      <c r="L32" s="251"/>
      <c r="M32" s="251"/>
      <c r="N32" s="251"/>
      <c r="O32" s="251"/>
      <c r="P32" s="251"/>
      <c r="Q32" s="251"/>
      <c r="R32" s="251"/>
      <c r="S32" s="251"/>
      <c r="T32" s="251"/>
      <c r="U32" s="251"/>
      <c r="V32" s="251"/>
      <c r="W32" s="251"/>
      <c r="X32" s="251"/>
      <c r="Y32" s="251"/>
      <c r="Z32" s="251"/>
    </row>
    <row r="33" spans="1:26" ht="16.5" customHeight="1">
      <c r="A33" s="251"/>
      <c r="B33" s="258" t="s">
        <v>403</v>
      </c>
      <c r="C33" s="251"/>
      <c r="D33" s="251"/>
      <c r="E33" s="251"/>
      <c r="F33" s="251"/>
      <c r="G33" s="251"/>
      <c r="H33" s="251"/>
      <c r="I33" s="251"/>
      <c r="J33" s="251"/>
      <c r="K33" s="251"/>
      <c r="L33" s="251"/>
      <c r="M33" s="251"/>
      <c r="N33" s="251"/>
      <c r="O33" s="251"/>
      <c r="P33" s="251"/>
      <c r="Q33" s="251"/>
      <c r="R33" s="251"/>
      <c r="S33" s="251"/>
      <c r="T33" s="251"/>
      <c r="U33" s="251"/>
      <c r="V33" s="251"/>
      <c r="W33" s="251"/>
      <c r="X33" s="251"/>
      <c r="Y33" s="251"/>
      <c r="Z33" s="251"/>
    </row>
    <row r="34" spans="1:26" ht="16.5" customHeight="1">
      <c r="A34" s="251"/>
      <c r="B34" s="258" t="s">
        <v>404</v>
      </c>
      <c r="C34" s="251"/>
      <c r="D34" s="251"/>
      <c r="E34" s="251"/>
      <c r="F34" s="251"/>
      <c r="G34" s="251"/>
      <c r="H34" s="251"/>
      <c r="I34" s="251"/>
      <c r="J34" s="251"/>
      <c r="K34" s="251"/>
      <c r="L34" s="251"/>
      <c r="M34" s="251"/>
      <c r="N34" s="251"/>
      <c r="O34" s="251"/>
      <c r="P34" s="251"/>
      <c r="Q34" s="251"/>
      <c r="R34" s="251"/>
      <c r="S34" s="251"/>
      <c r="T34" s="251"/>
      <c r="U34" s="251"/>
      <c r="V34" s="251"/>
      <c r="W34" s="251"/>
      <c r="X34" s="251"/>
      <c r="Y34" s="251"/>
      <c r="Z34" s="251"/>
    </row>
    <row r="35" spans="1:26" ht="13.5" customHeight="1">
      <c r="A35" s="251"/>
      <c r="B35" s="258" t="s">
        <v>405</v>
      </c>
      <c r="C35" s="251"/>
      <c r="D35" s="251"/>
      <c r="E35" s="251"/>
      <c r="F35" s="251"/>
      <c r="G35" s="251"/>
      <c r="H35" s="251"/>
      <c r="I35" s="251"/>
      <c r="J35" s="251"/>
      <c r="K35" s="251"/>
      <c r="L35" s="251"/>
      <c r="M35" s="251"/>
      <c r="N35" s="251"/>
      <c r="O35" s="251"/>
      <c r="P35" s="251"/>
      <c r="Q35" s="251"/>
      <c r="R35" s="251"/>
      <c r="S35" s="251"/>
      <c r="T35" s="251"/>
      <c r="U35" s="251"/>
      <c r="V35" s="251"/>
      <c r="W35" s="251"/>
      <c r="X35" s="251"/>
      <c r="Y35" s="251"/>
      <c r="Z35" s="251"/>
    </row>
    <row r="36" spans="1:26" ht="13.5" customHeight="1">
      <c r="A36" s="251"/>
      <c r="B36" s="258" t="s">
        <v>406</v>
      </c>
      <c r="C36" s="251"/>
      <c r="D36" s="251"/>
      <c r="E36" s="251"/>
      <c r="F36" s="251"/>
      <c r="G36" s="251"/>
      <c r="H36" s="251"/>
      <c r="I36" s="251"/>
      <c r="J36" s="251"/>
      <c r="K36" s="251"/>
      <c r="L36" s="251"/>
      <c r="M36" s="251"/>
      <c r="N36" s="251"/>
      <c r="O36" s="251"/>
      <c r="P36" s="251"/>
      <c r="Q36" s="251"/>
      <c r="R36" s="251"/>
      <c r="S36" s="251"/>
      <c r="T36" s="251"/>
      <c r="U36" s="251"/>
      <c r="V36" s="251"/>
      <c r="W36" s="251"/>
      <c r="X36" s="251"/>
      <c r="Y36" s="251"/>
      <c r="Z36" s="251"/>
    </row>
    <row r="37" spans="1:26" ht="15" customHeight="1">
      <c r="A37" s="251"/>
      <c r="B37" s="251"/>
      <c r="C37" s="251"/>
      <c r="D37" s="251"/>
      <c r="E37" s="251"/>
      <c r="F37" s="251"/>
      <c r="G37" s="251"/>
      <c r="H37" s="251"/>
      <c r="I37" s="251"/>
      <c r="J37" s="251"/>
      <c r="K37" s="251"/>
      <c r="L37" s="251"/>
      <c r="M37" s="251"/>
      <c r="N37" s="251"/>
      <c r="O37" s="251"/>
      <c r="P37" s="251"/>
      <c r="Q37" s="251"/>
      <c r="R37" s="251"/>
      <c r="S37" s="251"/>
      <c r="T37" s="251"/>
      <c r="U37" s="251"/>
      <c r="V37" s="251"/>
      <c r="W37" s="251"/>
      <c r="X37" s="251"/>
      <c r="Y37" s="251"/>
      <c r="Z37" s="251"/>
    </row>
    <row r="38" spans="1:26" ht="15" customHeight="1">
      <c r="A38" s="251"/>
      <c r="B38" s="255" t="s">
        <v>407</v>
      </c>
      <c r="C38" s="255" t="s">
        <v>408</v>
      </c>
      <c r="D38" s="251"/>
      <c r="E38" s="251"/>
      <c r="F38" s="255" t="s">
        <v>409</v>
      </c>
      <c r="G38" s="251"/>
      <c r="H38" s="251"/>
      <c r="I38" s="251"/>
      <c r="J38" s="251"/>
      <c r="K38" s="251"/>
      <c r="L38" s="251"/>
      <c r="M38" s="251"/>
      <c r="N38" s="251"/>
      <c r="O38" s="251"/>
      <c r="P38" s="251"/>
      <c r="Q38" s="251"/>
      <c r="R38" s="251"/>
      <c r="S38" s="251"/>
      <c r="T38" s="251"/>
      <c r="U38" s="251"/>
      <c r="V38" s="251"/>
      <c r="W38" s="251"/>
      <c r="X38" s="251"/>
      <c r="Y38" s="251"/>
      <c r="Z38" s="251"/>
    </row>
    <row r="39" spans="1:26" ht="15" customHeight="1">
      <c r="A39" s="251"/>
      <c r="B39" s="258" t="s">
        <v>410</v>
      </c>
      <c r="C39" s="258" t="e">
        <f>TEXT(NoTeams,"0")&amp;" teams"</f>
        <v>#REF!</v>
      </c>
      <c r="D39" s="251"/>
      <c r="E39" s="251"/>
      <c r="F39" s="260" t="str">
        <f>HYPERLINK("mailto:halflingscribe@gmx.net","halflingscribe@gmx.net")</f>
        <v>halflingscribe@gmx.net</v>
      </c>
      <c r="G39" s="251"/>
      <c r="H39" s="251"/>
      <c r="I39" s="251"/>
      <c r="J39" s="251"/>
      <c r="K39" s="251"/>
      <c r="L39" s="251"/>
      <c r="M39" s="251"/>
      <c r="N39" s="251"/>
      <c r="O39" s="251"/>
      <c r="P39" s="251"/>
      <c r="Q39" s="251"/>
      <c r="R39" s="251"/>
      <c r="S39" s="251"/>
      <c r="T39" s="251"/>
      <c r="U39" s="251"/>
      <c r="V39" s="251"/>
      <c r="W39" s="251"/>
      <c r="X39" s="251"/>
      <c r="Y39" s="251"/>
      <c r="Z39" s="251"/>
    </row>
    <row r="40" spans="1:26" ht="15" customHeight="1">
      <c r="A40" s="251"/>
      <c r="B40" s="258" t="s">
        <v>411</v>
      </c>
      <c r="C40" s="258" t="str">
        <f ca="1">TEXT(COUNTIF('Player Stats'!$H$3:$H$503,"&lt;&gt;0")-1,"0")&amp;" players"</f>
        <v>97 players</v>
      </c>
      <c r="D40" s="251"/>
      <c r="E40" s="251"/>
      <c r="F40" s="260" t="str">
        <f>HYPERLINK("http://bbowl.gmxhome.de/scribe","http://bbowl.gmxhome.de/scribe")</f>
        <v>http://bbowl.gmxhome.de/scribe</v>
      </c>
      <c r="G40" s="251"/>
      <c r="H40" s="251"/>
      <c r="I40" s="251"/>
      <c r="J40" s="251"/>
      <c r="K40" s="251"/>
      <c r="L40" s="251"/>
      <c r="M40" s="251"/>
      <c r="N40" s="251"/>
      <c r="O40" s="251"/>
      <c r="P40" s="251"/>
      <c r="Q40" s="251"/>
      <c r="R40" s="251"/>
      <c r="S40" s="251"/>
      <c r="T40" s="251"/>
      <c r="U40" s="251"/>
      <c r="V40" s="251"/>
      <c r="W40" s="251"/>
      <c r="X40" s="251"/>
      <c r="Y40" s="251"/>
      <c r="Z40" s="251"/>
    </row>
    <row r="41" spans="1:26" ht="15" customHeight="1">
      <c r="A41" s="251"/>
      <c r="B41" s="258" t="s">
        <v>412</v>
      </c>
      <c r="C41" s="258" t="str">
        <f>TEXT(COUNTIF(Results!F4:F506,"&gt;=0"),"0")&amp;" matches"</f>
        <v>22 matches</v>
      </c>
      <c r="D41" s="251"/>
      <c r="E41" s="251"/>
      <c r="F41" s="258"/>
      <c r="G41" s="251"/>
      <c r="H41" s="251"/>
      <c r="I41" s="251"/>
      <c r="J41" s="251"/>
      <c r="K41" s="251"/>
      <c r="L41" s="251"/>
      <c r="M41" s="251"/>
      <c r="N41" s="251"/>
      <c r="O41" s="251"/>
      <c r="P41" s="251"/>
      <c r="Q41" s="251"/>
      <c r="R41" s="251"/>
      <c r="S41" s="251"/>
      <c r="T41" s="251"/>
      <c r="U41" s="251"/>
      <c r="V41" s="251"/>
      <c r="W41" s="251"/>
      <c r="X41" s="251"/>
      <c r="Y41" s="251"/>
      <c r="Z41" s="251"/>
    </row>
    <row r="42" spans="1:26" ht="15.75" customHeight="1">
      <c r="A42" s="251"/>
      <c r="B42" s="258" t="s">
        <v>413</v>
      </c>
      <c r="C42" s="258" t="str">
        <f>TEXT(COUNTIF(HallOfFame!$U$4:$U$103,"&gt;=0"),"0")&amp;" players"</f>
        <v>0 players</v>
      </c>
      <c r="D42" s="251"/>
      <c r="E42" s="251"/>
      <c r="F42" s="258"/>
      <c r="G42" s="251"/>
      <c r="H42" s="251"/>
      <c r="I42" s="251"/>
      <c r="J42" s="251"/>
      <c r="K42" s="251"/>
      <c r="L42" s="251"/>
      <c r="M42" s="251"/>
      <c r="N42" s="251"/>
      <c r="O42" s="251"/>
      <c r="P42" s="251"/>
      <c r="Q42" s="251"/>
      <c r="R42" s="251"/>
      <c r="S42" s="251"/>
      <c r="T42" s="251"/>
      <c r="U42" s="251"/>
      <c r="V42" s="251"/>
      <c r="W42" s="251"/>
      <c r="X42" s="251"/>
      <c r="Y42" s="251"/>
      <c r="Z42" s="251"/>
    </row>
    <row r="43" spans="1:26" ht="12.75" customHeight="1">
      <c r="A43" s="251"/>
      <c r="B43" s="258"/>
      <c r="C43" s="258"/>
      <c r="D43" s="251"/>
      <c r="E43" s="251"/>
      <c r="F43" s="258"/>
      <c r="G43" s="251"/>
      <c r="H43" s="251"/>
      <c r="I43" s="251"/>
      <c r="J43" s="251"/>
      <c r="K43" s="251"/>
      <c r="L43" s="251"/>
      <c r="M43" s="251"/>
      <c r="N43" s="251"/>
      <c r="O43" s="251"/>
      <c r="P43" s="251"/>
      <c r="Q43" s="251"/>
      <c r="R43" s="251"/>
      <c r="S43" s="251"/>
      <c r="T43" s="251"/>
      <c r="U43" s="251"/>
      <c r="V43" s="251"/>
      <c r="W43" s="251"/>
      <c r="X43" s="251"/>
      <c r="Y43" s="251"/>
      <c r="Z43" s="251"/>
    </row>
    <row r="44" spans="1:26" ht="12.75" customHeight="1">
      <c r="A44" s="251"/>
      <c r="B44" s="251"/>
      <c r="C44" s="251"/>
      <c r="D44" s="251"/>
      <c r="E44" s="251"/>
      <c r="F44" s="251"/>
      <c r="G44" s="251"/>
      <c r="H44" s="251"/>
      <c r="I44" s="251"/>
      <c r="J44" s="251"/>
      <c r="K44" s="251"/>
      <c r="L44" s="251"/>
      <c r="M44" s="251"/>
      <c r="N44" s="251"/>
      <c r="O44" s="251"/>
      <c r="P44" s="251"/>
      <c r="Q44" s="251"/>
      <c r="R44" s="251"/>
      <c r="S44" s="251"/>
      <c r="T44" s="251"/>
      <c r="U44" s="251"/>
      <c r="V44" s="251"/>
      <c r="W44" s="251"/>
      <c r="X44" s="251"/>
      <c r="Y44" s="251"/>
      <c r="Z44" s="251"/>
    </row>
    <row r="45" spans="1:26" ht="14.25" customHeight="1">
      <c r="A45" s="251"/>
      <c r="B45" s="251"/>
      <c r="C45" s="251"/>
      <c r="D45" s="251"/>
      <c r="E45" s="251"/>
      <c r="F45" s="251"/>
      <c r="G45" s="251"/>
      <c r="H45" s="251"/>
      <c r="I45" s="251"/>
      <c r="J45" s="251"/>
      <c r="K45" s="251"/>
      <c r="L45" s="251"/>
      <c r="M45" s="251"/>
      <c r="N45" s="251"/>
      <c r="O45" s="251"/>
      <c r="P45" s="251"/>
      <c r="Q45" s="251"/>
      <c r="R45" s="251"/>
      <c r="S45" s="251"/>
      <c r="T45" s="251"/>
      <c r="U45" s="251"/>
      <c r="V45" s="251"/>
      <c r="W45" s="251"/>
      <c r="X45" s="251"/>
      <c r="Y45" s="251"/>
      <c r="Z45" s="251"/>
    </row>
    <row r="46" spans="1:26" ht="81" customHeight="1">
      <c r="A46" s="251"/>
      <c r="B46" s="354" t="s">
        <v>414</v>
      </c>
      <c r="C46" s="316"/>
      <c r="D46" s="316"/>
      <c r="E46" s="316"/>
      <c r="F46" s="316"/>
      <c r="G46" s="251"/>
      <c r="H46" s="251"/>
      <c r="I46" s="251"/>
      <c r="J46" s="251"/>
      <c r="K46" s="251"/>
      <c r="L46" s="251"/>
      <c r="M46" s="251"/>
      <c r="N46" s="251"/>
      <c r="O46" s="251"/>
      <c r="P46" s="251"/>
      <c r="Q46" s="251"/>
      <c r="R46" s="251"/>
      <c r="S46" s="251"/>
      <c r="T46" s="251"/>
      <c r="U46" s="251"/>
      <c r="V46" s="251"/>
      <c r="W46" s="251"/>
      <c r="X46" s="251"/>
      <c r="Y46" s="251"/>
      <c r="Z46" s="251"/>
    </row>
  </sheetData>
  <mergeCells count="1">
    <mergeCell ref="B46:F46"/>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AF152"/>
  <sheetViews>
    <sheetView workbookViewId="0">
      <pane ySplit="2" topLeftCell="A33" activePane="bottomLeft" state="frozen"/>
      <selection pane="bottomLeft" activeCell="G39" sqref="G39"/>
    </sheetView>
  </sheetViews>
  <sheetFormatPr defaultColWidth="14.42578125" defaultRowHeight="15" customHeight="1"/>
  <cols>
    <col min="1" max="1" width="10.85546875" customWidth="1"/>
    <col min="2" max="2" width="16.140625" customWidth="1"/>
    <col min="3" max="3" width="10" customWidth="1"/>
    <col min="4" max="4" width="3.28515625" customWidth="1"/>
    <col min="5" max="5" width="12.7109375" customWidth="1"/>
    <col min="6" max="6" width="4.85546875" customWidth="1"/>
    <col min="7" max="7" width="16.5703125" customWidth="1"/>
    <col min="8" max="11" width="3.42578125" customWidth="1"/>
    <col min="12" max="12" width="75.85546875" customWidth="1"/>
    <col min="13" max="14" width="8.28515625" customWidth="1"/>
    <col min="15" max="15" width="7.85546875" customWidth="1"/>
    <col min="16" max="16" width="5.140625" customWidth="1"/>
    <col min="17" max="17" width="17.28515625" customWidth="1"/>
    <col min="18" max="18" width="25.140625" customWidth="1"/>
    <col min="19" max="19" width="13.7109375" customWidth="1"/>
    <col min="20" max="20" width="23" customWidth="1"/>
    <col min="21" max="24" width="3.85546875" customWidth="1"/>
    <col min="25" max="25" width="88.140625" customWidth="1"/>
    <col min="26" max="26" width="11.42578125" customWidth="1"/>
    <col min="27" max="27" width="3.7109375" customWidth="1"/>
    <col min="28" max="28" width="25" customWidth="1"/>
    <col min="29" max="29" width="10.28515625" customWidth="1"/>
    <col min="30" max="30" width="35.7109375" customWidth="1"/>
    <col min="31" max="31" width="17.7109375" customWidth="1"/>
    <col min="32" max="32" width="51.85546875" customWidth="1"/>
  </cols>
  <sheetData>
    <row r="1" spans="1:32" ht="19.5" customHeight="1">
      <c r="A1" s="261" t="s">
        <v>415</v>
      </c>
      <c r="B1" s="261" t="s">
        <v>416</v>
      </c>
      <c r="C1" s="262" t="s">
        <v>417</v>
      </c>
      <c r="D1" s="263"/>
      <c r="E1" s="263"/>
      <c r="F1" s="263"/>
      <c r="G1" s="263"/>
      <c r="H1" s="263"/>
      <c r="I1" s="263"/>
      <c r="J1" s="263"/>
      <c r="K1" s="263"/>
      <c r="L1" s="263"/>
      <c r="M1" s="263"/>
      <c r="N1" s="263"/>
      <c r="O1" s="263"/>
      <c r="P1" s="263"/>
      <c r="Q1" s="263"/>
      <c r="R1" s="263"/>
      <c r="S1" s="263"/>
      <c r="T1" s="263"/>
      <c r="U1" s="263"/>
      <c r="V1" s="263"/>
      <c r="W1" s="263"/>
      <c r="X1" s="263"/>
      <c r="Y1" s="263"/>
      <c r="Z1" s="263"/>
      <c r="AA1" s="263"/>
      <c r="AB1" s="263"/>
      <c r="AC1" s="263"/>
      <c r="AD1" s="263"/>
      <c r="AE1" s="263"/>
      <c r="AF1" s="263"/>
    </row>
    <row r="2" spans="1:32" ht="19.5" customHeight="1">
      <c r="A2" s="264" t="s">
        <v>418</v>
      </c>
      <c r="B2" s="265"/>
      <c r="C2" s="265"/>
      <c r="D2" s="265"/>
      <c r="E2" s="265"/>
      <c r="F2" s="266"/>
      <c r="G2" s="265"/>
      <c r="H2" s="266"/>
      <c r="I2" s="266"/>
      <c r="J2" s="266"/>
      <c r="K2" s="266"/>
      <c r="L2" s="265"/>
      <c r="M2" s="265"/>
      <c r="N2" s="267"/>
      <c r="O2" s="265"/>
      <c r="P2" s="265"/>
      <c r="Q2" s="265"/>
      <c r="R2" s="265"/>
      <c r="S2" s="265"/>
      <c r="T2" s="265"/>
      <c r="U2" s="265"/>
      <c r="V2" s="265"/>
      <c r="W2" s="265"/>
      <c r="X2" s="265"/>
      <c r="Y2" s="265"/>
      <c r="Z2" s="265"/>
      <c r="AA2" s="265"/>
      <c r="AB2" s="267"/>
      <c r="AC2" s="265"/>
      <c r="AD2" s="265"/>
      <c r="AE2" s="265"/>
      <c r="AF2" s="265"/>
    </row>
    <row r="3" spans="1:32" ht="19.5" customHeight="1">
      <c r="A3" s="268"/>
      <c r="B3" s="269"/>
      <c r="C3" s="269"/>
      <c r="D3" s="269"/>
      <c r="E3" s="269"/>
      <c r="F3" s="270"/>
      <c r="G3" s="269"/>
      <c r="H3" s="270"/>
      <c r="I3" s="270"/>
      <c r="J3" s="270"/>
      <c r="K3" s="270"/>
      <c r="L3" s="269"/>
      <c r="M3" s="269"/>
      <c r="N3" s="271"/>
      <c r="O3" s="269"/>
      <c r="P3" s="269"/>
      <c r="Q3" s="269"/>
      <c r="R3" s="269"/>
      <c r="S3" s="272"/>
      <c r="T3" s="269"/>
      <c r="U3" s="269"/>
      <c r="V3" s="269"/>
      <c r="W3" s="269"/>
      <c r="X3" s="269"/>
      <c r="Y3" s="269"/>
      <c r="Z3" s="269"/>
      <c r="AA3" s="269"/>
      <c r="AB3" s="271"/>
      <c r="AC3" s="269"/>
      <c r="AD3" s="269"/>
      <c r="AE3" s="269"/>
      <c r="AF3" s="269"/>
    </row>
    <row r="4" spans="1:32" ht="12.75" customHeight="1">
      <c r="A4" s="265"/>
      <c r="B4" s="273" t="s">
        <v>419</v>
      </c>
      <c r="C4" s="265"/>
      <c r="D4" s="265"/>
      <c r="E4" s="273" t="s">
        <v>420</v>
      </c>
      <c r="F4" s="266"/>
      <c r="G4" s="265"/>
      <c r="H4" s="266"/>
      <c r="I4" s="266"/>
      <c r="J4" s="266"/>
      <c r="K4" s="266"/>
      <c r="L4" s="265"/>
      <c r="M4" s="265"/>
      <c r="N4" s="267"/>
      <c r="O4" s="265"/>
      <c r="P4" s="265"/>
      <c r="Q4" s="274" t="s">
        <v>421</v>
      </c>
      <c r="R4" s="273"/>
      <c r="S4" s="273"/>
      <c r="T4" s="273" t="s">
        <v>422</v>
      </c>
      <c r="U4" s="266"/>
      <c r="V4" s="266"/>
      <c r="W4" s="266"/>
      <c r="X4" s="265"/>
      <c r="Y4" s="265"/>
      <c r="Z4" s="275"/>
      <c r="AA4" s="265"/>
      <c r="AB4" s="276" t="s">
        <v>423</v>
      </c>
      <c r="AC4" s="265"/>
      <c r="AD4" s="265"/>
      <c r="AE4" s="276" t="s">
        <v>424</v>
      </c>
      <c r="AF4" s="265"/>
    </row>
    <row r="5" spans="1:32" ht="12.75" customHeight="1">
      <c r="A5" s="265"/>
      <c r="B5" s="276" t="s">
        <v>141</v>
      </c>
      <c r="C5" s="277" t="s">
        <v>425</v>
      </c>
      <c r="D5" s="276"/>
      <c r="E5" s="276" t="s">
        <v>18</v>
      </c>
      <c r="F5" s="277" t="s">
        <v>426</v>
      </c>
      <c r="G5" s="276" t="s">
        <v>126</v>
      </c>
      <c r="H5" s="277" t="str">
        <f>T_MA</f>
        <v>MA</v>
      </c>
      <c r="I5" s="277" t="str">
        <f>T_ST</f>
        <v>ST</v>
      </c>
      <c r="J5" s="277" t="str">
        <f>T_AG</f>
        <v>AG</v>
      </c>
      <c r="K5" s="277" t="str">
        <f>T_AV</f>
        <v>AV</v>
      </c>
      <c r="L5" s="276" t="s">
        <v>191</v>
      </c>
      <c r="M5" s="264" t="s">
        <v>427</v>
      </c>
      <c r="N5" s="264" t="s">
        <v>147</v>
      </c>
      <c r="O5" s="278" t="s">
        <v>428</v>
      </c>
      <c r="P5" s="276"/>
      <c r="Q5" s="276" t="s">
        <v>18</v>
      </c>
      <c r="R5" s="276" t="s">
        <v>429</v>
      </c>
      <c r="S5" s="276"/>
      <c r="T5" s="276" t="s">
        <v>141</v>
      </c>
      <c r="U5" s="277" t="str">
        <f>T_MA</f>
        <v>MA</v>
      </c>
      <c r="V5" s="277" t="str">
        <f>T_ST</f>
        <v>ST</v>
      </c>
      <c r="W5" s="277" t="str">
        <f>T_AG</f>
        <v>AG</v>
      </c>
      <c r="X5" s="277" t="str">
        <f>T_AV</f>
        <v>AV</v>
      </c>
      <c r="Y5" s="276" t="s">
        <v>430</v>
      </c>
      <c r="Z5" s="278" t="s">
        <v>428</v>
      </c>
      <c r="AA5" s="265"/>
      <c r="AB5" s="273" t="s">
        <v>431</v>
      </c>
      <c r="AC5" s="279">
        <v>3</v>
      </c>
      <c r="AD5" s="280" t="s">
        <v>432</v>
      </c>
      <c r="AE5" s="273" t="s">
        <v>433</v>
      </c>
      <c r="AF5" s="279" t="s">
        <v>366</v>
      </c>
    </row>
    <row r="6" spans="1:32" ht="12.75" customHeight="1">
      <c r="A6" s="265"/>
      <c r="B6" s="281" t="s">
        <v>263</v>
      </c>
      <c r="C6" s="282">
        <v>50000</v>
      </c>
      <c r="D6" s="265"/>
      <c r="E6" s="281" t="s">
        <v>434</v>
      </c>
      <c r="F6" s="283">
        <v>16</v>
      </c>
      <c r="G6" s="284" t="s">
        <v>266</v>
      </c>
      <c r="H6" s="283">
        <v>6</v>
      </c>
      <c r="I6" s="283">
        <v>3</v>
      </c>
      <c r="J6" s="283">
        <v>3</v>
      </c>
      <c r="K6" s="283">
        <v>7</v>
      </c>
      <c r="L6" s="284" t="s">
        <v>165</v>
      </c>
      <c r="M6" s="284" t="s">
        <v>435</v>
      </c>
      <c r="N6" s="285" t="s">
        <v>436</v>
      </c>
      <c r="O6" s="286">
        <v>50000</v>
      </c>
      <c r="P6" s="265"/>
      <c r="Q6" s="287" t="str">
        <f>IF(Ruleset="LRB 6","Amazon6","X")</f>
        <v>Amazon6</v>
      </c>
      <c r="R6" s="282" t="s">
        <v>437</v>
      </c>
      <c r="S6" s="265"/>
      <c r="T6" s="281" t="s">
        <v>438</v>
      </c>
      <c r="U6" s="283">
        <v>6</v>
      </c>
      <c r="V6" s="283">
        <v>3</v>
      </c>
      <c r="W6" s="283">
        <v>3</v>
      </c>
      <c r="X6" s="283">
        <v>8</v>
      </c>
      <c r="Y6" s="284" t="s">
        <v>439</v>
      </c>
      <c r="Z6" s="286">
        <v>60000</v>
      </c>
      <c r="AA6" s="265"/>
      <c r="AB6" s="273" t="s">
        <v>440</v>
      </c>
      <c r="AC6" s="288">
        <v>1</v>
      </c>
      <c r="AD6" s="280" t="s">
        <v>441</v>
      </c>
      <c r="AE6" s="273" t="s">
        <v>442</v>
      </c>
      <c r="AF6" s="279" t="s">
        <v>367</v>
      </c>
    </row>
    <row r="7" spans="1:32" ht="12.75" customHeight="1">
      <c r="A7" s="265"/>
      <c r="B7" s="289" t="s">
        <v>443</v>
      </c>
      <c r="C7" s="290">
        <v>60000</v>
      </c>
      <c r="D7" s="265"/>
      <c r="E7" s="289" t="s">
        <v>444</v>
      </c>
      <c r="F7" s="266">
        <v>2</v>
      </c>
      <c r="G7" s="265" t="s">
        <v>262</v>
      </c>
      <c r="H7" s="266">
        <v>6</v>
      </c>
      <c r="I7" s="266">
        <v>3</v>
      </c>
      <c r="J7" s="266">
        <v>3</v>
      </c>
      <c r="K7" s="266">
        <v>7</v>
      </c>
      <c r="L7" s="265" t="s">
        <v>445</v>
      </c>
      <c r="M7" s="265" t="s">
        <v>446</v>
      </c>
      <c r="N7" s="267" t="s">
        <v>447</v>
      </c>
      <c r="O7" s="291">
        <v>70000</v>
      </c>
      <c r="P7" s="265"/>
      <c r="Q7" s="292" t="str">
        <f>IF(Ruleset="LRB 6","Amazon5","X")</f>
        <v>Amazon5</v>
      </c>
      <c r="R7" s="290" t="s">
        <v>448</v>
      </c>
      <c r="S7" s="265"/>
      <c r="T7" s="289" t="s">
        <v>449</v>
      </c>
      <c r="U7" s="266">
        <v>6</v>
      </c>
      <c r="V7" s="266">
        <v>5</v>
      </c>
      <c r="W7" s="266">
        <v>2</v>
      </c>
      <c r="X7" s="266">
        <v>9</v>
      </c>
      <c r="Y7" s="265" t="s">
        <v>450</v>
      </c>
      <c r="Z7" s="291">
        <v>290000</v>
      </c>
      <c r="AA7" s="265"/>
      <c r="AB7" s="273" t="s">
        <v>451</v>
      </c>
      <c r="AC7" s="279">
        <v>0</v>
      </c>
      <c r="AD7" s="280" t="s">
        <v>452</v>
      </c>
      <c r="AE7" s="273" t="s">
        <v>453</v>
      </c>
      <c r="AF7" s="293" t="s">
        <v>368</v>
      </c>
    </row>
    <row r="8" spans="1:32" ht="12.75" customHeight="1">
      <c r="A8" s="265"/>
      <c r="B8" s="289" t="s">
        <v>454</v>
      </c>
      <c r="C8" s="290">
        <v>70000</v>
      </c>
      <c r="D8" s="265"/>
      <c r="E8" s="289" t="s">
        <v>455</v>
      </c>
      <c r="F8" s="266">
        <v>2</v>
      </c>
      <c r="G8" s="265" t="s">
        <v>284</v>
      </c>
      <c r="H8" s="266">
        <v>6</v>
      </c>
      <c r="I8" s="266">
        <v>3</v>
      </c>
      <c r="J8" s="266">
        <v>3</v>
      </c>
      <c r="K8" s="266">
        <v>7</v>
      </c>
      <c r="L8" s="265" t="s">
        <v>456</v>
      </c>
      <c r="M8" s="265" t="s">
        <v>457</v>
      </c>
      <c r="N8" s="267" t="s">
        <v>458</v>
      </c>
      <c r="O8" s="291">
        <v>70000</v>
      </c>
      <c r="P8" s="265"/>
      <c r="Q8" s="292" t="str">
        <f>IF(Ruleset="LRB 6","Amazon4","X")</f>
        <v>Amazon4</v>
      </c>
      <c r="R8" s="290" t="s">
        <v>449</v>
      </c>
      <c r="S8" s="265"/>
      <c r="T8" s="289" t="s">
        <v>459</v>
      </c>
      <c r="U8" s="266">
        <v>6</v>
      </c>
      <c r="V8" s="266">
        <v>2</v>
      </c>
      <c r="W8" s="266">
        <v>3</v>
      </c>
      <c r="X8" s="266">
        <v>7</v>
      </c>
      <c r="Y8" s="294" t="str">
        <f>IF(Ruleset="LRB 6","Loner, Accurate, Bombardier, Dodge, Right Stuff, Secret Weapon, Stunty","Loner, Accurate, Bombardier, Dodge, No Hands, Right Stuff, Secret Weapon, Stunty")</f>
        <v>Loner, Accurate, Bombardier, Dodge, Right Stuff, Secret Weapon, Stunty</v>
      </c>
      <c r="Z8" s="291">
        <v>60000</v>
      </c>
      <c r="AA8" s="265"/>
      <c r="AB8" s="273" t="s">
        <v>460</v>
      </c>
      <c r="AC8" s="295">
        <v>0</v>
      </c>
      <c r="AD8" s="280" t="s">
        <v>461</v>
      </c>
      <c r="AE8" s="273" t="s">
        <v>462</v>
      </c>
      <c r="AF8" s="279" t="s">
        <v>369</v>
      </c>
    </row>
    <row r="9" spans="1:32" ht="12.75" customHeight="1">
      <c r="A9" s="265"/>
      <c r="B9" s="292" t="str">
        <f>IF(Ruleset="LRB 6","Chaos Pact","Chaos Pact (exp.)")</f>
        <v>Chaos Pact</v>
      </c>
      <c r="C9" s="290">
        <v>70000</v>
      </c>
      <c r="D9" s="265"/>
      <c r="E9" s="289" t="s">
        <v>463</v>
      </c>
      <c r="F9" s="266">
        <v>4</v>
      </c>
      <c r="G9" s="265" t="s">
        <v>269</v>
      </c>
      <c r="H9" s="266">
        <v>6</v>
      </c>
      <c r="I9" s="266">
        <v>3</v>
      </c>
      <c r="J9" s="266">
        <v>3</v>
      </c>
      <c r="K9" s="266">
        <v>7</v>
      </c>
      <c r="L9" s="265" t="s">
        <v>464</v>
      </c>
      <c r="M9" s="265" t="s">
        <v>465</v>
      </c>
      <c r="N9" s="267" t="s">
        <v>466</v>
      </c>
      <c r="O9" s="291">
        <v>90000</v>
      </c>
      <c r="P9" s="265"/>
      <c r="Q9" s="289" t="s">
        <v>455</v>
      </c>
      <c r="R9" s="290" t="s">
        <v>467</v>
      </c>
      <c r="S9" s="265"/>
      <c r="T9" s="289" t="s">
        <v>468</v>
      </c>
      <c r="U9" s="266">
        <v>4</v>
      </c>
      <c r="V9" s="266">
        <v>3</v>
      </c>
      <c r="W9" s="266">
        <v>2</v>
      </c>
      <c r="X9" s="266">
        <v>9</v>
      </c>
      <c r="Y9" s="294" t="str">
        <f>IF(Ruleset="LRB 6","Loner, Accurate, Block, Bombardier, Secret Weapon, Thick Skull","Loner, Accurate, Block, Bombardier, No Hands, Secret Weapon, Thick Skull")</f>
        <v>Loner, Accurate, Block, Bombardier, Secret Weapon, Thick Skull</v>
      </c>
      <c r="Z9" s="291">
        <v>60000</v>
      </c>
      <c r="AA9" s="265"/>
      <c r="AB9" s="273" t="s">
        <v>469</v>
      </c>
      <c r="AC9" s="279">
        <v>0</v>
      </c>
      <c r="AD9" s="280" t="s">
        <v>470</v>
      </c>
      <c r="AE9" s="274" t="s">
        <v>471</v>
      </c>
      <c r="AF9" s="279" t="s">
        <v>472</v>
      </c>
    </row>
    <row r="10" spans="1:32" ht="12.75" customHeight="1">
      <c r="A10" s="265"/>
      <c r="B10" s="289" t="s">
        <v>360</v>
      </c>
      <c r="C10" s="290">
        <v>50000</v>
      </c>
      <c r="D10" s="265"/>
      <c r="E10" s="289" t="s">
        <v>473</v>
      </c>
      <c r="F10" s="266">
        <v>16</v>
      </c>
      <c r="G10" s="265" t="s">
        <v>474</v>
      </c>
      <c r="H10" s="266">
        <v>6</v>
      </c>
      <c r="I10" s="266">
        <v>3</v>
      </c>
      <c r="J10" s="266">
        <v>3</v>
      </c>
      <c r="K10" s="266">
        <v>8</v>
      </c>
      <c r="L10" s="265" t="s">
        <v>475</v>
      </c>
      <c r="M10" s="265" t="s">
        <v>476</v>
      </c>
      <c r="N10" s="267" t="s">
        <v>466</v>
      </c>
      <c r="O10" s="291">
        <v>60000</v>
      </c>
      <c r="P10" s="265"/>
      <c r="Q10" s="289" t="s">
        <v>444</v>
      </c>
      <c r="R10" s="290" t="s">
        <v>477</v>
      </c>
      <c r="S10" s="296" t="s">
        <v>478</v>
      </c>
      <c r="T10" s="293" t="s">
        <v>479</v>
      </c>
      <c r="U10" s="266">
        <v>5</v>
      </c>
      <c r="V10" s="266">
        <v>5</v>
      </c>
      <c r="W10" s="266">
        <v>2</v>
      </c>
      <c r="X10" s="266">
        <v>9</v>
      </c>
      <c r="Y10" s="265" t="s">
        <v>480</v>
      </c>
      <c r="Z10" s="291">
        <v>290000</v>
      </c>
      <c r="AA10" s="265"/>
      <c r="AB10" s="273" t="s">
        <v>481</v>
      </c>
      <c r="AC10" s="279">
        <v>9999</v>
      </c>
      <c r="AD10" s="280" t="s">
        <v>482</v>
      </c>
      <c r="AE10" s="273" t="s">
        <v>483</v>
      </c>
      <c r="AF10" s="293" t="s">
        <v>484</v>
      </c>
    </row>
    <row r="11" spans="1:32" ht="12.75" customHeight="1">
      <c r="A11" s="265"/>
      <c r="B11" s="289" t="s">
        <v>485</v>
      </c>
      <c r="C11" s="290">
        <v>70000</v>
      </c>
      <c r="D11" s="265"/>
      <c r="E11" s="289" t="s">
        <v>486</v>
      </c>
      <c r="F11" s="266">
        <v>4</v>
      </c>
      <c r="G11" s="265" t="s">
        <v>487</v>
      </c>
      <c r="H11" s="266">
        <v>5</v>
      </c>
      <c r="I11" s="266">
        <v>4</v>
      </c>
      <c r="J11" s="266">
        <v>3</v>
      </c>
      <c r="K11" s="266">
        <v>9</v>
      </c>
      <c r="L11" s="265"/>
      <c r="M11" s="265" t="s">
        <v>476</v>
      </c>
      <c r="N11" s="267" t="s">
        <v>466</v>
      </c>
      <c r="O11" s="291">
        <v>100000</v>
      </c>
      <c r="P11" s="265"/>
      <c r="Q11" s="297" t="s">
        <v>434</v>
      </c>
      <c r="R11" s="290" t="s">
        <v>488</v>
      </c>
      <c r="S11" s="265"/>
      <c r="T11" s="297" t="s">
        <v>489</v>
      </c>
      <c r="U11" s="266">
        <v>6</v>
      </c>
      <c r="V11" s="266">
        <v>5</v>
      </c>
      <c r="W11" s="266">
        <v>4</v>
      </c>
      <c r="X11" s="266">
        <v>9</v>
      </c>
      <c r="Y11" s="294" t="str">
        <f>IF(Ruleset="LRB 6","Loner, Block, Hypnotic Gaze, Regeneration, Side Step","Loner, Block, Dodge, Hypnotic Gaze, Regeneration")</f>
        <v>Loner, Block, Hypnotic Gaze, Regeneration, Side Step</v>
      </c>
      <c r="Z11" s="291">
        <v>390000</v>
      </c>
      <c r="AA11" s="265"/>
      <c r="AB11" s="273" t="s">
        <v>490</v>
      </c>
      <c r="AC11" s="279">
        <v>-9999</v>
      </c>
      <c r="AD11" s="280" t="s">
        <v>491</v>
      </c>
      <c r="AE11" s="273" t="s">
        <v>492</v>
      </c>
      <c r="AF11" s="293" t="s">
        <v>493</v>
      </c>
    </row>
    <row r="12" spans="1:32" ht="12.75" customHeight="1">
      <c r="A12" s="265"/>
      <c r="B12" s="289" t="s">
        <v>494</v>
      </c>
      <c r="C12" s="298">
        <f>IF(Ruleset="LRB 6",50000,40000)</f>
        <v>50000</v>
      </c>
      <c r="D12" s="265"/>
      <c r="E12" s="289" t="s">
        <v>495</v>
      </c>
      <c r="F12" s="266">
        <v>1</v>
      </c>
      <c r="G12" s="265" t="s">
        <v>496</v>
      </c>
      <c r="H12" s="266">
        <v>5</v>
      </c>
      <c r="I12" s="266">
        <v>5</v>
      </c>
      <c r="J12" s="266">
        <v>2</v>
      </c>
      <c r="K12" s="266">
        <v>8</v>
      </c>
      <c r="L12" s="267" t="s">
        <v>497</v>
      </c>
      <c r="M12" s="267" t="s">
        <v>498</v>
      </c>
      <c r="N12" s="267" t="s">
        <v>499</v>
      </c>
      <c r="O12" s="291">
        <v>150000</v>
      </c>
      <c r="P12" s="265"/>
      <c r="Q12" s="297" t="s">
        <v>500</v>
      </c>
      <c r="R12" s="299" t="s">
        <v>479</v>
      </c>
      <c r="S12" s="265"/>
      <c r="T12" s="297" t="s">
        <v>501</v>
      </c>
      <c r="U12" s="266">
        <v>6</v>
      </c>
      <c r="V12" s="266">
        <v>3</v>
      </c>
      <c r="W12" s="266">
        <v>3</v>
      </c>
      <c r="X12" s="266">
        <v>8</v>
      </c>
      <c r="Y12" s="265" t="s">
        <v>502</v>
      </c>
      <c r="Z12" s="291">
        <v>120000</v>
      </c>
      <c r="AA12" s="265"/>
      <c r="AB12" s="273" t="s">
        <v>503</v>
      </c>
      <c r="AC12" s="279">
        <v>0</v>
      </c>
      <c r="AD12" s="280" t="s">
        <v>504</v>
      </c>
      <c r="AE12" s="273" t="s">
        <v>505</v>
      </c>
      <c r="AF12" s="293" t="s">
        <v>506</v>
      </c>
    </row>
    <row r="13" spans="1:32" ht="12.75" customHeight="1">
      <c r="A13" s="265"/>
      <c r="B13" s="289" t="s">
        <v>326</v>
      </c>
      <c r="C13" s="290">
        <v>50000</v>
      </c>
      <c r="D13" s="265"/>
      <c r="E13" s="289" t="s">
        <v>507</v>
      </c>
      <c r="F13" s="266">
        <v>16</v>
      </c>
      <c r="G13" s="265" t="s">
        <v>508</v>
      </c>
      <c r="H13" s="266">
        <v>6</v>
      </c>
      <c r="I13" s="266">
        <v>3</v>
      </c>
      <c r="J13" s="266">
        <v>3</v>
      </c>
      <c r="K13" s="266">
        <v>7</v>
      </c>
      <c r="L13" s="265"/>
      <c r="M13" s="265" t="s">
        <v>435</v>
      </c>
      <c r="N13" s="267" t="s">
        <v>436</v>
      </c>
      <c r="O13" s="291">
        <v>40000</v>
      </c>
      <c r="P13" s="265"/>
      <c r="Q13" s="297" t="s">
        <v>509</v>
      </c>
      <c r="R13" s="290" t="s">
        <v>510</v>
      </c>
      <c r="S13" s="265"/>
      <c r="T13" s="289" t="s">
        <v>511</v>
      </c>
      <c r="U13" s="266">
        <v>2</v>
      </c>
      <c r="V13" s="266">
        <v>7</v>
      </c>
      <c r="W13" s="266">
        <v>1</v>
      </c>
      <c r="X13" s="266">
        <v>10</v>
      </c>
      <c r="Y13" s="265" t="s">
        <v>512</v>
      </c>
      <c r="Z13" s="300">
        <f>IF(Ruleset="LRB 6",300000,250000)</f>
        <v>300000</v>
      </c>
      <c r="AA13" s="265"/>
      <c r="AB13" s="273" t="s">
        <v>513</v>
      </c>
      <c r="AC13" s="295">
        <v>0</v>
      </c>
      <c r="AD13" s="280" t="s">
        <v>514</v>
      </c>
      <c r="AE13" s="273" t="s">
        <v>515</v>
      </c>
      <c r="AF13" s="293" t="s">
        <v>516</v>
      </c>
    </row>
    <row r="14" spans="1:32" ht="12.75" customHeight="1">
      <c r="A14" s="296" t="s">
        <v>311</v>
      </c>
      <c r="B14" s="279" t="s">
        <v>311</v>
      </c>
      <c r="C14" s="290">
        <v>60000</v>
      </c>
      <c r="D14" s="265"/>
      <c r="E14" s="289" t="s">
        <v>517</v>
      </c>
      <c r="F14" s="266">
        <v>6</v>
      </c>
      <c r="G14" s="265" t="s">
        <v>454</v>
      </c>
      <c r="H14" s="266">
        <v>4</v>
      </c>
      <c r="I14" s="266">
        <v>3</v>
      </c>
      <c r="J14" s="266">
        <v>2</v>
      </c>
      <c r="K14" s="266">
        <v>9</v>
      </c>
      <c r="L14" s="265" t="s">
        <v>518</v>
      </c>
      <c r="M14" s="265" t="s">
        <v>465</v>
      </c>
      <c r="N14" s="267" t="s">
        <v>519</v>
      </c>
      <c r="O14" s="291">
        <v>70000</v>
      </c>
      <c r="P14" s="265"/>
      <c r="Q14" s="297" t="s">
        <v>520</v>
      </c>
      <c r="R14" s="290" t="s">
        <v>521</v>
      </c>
      <c r="S14" s="265"/>
      <c r="T14" s="289" t="s">
        <v>522</v>
      </c>
      <c r="U14" s="266">
        <v>7</v>
      </c>
      <c r="V14" s="266">
        <v>3</v>
      </c>
      <c r="W14" s="266">
        <v>4</v>
      </c>
      <c r="X14" s="266">
        <v>7</v>
      </c>
      <c r="Y14" s="265" t="s">
        <v>523</v>
      </c>
      <c r="Z14" s="291">
        <v>150000</v>
      </c>
      <c r="AA14" s="265"/>
      <c r="AB14" s="273" t="s">
        <v>524</v>
      </c>
      <c r="AC14" s="279">
        <v>0</v>
      </c>
      <c r="AD14" s="280" t="s">
        <v>525</v>
      </c>
      <c r="AE14" s="273" t="s">
        <v>526</v>
      </c>
      <c r="AF14" s="293" t="s">
        <v>527</v>
      </c>
    </row>
    <row r="15" spans="1:32" ht="12.75" customHeight="1">
      <c r="A15" s="296" t="s">
        <v>528</v>
      </c>
      <c r="B15" s="279" t="s">
        <v>529</v>
      </c>
      <c r="C15" s="290">
        <v>60000</v>
      </c>
      <c r="D15" s="265"/>
      <c r="E15" s="289" t="s">
        <v>530</v>
      </c>
      <c r="F15" s="266">
        <v>2</v>
      </c>
      <c r="G15" s="265" t="s">
        <v>531</v>
      </c>
      <c r="H15" s="266">
        <v>6</v>
      </c>
      <c r="I15" s="266">
        <v>4</v>
      </c>
      <c r="J15" s="266">
        <v>2</v>
      </c>
      <c r="K15" s="266">
        <v>9</v>
      </c>
      <c r="L15" s="265" t="s">
        <v>532</v>
      </c>
      <c r="M15" s="265" t="s">
        <v>465</v>
      </c>
      <c r="N15" s="267" t="s">
        <v>466</v>
      </c>
      <c r="O15" s="291">
        <v>130000</v>
      </c>
      <c r="P15" s="265"/>
      <c r="Q15" s="297" t="s">
        <v>495</v>
      </c>
      <c r="R15" s="290" t="s">
        <v>533</v>
      </c>
      <c r="S15" s="265"/>
      <c r="T15" s="289" t="s">
        <v>534</v>
      </c>
      <c r="U15" s="266">
        <v>8</v>
      </c>
      <c r="V15" s="266">
        <v>3</v>
      </c>
      <c r="W15" s="266">
        <v>4</v>
      </c>
      <c r="X15" s="266">
        <v>7</v>
      </c>
      <c r="Y15" s="265" t="s">
        <v>535</v>
      </c>
      <c r="Z15" s="300">
        <f>IF(Ruleset="LRB 6",200000,170000)</f>
        <v>200000</v>
      </c>
      <c r="AA15" s="265"/>
      <c r="AB15" s="273" t="s">
        <v>536</v>
      </c>
      <c r="AC15" s="279">
        <v>9999</v>
      </c>
      <c r="AD15" s="280" t="s">
        <v>537</v>
      </c>
      <c r="AE15" s="273" t="s">
        <v>538</v>
      </c>
      <c r="AF15" s="293" t="s">
        <v>539</v>
      </c>
    </row>
    <row r="16" spans="1:32" ht="12.75" customHeight="1">
      <c r="A16" s="265"/>
      <c r="B16" s="289" t="s">
        <v>540</v>
      </c>
      <c r="C16" s="290">
        <v>50000</v>
      </c>
      <c r="D16" s="265"/>
      <c r="E16" s="289" t="s">
        <v>541</v>
      </c>
      <c r="F16" s="266">
        <v>1</v>
      </c>
      <c r="G16" s="265" t="s">
        <v>496</v>
      </c>
      <c r="H16" s="266">
        <v>5</v>
      </c>
      <c r="I16" s="266">
        <v>5</v>
      </c>
      <c r="J16" s="266">
        <v>2</v>
      </c>
      <c r="K16" s="266">
        <v>8</v>
      </c>
      <c r="L16" s="267" t="s">
        <v>497</v>
      </c>
      <c r="M16" s="265" t="s">
        <v>542</v>
      </c>
      <c r="N16" s="267" t="s">
        <v>543</v>
      </c>
      <c r="O16" s="291">
        <v>150000</v>
      </c>
      <c r="P16" s="265"/>
      <c r="Q16" s="297" t="s">
        <v>486</v>
      </c>
      <c r="R16" s="290" t="s">
        <v>477</v>
      </c>
      <c r="S16" s="265"/>
      <c r="T16" s="289" t="s">
        <v>544</v>
      </c>
      <c r="U16" s="266">
        <v>4</v>
      </c>
      <c r="V16" s="266">
        <v>7</v>
      </c>
      <c r="W16" s="266">
        <v>3</v>
      </c>
      <c r="X16" s="266">
        <v>7</v>
      </c>
      <c r="Y16" s="265" t="s">
        <v>545</v>
      </c>
      <c r="Z16" s="291">
        <v>100000</v>
      </c>
      <c r="AA16" s="265"/>
      <c r="AB16" s="273" t="s">
        <v>546</v>
      </c>
      <c r="AC16" s="279">
        <v>-9999</v>
      </c>
      <c r="AD16" s="280" t="s">
        <v>547</v>
      </c>
      <c r="AE16" s="273" t="s">
        <v>548</v>
      </c>
      <c r="AF16" s="293" t="s">
        <v>549</v>
      </c>
    </row>
    <row r="17" spans="1:32" ht="12.75" customHeight="1">
      <c r="A17" s="265"/>
      <c r="B17" s="289" t="s">
        <v>362</v>
      </c>
      <c r="C17" s="290">
        <v>50000</v>
      </c>
      <c r="D17" s="265"/>
      <c r="E17" s="292" t="str">
        <f>IF(Ruleset="LRB 6","Chaos Pact1","Chaos Pact (exp.)1")</f>
        <v>Chaos Pact1</v>
      </c>
      <c r="F17" s="266">
        <v>12</v>
      </c>
      <c r="G17" s="265" t="s">
        <v>550</v>
      </c>
      <c r="H17" s="266">
        <v>6</v>
      </c>
      <c r="I17" s="266">
        <v>3</v>
      </c>
      <c r="J17" s="266">
        <v>3</v>
      </c>
      <c r="K17" s="266">
        <v>8</v>
      </c>
      <c r="L17" s="267"/>
      <c r="M17" s="265" t="s">
        <v>551</v>
      </c>
      <c r="N17" s="267" t="s">
        <v>193</v>
      </c>
      <c r="O17" s="291">
        <v>50000</v>
      </c>
      <c r="P17" s="265"/>
      <c r="Q17" s="297" t="s">
        <v>473</v>
      </c>
      <c r="R17" s="298" t="str">
        <f>IF(Ruleset="LRB 6","Lewdgrip Whiparm","Ripper")</f>
        <v>Lewdgrip Whiparm</v>
      </c>
      <c r="S17" s="265"/>
      <c r="T17" s="289" t="s">
        <v>552</v>
      </c>
      <c r="U17" s="266">
        <v>5</v>
      </c>
      <c r="V17" s="266">
        <v>3</v>
      </c>
      <c r="W17" s="266">
        <v>2</v>
      </c>
      <c r="X17" s="266">
        <v>8</v>
      </c>
      <c r="Y17" s="294" t="str">
        <f>IF(Ruleset="LRB 6","Loner, Block, Chainsaw, Secret Weapon, Thick Skull","Loner, Block, Chainsaw, No Hands, Secret Weapon, Thick Skull")</f>
        <v>Loner, Block, Chainsaw, Secret Weapon, Thick Skull</v>
      </c>
      <c r="Z17" s="300">
        <f>IF(Ruleset="LRB 6",130000,100000)</f>
        <v>130000</v>
      </c>
      <c r="AA17" s="265"/>
      <c r="AB17" s="273" t="s">
        <v>553</v>
      </c>
      <c r="AC17" s="279">
        <v>0</v>
      </c>
      <c r="AD17" s="280" t="s">
        <v>554</v>
      </c>
      <c r="AE17" s="273" t="s">
        <v>555</v>
      </c>
      <c r="AF17" s="293" t="s">
        <v>556</v>
      </c>
    </row>
    <row r="18" spans="1:32" ht="12.75" customHeight="1">
      <c r="A18" s="265"/>
      <c r="B18" s="289" t="s">
        <v>557</v>
      </c>
      <c r="C18" s="290">
        <v>70000</v>
      </c>
      <c r="D18" s="265"/>
      <c r="E18" s="292" t="str">
        <f>IF(Ruleset="LRB 6","Chaos Pact2","Chaos Pact (exp.)2")</f>
        <v>Chaos Pact2</v>
      </c>
      <c r="F18" s="266">
        <v>1</v>
      </c>
      <c r="G18" s="265" t="s">
        <v>558</v>
      </c>
      <c r="H18" s="266">
        <v>6</v>
      </c>
      <c r="I18" s="266">
        <v>2</v>
      </c>
      <c r="J18" s="266">
        <v>3</v>
      </c>
      <c r="K18" s="266">
        <v>7</v>
      </c>
      <c r="L18" s="265" t="s">
        <v>559</v>
      </c>
      <c r="M18" s="265" t="s">
        <v>560</v>
      </c>
      <c r="N18" s="267" t="s">
        <v>561</v>
      </c>
      <c r="O18" s="291">
        <v>40000</v>
      </c>
      <c r="P18" s="265"/>
      <c r="Q18" s="297" t="s">
        <v>562</v>
      </c>
      <c r="R18" s="290" t="s">
        <v>510</v>
      </c>
      <c r="S18" s="265"/>
      <c r="T18" s="289" t="s">
        <v>563</v>
      </c>
      <c r="U18" s="266">
        <v>4</v>
      </c>
      <c r="V18" s="266">
        <v>7</v>
      </c>
      <c r="W18" s="266">
        <v>3</v>
      </c>
      <c r="X18" s="266">
        <v>7</v>
      </c>
      <c r="Y18" s="265" t="s">
        <v>564</v>
      </c>
      <c r="Z18" s="291">
        <v>80000</v>
      </c>
      <c r="AA18" s="265"/>
      <c r="AB18" s="273" t="s">
        <v>565</v>
      </c>
      <c r="AC18" s="301">
        <v>9999</v>
      </c>
      <c r="AD18" s="280" t="s">
        <v>566</v>
      </c>
      <c r="AE18" s="273" t="s">
        <v>567</v>
      </c>
      <c r="AF18" s="279" t="s">
        <v>568</v>
      </c>
    </row>
    <row r="19" spans="1:32" ht="12.75" customHeight="1">
      <c r="A19" s="265"/>
      <c r="B19" s="289" t="s">
        <v>938</v>
      </c>
      <c r="C19" s="290">
        <v>60000</v>
      </c>
      <c r="D19" s="265"/>
      <c r="E19" s="292" t="str">
        <f>IF(Ruleset="LRB 6","Chaos Pact3","Chaos Pact (exp.)3")</f>
        <v>Chaos Pact3</v>
      </c>
      <c r="F19" s="266">
        <v>1</v>
      </c>
      <c r="G19" s="265" t="s">
        <v>569</v>
      </c>
      <c r="H19" s="266">
        <v>7</v>
      </c>
      <c r="I19" s="266">
        <v>3</v>
      </c>
      <c r="J19" s="266">
        <v>3</v>
      </c>
      <c r="K19" s="266">
        <v>7</v>
      </c>
      <c r="L19" s="265" t="s">
        <v>570</v>
      </c>
      <c r="M19" s="265" t="s">
        <v>571</v>
      </c>
      <c r="N19" s="267" t="s">
        <v>436</v>
      </c>
      <c r="O19" s="291">
        <v>50000</v>
      </c>
      <c r="P19" s="265"/>
      <c r="Q19" s="297" t="s">
        <v>572</v>
      </c>
      <c r="R19" s="290" t="s">
        <v>573</v>
      </c>
      <c r="S19" s="265"/>
      <c r="T19" s="289" t="s">
        <v>574</v>
      </c>
      <c r="U19" s="266">
        <v>7</v>
      </c>
      <c r="V19" s="266">
        <v>4</v>
      </c>
      <c r="W19" s="266">
        <v>3</v>
      </c>
      <c r="X19" s="266">
        <v>8</v>
      </c>
      <c r="Y19" s="265" t="s">
        <v>575</v>
      </c>
      <c r="Z19" s="291">
        <v>210000</v>
      </c>
      <c r="AA19" s="265"/>
      <c r="AB19" s="273" t="s">
        <v>576</v>
      </c>
      <c r="AC19" s="301">
        <v>-9999</v>
      </c>
      <c r="AD19" s="280" t="s">
        <v>577</v>
      </c>
      <c r="AE19" s="273" t="s">
        <v>578</v>
      </c>
      <c r="AF19" s="279" t="s">
        <v>579</v>
      </c>
    </row>
    <row r="20" spans="1:32" ht="12.75" customHeight="1">
      <c r="A20" s="265"/>
      <c r="B20" s="289" t="s">
        <v>227</v>
      </c>
      <c r="C20" s="290">
        <v>70000</v>
      </c>
      <c r="D20" s="265"/>
      <c r="E20" s="292" t="str">
        <f>IF(Ruleset="LRB 6","Chaos Pact4","Chaos Pact (exp.)4")</f>
        <v>Chaos Pact4</v>
      </c>
      <c r="F20" s="266">
        <v>1</v>
      </c>
      <c r="G20" s="265" t="s">
        <v>580</v>
      </c>
      <c r="H20" s="266">
        <v>6</v>
      </c>
      <c r="I20" s="266">
        <v>3</v>
      </c>
      <c r="J20" s="266">
        <v>4</v>
      </c>
      <c r="K20" s="266">
        <v>8</v>
      </c>
      <c r="L20" s="265" t="s">
        <v>570</v>
      </c>
      <c r="M20" s="265" t="s">
        <v>581</v>
      </c>
      <c r="N20" s="267" t="s">
        <v>458</v>
      </c>
      <c r="O20" s="291">
        <v>70000</v>
      </c>
      <c r="P20" s="265"/>
      <c r="Q20" s="297" t="s">
        <v>541</v>
      </c>
      <c r="R20" s="290" t="s">
        <v>477</v>
      </c>
      <c r="S20" s="265"/>
      <c r="T20" s="289" t="s">
        <v>510</v>
      </c>
      <c r="U20" s="266">
        <v>6</v>
      </c>
      <c r="V20" s="266">
        <v>6</v>
      </c>
      <c r="W20" s="266">
        <v>2</v>
      </c>
      <c r="X20" s="266">
        <v>8</v>
      </c>
      <c r="Y20" s="265" t="s">
        <v>582</v>
      </c>
      <c r="Z20" s="291">
        <v>310000</v>
      </c>
      <c r="AA20" s="265"/>
      <c r="AB20" s="273" t="s">
        <v>583</v>
      </c>
      <c r="AC20" s="301">
        <v>0</v>
      </c>
      <c r="AD20" s="280" t="s">
        <v>584</v>
      </c>
      <c r="AE20" s="273" t="s">
        <v>585</v>
      </c>
      <c r="AF20" s="279" t="s">
        <v>586</v>
      </c>
    </row>
    <row r="21" spans="1:32" ht="12.75" customHeight="1">
      <c r="A21" s="265"/>
      <c r="B21" s="289" t="s">
        <v>587</v>
      </c>
      <c r="C21" s="290">
        <v>60000</v>
      </c>
      <c r="D21" s="265"/>
      <c r="E21" s="292" t="str">
        <f>IF(Ruleset="LRB 6","Chaos Pact5","Chaos Pact (exp.)5")</f>
        <v>Chaos Pact5</v>
      </c>
      <c r="F21" s="266">
        <v>1</v>
      </c>
      <c r="G21" s="265" t="s">
        <v>588</v>
      </c>
      <c r="H21" s="266">
        <v>4</v>
      </c>
      <c r="I21" s="266">
        <v>5</v>
      </c>
      <c r="J21" s="266">
        <v>1</v>
      </c>
      <c r="K21" s="266">
        <v>9</v>
      </c>
      <c r="L21" s="265" t="s">
        <v>589</v>
      </c>
      <c r="M21" s="265" t="s">
        <v>542</v>
      </c>
      <c r="N21" s="267" t="s">
        <v>543</v>
      </c>
      <c r="O21" s="291">
        <v>110000</v>
      </c>
      <c r="P21" s="265"/>
      <c r="Q21" s="297" t="s">
        <v>530</v>
      </c>
      <c r="R21" s="290" t="s">
        <v>590</v>
      </c>
      <c r="S21" s="265"/>
      <c r="T21" s="289" t="s">
        <v>591</v>
      </c>
      <c r="U21" s="266">
        <v>7</v>
      </c>
      <c r="V21" s="266">
        <v>4</v>
      </c>
      <c r="W21" s="266">
        <v>4</v>
      </c>
      <c r="X21" s="266">
        <v>8</v>
      </c>
      <c r="Y21" s="265" t="s">
        <v>592</v>
      </c>
      <c r="Z21" s="291">
        <v>320000</v>
      </c>
      <c r="AA21" s="265"/>
      <c r="AB21" s="273" t="s">
        <v>593</v>
      </c>
      <c r="AC21" s="301">
        <v>0</v>
      </c>
      <c r="AD21" s="280" t="s">
        <v>594</v>
      </c>
      <c r="AE21" s="273" t="s">
        <v>595</v>
      </c>
      <c r="AF21" s="301" t="s">
        <v>596</v>
      </c>
    </row>
    <row r="22" spans="1:32" ht="12.75" customHeight="1">
      <c r="A22" s="265"/>
      <c r="B22" s="297" t="s">
        <v>597</v>
      </c>
      <c r="C22" s="290">
        <v>70000</v>
      </c>
      <c r="D22" s="265"/>
      <c r="E22" s="292" t="str">
        <f>IF(Ruleset="LRB 6","Chaos Pact6","Chaos Pact (exp.)6")</f>
        <v>Chaos Pact6</v>
      </c>
      <c r="F22" s="266">
        <v>1</v>
      </c>
      <c r="G22" s="265" t="s">
        <v>598</v>
      </c>
      <c r="H22" s="266">
        <v>5</v>
      </c>
      <c r="I22" s="266">
        <v>5</v>
      </c>
      <c r="J22" s="266">
        <v>2</v>
      </c>
      <c r="K22" s="266">
        <v>9</v>
      </c>
      <c r="L22" s="265" t="s">
        <v>599</v>
      </c>
      <c r="M22" s="265" t="s">
        <v>542</v>
      </c>
      <c r="N22" s="267" t="s">
        <v>543</v>
      </c>
      <c r="O22" s="291">
        <v>140000</v>
      </c>
      <c r="P22" s="265"/>
      <c r="Q22" s="297" t="s">
        <v>517</v>
      </c>
      <c r="R22" s="290" t="s">
        <v>600</v>
      </c>
      <c r="S22" s="265"/>
      <c r="T22" s="289" t="s">
        <v>601</v>
      </c>
      <c r="U22" s="266">
        <v>5</v>
      </c>
      <c r="V22" s="266">
        <v>4</v>
      </c>
      <c r="W22" s="266">
        <v>3</v>
      </c>
      <c r="X22" s="266">
        <v>8</v>
      </c>
      <c r="Y22" s="294" t="str">
        <f>IF(Ruleset="LRB 6","Loner, Block, Dauntless, Frenzy, Multiple Block, Thick Skull","Loner, Block, Dauntless, Frenzy, Mighty Blow, Thick Skull")</f>
        <v>Loner, Block, Dauntless, Frenzy, Multiple Block, Thick Skull</v>
      </c>
      <c r="Z22" s="291">
        <v>220000</v>
      </c>
      <c r="AA22" s="265"/>
      <c r="AB22" s="265"/>
      <c r="AC22" s="265"/>
      <c r="AD22" s="265"/>
      <c r="AE22" s="273" t="s">
        <v>602</v>
      </c>
      <c r="AF22" s="279" t="s">
        <v>603</v>
      </c>
    </row>
    <row r="23" spans="1:32" ht="12.75" customHeight="1">
      <c r="A23" s="265"/>
      <c r="B23" s="289" t="s">
        <v>604</v>
      </c>
      <c r="C23" s="290">
        <v>70000</v>
      </c>
      <c r="D23" s="265"/>
      <c r="E23" s="292" t="str">
        <f>IF(Ruleset="LRB 6","Chaos Pact7","Chaos Pact (exp.)7")</f>
        <v>Chaos Pact7</v>
      </c>
      <c r="F23" s="266">
        <v>1</v>
      </c>
      <c r="G23" s="265" t="s">
        <v>496</v>
      </c>
      <c r="H23" s="266">
        <v>5</v>
      </c>
      <c r="I23" s="266">
        <v>5</v>
      </c>
      <c r="J23" s="266">
        <v>2</v>
      </c>
      <c r="K23" s="266">
        <v>8</v>
      </c>
      <c r="L23" s="267" t="s">
        <v>497</v>
      </c>
      <c r="M23" s="265" t="s">
        <v>542</v>
      </c>
      <c r="N23" s="267" t="s">
        <v>543</v>
      </c>
      <c r="O23" s="291">
        <v>150000</v>
      </c>
      <c r="P23" s="265"/>
      <c r="Q23" s="297" t="s">
        <v>507</v>
      </c>
      <c r="R23" s="290" t="s">
        <v>605</v>
      </c>
      <c r="S23" s="296" t="s">
        <v>606</v>
      </c>
      <c r="T23" s="279" t="s">
        <v>606</v>
      </c>
      <c r="U23" s="266">
        <v>6</v>
      </c>
      <c r="V23" s="266">
        <v>2</v>
      </c>
      <c r="W23" s="266">
        <v>4</v>
      </c>
      <c r="X23" s="266">
        <v>7</v>
      </c>
      <c r="Y23" s="265" t="s">
        <v>607</v>
      </c>
      <c r="Z23" s="291">
        <v>0</v>
      </c>
      <c r="AA23" s="265"/>
      <c r="AB23" s="276" t="s">
        <v>608</v>
      </c>
      <c r="AC23" s="265"/>
      <c r="AD23" s="265"/>
      <c r="AE23" s="273" t="s">
        <v>609</v>
      </c>
      <c r="AF23" s="301" t="s">
        <v>610</v>
      </c>
    </row>
    <row r="24" spans="1:32" ht="12.75" customHeight="1">
      <c r="A24" s="265"/>
      <c r="B24" s="289" t="s">
        <v>255</v>
      </c>
      <c r="C24" s="290">
        <v>60000</v>
      </c>
      <c r="D24" s="265"/>
      <c r="E24" s="289" t="s">
        <v>611</v>
      </c>
      <c r="F24" s="266">
        <v>16</v>
      </c>
      <c r="G24" s="265" t="s">
        <v>328</v>
      </c>
      <c r="H24" s="266">
        <v>6</v>
      </c>
      <c r="I24" s="266">
        <v>3</v>
      </c>
      <c r="J24" s="266">
        <v>4</v>
      </c>
      <c r="K24" s="266">
        <v>8</v>
      </c>
      <c r="L24" s="265"/>
      <c r="M24" s="265" t="s">
        <v>457</v>
      </c>
      <c r="N24" s="267" t="s">
        <v>458</v>
      </c>
      <c r="O24" s="291">
        <v>70000</v>
      </c>
      <c r="P24" s="265"/>
      <c r="Q24" s="292" t="str">
        <f>IF(Ruleset="LRB 6","Chaos Pact6","X")</f>
        <v>Chaos Pact6</v>
      </c>
      <c r="R24" s="290" t="s">
        <v>501</v>
      </c>
      <c r="S24" s="265"/>
      <c r="T24" s="289" t="s">
        <v>612</v>
      </c>
      <c r="U24" s="266">
        <v>6</v>
      </c>
      <c r="V24" s="266">
        <v>3</v>
      </c>
      <c r="W24" s="266">
        <v>2</v>
      </c>
      <c r="X24" s="266">
        <v>7</v>
      </c>
      <c r="Y24" s="294" t="str">
        <f>IF(Ruleset="LRB 6","Loner, Chainsaw, Regeneration, Secret Weapon, Side Step","Loner, Chainsaw, No Hands, Regeneration, Secret Weapon, Side Step")</f>
        <v>Loner, Chainsaw, Regeneration, Secret Weapon, Side Step</v>
      </c>
      <c r="Z24" s="300">
        <f>IF(Ruleset="LRB 6",120000,90000)</f>
        <v>120000</v>
      </c>
      <c r="AA24" s="265"/>
      <c r="AB24" s="273" t="s">
        <v>613</v>
      </c>
      <c r="AC24" s="288">
        <v>1</v>
      </c>
      <c r="AD24" s="265"/>
      <c r="AE24" s="273" t="s">
        <v>614</v>
      </c>
      <c r="AF24" s="279" t="s">
        <v>615</v>
      </c>
    </row>
    <row r="25" spans="1:32" ht="12.75" customHeight="1">
      <c r="A25" s="265"/>
      <c r="B25" s="289" t="s">
        <v>616</v>
      </c>
      <c r="C25" s="290">
        <v>60000</v>
      </c>
      <c r="D25" s="265"/>
      <c r="E25" s="289" t="s">
        <v>617</v>
      </c>
      <c r="F25" s="266">
        <v>2</v>
      </c>
      <c r="G25" s="265" t="s">
        <v>618</v>
      </c>
      <c r="H25" s="266">
        <v>7</v>
      </c>
      <c r="I25" s="266">
        <v>3</v>
      </c>
      <c r="J25" s="266">
        <v>4</v>
      </c>
      <c r="K25" s="266">
        <v>7</v>
      </c>
      <c r="L25" s="265" t="s">
        <v>619</v>
      </c>
      <c r="M25" s="265" t="s">
        <v>499</v>
      </c>
      <c r="N25" s="267" t="s">
        <v>542</v>
      </c>
      <c r="O25" s="291">
        <v>80000</v>
      </c>
      <c r="P25" s="265"/>
      <c r="Q25" s="292" t="str">
        <f>IF(Ruleset="LRB 6","Chaos Pact5","X")</f>
        <v>Chaos Pact5</v>
      </c>
      <c r="R25" s="290" t="s">
        <v>620</v>
      </c>
      <c r="S25" s="265"/>
      <c r="T25" s="289" t="s">
        <v>621</v>
      </c>
      <c r="U25" s="266">
        <v>9</v>
      </c>
      <c r="V25" s="266">
        <v>3</v>
      </c>
      <c r="W25" s="266">
        <v>4</v>
      </c>
      <c r="X25" s="266">
        <v>7</v>
      </c>
      <c r="Y25" s="265" t="s">
        <v>622</v>
      </c>
      <c r="Z25" s="291">
        <v>200000</v>
      </c>
      <c r="AA25" s="265"/>
      <c r="AB25" s="273" t="s">
        <v>623</v>
      </c>
      <c r="AC25" s="279">
        <v>3</v>
      </c>
      <c r="AD25" s="265"/>
      <c r="AE25" s="273" t="s">
        <v>624</v>
      </c>
      <c r="AF25" s="279" t="s">
        <v>625</v>
      </c>
    </row>
    <row r="26" spans="1:32" ht="12.75" customHeight="1">
      <c r="A26" s="265"/>
      <c r="B26" s="292" t="str">
        <f>IF(Ruleset="LRB 6","Slann","Slann (exp.)")</f>
        <v>Slann</v>
      </c>
      <c r="C26" s="290">
        <v>50000</v>
      </c>
      <c r="D26" s="265"/>
      <c r="E26" s="289" t="s">
        <v>626</v>
      </c>
      <c r="F26" s="266">
        <v>2</v>
      </c>
      <c r="G26" s="265" t="s">
        <v>627</v>
      </c>
      <c r="H26" s="266">
        <v>6</v>
      </c>
      <c r="I26" s="266">
        <v>3</v>
      </c>
      <c r="J26" s="266">
        <v>4</v>
      </c>
      <c r="K26" s="266">
        <v>7</v>
      </c>
      <c r="L26" s="267" t="s">
        <v>628</v>
      </c>
      <c r="M26" s="265" t="s">
        <v>457</v>
      </c>
      <c r="N26" s="267" t="s">
        <v>458</v>
      </c>
      <c r="O26" s="291">
        <v>90000</v>
      </c>
      <c r="P26" s="265"/>
      <c r="Q26" s="292" t="str">
        <f>IF(Ruleset="LRB 6","Chaos Pact4","Chaos Pact (exp.)4")</f>
        <v>Chaos Pact4</v>
      </c>
      <c r="R26" s="290" t="s">
        <v>459</v>
      </c>
      <c r="S26" s="265"/>
      <c r="T26" s="289" t="s">
        <v>629</v>
      </c>
      <c r="U26" s="266">
        <v>6</v>
      </c>
      <c r="V26" s="266">
        <v>6</v>
      </c>
      <c r="W26" s="266">
        <v>3</v>
      </c>
      <c r="X26" s="266">
        <v>8</v>
      </c>
      <c r="Y26" s="265" t="s">
        <v>630</v>
      </c>
      <c r="Z26" s="291">
        <v>340000</v>
      </c>
      <c r="AA26" s="265"/>
      <c r="AB26" s="273" t="s">
        <v>631</v>
      </c>
      <c r="AC26" s="295">
        <v>2</v>
      </c>
      <c r="AD26" s="265"/>
      <c r="AE26" s="273"/>
      <c r="AF26" s="265"/>
    </row>
    <row r="27" spans="1:32" ht="12.75" customHeight="1">
      <c r="A27" s="265"/>
      <c r="B27" s="289" t="s">
        <v>333</v>
      </c>
      <c r="C27" s="290">
        <v>70000</v>
      </c>
      <c r="D27" s="265"/>
      <c r="E27" s="289" t="s">
        <v>632</v>
      </c>
      <c r="F27" s="266">
        <v>4</v>
      </c>
      <c r="G27" s="265" t="s">
        <v>269</v>
      </c>
      <c r="H27" s="266">
        <v>7</v>
      </c>
      <c r="I27" s="266">
        <v>3</v>
      </c>
      <c r="J27" s="266">
        <v>4</v>
      </c>
      <c r="K27" s="266">
        <v>8</v>
      </c>
      <c r="L27" s="265" t="s">
        <v>162</v>
      </c>
      <c r="M27" s="265" t="s">
        <v>457</v>
      </c>
      <c r="N27" s="267" t="s">
        <v>458</v>
      </c>
      <c r="O27" s="291">
        <v>100000</v>
      </c>
      <c r="P27" s="265"/>
      <c r="Q27" s="292" t="str">
        <f>IF(Ruleset="LRB 6","Chaos Pact3","Chaos Pact (exp.)3")</f>
        <v>Chaos Pact3</v>
      </c>
      <c r="R27" s="290" t="s">
        <v>477</v>
      </c>
      <c r="S27" s="265"/>
      <c r="T27" s="289" t="s">
        <v>467</v>
      </c>
      <c r="U27" s="266">
        <v>6</v>
      </c>
      <c r="V27" s="266">
        <v>3</v>
      </c>
      <c r="W27" s="266">
        <v>3</v>
      </c>
      <c r="X27" s="266">
        <v>8</v>
      </c>
      <c r="Y27" s="294" t="str">
        <f>IF(Ruleset="LRB 6","Loner, Chainsaw, Secret Weapon, Stand Firm","Loner, Chainsaw, No Hands, Secret Weapon, Stand Firm")</f>
        <v>Loner, Chainsaw, Secret Weapon, Stand Firm</v>
      </c>
      <c r="Z27" s="300">
        <f>IF(Ruleset="LRB 6",110000,80000)</f>
        <v>110000</v>
      </c>
      <c r="AA27" s="265"/>
      <c r="AB27" s="273" t="s">
        <v>633</v>
      </c>
      <c r="AC27" s="279">
        <v>2</v>
      </c>
      <c r="AD27" s="265"/>
      <c r="AE27" s="265"/>
      <c r="AF27" s="273" t="s">
        <v>634</v>
      </c>
    </row>
    <row r="28" spans="1:32" ht="12.75" customHeight="1">
      <c r="A28" s="265"/>
      <c r="B28" s="292" t="str">
        <f>IF(Ruleset="LRB 6","Underworld","Underworld (exp.)")</f>
        <v>Underworld</v>
      </c>
      <c r="C28" s="290">
        <v>70000</v>
      </c>
      <c r="D28" s="265"/>
      <c r="E28" s="289" t="s">
        <v>635</v>
      </c>
      <c r="F28" s="266">
        <v>2</v>
      </c>
      <c r="G28" s="265" t="s">
        <v>636</v>
      </c>
      <c r="H28" s="266">
        <v>7</v>
      </c>
      <c r="I28" s="266">
        <v>3</v>
      </c>
      <c r="J28" s="266">
        <v>4</v>
      </c>
      <c r="K28" s="266">
        <v>7</v>
      </c>
      <c r="L28" s="267" t="s">
        <v>637</v>
      </c>
      <c r="M28" s="265" t="s">
        <v>457</v>
      </c>
      <c r="N28" s="267" t="s">
        <v>458</v>
      </c>
      <c r="O28" s="291">
        <v>110000</v>
      </c>
      <c r="P28" s="265"/>
      <c r="Q28" s="292" t="str">
        <f>IF(Ruleset="LRB 6","Chaos Pact2","Chaos Pact (exp.)2")</f>
        <v>Chaos Pact2</v>
      </c>
      <c r="R28" s="290" t="s">
        <v>638</v>
      </c>
      <c r="S28" s="265"/>
      <c r="T28" s="289" t="s">
        <v>639</v>
      </c>
      <c r="U28" s="266">
        <v>8</v>
      </c>
      <c r="V28" s="266">
        <v>2</v>
      </c>
      <c r="W28" s="266">
        <v>3</v>
      </c>
      <c r="X28" s="266">
        <v>7</v>
      </c>
      <c r="Y28" s="265" t="s">
        <v>640</v>
      </c>
      <c r="Z28" s="291">
        <v>170000</v>
      </c>
      <c r="AA28" s="265"/>
      <c r="AB28" s="273" t="s">
        <v>641</v>
      </c>
      <c r="AC28" s="301">
        <v>5</v>
      </c>
      <c r="AD28" s="265"/>
      <c r="AE28" s="273" t="s">
        <v>642</v>
      </c>
      <c r="AF28" s="293" t="s">
        <v>176</v>
      </c>
    </row>
    <row r="29" spans="1:32" ht="12.75" customHeight="1">
      <c r="A29" s="265"/>
      <c r="B29" s="289" t="s">
        <v>132</v>
      </c>
      <c r="C29" s="290">
        <v>70000</v>
      </c>
      <c r="D29" s="265"/>
      <c r="E29" s="289" t="s">
        <v>643</v>
      </c>
      <c r="F29" s="266">
        <v>16</v>
      </c>
      <c r="G29" s="265" t="s">
        <v>644</v>
      </c>
      <c r="H29" s="266">
        <v>6</v>
      </c>
      <c r="I29" s="266">
        <v>3</v>
      </c>
      <c r="J29" s="266">
        <v>3</v>
      </c>
      <c r="K29" s="266">
        <v>8</v>
      </c>
      <c r="L29" s="267" t="s">
        <v>645</v>
      </c>
      <c r="M29" s="265" t="s">
        <v>646</v>
      </c>
      <c r="N29" s="267" t="s">
        <v>447</v>
      </c>
      <c r="O29" s="291">
        <v>60000</v>
      </c>
      <c r="P29" s="265"/>
      <c r="Q29" s="292" t="str">
        <f>IF(Ruleset="LRB 6","Chaos Pact1","Chaos Pact (exp.)1")</f>
        <v>Chaos Pact1</v>
      </c>
      <c r="R29" s="290" t="s">
        <v>605</v>
      </c>
      <c r="S29" s="265"/>
      <c r="T29" s="289" t="s">
        <v>647</v>
      </c>
      <c r="U29" s="266">
        <v>7</v>
      </c>
      <c r="V29" s="266">
        <v>3</v>
      </c>
      <c r="W29" s="266">
        <v>4</v>
      </c>
      <c r="X29" s="266">
        <v>7</v>
      </c>
      <c r="Y29" s="265" t="s">
        <v>648</v>
      </c>
      <c r="Z29" s="291">
        <v>210000</v>
      </c>
      <c r="AA29" s="265"/>
      <c r="AB29" s="265"/>
      <c r="AC29" s="265"/>
      <c r="AD29" s="265"/>
      <c r="AE29" s="273" t="s">
        <v>649</v>
      </c>
      <c r="AF29" s="279" t="s">
        <v>650</v>
      </c>
    </row>
    <row r="30" spans="1:32" ht="12.75" customHeight="1">
      <c r="A30" s="265"/>
      <c r="B30" s="302" t="s">
        <v>651</v>
      </c>
      <c r="C30" s="303">
        <v>50000</v>
      </c>
      <c r="D30" s="265"/>
      <c r="E30" s="289" t="s">
        <v>652</v>
      </c>
      <c r="F30" s="266">
        <v>4</v>
      </c>
      <c r="G30" s="265" t="s">
        <v>653</v>
      </c>
      <c r="H30" s="266">
        <v>6</v>
      </c>
      <c r="I30" s="266">
        <v>3</v>
      </c>
      <c r="J30" s="266">
        <v>3</v>
      </c>
      <c r="K30" s="266">
        <v>7</v>
      </c>
      <c r="L30" s="267" t="s">
        <v>654</v>
      </c>
      <c r="M30" s="265" t="s">
        <v>655</v>
      </c>
      <c r="N30" s="267" t="s">
        <v>656</v>
      </c>
      <c r="O30" s="291">
        <v>80000</v>
      </c>
      <c r="P30" s="265"/>
      <c r="Q30" s="304" t="str">
        <f>IF(Ruleset="LRB 6","Dark Elf6","X")</f>
        <v>Dark Elf6</v>
      </c>
      <c r="R30" s="290" t="s">
        <v>657</v>
      </c>
      <c r="S30" s="265"/>
      <c r="T30" s="289" t="s">
        <v>573</v>
      </c>
      <c r="U30" s="266">
        <v>6</v>
      </c>
      <c r="V30" s="266">
        <v>5</v>
      </c>
      <c r="W30" s="266">
        <v>2</v>
      </c>
      <c r="X30" s="266">
        <v>9</v>
      </c>
      <c r="Y30" s="265" t="s">
        <v>658</v>
      </c>
      <c r="Z30" s="300">
        <f>IF(Ruleset="LRB 6",330000,310000)</f>
        <v>330000</v>
      </c>
      <c r="AA30" s="265"/>
      <c r="AB30" s="276" t="s">
        <v>659</v>
      </c>
      <c r="AC30" s="265"/>
      <c r="AD30" s="265"/>
      <c r="AE30" s="265"/>
      <c r="AF30" s="265"/>
    </row>
    <row r="31" spans="1:32" ht="12.75" customHeight="1">
      <c r="A31" s="265"/>
      <c r="B31" s="265"/>
      <c r="C31" s="265"/>
      <c r="D31" s="265"/>
      <c r="E31" s="289" t="s">
        <v>660</v>
      </c>
      <c r="F31" s="266">
        <v>2</v>
      </c>
      <c r="G31" s="265" t="s">
        <v>661</v>
      </c>
      <c r="H31" s="266">
        <v>6</v>
      </c>
      <c r="I31" s="266">
        <v>3</v>
      </c>
      <c r="J31" s="266">
        <v>3</v>
      </c>
      <c r="K31" s="266">
        <v>8</v>
      </c>
      <c r="L31" s="267" t="s">
        <v>662</v>
      </c>
      <c r="M31" s="265" t="s">
        <v>465</v>
      </c>
      <c r="N31" s="267" t="s">
        <v>466</v>
      </c>
      <c r="O31" s="291">
        <v>90000</v>
      </c>
      <c r="P31" s="265"/>
      <c r="Q31" s="304" t="str">
        <f>IF(Ruleset="LRB 6","Dark Elf5","X")</f>
        <v>Dark Elf5</v>
      </c>
      <c r="R31" s="290" t="s">
        <v>448</v>
      </c>
      <c r="S31" s="265"/>
      <c r="T31" s="289" t="s">
        <v>663</v>
      </c>
      <c r="U31" s="266">
        <v>7</v>
      </c>
      <c r="V31" s="266">
        <v>4</v>
      </c>
      <c r="W31" s="266">
        <v>4</v>
      </c>
      <c r="X31" s="266">
        <v>8</v>
      </c>
      <c r="Y31" s="265" t="s">
        <v>664</v>
      </c>
      <c r="Z31" s="291">
        <v>260000</v>
      </c>
      <c r="AA31" s="265"/>
      <c r="AB31" s="273" t="s">
        <v>665</v>
      </c>
      <c r="AC31" s="279">
        <v>6</v>
      </c>
      <c r="AD31" s="265"/>
      <c r="AE31" s="265"/>
      <c r="AF31" s="273" t="s">
        <v>666</v>
      </c>
    </row>
    <row r="32" spans="1:32" ht="12.75" customHeight="1">
      <c r="A32" s="265"/>
      <c r="B32" s="274" t="s">
        <v>667</v>
      </c>
      <c r="C32" s="265"/>
      <c r="D32" s="265"/>
      <c r="E32" s="289" t="s">
        <v>668</v>
      </c>
      <c r="F32" s="266">
        <v>1</v>
      </c>
      <c r="G32" s="265" t="s">
        <v>669</v>
      </c>
      <c r="H32" s="266">
        <v>6</v>
      </c>
      <c r="I32" s="266">
        <v>5</v>
      </c>
      <c r="J32" s="266">
        <v>1</v>
      </c>
      <c r="K32" s="266">
        <v>9</v>
      </c>
      <c r="L32" s="267" t="s">
        <v>670</v>
      </c>
      <c r="M32" s="265" t="s">
        <v>542</v>
      </c>
      <c r="N32" s="267" t="s">
        <v>499</v>
      </c>
      <c r="O32" s="291">
        <v>180000</v>
      </c>
      <c r="P32" s="265"/>
      <c r="Q32" s="297" t="s">
        <v>632</v>
      </c>
      <c r="R32" s="290" t="s">
        <v>534</v>
      </c>
      <c r="S32" s="265"/>
      <c r="T32" s="289" t="s">
        <v>671</v>
      </c>
      <c r="U32" s="266">
        <v>7</v>
      </c>
      <c r="V32" s="266">
        <v>2</v>
      </c>
      <c r="W32" s="266">
        <v>3</v>
      </c>
      <c r="X32" s="266">
        <v>7</v>
      </c>
      <c r="Y32" s="265" t="s">
        <v>672</v>
      </c>
      <c r="Z32" s="291">
        <v>130000</v>
      </c>
      <c r="AA32" s="265"/>
      <c r="AB32" s="273" t="s">
        <v>673</v>
      </c>
      <c r="AC32" s="279">
        <v>16</v>
      </c>
      <c r="AD32" s="265"/>
      <c r="AE32" s="265"/>
      <c r="AF32" s="288" t="s">
        <v>40</v>
      </c>
    </row>
    <row r="33" spans="1:32" ht="12.75" customHeight="1">
      <c r="A33" s="265"/>
      <c r="B33" s="276" t="s">
        <v>192</v>
      </c>
      <c r="C33" s="276" t="s">
        <v>674</v>
      </c>
      <c r="D33" s="265"/>
      <c r="E33" s="289" t="s">
        <v>675</v>
      </c>
      <c r="F33" s="266">
        <v>16</v>
      </c>
      <c r="G33" s="267" t="s">
        <v>676</v>
      </c>
      <c r="H33" s="266">
        <v>4</v>
      </c>
      <c r="I33" s="266">
        <v>3</v>
      </c>
      <c r="J33" s="266">
        <v>2</v>
      </c>
      <c r="K33" s="266">
        <v>9</v>
      </c>
      <c r="L33" s="265" t="s">
        <v>518</v>
      </c>
      <c r="M33" s="265" t="s">
        <v>465</v>
      </c>
      <c r="N33" s="267" t="s">
        <v>466</v>
      </c>
      <c r="O33" s="291">
        <v>70000</v>
      </c>
      <c r="P33" s="265"/>
      <c r="Q33" s="297" t="s">
        <v>626</v>
      </c>
      <c r="R33" s="290" t="s">
        <v>663</v>
      </c>
      <c r="S33" s="265"/>
      <c r="T33" s="289" t="s">
        <v>677</v>
      </c>
      <c r="U33" s="266">
        <v>5</v>
      </c>
      <c r="V33" s="266">
        <v>6</v>
      </c>
      <c r="W33" s="266">
        <v>1</v>
      </c>
      <c r="X33" s="266">
        <v>8</v>
      </c>
      <c r="Y33" s="294" t="str">
        <f>IF(Ruleset="LRB 6","Loner, Claws, Disturbing Presence, Frenzy, Regeneration, Thick Skull","Loner, Claws, Disturbing Presence, Frenzy, Mighty Blow, Regeneration")</f>
        <v>Loner, Claws, Disturbing Presence, Frenzy, Regeneration, Thick Skull</v>
      </c>
      <c r="Z33" s="291">
        <v>330000</v>
      </c>
      <c r="AA33" s="265"/>
      <c r="AB33" s="273" t="s">
        <v>678</v>
      </c>
      <c r="AC33" s="279">
        <v>31</v>
      </c>
      <c r="AD33" s="265"/>
      <c r="AE33" s="265"/>
      <c r="AF33" s="295" t="s">
        <v>679</v>
      </c>
    </row>
    <row r="34" spans="1:32" ht="12.75" customHeight="1">
      <c r="A34" s="265"/>
      <c r="B34" s="305" t="s">
        <v>680</v>
      </c>
      <c r="C34" s="282"/>
      <c r="D34" s="265"/>
      <c r="E34" s="289" t="s">
        <v>681</v>
      </c>
      <c r="F34" s="266">
        <v>2</v>
      </c>
      <c r="G34" s="265" t="s">
        <v>618</v>
      </c>
      <c r="H34" s="266">
        <v>6</v>
      </c>
      <c r="I34" s="266">
        <v>3</v>
      </c>
      <c r="J34" s="266">
        <v>3</v>
      </c>
      <c r="K34" s="266">
        <v>8</v>
      </c>
      <c r="L34" s="265" t="s">
        <v>682</v>
      </c>
      <c r="M34" s="265" t="s">
        <v>446</v>
      </c>
      <c r="N34" s="267" t="s">
        <v>447</v>
      </c>
      <c r="O34" s="291">
        <v>80000</v>
      </c>
      <c r="P34" s="265"/>
      <c r="Q34" s="297" t="s">
        <v>617</v>
      </c>
      <c r="R34" s="290" t="s">
        <v>647</v>
      </c>
      <c r="S34" s="265"/>
      <c r="T34" s="289" t="s">
        <v>657</v>
      </c>
      <c r="U34" s="266">
        <v>7</v>
      </c>
      <c r="V34" s="266">
        <v>3</v>
      </c>
      <c r="W34" s="266">
        <v>3</v>
      </c>
      <c r="X34" s="266">
        <v>7</v>
      </c>
      <c r="Y34" s="265" t="s">
        <v>683</v>
      </c>
      <c r="Z34" s="291">
        <v>220000</v>
      </c>
      <c r="AA34" s="265"/>
      <c r="AB34" s="273" t="s">
        <v>684</v>
      </c>
      <c r="AC34" s="279">
        <v>51</v>
      </c>
      <c r="AD34" s="265"/>
      <c r="AE34" s="265"/>
      <c r="AF34" s="295" t="s">
        <v>70</v>
      </c>
    </row>
    <row r="35" spans="1:32" ht="12.75" customHeight="1">
      <c r="A35" s="265"/>
      <c r="B35" s="289" t="s">
        <v>162</v>
      </c>
      <c r="C35" s="290" t="s">
        <v>435</v>
      </c>
      <c r="D35" s="265"/>
      <c r="E35" s="289" t="s">
        <v>685</v>
      </c>
      <c r="F35" s="266">
        <v>2</v>
      </c>
      <c r="G35" s="265" t="s">
        <v>269</v>
      </c>
      <c r="H35" s="266">
        <v>5</v>
      </c>
      <c r="I35" s="266">
        <v>3</v>
      </c>
      <c r="J35" s="266">
        <v>3</v>
      </c>
      <c r="K35" s="266">
        <v>9</v>
      </c>
      <c r="L35" s="265" t="s">
        <v>686</v>
      </c>
      <c r="M35" s="265" t="s">
        <v>465</v>
      </c>
      <c r="N35" s="267" t="s">
        <v>466</v>
      </c>
      <c r="O35" s="291">
        <v>80000</v>
      </c>
      <c r="P35" s="265"/>
      <c r="Q35" s="297" t="s">
        <v>611</v>
      </c>
      <c r="R35" s="290" t="s">
        <v>477</v>
      </c>
      <c r="S35" s="265"/>
      <c r="T35" s="289" t="s">
        <v>687</v>
      </c>
      <c r="U35" s="266">
        <v>8</v>
      </c>
      <c r="V35" s="266">
        <v>3</v>
      </c>
      <c r="W35" s="266">
        <v>3</v>
      </c>
      <c r="X35" s="266">
        <v>7</v>
      </c>
      <c r="Y35" s="265" t="s">
        <v>688</v>
      </c>
      <c r="Z35" s="291">
        <v>180000</v>
      </c>
      <c r="AA35" s="265"/>
      <c r="AB35" s="273" t="s">
        <v>689</v>
      </c>
      <c r="AC35" s="295">
        <v>76</v>
      </c>
      <c r="AD35" s="265"/>
      <c r="AE35" s="265"/>
      <c r="AF35" s="301" t="s">
        <v>103</v>
      </c>
    </row>
    <row r="36" spans="1:32" ht="12.75" customHeight="1">
      <c r="A36" s="265"/>
      <c r="B36" s="289" t="s">
        <v>690</v>
      </c>
      <c r="C36" s="290" t="s">
        <v>435</v>
      </c>
      <c r="D36" s="265"/>
      <c r="E36" s="289" t="s">
        <v>691</v>
      </c>
      <c r="F36" s="266">
        <v>2</v>
      </c>
      <c r="G36" s="265" t="s">
        <v>692</v>
      </c>
      <c r="H36" s="266">
        <v>5</v>
      </c>
      <c r="I36" s="266">
        <v>3</v>
      </c>
      <c r="J36" s="266">
        <v>2</v>
      </c>
      <c r="K36" s="266">
        <v>8</v>
      </c>
      <c r="L36" s="265" t="s">
        <v>693</v>
      </c>
      <c r="M36" s="265" t="s">
        <v>465</v>
      </c>
      <c r="N36" s="267" t="s">
        <v>466</v>
      </c>
      <c r="O36" s="291">
        <v>90000</v>
      </c>
      <c r="P36" s="265"/>
      <c r="Q36" s="297" t="s">
        <v>652</v>
      </c>
      <c r="R36" s="290" t="s">
        <v>477</v>
      </c>
      <c r="S36" s="265"/>
      <c r="T36" s="289" t="s">
        <v>694</v>
      </c>
      <c r="U36" s="266">
        <v>8</v>
      </c>
      <c r="V36" s="266">
        <v>3</v>
      </c>
      <c r="W36" s="266">
        <v>5</v>
      </c>
      <c r="X36" s="266">
        <v>7</v>
      </c>
      <c r="Y36" s="265" t="s">
        <v>695</v>
      </c>
      <c r="Z36" s="300">
        <f>IF(Ruleset="LRB 6",260000,230000)</f>
        <v>260000</v>
      </c>
      <c r="AA36" s="265"/>
      <c r="AB36" s="273" t="s">
        <v>696</v>
      </c>
      <c r="AC36" s="279">
        <v>176</v>
      </c>
      <c r="AD36" s="265"/>
      <c r="AE36" s="265"/>
      <c r="AF36" s="265"/>
    </row>
    <row r="37" spans="1:32" ht="12.75" customHeight="1">
      <c r="A37" s="265"/>
      <c r="B37" s="289" t="s">
        <v>697</v>
      </c>
      <c r="C37" s="290" t="s">
        <v>435</v>
      </c>
      <c r="D37" s="265"/>
      <c r="E37" s="289" t="s">
        <v>698</v>
      </c>
      <c r="F37" s="266">
        <v>1</v>
      </c>
      <c r="G37" s="267" t="s">
        <v>699</v>
      </c>
      <c r="H37" s="266">
        <v>4</v>
      </c>
      <c r="I37" s="266">
        <v>7</v>
      </c>
      <c r="J37" s="266">
        <v>1</v>
      </c>
      <c r="K37" s="266">
        <v>10</v>
      </c>
      <c r="L37" s="294" t="str">
        <f>IF(Ruleset="LRB 6","Loner, Break Tackle, Dirty Player, Juggernaut, Mighty Blow, No Hands, Secret Weapon, Stand Firm","Break Tackle, Dirty Player, Juggernaut, Mighty Blow, No Hands, Secret Weapon, Stand Firm")</f>
        <v>Loner, Break Tackle, Dirty Player, Juggernaut, Mighty Blow, No Hands, Secret Weapon, Stand Firm</v>
      </c>
      <c r="M37" s="265" t="s">
        <v>542</v>
      </c>
      <c r="N37" s="267" t="s">
        <v>499</v>
      </c>
      <c r="O37" s="291">
        <v>160000</v>
      </c>
      <c r="P37" s="265"/>
      <c r="Q37" s="297" t="s">
        <v>643</v>
      </c>
      <c r="R37" s="290" t="s">
        <v>510</v>
      </c>
      <c r="S37" s="265"/>
      <c r="T37" s="289" t="s">
        <v>620</v>
      </c>
      <c r="U37" s="266">
        <v>6</v>
      </c>
      <c r="V37" s="266">
        <v>3</v>
      </c>
      <c r="W37" s="266">
        <v>3</v>
      </c>
      <c r="X37" s="266">
        <v>9</v>
      </c>
      <c r="Y37" s="265" t="s">
        <v>700</v>
      </c>
      <c r="Z37" s="291">
        <v>150000</v>
      </c>
      <c r="AA37" s="265"/>
      <c r="AB37" s="265"/>
      <c r="AC37" s="265"/>
      <c r="AD37" s="265"/>
      <c r="AE37" s="265"/>
      <c r="AF37" s="273" t="s">
        <v>701</v>
      </c>
    </row>
    <row r="38" spans="1:32" ht="12.75" customHeight="1">
      <c r="A38" s="265"/>
      <c r="B38" s="289" t="s">
        <v>702</v>
      </c>
      <c r="C38" s="290" t="s">
        <v>435</v>
      </c>
      <c r="D38" s="265"/>
      <c r="E38" s="297" t="s">
        <v>703</v>
      </c>
      <c r="F38" s="266">
        <v>16</v>
      </c>
      <c r="G38" s="265" t="s">
        <v>777</v>
      </c>
      <c r="H38" s="266">
        <v>6</v>
      </c>
      <c r="I38" s="266">
        <v>3</v>
      </c>
      <c r="J38" s="266">
        <v>4</v>
      </c>
      <c r="K38" s="266">
        <v>7</v>
      </c>
      <c r="L38" s="265"/>
      <c r="M38" s="265" t="s">
        <v>457</v>
      </c>
      <c r="N38" s="267" t="s">
        <v>458</v>
      </c>
      <c r="O38" s="291">
        <v>60000</v>
      </c>
      <c r="P38" s="265"/>
      <c r="Q38" s="297" t="s">
        <v>704</v>
      </c>
      <c r="R38" s="290" t="s">
        <v>438</v>
      </c>
      <c r="S38" s="265"/>
      <c r="T38" s="289" t="s">
        <v>521</v>
      </c>
      <c r="U38" s="266">
        <v>5</v>
      </c>
      <c r="V38" s="266">
        <v>5</v>
      </c>
      <c r="W38" s="266">
        <v>3</v>
      </c>
      <c r="X38" s="266">
        <v>9</v>
      </c>
      <c r="Y38" s="265" t="s">
        <v>705</v>
      </c>
      <c r="Z38" s="300">
        <f>IF(Ruleset="LRB 6",300000,270000)</f>
        <v>300000</v>
      </c>
      <c r="AA38" s="265"/>
      <c r="AB38" s="276" t="s">
        <v>706</v>
      </c>
      <c r="AC38" s="265"/>
      <c r="AD38" s="265"/>
      <c r="AE38" s="265"/>
      <c r="AF38" s="288" t="s">
        <v>707</v>
      </c>
    </row>
    <row r="39" spans="1:32" ht="12.75" customHeight="1">
      <c r="A39" s="265"/>
      <c r="B39" s="289" t="s">
        <v>645</v>
      </c>
      <c r="C39" s="290" t="s">
        <v>435</v>
      </c>
      <c r="D39" s="265"/>
      <c r="E39" s="297" t="s">
        <v>708</v>
      </c>
      <c r="F39" s="266">
        <v>2</v>
      </c>
      <c r="G39" s="265" t="s">
        <v>262</v>
      </c>
      <c r="H39" s="266">
        <v>6</v>
      </c>
      <c r="I39" s="266">
        <v>3</v>
      </c>
      <c r="J39" s="266">
        <v>4</v>
      </c>
      <c r="K39" s="266">
        <v>7</v>
      </c>
      <c r="L39" s="265" t="s">
        <v>709</v>
      </c>
      <c r="M39" s="265" t="s">
        <v>499</v>
      </c>
      <c r="N39" s="267" t="s">
        <v>542</v>
      </c>
      <c r="O39" s="291">
        <v>70000</v>
      </c>
      <c r="P39" s="265"/>
      <c r="Q39" s="297" t="s">
        <v>698</v>
      </c>
      <c r="R39" s="290" t="s">
        <v>468</v>
      </c>
      <c r="S39" s="265"/>
      <c r="T39" s="289" t="s">
        <v>710</v>
      </c>
      <c r="U39" s="266">
        <v>8</v>
      </c>
      <c r="V39" s="266">
        <v>3</v>
      </c>
      <c r="W39" s="266">
        <v>3</v>
      </c>
      <c r="X39" s="266">
        <v>8</v>
      </c>
      <c r="Y39" s="265" t="s">
        <v>711</v>
      </c>
      <c r="Z39" s="291">
        <v>220000</v>
      </c>
      <c r="AA39" s="265"/>
      <c r="AB39" s="273" t="s">
        <v>712</v>
      </c>
      <c r="AC39" s="279">
        <v>20000</v>
      </c>
      <c r="AD39" s="265"/>
      <c r="AE39" s="265"/>
      <c r="AF39" s="295" t="s">
        <v>713</v>
      </c>
    </row>
    <row r="40" spans="1:32" ht="12.75" customHeight="1">
      <c r="A40" s="265"/>
      <c r="B40" s="289" t="s">
        <v>714</v>
      </c>
      <c r="C40" s="290" t="s">
        <v>435</v>
      </c>
      <c r="D40" s="265"/>
      <c r="E40" s="297" t="s">
        <v>715</v>
      </c>
      <c r="F40" s="266">
        <v>4</v>
      </c>
      <c r="G40" s="265" t="s">
        <v>284</v>
      </c>
      <c r="H40" s="266">
        <v>8</v>
      </c>
      <c r="I40" s="266">
        <v>3</v>
      </c>
      <c r="J40" s="266">
        <v>4</v>
      </c>
      <c r="K40" s="266">
        <v>7</v>
      </c>
      <c r="L40" s="265" t="s">
        <v>716</v>
      </c>
      <c r="M40" s="265" t="s">
        <v>457</v>
      </c>
      <c r="N40" s="267" t="s">
        <v>458</v>
      </c>
      <c r="O40" s="291">
        <v>100000</v>
      </c>
      <c r="P40" s="265"/>
      <c r="Q40" s="297" t="s">
        <v>691</v>
      </c>
      <c r="R40" s="290" t="s">
        <v>552</v>
      </c>
      <c r="S40" s="265"/>
      <c r="T40" s="289" t="s">
        <v>533</v>
      </c>
      <c r="U40" s="266">
        <v>5</v>
      </c>
      <c r="V40" s="266">
        <v>4</v>
      </c>
      <c r="W40" s="266">
        <v>3</v>
      </c>
      <c r="X40" s="266">
        <v>8</v>
      </c>
      <c r="Y40" s="294" t="str">
        <f>IF(Ruleset="LRB 6","Loner, Chainsaw, Secret Weapon","Loner, Chainsaw, No Hands, Secret Weapon")</f>
        <v>Loner, Chainsaw, Secret Weapon</v>
      </c>
      <c r="Z40" s="300">
        <f>IF(Ruleset="LRB 6",130000,100000)</f>
        <v>130000</v>
      </c>
      <c r="AA40" s="265"/>
      <c r="AB40" s="273" t="s">
        <v>717</v>
      </c>
      <c r="AC40" s="279">
        <v>30000</v>
      </c>
      <c r="AD40" s="265"/>
      <c r="AE40" s="265"/>
      <c r="AF40" s="301" t="s">
        <v>603</v>
      </c>
    </row>
    <row r="41" spans="1:32" ht="12.75" customHeight="1">
      <c r="A41" s="265"/>
      <c r="B41" s="289" t="s">
        <v>718</v>
      </c>
      <c r="C41" s="290" t="s">
        <v>435</v>
      </c>
      <c r="D41" s="265"/>
      <c r="E41" s="297" t="s">
        <v>719</v>
      </c>
      <c r="F41" s="266">
        <v>2</v>
      </c>
      <c r="G41" s="265" t="s">
        <v>269</v>
      </c>
      <c r="H41" s="266">
        <v>7</v>
      </c>
      <c r="I41" s="266">
        <v>3</v>
      </c>
      <c r="J41" s="266">
        <v>4</v>
      </c>
      <c r="K41" s="266">
        <v>8</v>
      </c>
      <c r="L41" s="265" t="s">
        <v>720</v>
      </c>
      <c r="M41" s="265" t="s">
        <v>457</v>
      </c>
      <c r="N41" s="267" t="s">
        <v>458</v>
      </c>
      <c r="O41" s="291">
        <v>110000</v>
      </c>
      <c r="P41" s="265"/>
      <c r="Q41" s="297" t="s">
        <v>685</v>
      </c>
      <c r="R41" s="290" t="s">
        <v>601</v>
      </c>
      <c r="S41" s="265"/>
      <c r="T41" s="289" t="s">
        <v>721</v>
      </c>
      <c r="U41" s="266">
        <v>4</v>
      </c>
      <c r="V41" s="266">
        <v>5</v>
      </c>
      <c r="W41" s="266">
        <v>2</v>
      </c>
      <c r="X41" s="266">
        <v>9</v>
      </c>
      <c r="Y41" s="265" t="s">
        <v>722</v>
      </c>
      <c r="Z41" s="300">
        <f>IF(Ruleset="LRB 6",260000,230000)</f>
        <v>260000</v>
      </c>
      <c r="AA41" s="265"/>
      <c r="AB41" s="273" t="s">
        <v>723</v>
      </c>
      <c r="AC41" s="279">
        <v>30000</v>
      </c>
      <c r="AD41" s="265"/>
      <c r="AE41" s="265"/>
      <c r="AF41" s="265"/>
    </row>
    <row r="42" spans="1:32" ht="12.75" customHeight="1">
      <c r="A42" s="265"/>
      <c r="B42" s="289" t="s">
        <v>724</v>
      </c>
      <c r="C42" s="290" t="s">
        <v>435</v>
      </c>
      <c r="D42" s="265"/>
      <c r="E42" s="289" t="s">
        <v>725</v>
      </c>
      <c r="F42" s="266">
        <v>16</v>
      </c>
      <c r="G42" s="265" t="s">
        <v>311</v>
      </c>
      <c r="H42" s="266">
        <v>6</v>
      </c>
      <c r="I42" s="266">
        <v>2</v>
      </c>
      <c r="J42" s="266">
        <v>3</v>
      </c>
      <c r="K42" s="266">
        <v>7</v>
      </c>
      <c r="L42" s="265" t="s">
        <v>726</v>
      </c>
      <c r="M42" s="265" t="s">
        <v>193</v>
      </c>
      <c r="N42" s="267" t="s">
        <v>561</v>
      </c>
      <c r="O42" s="291">
        <v>40000</v>
      </c>
      <c r="P42" s="265"/>
      <c r="Q42" s="297" t="s">
        <v>681</v>
      </c>
      <c r="R42" s="290" t="s">
        <v>477</v>
      </c>
      <c r="S42" s="265"/>
      <c r="T42" s="289" t="s">
        <v>477</v>
      </c>
      <c r="U42" s="266">
        <v>6</v>
      </c>
      <c r="V42" s="266">
        <v>6</v>
      </c>
      <c r="W42" s="266">
        <v>3</v>
      </c>
      <c r="X42" s="266">
        <v>10</v>
      </c>
      <c r="Y42" s="265" t="s">
        <v>727</v>
      </c>
      <c r="Z42" s="291">
        <v>430000</v>
      </c>
      <c r="AA42" s="265"/>
      <c r="AB42" s="273" t="s">
        <v>728</v>
      </c>
      <c r="AC42" s="279">
        <v>30000</v>
      </c>
      <c r="AD42" s="265"/>
      <c r="AE42" s="265"/>
      <c r="AF42" s="265"/>
    </row>
    <row r="43" spans="1:32" ht="12.75" customHeight="1">
      <c r="A43" s="265"/>
      <c r="B43" s="289" t="s">
        <v>729</v>
      </c>
      <c r="C43" s="290" t="s">
        <v>435</v>
      </c>
      <c r="D43" s="265"/>
      <c r="E43" s="289" t="s">
        <v>730</v>
      </c>
      <c r="F43" s="266">
        <v>1</v>
      </c>
      <c r="G43" s="265" t="s">
        <v>731</v>
      </c>
      <c r="H43" s="266">
        <v>6</v>
      </c>
      <c r="I43" s="266">
        <v>2</v>
      </c>
      <c r="J43" s="266">
        <v>3</v>
      </c>
      <c r="K43" s="266">
        <v>7</v>
      </c>
      <c r="L43" s="294" t="str">
        <f>IF(Ruleset="LRB 6","Bombardier, Dodge, Secret Weapon, Stunty","Bombardier, Dodge, No Hands, Secret Weapon, Stunty")</f>
        <v>Bombardier, Dodge, Secret Weapon, Stunty</v>
      </c>
      <c r="M43" s="265" t="s">
        <v>193</v>
      </c>
      <c r="N43" s="267" t="s">
        <v>561</v>
      </c>
      <c r="O43" s="291">
        <v>40000</v>
      </c>
      <c r="P43" s="265"/>
      <c r="Q43" s="297" t="s">
        <v>675</v>
      </c>
      <c r="R43" s="290" t="s">
        <v>488</v>
      </c>
      <c r="S43" s="265"/>
      <c r="T43" s="289" t="s">
        <v>590</v>
      </c>
      <c r="U43" s="266">
        <v>6</v>
      </c>
      <c r="V43" s="266">
        <v>2</v>
      </c>
      <c r="W43" s="266">
        <v>3</v>
      </c>
      <c r="X43" s="266">
        <v>7</v>
      </c>
      <c r="Y43" s="294" t="str">
        <f>IF(Ruleset="LRB 6","Loner, Block, Dodge, Chainsaw, Secret Weapon, Stunty","Loner, Block, Dodge, Chainsaw, No Hands, Secret Weapon, Stunty")</f>
        <v>Loner, Block, Dodge, Chainsaw, Secret Weapon, Stunty</v>
      </c>
      <c r="Z43" s="300">
        <f>IF(Ruleset="LRB 6",130000,100000)</f>
        <v>130000</v>
      </c>
      <c r="AA43" s="265"/>
      <c r="AB43" s="273" t="s">
        <v>732</v>
      </c>
      <c r="AC43" s="279">
        <v>40000</v>
      </c>
      <c r="AD43" s="265"/>
      <c r="AE43" s="265"/>
      <c r="AF43" s="265"/>
    </row>
    <row r="44" spans="1:32" ht="12.75" customHeight="1">
      <c r="A44" s="265"/>
      <c r="B44" s="289" t="s">
        <v>733</v>
      </c>
      <c r="C44" s="290" t="s">
        <v>435</v>
      </c>
      <c r="D44" s="265"/>
      <c r="E44" s="289" t="s">
        <v>734</v>
      </c>
      <c r="F44" s="266">
        <v>1</v>
      </c>
      <c r="G44" s="265" t="s">
        <v>735</v>
      </c>
      <c r="H44" s="266">
        <v>6</v>
      </c>
      <c r="I44" s="266">
        <v>2</v>
      </c>
      <c r="J44" s="266">
        <v>3</v>
      </c>
      <c r="K44" s="266">
        <v>7</v>
      </c>
      <c r="L44" s="294" t="str">
        <f>IF(Ruleset="LRB 6","Chainsaw, Secret Weapon, Stunty","Chainsaw, No Hands, Secret Weapon, Stunty")</f>
        <v>Chainsaw, Secret Weapon, Stunty</v>
      </c>
      <c r="M44" s="265" t="s">
        <v>193</v>
      </c>
      <c r="N44" s="267" t="s">
        <v>561</v>
      </c>
      <c r="O44" s="291">
        <v>40000</v>
      </c>
      <c r="P44" s="265"/>
      <c r="Q44" s="304" t="str">
        <f>IF(Ruleset="LRB 6","Elf6","X")</f>
        <v>Elf6</v>
      </c>
      <c r="R44" s="290" t="s">
        <v>522</v>
      </c>
      <c r="S44" s="265"/>
      <c r="T44" s="289" t="s">
        <v>736</v>
      </c>
      <c r="U44" s="266">
        <v>7</v>
      </c>
      <c r="V44" s="266">
        <v>4</v>
      </c>
      <c r="W44" s="266">
        <v>4</v>
      </c>
      <c r="X44" s="266">
        <v>8</v>
      </c>
      <c r="Y44" s="265" t="s">
        <v>737</v>
      </c>
      <c r="Z44" s="291">
        <v>230000</v>
      </c>
      <c r="AA44" s="265"/>
      <c r="AB44" s="273" t="s">
        <v>738</v>
      </c>
      <c r="AC44" s="279">
        <v>50000</v>
      </c>
      <c r="AD44" s="265"/>
      <c r="AE44" s="265"/>
      <c r="AF44" s="265"/>
    </row>
    <row r="45" spans="1:32" ht="12.75" customHeight="1">
      <c r="A45" s="265"/>
      <c r="B45" s="289" t="s">
        <v>739</v>
      </c>
      <c r="C45" s="290" t="s">
        <v>435</v>
      </c>
      <c r="D45" s="265"/>
      <c r="E45" s="289" t="s">
        <v>740</v>
      </c>
      <c r="F45" s="266">
        <v>1</v>
      </c>
      <c r="G45" s="265" t="s">
        <v>741</v>
      </c>
      <c r="H45" s="266">
        <v>3</v>
      </c>
      <c r="I45" s="266">
        <v>7</v>
      </c>
      <c r="J45" s="266">
        <v>3</v>
      </c>
      <c r="K45" s="266">
        <v>7</v>
      </c>
      <c r="L45" s="265" t="s">
        <v>742</v>
      </c>
      <c r="M45" s="265" t="s">
        <v>542</v>
      </c>
      <c r="N45" s="267" t="s">
        <v>499</v>
      </c>
      <c r="O45" s="291">
        <v>70000</v>
      </c>
      <c r="P45" s="265"/>
      <c r="Q45" s="297" t="s">
        <v>743</v>
      </c>
      <c r="R45" s="290" t="s">
        <v>534</v>
      </c>
      <c r="S45" s="265"/>
      <c r="T45" s="289" t="s">
        <v>744</v>
      </c>
      <c r="U45" s="266">
        <v>5</v>
      </c>
      <c r="V45" s="266">
        <v>3</v>
      </c>
      <c r="W45" s="266">
        <v>3</v>
      </c>
      <c r="X45" s="266">
        <v>6</v>
      </c>
      <c r="Y45" s="265" t="s">
        <v>745</v>
      </c>
      <c r="Z45" s="291">
        <v>140000</v>
      </c>
      <c r="AA45" s="265"/>
      <c r="AB45" s="265"/>
      <c r="AC45" s="265"/>
      <c r="AD45" s="265"/>
      <c r="AE45" s="265"/>
      <c r="AF45" s="265"/>
    </row>
    <row r="46" spans="1:32" ht="12.75" customHeight="1">
      <c r="A46" s="265"/>
      <c r="B46" s="289" t="s">
        <v>347</v>
      </c>
      <c r="C46" s="290" t="s">
        <v>435</v>
      </c>
      <c r="D46" s="265"/>
      <c r="E46" s="289" t="s">
        <v>746</v>
      </c>
      <c r="F46" s="266">
        <v>1</v>
      </c>
      <c r="G46" s="265" t="s">
        <v>747</v>
      </c>
      <c r="H46" s="266">
        <v>7</v>
      </c>
      <c r="I46" s="266">
        <v>2</v>
      </c>
      <c r="J46" s="266">
        <v>3</v>
      </c>
      <c r="K46" s="266">
        <v>7</v>
      </c>
      <c r="L46" s="294" t="str">
        <f>IF(Ruleset="LRB 6","Dodge, Leap, Stunty, Very Long Legs","Dirty Player, Dodge, Leap, Secret Weapon, Stunty, Very Long Legs")</f>
        <v>Dodge, Leap, Stunty, Very Long Legs</v>
      </c>
      <c r="M46" s="265" t="s">
        <v>193</v>
      </c>
      <c r="N46" s="267" t="s">
        <v>561</v>
      </c>
      <c r="O46" s="300">
        <f>IF(Ruleset="LRB 6",70000,40000)</f>
        <v>70000</v>
      </c>
      <c r="P46" s="265"/>
      <c r="Q46" s="297" t="s">
        <v>719</v>
      </c>
      <c r="R46" s="290" t="s">
        <v>663</v>
      </c>
      <c r="S46" s="265"/>
      <c r="T46" s="289" t="s">
        <v>748</v>
      </c>
      <c r="U46" s="266">
        <v>8</v>
      </c>
      <c r="V46" s="266">
        <v>2</v>
      </c>
      <c r="W46" s="266">
        <v>4</v>
      </c>
      <c r="X46" s="266">
        <v>7</v>
      </c>
      <c r="Y46" s="265" t="s">
        <v>749</v>
      </c>
      <c r="Z46" s="291">
        <v>250000</v>
      </c>
      <c r="AA46" s="265"/>
      <c r="AB46" s="273" t="s">
        <v>750</v>
      </c>
      <c r="AC46" s="265"/>
      <c r="AD46" s="265"/>
      <c r="AE46" s="265"/>
      <c r="AF46" s="265"/>
    </row>
    <row r="47" spans="1:32" ht="12.75" customHeight="1">
      <c r="A47" s="265"/>
      <c r="B47" s="289" t="s">
        <v>751</v>
      </c>
      <c r="C47" s="290" t="s">
        <v>435</v>
      </c>
      <c r="D47" s="265"/>
      <c r="E47" s="289" t="s">
        <v>752</v>
      </c>
      <c r="F47" s="266">
        <v>2</v>
      </c>
      <c r="G47" s="265" t="s">
        <v>322</v>
      </c>
      <c r="H47" s="266">
        <v>4</v>
      </c>
      <c r="I47" s="266">
        <v>5</v>
      </c>
      <c r="J47" s="266">
        <v>1</v>
      </c>
      <c r="K47" s="266">
        <v>9</v>
      </c>
      <c r="L47" s="265" t="s">
        <v>589</v>
      </c>
      <c r="M47" s="265" t="s">
        <v>542</v>
      </c>
      <c r="N47" s="267" t="s">
        <v>499</v>
      </c>
      <c r="O47" s="291">
        <v>110000</v>
      </c>
      <c r="P47" s="265"/>
      <c r="Q47" s="297" t="s">
        <v>715</v>
      </c>
      <c r="R47" s="290" t="s">
        <v>694</v>
      </c>
      <c r="S47" s="265"/>
      <c r="T47" s="289" t="s">
        <v>753</v>
      </c>
      <c r="U47" s="266">
        <v>5</v>
      </c>
      <c r="V47" s="266">
        <v>6</v>
      </c>
      <c r="W47" s="266">
        <v>1</v>
      </c>
      <c r="X47" s="266">
        <v>9</v>
      </c>
      <c r="Y47" s="265" t="s">
        <v>754</v>
      </c>
      <c r="Z47" s="300">
        <f>IF(Ruleset="LRB 6",380000,350000)</f>
        <v>380000</v>
      </c>
      <c r="AA47" s="265"/>
      <c r="AB47" s="281" t="s">
        <v>29</v>
      </c>
      <c r="AC47" s="282" t="b">
        <f t="shared" ref="AC47:AC71" ca="1" si="0">NOT(ISERROR(INDIRECT(T(AB47)&amp;"!$A$1",TRUE)))</f>
        <v>1</v>
      </c>
      <c r="AD47" s="265"/>
      <c r="AE47" s="265"/>
      <c r="AF47" s="265"/>
    </row>
    <row r="48" spans="1:32" ht="12.75" customHeight="1">
      <c r="A48" s="265"/>
      <c r="B48" s="289" t="s">
        <v>172</v>
      </c>
      <c r="C48" s="290" t="s">
        <v>435</v>
      </c>
      <c r="D48" s="265"/>
      <c r="E48" s="289" t="s">
        <v>755</v>
      </c>
      <c r="F48" s="266">
        <v>16</v>
      </c>
      <c r="G48" s="265" t="s">
        <v>529</v>
      </c>
      <c r="H48" s="266">
        <v>5</v>
      </c>
      <c r="I48" s="266">
        <v>2</v>
      </c>
      <c r="J48" s="266">
        <v>3</v>
      </c>
      <c r="K48" s="266">
        <v>6</v>
      </c>
      <c r="L48" s="265" t="s">
        <v>726</v>
      </c>
      <c r="M48" s="265" t="s">
        <v>193</v>
      </c>
      <c r="N48" s="267" t="s">
        <v>561</v>
      </c>
      <c r="O48" s="291">
        <v>30000</v>
      </c>
      <c r="P48" s="265"/>
      <c r="Q48" s="297" t="s">
        <v>708</v>
      </c>
      <c r="R48" s="290" t="s">
        <v>477</v>
      </c>
      <c r="S48" s="265"/>
      <c r="T48" s="289" t="s">
        <v>600</v>
      </c>
      <c r="U48" s="266">
        <v>7</v>
      </c>
      <c r="V48" s="266">
        <v>3</v>
      </c>
      <c r="W48" s="266">
        <v>3</v>
      </c>
      <c r="X48" s="266">
        <v>7</v>
      </c>
      <c r="Y48" s="265" t="s">
        <v>756</v>
      </c>
      <c r="Z48" s="291">
        <v>100000</v>
      </c>
      <c r="AA48" s="265"/>
      <c r="AB48" s="289" t="s">
        <v>42</v>
      </c>
      <c r="AC48" s="290" t="b">
        <f t="shared" ca="1" si="0"/>
        <v>1</v>
      </c>
      <c r="AD48" s="265"/>
      <c r="AE48" s="265"/>
      <c r="AF48" s="265"/>
    </row>
    <row r="49" spans="1:32" ht="12.75" customHeight="1">
      <c r="A49" s="265"/>
      <c r="B49" s="289"/>
      <c r="C49" s="290"/>
      <c r="D49" s="265"/>
      <c r="E49" s="289" t="s">
        <v>757</v>
      </c>
      <c r="F49" s="266">
        <v>2</v>
      </c>
      <c r="G49" s="265" t="s">
        <v>758</v>
      </c>
      <c r="H49" s="266">
        <v>2</v>
      </c>
      <c r="I49" s="266">
        <v>6</v>
      </c>
      <c r="J49" s="266">
        <v>1</v>
      </c>
      <c r="K49" s="266">
        <v>10</v>
      </c>
      <c r="L49" s="294" t="str">
        <f>IF(Ruleset="LRB 6","Mighty Blow, Strong Arm, Stand Firm, Thick Skull, Take Root, Throw Teammate","Loner, Mighty Blow, Strong Arm, Stand Firm, Thick Skull, Take Root, Throw Teammate")</f>
        <v>Mighty Blow, Strong Arm, Stand Firm, Thick Skull, Take Root, Throw Teammate</v>
      </c>
      <c r="M49" s="265" t="s">
        <v>542</v>
      </c>
      <c r="N49" s="267" t="s">
        <v>499</v>
      </c>
      <c r="O49" s="291">
        <v>120000</v>
      </c>
      <c r="P49" s="265"/>
      <c r="Q49" s="297" t="s">
        <v>703</v>
      </c>
      <c r="R49" s="290" t="s">
        <v>736</v>
      </c>
      <c r="S49" s="265"/>
      <c r="T49" s="289" t="s">
        <v>759</v>
      </c>
      <c r="U49" s="266">
        <v>4</v>
      </c>
      <c r="V49" s="266">
        <v>6</v>
      </c>
      <c r="W49" s="266">
        <v>1</v>
      </c>
      <c r="X49" s="266">
        <v>9</v>
      </c>
      <c r="Y49" s="265" t="s">
        <v>760</v>
      </c>
      <c r="Z49" s="291">
        <v>270000</v>
      </c>
      <c r="AA49" s="265"/>
      <c r="AB49" s="289" t="s">
        <v>45</v>
      </c>
      <c r="AC49" s="290" t="b">
        <f t="shared" ca="1" si="0"/>
        <v>1</v>
      </c>
      <c r="AD49" s="265"/>
      <c r="AE49" s="265"/>
      <c r="AF49" s="265"/>
    </row>
    <row r="50" spans="1:32" ht="12.75" customHeight="1">
      <c r="A50" s="265"/>
      <c r="B50" s="297" t="s">
        <v>761</v>
      </c>
      <c r="C50" s="290"/>
      <c r="D50" s="265"/>
      <c r="E50" s="289" t="s">
        <v>762</v>
      </c>
      <c r="F50" s="266">
        <v>16</v>
      </c>
      <c r="G50" s="265" t="s">
        <v>328</v>
      </c>
      <c r="H50" s="266">
        <v>6</v>
      </c>
      <c r="I50" s="266">
        <v>3</v>
      </c>
      <c r="J50" s="266">
        <v>4</v>
      </c>
      <c r="K50" s="266">
        <v>8</v>
      </c>
      <c r="L50" s="265"/>
      <c r="M50" s="265" t="s">
        <v>457</v>
      </c>
      <c r="N50" s="267" t="s">
        <v>458</v>
      </c>
      <c r="O50" s="291">
        <v>70000</v>
      </c>
      <c r="P50" s="265"/>
      <c r="Q50" s="297" t="s">
        <v>752</v>
      </c>
      <c r="R50" s="290" t="s">
        <v>459</v>
      </c>
      <c r="S50" s="265"/>
      <c r="T50" s="289" t="s">
        <v>448</v>
      </c>
      <c r="U50" s="266">
        <v>8</v>
      </c>
      <c r="V50" s="266">
        <v>3</v>
      </c>
      <c r="W50" s="266">
        <v>5</v>
      </c>
      <c r="X50" s="266">
        <v>7</v>
      </c>
      <c r="Y50" s="265" t="s">
        <v>763</v>
      </c>
      <c r="Z50" s="291">
        <v>250000</v>
      </c>
      <c r="AA50" s="265"/>
      <c r="AB50" s="289" t="s">
        <v>48</v>
      </c>
      <c r="AC50" s="290" t="b">
        <f t="shared" ca="1" si="0"/>
        <v>1</v>
      </c>
      <c r="AD50" s="265"/>
      <c r="AE50" s="265"/>
      <c r="AF50" s="265"/>
    </row>
    <row r="51" spans="1:32" ht="12.75" customHeight="1">
      <c r="A51" s="265"/>
      <c r="B51" s="289" t="s">
        <v>764</v>
      </c>
      <c r="C51" s="299" t="s">
        <v>193</v>
      </c>
      <c r="D51" s="265"/>
      <c r="E51" s="289" t="s">
        <v>765</v>
      </c>
      <c r="F51" s="266">
        <v>2</v>
      </c>
      <c r="G51" s="265" t="s">
        <v>262</v>
      </c>
      <c r="H51" s="266">
        <v>6</v>
      </c>
      <c r="I51" s="266">
        <v>3</v>
      </c>
      <c r="J51" s="266">
        <v>4</v>
      </c>
      <c r="K51" s="266">
        <v>8</v>
      </c>
      <c r="L51" s="265" t="s">
        <v>766</v>
      </c>
      <c r="M51" s="265" t="s">
        <v>499</v>
      </c>
      <c r="N51" s="267" t="s">
        <v>542</v>
      </c>
      <c r="O51" s="291">
        <v>90000</v>
      </c>
      <c r="P51" s="265"/>
      <c r="Q51" s="297" t="s">
        <v>746</v>
      </c>
      <c r="R51" s="290" t="s">
        <v>563</v>
      </c>
      <c r="S51" s="265"/>
      <c r="T51" s="289" t="s">
        <v>767</v>
      </c>
      <c r="U51" s="266">
        <v>7</v>
      </c>
      <c r="V51" s="266">
        <v>2</v>
      </c>
      <c r="W51" s="266">
        <v>3</v>
      </c>
      <c r="X51" s="266">
        <v>7</v>
      </c>
      <c r="Y51" s="265" t="str">
        <f>IF(Ruleset="LRB 6","Loner, Dirty Player, Dodge, Leap, Right Stuff, Sprint, Stunty, Sure Feet, Very Long Legs","Loner, Dirty Player, Dodge, Leap, Right Stuff, Secret Weapon, Sprint, Stunty, Sure Feet, Very Long Legs")</f>
        <v>Loner, Dirty Player, Dodge, Leap, Right Stuff, Sprint, Stunty, Sure Feet, Very Long Legs</v>
      </c>
      <c r="Z51" s="300">
        <f>IF(Ruleset="LRB 6",150000,50000)</f>
        <v>150000</v>
      </c>
      <c r="AA51" s="265"/>
      <c r="AB51" s="289" t="s">
        <v>50</v>
      </c>
      <c r="AC51" s="290" t="b">
        <f t="shared" ca="1" si="0"/>
        <v>1</v>
      </c>
      <c r="AD51" s="265"/>
      <c r="AE51" s="265"/>
      <c r="AF51" s="265"/>
    </row>
    <row r="52" spans="1:32" ht="12.75" customHeight="1">
      <c r="A52" s="265"/>
      <c r="B52" s="289" t="s">
        <v>768</v>
      </c>
      <c r="C52" s="290" t="s">
        <v>193</v>
      </c>
      <c r="D52" s="265"/>
      <c r="E52" s="289" t="s">
        <v>769</v>
      </c>
      <c r="F52" s="266">
        <v>4</v>
      </c>
      <c r="G52" s="265" t="s">
        <v>284</v>
      </c>
      <c r="H52" s="266">
        <v>8</v>
      </c>
      <c r="I52" s="266">
        <v>3</v>
      </c>
      <c r="J52" s="266">
        <v>4</v>
      </c>
      <c r="K52" s="266">
        <v>7</v>
      </c>
      <c r="L52" s="265" t="s">
        <v>764</v>
      </c>
      <c r="M52" s="265" t="s">
        <v>457</v>
      </c>
      <c r="N52" s="267" t="s">
        <v>458</v>
      </c>
      <c r="O52" s="291">
        <v>90000</v>
      </c>
      <c r="P52" s="265"/>
      <c r="Q52" s="297" t="s">
        <v>740</v>
      </c>
      <c r="R52" s="290" t="s">
        <v>477</v>
      </c>
      <c r="S52" s="265"/>
      <c r="T52" s="289" t="s">
        <v>770</v>
      </c>
      <c r="U52" s="266">
        <v>6</v>
      </c>
      <c r="V52" s="266">
        <v>4</v>
      </c>
      <c r="W52" s="266">
        <v>2</v>
      </c>
      <c r="X52" s="266">
        <v>8</v>
      </c>
      <c r="Y52" s="265" t="s">
        <v>771</v>
      </c>
      <c r="Z52" s="291">
        <v>220000</v>
      </c>
      <c r="AA52" s="265"/>
      <c r="AB52" s="289" t="s">
        <v>51</v>
      </c>
      <c r="AC52" s="290" t="b">
        <f t="shared" ca="1" si="0"/>
        <v>1</v>
      </c>
      <c r="AD52" s="265"/>
      <c r="AE52" s="265"/>
      <c r="AF52" s="265"/>
    </row>
    <row r="53" spans="1:32" ht="12.75" customHeight="1">
      <c r="A53" s="265"/>
      <c r="B53" s="289" t="s">
        <v>772</v>
      </c>
      <c r="C53" s="290" t="s">
        <v>193</v>
      </c>
      <c r="D53" s="265"/>
      <c r="E53" s="289" t="s">
        <v>773</v>
      </c>
      <c r="F53" s="266">
        <v>2</v>
      </c>
      <c r="G53" s="265" t="s">
        <v>269</v>
      </c>
      <c r="H53" s="266">
        <v>7</v>
      </c>
      <c r="I53" s="266">
        <v>3</v>
      </c>
      <c r="J53" s="266">
        <v>4</v>
      </c>
      <c r="K53" s="266">
        <v>8</v>
      </c>
      <c r="L53" s="265" t="s">
        <v>162</v>
      </c>
      <c r="M53" s="265" t="s">
        <v>457</v>
      </c>
      <c r="N53" s="267" t="s">
        <v>458</v>
      </c>
      <c r="O53" s="291">
        <v>100000</v>
      </c>
      <c r="P53" s="265"/>
      <c r="Q53" s="297" t="s">
        <v>734</v>
      </c>
      <c r="R53" s="290" t="s">
        <v>590</v>
      </c>
      <c r="S53" s="265"/>
      <c r="T53" s="289" t="s">
        <v>774</v>
      </c>
      <c r="U53" s="266">
        <v>6</v>
      </c>
      <c r="V53" s="266">
        <v>3</v>
      </c>
      <c r="W53" s="266">
        <v>2</v>
      </c>
      <c r="X53" s="266">
        <v>7</v>
      </c>
      <c r="Y53" s="265" t="s">
        <v>775</v>
      </c>
      <c r="Z53" s="291">
        <v>80000</v>
      </c>
      <c r="AA53" s="265"/>
      <c r="AB53" s="289" t="s">
        <v>52</v>
      </c>
      <c r="AC53" s="290" t="b">
        <f t="shared" ca="1" si="0"/>
        <v>1</v>
      </c>
      <c r="AD53" s="265"/>
      <c r="AE53" s="265"/>
      <c r="AF53" s="265"/>
    </row>
    <row r="54" spans="1:32" ht="12.75" customHeight="1">
      <c r="A54" s="265"/>
      <c r="B54" s="289" t="s">
        <v>165</v>
      </c>
      <c r="C54" s="290" t="s">
        <v>193</v>
      </c>
      <c r="D54" s="265"/>
      <c r="E54" s="289" t="s">
        <v>776</v>
      </c>
      <c r="F54" s="266">
        <v>16</v>
      </c>
      <c r="G54" s="265" t="s">
        <v>777</v>
      </c>
      <c r="H54" s="266">
        <v>6</v>
      </c>
      <c r="I54" s="266">
        <v>3</v>
      </c>
      <c r="J54" s="266">
        <v>3</v>
      </c>
      <c r="K54" s="266">
        <v>8</v>
      </c>
      <c r="L54" s="265"/>
      <c r="M54" s="265" t="s">
        <v>435</v>
      </c>
      <c r="N54" s="267" t="s">
        <v>436</v>
      </c>
      <c r="O54" s="291">
        <v>50000</v>
      </c>
      <c r="P54" s="265"/>
      <c r="Q54" s="297" t="s">
        <v>730</v>
      </c>
      <c r="R54" s="290" t="s">
        <v>759</v>
      </c>
      <c r="S54" s="265"/>
      <c r="T54" s="289" t="s">
        <v>778</v>
      </c>
      <c r="U54" s="266">
        <v>9</v>
      </c>
      <c r="V54" s="266">
        <v>2</v>
      </c>
      <c r="W54" s="266">
        <v>4</v>
      </c>
      <c r="X54" s="266">
        <v>7</v>
      </c>
      <c r="Y54" s="265" t="s">
        <v>779</v>
      </c>
      <c r="Z54" s="291">
        <v>160000</v>
      </c>
      <c r="AA54" s="265"/>
      <c r="AB54" s="289" t="s">
        <v>54</v>
      </c>
      <c r="AC54" s="290" t="b">
        <f t="shared" ca="1" si="0"/>
        <v>1</v>
      </c>
      <c r="AD54" s="265"/>
      <c r="AE54" s="265"/>
      <c r="AF54" s="265"/>
    </row>
    <row r="55" spans="1:32" ht="12.75" customHeight="1">
      <c r="A55" s="265"/>
      <c r="B55" s="289" t="s">
        <v>780</v>
      </c>
      <c r="C55" s="290" t="s">
        <v>193</v>
      </c>
      <c r="D55" s="265"/>
      <c r="E55" s="289" t="s">
        <v>781</v>
      </c>
      <c r="F55" s="266">
        <v>4</v>
      </c>
      <c r="G55" s="265" t="s">
        <v>284</v>
      </c>
      <c r="H55" s="266">
        <v>8</v>
      </c>
      <c r="I55" s="266">
        <v>2</v>
      </c>
      <c r="J55" s="266">
        <v>3</v>
      </c>
      <c r="K55" s="266">
        <v>7</v>
      </c>
      <c r="L55" s="265" t="s">
        <v>782</v>
      </c>
      <c r="M55" s="265" t="s">
        <v>457</v>
      </c>
      <c r="N55" s="267" t="s">
        <v>458</v>
      </c>
      <c r="O55" s="291">
        <v>70000</v>
      </c>
      <c r="P55" s="265"/>
      <c r="Q55" s="297" t="s">
        <v>725</v>
      </c>
      <c r="R55" s="290" t="s">
        <v>767</v>
      </c>
      <c r="S55" s="265"/>
      <c r="T55" s="289" t="s">
        <v>783</v>
      </c>
      <c r="U55" s="266">
        <v>7</v>
      </c>
      <c r="V55" s="266">
        <v>4</v>
      </c>
      <c r="W55" s="266">
        <v>1</v>
      </c>
      <c r="X55" s="266">
        <v>9</v>
      </c>
      <c r="Y55" s="265" t="s">
        <v>784</v>
      </c>
      <c r="Z55" s="291">
        <v>250000</v>
      </c>
      <c r="AA55" s="265"/>
      <c r="AB55" s="289" t="s">
        <v>56</v>
      </c>
      <c r="AC55" s="290" t="b">
        <f t="shared" ca="1" si="0"/>
        <v>1</v>
      </c>
      <c r="AD55" s="265"/>
      <c r="AE55" s="265"/>
      <c r="AF55" s="265"/>
    </row>
    <row r="56" spans="1:32" ht="12.75" customHeight="1">
      <c r="A56" s="265"/>
      <c r="B56" s="289" t="s">
        <v>785</v>
      </c>
      <c r="C56" s="290" t="s">
        <v>193</v>
      </c>
      <c r="D56" s="265"/>
      <c r="E56" s="289" t="s">
        <v>786</v>
      </c>
      <c r="F56" s="266">
        <v>2</v>
      </c>
      <c r="G56" s="265" t="s">
        <v>262</v>
      </c>
      <c r="H56" s="266">
        <v>6</v>
      </c>
      <c r="I56" s="266">
        <v>3</v>
      </c>
      <c r="J56" s="266">
        <v>3</v>
      </c>
      <c r="K56" s="266">
        <v>8</v>
      </c>
      <c r="L56" s="265" t="s">
        <v>787</v>
      </c>
      <c r="M56" s="265" t="s">
        <v>446</v>
      </c>
      <c r="N56" s="267" t="s">
        <v>447</v>
      </c>
      <c r="O56" s="291">
        <v>70000</v>
      </c>
      <c r="P56" s="265"/>
      <c r="Q56" s="304" t="str">
        <f>IF(Ruleset="LRB 6","Halfling6","X")</f>
        <v>Halfling6</v>
      </c>
      <c r="R56" s="290" t="s">
        <v>449</v>
      </c>
      <c r="S56" s="265"/>
      <c r="T56" s="289" t="s">
        <v>788</v>
      </c>
      <c r="U56" s="266">
        <v>6</v>
      </c>
      <c r="V56" s="266">
        <v>3</v>
      </c>
      <c r="W56" s="266">
        <v>4</v>
      </c>
      <c r="X56" s="266">
        <v>8</v>
      </c>
      <c r="Y56" s="265" t="s">
        <v>789</v>
      </c>
      <c r="Z56" s="291">
        <v>180000</v>
      </c>
      <c r="AA56" s="265"/>
      <c r="AB56" s="289" t="s">
        <v>57</v>
      </c>
      <c r="AC56" s="290" t="b">
        <f t="shared" ca="1" si="0"/>
        <v>1</v>
      </c>
      <c r="AD56" s="265"/>
      <c r="AE56" s="265"/>
      <c r="AF56" s="265"/>
    </row>
    <row r="57" spans="1:32" ht="12.75" customHeight="1">
      <c r="A57" s="265"/>
      <c r="B57" s="289" t="s">
        <v>319</v>
      </c>
      <c r="C57" s="290" t="s">
        <v>193</v>
      </c>
      <c r="D57" s="265"/>
      <c r="E57" s="289" t="s">
        <v>790</v>
      </c>
      <c r="F57" s="266">
        <v>4</v>
      </c>
      <c r="G57" s="265" t="s">
        <v>269</v>
      </c>
      <c r="H57" s="266">
        <v>7</v>
      </c>
      <c r="I57" s="266">
        <v>3</v>
      </c>
      <c r="J57" s="266">
        <v>3</v>
      </c>
      <c r="K57" s="266">
        <v>8</v>
      </c>
      <c r="L57" s="265" t="s">
        <v>162</v>
      </c>
      <c r="M57" s="265" t="s">
        <v>465</v>
      </c>
      <c r="N57" s="267" t="s">
        <v>466</v>
      </c>
      <c r="O57" s="291">
        <v>90000</v>
      </c>
      <c r="P57" s="265"/>
      <c r="Q57" s="304" t="str">
        <f>IF(Ruleset="LRB 6","Halfling5","X")</f>
        <v>Halfling5</v>
      </c>
      <c r="R57" s="290" t="s">
        <v>437</v>
      </c>
      <c r="S57" s="265"/>
      <c r="T57" s="289" t="s">
        <v>638</v>
      </c>
      <c r="U57" s="266">
        <v>5</v>
      </c>
      <c r="V57" s="266">
        <v>3</v>
      </c>
      <c r="W57" s="266">
        <v>3</v>
      </c>
      <c r="X57" s="266">
        <v>9</v>
      </c>
      <c r="Y57" s="294" t="str">
        <f>IF(Ruleset="LRB 6","Loner, Chainsaw, Secret Weapon","Loner, Chainsaw, No Hands, Secret Weapon")</f>
        <v>Loner, Chainsaw, Secret Weapon</v>
      </c>
      <c r="Z57" s="300">
        <f>IF(Ruleset="LRB 6",100000,70000)</f>
        <v>100000</v>
      </c>
      <c r="AA57" s="265"/>
      <c r="AB57" s="289" t="s">
        <v>58</v>
      </c>
      <c r="AC57" s="290" t="b">
        <f t="shared" ca="1" si="0"/>
        <v>0</v>
      </c>
      <c r="AD57" s="265"/>
      <c r="AE57" s="265"/>
      <c r="AF57" s="265"/>
    </row>
    <row r="58" spans="1:32" ht="12.75" customHeight="1">
      <c r="A58" s="265"/>
      <c r="B58" s="289" t="s">
        <v>791</v>
      </c>
      <c r="C58" s="290" t="s">
        <v>193</v>
      </c>
      <c r="D58" s="265"/>
      <c r="E58" s="289" t="s">
        <v>792</v>
      </c>
      <c r="F58" s="266">
        <v>1</v>
      </c>
      <c r="G58" s="265" t="s">
        <v>604</v>
      </c>
      <c r="H58" s="266">
        <v>5</v>
      </c>
      <c r="I58" s="266">
        <v>5</v>
      </c>
      <c r="J58" s="266">
        <v>2</v>
      </c>
      <c r="K58" s="266">
        <v>9</v>
      </c>
      <c r="L58" s="265" t="s">
        <v>599</v>
      </c>
      <c r="M58" s="265" t="s">
        <v>542</v>
      </c>
      <c r="N58" s="267" t="s">
        <v>499</v>
      </c>
      <c r="O58" s="291">
        <v>140000</v>
      </c>
      <c r="P58" s="265"/>
      <c r="Q58" s="304" t="str">
        <f>IF(Ruleset="LRB 6","Halfling4","X")</f>
        <v>Halfling4</v>
      </c>
      <c r="R58" s="290" t="s">
        <v>488</v>
      </c>
      <c r="S58" s="265"/>
      <c r="T58" s="289" t="s">
        <v>793</v>
      </c>
      <c r="U58" s="266">
        <v>6</v>
      </c>
      <c r="V58" s="266">
        <v>4</v>
      </c>
      <c r="W58" s="266">
        <v>3</v>
      </c>
      <c r="X58" s="266">
        <v>9</v>
      </c>
      <c r="Y58" s="265" t="s">
        <v>794</v>
      </c>
      <c r="Z58" s="300">
        <f>IF(Ruleset="LRB 6",290000,260000)</f>
        <v>290000</v>
      </c>
      <c r="AA58" s="265"/>
      <c r="AB58" s="289" t="s">
        <v>59</v>
      </c>
      <c r="AC58" s="290" t="b">
        <f t="shared" ca="1" si="0"/>
        <v>0</v>
      </c>
      <c r="AD58" s="265"/>
      <c r="AE58" s="265"/>
      <c r="AF58" s="265"/>
    </row>
    <row r="59" spans="1:32" ht="12.75" customHeight="1">
      <c r="A59" s="265"/>
      <c r="B59" s="289" t="s">
        <v>795</v>
      </c>
      <c r="C59" s="290" t="s">
        <v>193</v>
      </c>
      <c r="D59" s="265"/>
      <c r="E59" s="289" t="s">
        <v>796</v>
      </c>
      <c r="F59" s="266">
        <v>16</v>
      </c>
      <c r="G59" s="265" t="s">
        <v>797</v>
      </c>
      <c r="H59" s="266">
        <v>5</v>
      </c>
      <c r="I59" s="266">
        <v>3</v>
      </c>
      <c r="J59" s="266">
        <v>2</v>
      </c>
      <c r="K59" s="266">
        <v>7</v>
      </c>
      <c r="L59" s="294" t="str">
        <f>IF(Ruleset="LRB 6","Regeneration, Thick Skull","Regeneration")</f>
        <v>Regeneration, Thick Skull</v>
      </c>
      <c r="M59" s="265" t="s">
        <v>435</v>
      </c>
      <c r="N59" s="267" t="s">
        <v>436</v>
      </c>
      <c r="O59" s="300">
        <f>IF(Ruleset="LRB 6",40000,30000)</f>
        <v>40000</v>
      </c>
      <c r="P59" s="265"/>
      <c r="Q59" s="297" t="s">
        <v>798</v>
      </c>
      <c r="R59" s="290" t="s">
        <v>511</v>
      </c>
      <c r="S59" s="265"/>
      <c r="T59" s="297" t="s">
        <v>799</v>
      </c>
      <c r="U59" s="266">
        <v>8</v>
      </c>
      <c r="V59" s="266">
        <v>4</v>
      </c>
      <c r="W59" s="266">
        <v>3</v>
      </c>
      <c r="X59" s="266">
        <v>8</v>
      </c>
      <c r="Y59" s="265" t="s">
        <v>800</v>
      </c>
      <c r="Z59" s="291">
        <v>240000</v>
      </c>
      <c r="AA59" s="265"/>
      <c r="AB59" s="289" t="s">
        <v>60</v>
      </c>
      <c r="AC59" s="290" t="b">
        <f t="shared" ca="1" si="0"/>
        <v>0</v>
      </c>
      <c r="AD59" s="265"/>
      <c r="AE59" s="265"/>
      <c r="AF59" s="265"/>
    </row>
    <row r="60" spans="1:32" ht="12.75" customHeight="1">
      <c r="A60" s="265"/>
      <c r="B60" s="289" t="s">
        <v>801</v>
      </c>
      <c r="C60" s="290" t="s">
        <v>193</v>
      </c>
      <c r="D60" s="265"/>
      <c r="E60" s="289" t="s">
        <v>802</v>
      </c>
      <c r="F60" s="266">
        <v>2</v>
      </c>
      <c r="G60" s="265" t="s">
        <v>803</v>
      </c>
      <c r="H60" s="266">
        <v>6</v>
      </c>
      <c r="I60" s="266">
        <v>3</v>
      </c>
      <c r="J60" s="266">
        <v>2</v>
      </c>
      <c r="K60" s="266">
        <v>7</v>
      </c>
      <c r="L60" s="265" t="s">
        <v>804</v>
      </c>
      <c r="M60" s="265" t="s">
        <v>646</v>
      </c>
      <c r="N60" s="267" t="s">
        <v>447</v>
      </c>
      <c r="O60" s="291">
        <v>70000</v>
      </c>
      <c r="P60" s="265"/>
      <c r="Q60" s="289" t="s">
        <v>757</v>
      </c>
      <c r="R60" s="290" t="s">
        <v>477</v>
      </c>
      <c r="S60" s="265"/>
      <c r="T60" s="297" t="s">
        <v>437</v>
      </c>
      <c r="U60" s="266">
        <v>5</v>
      </c>
      <c r="V60" s="266">
        <v>4</v>
      </c>
      <c r="W60" s="266">
        <v>3</v>
      </c>
      <c r="X60" s="266">
        <v>8</v>
      </c>
      <c r="Y60" s="265" t="s">
        <v>805</v>
      </c>
      <c r="Z60" s="291">
        <v>150000</v>
      </c>
      <c r="AA60" s="265"/>
      <c r="AB60" s="289" t="s">
        <v>61</v>
      </c>
      <c r="AC60" s="290" t="b">
        <f t="shared" ca="1" si="0"/>
        <v>0</v>
      </c>
      <c r="AD60" s="265"/>
      <c r="AE60" s="265"/>
      <c r="AF60" s="265"/>
    </row>
    <row r="61" spans="1:32" ht="12.75" customHeight="1">
      <c r="A61" s="265"/>
      <c r="B61" s="289"/>
      <c r="C61" s="290"/>
      <c r="D61" s="265"/>
      <c r="E61" s="289" t="s">
        <v>806</v>
      </c>
      <c r="F61" s="266">
        <v>2</v>
      </c>
      <c r="G61" s="265" t="s">
        <v>807</v>
      </c>
      <c r="H61" s="266">
        <v>6</v>
      </c>
      <c r="I61" s="266">
        <v>3</v>
      </c>
      <c r="J61" s="266">
        <v>2</v>
      </c>
      <c r="K61" s="266">
        <v>8</v>
      </c>
      <c r="L61" s="265" t="s">
        <v>808</v>
      </c>
      <c r="M61" s="265" t="s">
        <v>465</v>
      </c>
      <c r="N61" s="267" t="s">
        <v>466</v>
      </c>
      <c r="O61" s="291">
        <v>90000</v>
      </c>
      <c r="P61" s="265"/>
      <c r="Q61" s="297" t="s">
        <v>755</v>
      </c>
      <c r="R61" s="290" t="s">
        <v>744</v>
      </c>
      <c r="S61" s="265"/>
      <c r="T61" s="289" t="s">
        <v>488</v>
      </c>
      <c r="U61" s="266">
        <v>6</v>
      </c>
      <c r="V61" s="266">
        <v>4</v>
      </c>
      <c r="W61" s="266">
        <v>3</v>
      </c>
      <c r="X61" s="266">
        <v>8</v>
      </c>
      <c r="Y61" s="265" t="s">
        <v>809</v>
      </c>
      <c r="Z61" s="291">
        <v>270000</v>
      </c>
      <c r="AA61" s="265"/>
      <c r="AB61" s="289" t="s">
        <v>62</v>
      </c>
      <c r="AC61" s="290" t="b">
        <f t="shared" ca="1" si="0"/>
        <v>0</v>
      </c>
      <c r="AD61" s="265"/>
      <c r="AE61" s="265"/>
      <c r="AF61" s="265"/>
    </row>
    <row r="62" spans="1:32" ht="12.75" customHeight="1">
      <c r="A62" s="265"/>
      <c r="B62" s="297" t="s">
        <v>810</v>
      </c>
      <c r="C62" s="290"/>
      <c r="D62" s="265"/>
      <c r="E62" s="289" t="s">
        <v>811</v>
      </c>
      <c r="F62" s="266">
        <v>4</v>
      </c>
      <c r="G62" s="294" t="str">
        <f>IF(Ruleset="LRB 6","Tomb Guardian","Mummy")</f>
        <v>Tomb Guardian</v>
      </c>
      <c r="H62" s="263">
        <f>IF(Ruleset="LRB 6",4,3)</f>
        <v>4</v>
      </c>
      <c r="I62" s="266">
        <v>5</v>
      </c>
      <c r="J62" s="266">
        <v>1</v>
      </c>
      <c r="K62" s="266">
        <v>9</v>
      </c>
      <c r="L62" s="294" t="str">
        <f>IF(Ruleset="LRB 6","Decay, Regeneration","Mighty Blow, Regeneration")</f>
        <v>Decay, Regeneration</v>
      </c>
      <c r="M62" s="265" t="s">
        <v>542</v>
      </c>
      <c r="N62" s="267" t="s">
        <v>499</v>
      </c>
      <c r="O62" s="300">
        <f>IF(Ruleset="LRB 6",100000,110000)</f>
        <v>100000</v>
      </c>
      <c r="P62" s="265"/>
      <c r="Q62" s="304" t="str">
        <f>IF(Ruleset="LRB 6","High Elf6","X")</f>
        <v>High Elf6</v>
      </c>
      <c r="R62" s="290" t="s">
        <v>522</v>
      </c>
      <c r="S62" s="265"/>
      <c r="T62" s="302" t="s">
        <v>605</v>
      </c>
      <c r="U62" s="306">
        <v>4</v>
      </c>
      <c r="V62" s="306">
        <v>4</v>
      </c>
      <c r="W62" s="306">
        <v>3</v>
      </c>
      <c r="X62" s="306">
        <v>9</v>
      </c>
      <c r="Y62" s="307" t="s">
        <v>812</v>
      </c>
      <c r="Z62" s="308">
        <f>IF(Ruleset="LRB 6",90000,60000)</f>
        <v>90000</v>
      </c>
      <c r="AA62" s="265"/>
      <c r="AB62" s="289" t="s">
        <v>63</v>
      </c>
      <c r="AC62" s="290" t="b">
        <f t="shared" ca="1" si="0"/>
        <v>0</v>
      </c>
      <c r="AD62" s="265"/>
      <c r="AE62" s="265"/>
      <c r="AF62" s="265"/>
    </row>
    <row r="63" spans="1:32" ht="12.75" customHeight="1">
      <c r="A63" s="265"/>
      <c r="B63" s="289" t="s">
        <v>813</v>
      </c>
      <c r="C63" s="290" t="s">
        <v>542</v>
      </c>
      <c r="D63" s="265"/>
      <c r="E63" s="289" t="s">
        <v>939</v>
      </c>
      <c r="F63" s="266">
        <v>16</v>
      </c>
      <c r="G63" s="265" t="s">
        <v>317</v>
      </c>
      <c r="H63" s="266">
        <v>8</v>
      </c>
      <c r="I63" s="266">
        <v>2</v>
      </c>
      <c r="J63" s="266">
        <v>3</v>
      </c>
      <c r="K63" s="266">
        <v>7</v>
      </c>
      <c r="L63" s="265" t="s">
        <v>814</v>
      </c>
      <c r="M63" s="265" t="s">
        <v>193</v>
      </c>
      <c r="N63" s="267" t="s">
        <v>561</v>
      </c>
      <c r="O63" s="291">
        <v>60000</v>
      </c>
      <c r="P63" s="265"/>
      <c r="Q63" s="304" t="str">
        <f>IF(Ruleset="LRB 6","High Elf5","X")</f>
        <v>High Elf5</v>
      </c>
      <c r="R63" s="290" t="s">
        <v>788</v>
      </c>
      <c r="S63" s="265"/>
      <c r="T63" s="265"/>
      <c r="U63" s="265"/>
      <c r="V63" s="265"/>
      <c r="W63" s="265"/>
      <c r="X63" s="265"/>
      <c r="Y63" s="265"/>
      <c r="Z63" s="265"/>
      <c r="AA63" s="265"/>
      <c r="AB63" s="289" t="s">
        <v>64</v>
      </c>
      <c r="AC63" s="290" t="b">
        <f t="shared" ca="1" si="0"/>
        <v>0</v>
      </c>
      <c r="AD63" s="265"/>
      <c r="AE63" s="265"/>
      <c r="AF63" s="265"/>
    </row>
    <row r="64" spans="1:32" ht="12.75" customHeight="1">
      <c r="A64" s="265"/>
      <c r="B64" s="289" t="s">
        <v>815</v>
      </c>
      <c r="C64" s="290" t="s">
        <v>542</v>
      </c>
      <c r="D64" s="265"/>
      <c r="E64" s="289" t="s">
        <v>940</v>
      </c>
      <c r="F64" s="266">
        <v>6</v>
      </c>
      <c r="G64" s="265" t="s">
        <v>305</v>
      </c>
      <c r="H64" s="266">
        <v>6</v>
      </c>
      <c r="I64" s="266">
        <v>4</v>
      </c>
      <c r="J64" s="266">
        <v>1</v>
      </c>
      <c r="K64" s="266">
        <v>9</v>
      </c>
      <c r="L64" s="265"/>
      <c r="M64" s="265" t="s">
        <v>465</v>
      </c>
      <c r="N64" s="267" t="s">
        <v>466</v>
      </c>
      <c r="O64" s="291">
        <v>80000</v>
      </c>
      <c r="P64" s="265"/>
      <c r="Q64" s="304" t="str">
        <f>IF(Ruleset="LRB 6","High Elf4","X")</f>
        <v>High Elf4</v>
      </c>
      <c r="R64" s="290" t="s">
        <v>488</v>
      </c>
      <c r="S64" s="265"/>
      <c r="T64" s="265"/>
      <c r="U64" s="265"/>
      <c r="V64" s="265"/>
      <c r="W64" s="265"/>
      <c r="X64" s="265"/>
      <c r="Y64" s="265"/>
      <c r="Z64" s="265"/>
      <c r="AA64" s="265"/>
      <c r="AB64" s="289" t="s">
        <v>66</v>
      </c>
      <c r="AC64" s="290" t="b">
        <f t="shared" ca="1" si="0"/>
        <v>0</v>
      </c>
      <c r="AD64" s="265"/>
      <c r="AE64" s="265"/>
      <c r="AF64" s="265"/>
    </row>
    <row r="65" spans="1:32" ht="12.75" customHeight="1">
      <c r="A65" s="265"/>
      <c r="B65" s="289" t="s">
        <v>270</v>
      </c>
      <c r="C65" s="290" t="s">
        <v>542</v>
      </c>
      <c r="D65" s="265"/>
      <c r="E65" s="289" t="s">
        <v>941</v>
      </c>
      <c r="F65" s="266">
        <v>1</v>
      </c>
      <c r="G65" s="265" t="s">
        <v>302</v>
      </c>
      <c r="H65" s="266">
        <v>6</v>
      </c>
      <c r="I65" s="266">
        <v>5</v>
      </c>
      <c r="J65" s="266">
        <v>1</v>
      </c>
      <c r="K65" s="266">
        <v>9</v>
      </c>
      <c r="L65" s="265" t="s">
        <v>816</v>
      </c>
      <c r="M65" s="265" t="s">
        <v>542</v>
      </c>
      <c r="N65" s="267" t="s">
        <v>499</v>
      </c>
      <c r="O65" s="291">
        <v>140000</v>
      </c>
      <c r="P65" s="265"/>
      <c r="Q65" s="297" t="s">
        <v>769</v>
      </c>
      <c r="R65" s="290" t="s">
        <v>534</v>
      </c>
      <c r="S65" s="265"/>
      <c r="T65" s="265"/>
      <c r="U65" s="265"/>
      <c r="V65" s="265"/>
      <c r="W65" s="265"/>
      <c r="X65" s="265"/>
      <c r="Y65" s="265"/>
      <c r="Z65" s="265"/>
      <c r="AA65" s="265"/>
      <c r="AB65" s="289" t="s">
        <v>67</v>
      </c>
      <c r="AC65" s="290" t="b">
        <f t="shared" ca="1" si="0"/>
        <v>0</v>
      </c>
      <c r="AD65" s="265"/>
      <c r="AE65" s="265"/>
      <c r="AF65" s="265"/>
    </row>
    <row r="66" spans="1:32" ht="12.75" customHeight="1">
      <c r="A66" s="265"/>
      <c r="B66" s="289" t="s">
        <v>817</v>
      </c>
      <c r="C66" s="290" t="s">
        <v>542</v>
      </c>
      <c r="D66" s="265"/>
      <c r="E66" s="289" t="s">
        <v>818</v>
      </c>
      <c r="F66" s="266">
        <v>16</v>
      </c>
      <c r="G66" s="265" t="s">
        <v>232</v>
      </c>
      <c r="H66" s="266">
        <v>4</v>
      </c>
      <c r="I66" s="266">
        <v>3</v>
      </c>
      <c r="J66" s="266">
        <v>2</v>
      </c>
      <c r="K66" s="266">
        <v>8</v>
      </c>
      <c r="L66" s="265" t="s">
        <v>819</v>
      </c>
      <c r="M66" s="265" t="s">
        <v>435</v>
      </c>
      <c r="N66" s="267" t="s">
        <v>436</v>
      </c>
      <c r="O66" s="291">
        <v>40000</v>
      </c>
      <c r="P66" s="265"/>
      <c r="Q66" s="289" t="s">
        <v>765</v>
      </c>
      <c r="R66" s="290" t="s">
        <v>477</v>
      </c>
      <c r="S66" s="265"/>
      <c r="T66" s="265"/>
      <c r="U66" s="265"/>
      <c r="V66" s="265"/>
      <c r="W66" s="265"/>
      <c r="X66" s="265"/>
      <c r="Y66" s="265"/>
      <c r="Z66" s="265"/>
      <c r="AA66" s="265"/>
      <c r="AB66" s="289" t="s">
        <v>68</v>
      </c>
      <c r="AC66" s="290" t="b">
        <f t="shared" ca="1" si="0"/>
        <v>0</v>
      </c>
      <c r="AD66" s="265"/>
      <c r="AE66" s="265"/>
      <c r="AF66" s="265"/>
    </row>
    <row r="67" spans="1:32" ht="12.75" customHeight="1">
      <c r="A67" s="265"/>
      <c r="B67" s="289" t="s">
        <v>294</v>
      </c>
      <c r="C67" s="290" t="s">
        <v>542</v>
      </c>
      <c r="D67" s="265"/>
      <c r="E67" s="289" t="s">
        <v>820</v>
      </c>
      <c r="F67" s="266">
        <v>2</v>
      </c>
      <c r="G67" s="265" t="s">
        <v>341</v>
      </c>
      <c r="H67" s="266">
        <v>7</v>
      </c>
      <c r="I67" s="266">
        <v>3</v>
      </c>
      <c r="J67" s="266">
        <v>3</v>
      </c>
      <c r="K67" s="266">
        <v>7</v>
      </c>
      <c r="L67" s="265" t="s">
        <v>165</v>
      </c>
      <c r="M67" s="265" t="s">
        <v>457</v>
      </c>
      <c r="N67" s="267" t="s">
        <v>458</v>
      </c>
      <c r="O67" s="291">
        <v>70000</v>
      </c>
      <c r="P67" s="265"/>
      <c r="Q67" s="297" t="s">
        <v>762</v>
      </c>
      <c r="R67" s="290" t="s">
        <v>736</v>
      </c>
      <c r="S67" s="265"/>
      <c r="T67" s="265"/>
      <c r="U67" s="265"/>
      <c r="V67" s="265"/>
      <c r="W67" s="265"/>
      <c r="X67" s="265"/>
      <c r="Y67" s="265"/>
      <c r="Z67" s="265"/>
      <c r="AA67" s="265"/>
      <c r="AB67" s="289" t="s">
        <v>69</v>
      </c>
      <c r="AC67" s="290" t="b">
        <f t="shared" ca="1" si="0"/>
        <v>0</v>
      </c>
      <c r="AD67" s="265"/>
      <c r="AE67" s="265"/>
      <c r="AF67" s="265"/>
    </row>
    <row r="68" spans="1:32" ht="12.75" customHeight="1">
      <c r="A68" s="265"/>
      <c r="B68" s="289" t="s">
        <v>821</v>
      </c>
      <c r="C68" s="290" t="s">
        <v>542</v>
      </c>
      <c r="D68" s="265"/>
      <c r="E68" s="289" t="s">
        <v>822</v>
      </c>
      <c r="F68" s="266">
        <v>2</v>
      </c>
      <c r="G68" s="265" t="s">
        <v>349</v>
      </c>
      <c r="H68" s="266">
        <v>6</v>
      </c>
      <c r="I68" s="266">
        <v>3</v>
      </c>
      <c r="J68" s="266">
        <v>3</v>
      </c>
      <c r="K68" s="266">
        <v>8</v>
      </c>
      <c r="L68" s="265" t="s">
        <v>808</v>
      </c>
      <c r="M68" s="265" t="s">
        <v>465</v>
      </c>
      <c r="N68" s="267" t="s">
        <v>466</v>
      </c>
      <c r="O68" s="291">
        <v>90000</v>
      </c>
      <c r="P68" s="265"/>
      <c r="Q68" s="297" t="s">
        <v>823</v>
      </c>
      <c r="R68" s="290" t="s">
        <v>591</v>
      </c>
      <c r="S68" s="265"/>
      <c r="T68" s="265"/>
      <c r="U68" s="265"/>
      <c r="V68" s="265"/>
      <c r="W68" s="265"/>
      <c r="X68" s="265"/>
      <c r="Y68" s="265"/>
      <c r="Z68" s="265"/>
      <c r="AA68" s="265"/>
      <c r="AB68" s="289" t="s">
        <v>71</v>
      </c>
      <c r="AC68" s="290" t="b">
        <f t="shared" ca="1" si="0"/>
        <v>0</v>
      </c>
      <c r="AD68" s="265"/>
      <c r="AE68" s="265"/>
      <c r="AF68" s="265"/>
    </row>
    <row r="69" spans="1:32" ht="12.75" customHeight="1">
      <c r="A69" s="265"/>
      <c r="B69" s="289" t="s">
        <v>824</v>
      </c>
      <c r="C69" s="290" t="s">
        <v>542</v>
      </c>
      <c r="D69" s="265"/>
      <c r="E69" s="289" t="s">
        <v>825</v>
      </c>
      <c r="F69" s="266">
        <v>2</v>
      </c>
      <c r="G69" s="265" t="s">
        <v>826</v>
      </c>
      <c r="H69" s="266">
        <v>4</v>
      </c>
      <c r="I69" s="266">
        <v>4</v>
      </c>
      <c r="J69" s="266">
        <v>2</v>
      </c>
      <c r="K69" s="266">
        <v>9</v>
      </c>
      <c r="L69" s="265" t="s">
        <v>827</v>
      </c>
      <c r="M69" s="265" t="s">
        <v>465</v>
      </c>
      <c r="N69" s="267" t="s">
        <v>466</v>
      </c>
      <c r="O69" s="291">
        <v>110000</v>
      </c>
      <c r="P69" s="265"/>
      <c r="Q69" s="297" t="s">
        <v>792</v>
      </c>
      <c r="R69" s="290" t="s">
        <v>467</v>
      </c>
      <c r="S69" s="265"/>
      <c r="T69" s="265"/>
      <c r="U69" s="265"/>
      <c r="V69" s="265"/>
      <c r="W69" s="265"/>
      <c r="X69" s="265"/>
      <c r="Y69" s="265"/>
      <c r="Z69" s="265"/>
      <c r="AA69" s="265"/>
      <c r="AB69" s="289" t="s">
        <v>72</v>
      </c>
      <c r="AC69" s="290" t="b">
        <f t="shared" ca="1" si="0"/>
        <v>0</v>
      </c>
      <c r="AD69" s="265"/>
      <c r="AE69" s="265"/>
      <c r="AF69" s="265"/>
    </row>
    <row r="70" spans="1:32" ht="12.75" customHeight="1">
      <c r="A70" s="265"/>
      <c r="B70" s="289" t="s">
        <v>338</v>
      </c>
      <c r="C70" s="290" t="s">
        <v>542</v>
      </c>
      <c r="D70" s="265"/>
      <c r="E70" s="289" t="s">
        <v>828</v>
      </c>
      <c r="F70" s="266">
        <v>2</v>
      </c>
      <c r="G70" s="265" t="s">
        <v>229</v>
      </c>
      <c r="H70" s="266">
        <v>8</v>
      </c>
      <c r="I70" s="266">
        <v>3</v>
      </c>
      <c r="J70" s="266">
        <v>3</v>
      </c>
      <c r="K70" s="266">
        <v>8</v>
      </c>
      <c r="L70" s="265" t="s">
        <v>829</v>
      </c>
      <c r="M70" s="265" t="s">
        <v>457</v>
      </c>
      <c r="N70" s="267" t="s">
        <v>458</v>
      </c>
      <c r="O70" s="291">
        <v>120000</v>
      </c>
      <c r="P70" s="265"/>
      <c r="Q70" s="297" t="s">
        <v>790</v>
      </c>
      <c r="R70" s="290" t="s">
        <v>721</v>
      </c>
      <c r="S70" s="265"/>
      <c r="T70" s="265"/>
      <c r="U70" s="265"/>
      <c r="V70" s="265"/>
      <c r="W70" s="265"/>
      <c r="X70" s="265"/>
      <c r="Y70" s="265"/>
      <c r="Z70" s="265"/>
      <c r="AA70" s="265"/>
      <c r="AB70" s="289" t="s">
        <v>73</v>
      </c>
      <c r="AC70" s="290" t="b">
        <f t="shared" ca="1" si="0"/>
        <v>0</v>
      </c>
      <c r="AD70" s="265"/>
      <c r="AE70" s="265"/>
      <c r="AF70" s="265"/>
    </row>
    <row r="71" spans="1:32" ht="12.75" customHeight="1">
      <c r="A71" s="265"/>
      <c r="B71" s="289" t="s">
        <v>830</v>
      </c>
      <c r="C71" s="290" t="s">
        <v>542</v>
      </c>
      <c r="D71" s="265"/>
      <c r="E71" s="289" t="s">
        <v>831</v>
      </c>
      <c r="F71" s="266">
        <v>16</v>
      </c>
      <c r="G71" s="265" t="s">
        <v>777</v>
      </c>
      <c r="H71" s="266">
        <v>6</v>
      </c>
      <c r="I71" s="266">
        <v>3</v>
      </c>
      <c r="J71" s="266">
        <v>3</v>
      </c>
      <c r="K71" s="266">
        <v>7</v>
      </c>
      <c r="L71" s="265" t="s">
        <v>162</v>
      </c>
      <c r="M71" s="265" t="s">
        <v>435</v>
      </c>
      <c r="N71" s="267" t="s">
        <v>436</v>
      </c>
      <c r="O71" s="291">
        <v>50000</v>
      </c>
      <c r="P71" s="265"/>
      <c r="Q71" s="297" t="s">
        <v>786</v>
      </c>
      <c r="R71" s="290" t="s">
        <v>477</v>
      </c>
      <c r="S71" s="265"/>
      <c r="T71" s="265"/>
      <c r="U71" s="265"/>
      <c r="V71" s="265"/>
      <c r="W71" s="265"/>
      <c r="X71" s="265"/>
      <c r="Y71" s="265"/>
      <c r="Z71" s="265"/>
      <c r="AA71" s="265"/>
      <c r="AB71" s="302" t="s">
        <v>74</v>
      </c>
      <c r="AC71" s="303" t="b">
        <f t="shared" ca="1" si="0"/>
        <v>0</v>
      </c>
      <c r="AD71" s="265"/>
      <c r="AE71" s="265"/>
      <c r="AF71" s="265"/>
    </row>
    <row r="72" spans="1:32" ht="12.75" customHeight="1">
      <c r="A72" s="265"/>
      <c r="B72" s="289" t="s">
        <v>832</v>
      </c>
      <c r="C72" s="290" t="s">
        <v>542</v>
      </c>
      <c r="D72" s="265"/>
      <c r="E72" s="289" t="s">
        <v>833</v>
      </c>
      <c r="F72" s="266">
        <v>2</v>
      </c>
      <c r="G72" s="265" t="s">
        <v>262</v>
      </c>
      <c r="H72" s="266">
        <v>6</v>
      </c>
      <c r="I72" s="266">
        <v>3</v>
      </c>
      <c r="J72" s="266">
        <v>3</v>
      </c>
      <c r="K72" s="266">
        <v>7</v>
      </c>
      <c r="L72" s="265" t="s">
        <v>834</v>
      </c>
      <c r="M72" s="265" t="s">
        <v>446</v>
      </c>
      <c r="N72" s="267" t="s">
        <v>447</v>
      </c>
      <c r="O72" s="291">
        <v>70000</v>
      </c>
      <c r="P72" s="265"/>
      <c r="Q72" s="297" t="s">
        <v>781</v>
      </c>
      <c r="R72" s="290" t="s">
        <v>744</v>
      </c>
      <c r="S72" s="265"/>
      <c r="T72" s="265"/>
      <c r="U72" s="265"/>
      <c r="V72" s="265"/>
      <c r="W72" s="265"/>
      <c r="X72" s="265"/>
      <c r="Y72" s="265"/>
      <c r="Z72" s="265"/>
      <c r="AA72" s="265"/>
      <c r="AB72" s="265"/>
      <c r="AC72" s="265"/>
      <c r="AD72" s="265"/>
      <c r="AE72" s="265"/>
      <c r="AF72" s="265"/>
    </row>
    <row r="73" spans="1:32" ht="12.75" customHeight="1">
      <c r="A73" s="265"/>
      <c r="B73" s="289"/>
      <c r="C73" s="290"/>
      <c r="D73" s="265"/>
      <c r="E73" s="289" t="s">
        <v>835</v>
      </c>
      <c r="F73" s="266">
        <v>2</v>
      </c>
      <c r="G73" s="265" t="s">
        <v>618</v>
      </c>
      <c r="H73" s="266">
        <v>7</v>
      </c>
      <c r="I73" s="266">
        <v>3</v>
      </c>
      <c r="J73" s="266">
        <v>3</v>
      </c>
      <c r="K73" s="266">
        <v>7</v>
      </c>
      <c r="L73" s="265" t="s">
        <v>836</v>
      </c>
      <c r="M73" s="265" t="s">
        <v>457</v>
      </c>
      <c r="N73" s="267" t="s">
        <v>458</v>
      </c>
      <c r="O73" s="291">
        <v>90000</v>
      </c>
      <c r="P73" s="265"/>
      <c r="Q73" s="297" t="s">
        <v>776</v>
      </c>
      <c r="R73" s="290" t="s">
        <v>488</v>
      </c>
      <c r="S73" s="265"/>
      <c r="T73" s="265"/>
      <c r="U73" s="265"/>
      <c r="V73" s="265"/>
      <c r="W73" s="265"/>
      <c r="X73" s="265"/>
      <c r="Y73" s="265"/>
      <c r="Z73" s="265"/>
      <c r="AA73" s="265"/>
      <c r="AB73" s="265"/>
      <c r="AC73" s="265"/>
      <c r="AD73" s="265"/>
      <c r="AE73" s="265"/>
      <c r="AF73" s="265"/>
    </row>
    <row r="74" spans="1:32" ht="12.75" customHeight="1">
      <c r="A74" s="265"/>
      <c r="B74" s="297" t="s">
        <v>837</v>
      </c>
      <c r="C74" s="290"/>
      <c r="D74" s="265"/>
      <c r="E74" s="289" t="s">
        <v>838</v>
      </c>
      <c r="F74" s="266">
        <v>2</v>
      </c>
      <c r="G74" s="265" t="s">
        <v>839</v>
      </c>
      <c r="H74" s="266">
        <v>6</v>
      </c>
      <c r="I74" s="266">
        <v>3</v>
      </c>
      <c r="J74" s="266">
        <v>3</v>
      </c>
      <c r="K74" s="266">
        <v>7</v>
      </c>
      <c r="L74" s="265" t="s">
        <v>840</v>
      </c>
      <c r="M74" s="265" t="s">
        <v>465</v>
      </c>
      <c r="N74" s="267" t="s">
        <v>466</v>
      </c>
      <c r="O74" s="291">
        <v>90000</v>
      </c>
      <c r="P74" s="265"/>
      <c r="Q74" s="304" t="str">
        <f>IF(Ruleset="LRB 6","Khemri6","X")</f>
        <v>Khemri6</v>
      </c>
      <c r="R74" s="290" t="s">
        <v>774</v>
      </c>
      <c r="S74" s="265"/>
      <c r="T74" s="265"/>
      <c r="U74" s="265"/>
      <c r="V74" s="265"/>
      <c r="W74" s="265"/>
      <c r="X74" s="265"/>
      <c r="Y74" s="265"/>
      <c r="Z74" s="265"/>
      <c r="AA74" s="265"/>
      <c r="AB74" s="265"/>
      <c r="AC74" s="265"/>
      <c r="AD74" s="265"/>
      <c r="AE74" s="265"/>
      <c r="AF74" s="265"/>
    </row>
    <row r="75" spans="1:32" ht="12.75" customHeight="1">
      <c r="A75" s="265"/>
      <c r="B75" s="289" t="s">
        <v>841</v>
      </c>
      <c r="C75" s="290" t="s">
        <v>656</v>
      </c>
      <c r="D75" s="265"/>
      <c r="E75" s="289" t="s">
        <v>842</v>
      </c>
      <c r="F75" s="266">
        <v>2</v>
      </c>
      <c r="G75" s="265" t="s">
        <v>843</v>
      </c>
      <c r="H75" s="266">
        <v>6</v>
      </c>
      <c r="I75" s="266">
        <v>4</v>
      </c>
      <c r="J75" s="266">
        <v>2</v>
      </c>
      <c r="K75" s="266">
        <v>8</v>
      </c>
      <c r="L75" s="265" t="s">
        <v>645</v>
      </c>
      <c r="M75" s="265" t="s">
        <v>465</v>
      </c>
      <c r="N75" s="267" t="s">
        <v>466</v>
      </c>
      <c r="O75" s="291">
        <v>110000</v>
      </c>
      <c r="P75" s="265"/>
      <c r="Q75" s="304" t="str">
        <f>IF(Ruleset="LRB 6","Khemri5","X")</f>
        <v>Khemri5</v>
      </c>
      <c r="R75" s="290" t="s">
        <v>671</v>
      </c>
      <c r="S75" s="265"/>
      <c r="T75" s="265"/>
      <c r="U75" s="265"/>
      <c r="V75" s="265"/>
      <c r="W75" s="265"/>
      <c r="X75" s="265"/>
      <c r="Y75" s="265"/>
      <c r="Z75" s="265"/>
      <c r="AA75" s="265"/>
      <c r="AB75" s="265"/>
      <c r="AC75" s="265"/>
      <c r="AD75" s="265"/>
      <c r="AE75" s="265"/>
      <c r="AF75" s="265"/>
    </row>
    <row r="76" spans="1:32" ht="12.75" customHeight="1">
      <c r="A76" s="265"/>
      <c r="B76" s="289" t="s">
        <v>844</v>
      </c>
      <c r="C76" s="290" t="s">
        <v>656</v>
      </c>
      <c r="D76" s="265"/>
      <c r="E76" s="289" t="s">
        <v>845</v>
      </c>
      <c r="F76" s="266">
        <v>1</v>
      </c>
      <c r="G76" s="265" t="s">
        <v>846</v>
      </c>
      <c r="H76" s="266">
        <v>5</v>
      </c>
      <c r="I76" s="266">
        <v>5</v>
      </c>
      <c r="J76" s="266">
        <v>1</v>
      </c>
      <c r="K76" s="266">
        <v>8</v>
      </c>
      <c r="L76" s="265" t="s">
        <v>847</v>
      </c>
      <c r="M76" s="265" t="s">
        <v>542</v>
      </c>
      <c r="N76" s="267" t="s">
        <v>499</v>
      </c>
      <c r="O76" s="291">
        <v>140000</v>
      </c>
      <c r="P76" s="265"/>
      <c r="Q76" s="304" t="str">
        <f>IF(Ruleset="LRB 6","Khemri4","X")</f>
        <v>Khemri4</v>
      </c>
      <c r="R76" s="290" t="s">
        <v>657</v>
      </c>
      <c r="S76" s="265"/>
      <c r="T76" s="265"/>
      <c r="U76" s="265"/>
      <c r="V76" s="265"/>
      <c r="W76" s="265"/>
      <c r="X76" s="265"/>
      <c r="Y76" s="265"/>
      <c r="Z76" s="265"/>
      <c r="AA76" s="265"/>
      <c r="AB76" s="265"/>
      <c r="AC76" s="265"/>
      <c r="AD76" s="265"/>
      <c r="AE76" s="265"/>
      <c r="AF76" s="265"/>
    </row>
    <row r="77" spans="1:32" ht="12.75" customHeight="1">
      <c r="A77" s="265"/>
      <c r="B77" s="289" t="s">
        <v>848</v>
      </c>
      <c r="C77" s="290" t="s">
        <v>656</v>
      </c>
      <c r="D77" s="265"/>
      <c r="E77" s="297" t="s">
        <v>849</v>
      </c>
      <c r="F77" s="266">
        <v>16</v>
      </c>
      <c r="G77" s="265" t="s">
        <v>850</v>
      </c>
      <c r="H77" s="266">
        <v>5</v>
      </c>
      <c r="I77" s="266">
        <v>3</v>
      </c>
      <c r="J77" s="266">
        <v>3</v>
      </c>
      <c r="K77" s="266">
        <v>8</v>
      </c>
      <c r="L77" s="265" t="s">
        <v>851</v>
      </c>
      <c r="M77" s="265" t="s">
        <v>571</v>
      </c>
      <c r="N77" s="267" t="s">
        <v>436</v>
      </c>
      <c r="O77" s="291">
        <v>40000</v>
      </c>
      <c r="P77" s="265"/>
      <c r="Q77" s="297" t="s">
        <v>806</v>
      </c>
      <c r="R77" s="290" t="s">
        <v>612</v>
      </c>
      <c r="S77" s="265"/>
      <c r="T77" s="265"/>
      <c r="U77" s="265"/>
      <c r="V77" s="265"/>
      <c r="W77" s="265"/>
      <c r="X77" s="265"/>
      <c r="Y77" s="265"/>
      <c r="Z77" s="265"/>
      <c r="AA77" s="265"/>
      <c r="AB77" s="265"/>
      <c r="AC77" s="265"/>
      <c r="AD77" s="265"/>
      <c r="AE77" s="265"/>
      <c r="AF77" s="265"/>
    </row>
    <row r="78" spans="1:32" ht="12.75" customHeight="1">
      <c r="A78" s="265"/>
      <c r="B78" s="289" t="s">
        <v>852</v>
      </c>
      <c r="C78" s="290" t="s">
        <v>656</v>
      </c>
      <c r="D78" s="265"/>
      <c r="E78" s="297" t="s">
        <v>853</v>
      </c>
      <c r="F78" s="266">
        <v>4</v>
      </c>
      <c r="G78" s="267" t="s">
        <v>854</v>
      </c>
      <c r="H78" s="266">
        <v>6</v>
      </c>
      <c r="I78" s="266">
        <v>3</v>
      </c>
      <c r="J78" s="266">
        <v>3</v>
      </c>
      <c r="K78" s="266">
        <v>8</v>
      </c>
      <c r="L78" s="267" t="s">
        <v>855</v>
      </c>
      <c r="M78" s="265" t="s">
        <v>476</v>
      </c>
      <c r="N78" s="267" t="s">
        <v>466</v>
      </c>
      <c r="O78" s="291">
        <v>80000</v>
      </c>
      <c r="P78" s="265"/>
      <c r="Q78" s="289" t="s">
        <v>802</v>
      </c>
      <c r="R78" s="290" t="s">
        <v>753</v>
      </c>
      <c r="S78" s="265"/>
      <c r="T78" s="265"/>
      <c r="U78" s="265"/>
      <c r="V78" s="265"/>
      <c r="W78" s="265"/>
      <c r="X78" s="265"/>
      <c r="Y78" s="265"/>
      <c r="Z78" s="265"/>
      <c r="AA78" s="265"/>
      <c r="AB78" s="265"/>
      <c r="AC78" s="265"/>
      <c r="AD78" s="265"/>
      <c r="AE78" s="265"/>
      <c r="AF78" s="265"/>
    </row>
    <row r="79" spans="1:32" ht="12.75" customHeight="1">
      <c r="A79" s="265"/>
      <c r="B79" s="289" t="s">
        <v>856</v>
      </c>
      <c r="C79" s="290" t="s">
        <v>656</v>
      </c>
      <c r="D79" s="265"/>
      <c r="E79" s="297" t="s">
        <v>857</v>
      </c>
      <c r="F79" s="266">
        <v>4</v>
      </c>
      <c r="G79" s="267" t="s">
        <v>858</v>
      </c>
      <c r="H79" s="266">
        <v>4</v>
      </c>
      <c r="I79" s="266">
        <v>4</v>
      </c>
      <c r="J79" s="266">
        <v>2</v>
      </c>
      <c r="K79" s="266">
        <v>9</v>
      </c>
      <c r="L79" s="265" t="s">
        <v>859</v>
      </c>
      <c r="M79" s="265" t="s">
        <v>476</v>
      </c>
      <c r="N79" s="267" t="s">
        <v>466</v>
      </c>
      <c r="O79" s="291">
        <v>110000</v>
      </c>
      <c r="P79" s="265"/>
      <c r="Q79" s="297" t="s">
        <v>796</v>
      </c>
      <c r="R79" s="290" t="s">
        <v>770</v>
      </c>
      <c r="S79" s="265"/>
      <c r="T79" s="265"/>
      <c r="U79" s="265"/>
      <c r="V79" s="265"/>
      <c r="W79" s="265"/>
      <c r="X79" s="265"/>
      <c r="Y79" s="265"/>
      <c r="Z79" s="265"/>
      <c r="AA79" s="265"/>
      <c r="AB79" s="265"/>
      <c r="AC79" s="265"/>
      <c r="AD79" s="265"/>
      <c r="AE79" s="265"/>
      <c r="AF79" s="265"/>
    </row>
    <row r="80" spans="1:32" ht="12.75" customHeight="1">
      <c r="A80" s="265"/>
      <c r="B80" s="289" t="s">
        <v>709</v>
      </c>
      <c r="C80" s="290" t="s">
        <v>656</v>
      </c>
      <c r="D80" s="265"/>
      <c r="E80" s="297" t="s">
        <v>860</v>
      </c>
      <c r="F80" s="266">
        <v>1</v>
      </c>
      <c r="G80" s="265" t="s">
        <v>861</v>
      </c>
      <c r="H80" s="266">
        <v>4</v>
      </c>
      <c r="I80" s="266">
        <v>5</v>
      </c>
      <c r="J80" s="266">
        <v>1</v>
      </c>
      <c r="K80" s="266">
        <v>9</v>
      </c>
      <c r="L80" s="265" t="s">
        <v>862</v>
      </c>
      <c r="M80" s="265" t="s">
        <v>542</v>
      </c>
      <c r="N80" s="267" t="s">
        <v>543</v>
      </c>
      <c r="O80" s="291">
        <v>140000</v>
      </c>
      <c r="P80" s="265"/>
      <c r="Q80" s="304" t="str">
        <f>IF(Ruleset="LRB 6","Lizardman6","X")</f>
        <v>Lizardman6</v>
      </c>
      <c r="R80" s="290" t="s">
        <v>710</v>
      </c>
      <c r="S80" s="265"/>
      <c r="T80" s="265"/>
      <c r="U80" s="265"/>
      <c r="V80" s="265"/>
      <c r="W80" s="265"/>
      <c r="X80" s="265"/>
      <c r="Y80" s="265"/>
      <c r="Z80" s="265"/>
      <c r="AA80" s="265"/>
      <c r="AB80" s="265"/>
      <c r="AC80" s="265"/>
      <c r="AD80" s="265"/>
      <c r="AE80" s="265"/>
      <c r="AF80" s="265"/>
    </row>
    <row r="81" spans="1:32" ht="12.75" customHeight="1">
      <c r="A81" s="265"/>
      <c r="B81" s="289" t="s">
        <v>863</v>
      </c>
      <c r="C81" s="290" t="s">
        <v>656</v>
      </c>
      <c r="D81" s="265"/>
      <c r="E81" s="289" t="s">
        <v>864</v>
      </c>
      <c r="F81" s="266">
        <v>16</v>
      </c>
      <c r="G81" s="265" t="s">
        <v>865</v>
      </c>
      <c r="H81" s="266">
        <v>5</v>
      </c>
      <c r="I81" s="266">
        <v>1</v>
      </c>
      <c r="J81" s="266">
        <v>3</v>
      </c>
      <c r="K81" s="266">
        <v>5</v>
      </c>
      <c r="L81" s="265" t="s">
        <v>866</v>
      </c>
      <c r="M81" s="265" t="s">
        <v>193</v>
      </c>
      <c r="N81" s="267" t="s">
        <v>561</v>
      </c>
      <c r="O81" s="291">
        <v>20000</v>
      </c>
      <c r="P81" s="265"/>
      <c r="Q81" s="304" t="str">
        <f>IF(Ruleset="LRB 6","Lizardman5","X")</f>
        <v>Lizardman5</v>
      </c>
      <c r="R81" s="290" t="s">
        <v>748</v>
      </c>
      <c r="S81" s="265"/>
      <c r="T81" s="265"/>
      <c r="U81" s="265"/>
      <c r="V81" s="265"/>
      <c r="W81" s="265"/>
      <c r="X81" s="265"/>
      <c r="Y81" s="265"/>
      <c r="Z81" s="265"/>
      <c r="AA81" s="265"/>
      <c r="AB81" s="265"/>
      <c r="AC81" s="265"/>
      <c r="AD81" s="265"/>
      <c r="AE81" s="265"/>
      <c r="AF81" s="265"/>
    </row>
    <row r="82" spans="1:32" ht="12.75" customHeight="1">
      <c r="A82" s="265"/>
      <c r="B82" s="289"/>
      <c r="C82" s="290"/>
      <c r="D82" s="265"/>
      <c r="E82" s="289" t="s">
        <v>867</v>
      </c>
      <c r="F82" s="266">
        <v>6</v>
      </c>
      <c r="G82" s="265" t="s">
        <v>604</v>
      </c>
      <c r="H82" s="266">
        <v>5</v>
      </c>
      <c r="I82" s="266">
        <v>5</v>
      </c>
      <c r="J82" s="266">
        <v>2</v>
      </c>
      <c r="K82" s="266">
        <v>9</v>
      </c>
      <c r="L82" s="265" t="s">
        <v>868</v>
      </c>
      <c r="M82" s="265" t="s">
        <v>542</v>
      </c>
      <c r="N82" s="267" t="s">
        <v>499</v>
      </c>
      <c r="O82" s="291">
        <v>140000</v>
      </c>
      <c r="P82" s="265"/>
      <c r="Q82" s="297" t="s">
        <v>942</v>
      </c>
      <c r="R82" s="290" t="s">
        <v>467</v>
      </c>
      <c r="S82" s="265"/>
      <c r="T82" s="265"/>
      <c r="U82" s="265"/>
      <c r="V82" s="265"/>
      <c r="W82" s="265"/>
      <c r="X82" s="265"/>
      <c r="Y82" s="265"/>
      <c r="Z82" s="265"/>
      <c r="AA82" s="265"/>
      <c r="AB82" s="265"/>
      <c r="AC82" s="265"/>
      <c r="AD82" s="265"/>
      <c r="AE82" s="265"/>
      <c r="AF82" s="265"/>
    </row>
    <row r="83" spans="1:32" ht="12.75" customHeight="1">
      <c r="A83" s="265"/>
      <c r="B83" s="297" t="s">
        <v>869</v>
      </c>
      <c r="C83" s="290"/>
      <c r="D83" s="265"/>
      <c r="E83" s="289" t="s">
        <v>870</v>
      </c>
      <c r="F83" s="266">
        <v>16</v>
      </c>
      <c r="G83" s="265" t="s">
        <v>777</v>
      </c>
      <c r="H83" s="266">
        <v>5</v>
      </c>
      <c r="I83" s="266">
        <v>3</v>
      </c>
      <c r="J83" s="266">
        <v>3</v>
      </c>
      <c r="K83" s="266">
        <v>9</v>
      </c>
      <c r="L83" s="265"/>
      <c r="M83" s="265" t="s">
        <v>435</v>
      </c>
      <c r="N83" s="267" t="s">
        <v>436</v>
      </c>
      <c r="O83" s="291">
        <v>50000</v>
      </c>
      <c r="P83" s="265"/>
      <c r="Q83" s="297" t="s">
        <v>941</v>
      </c>
      <c r="R83" s="290" t="s">
        <v>639</v>
      </c>
      <c r="S83" s="265"/>
      <c r="T83" s="265"/>
      <c r="U83" s="265"/>
      <c r="V83" s="265"/>
      <c r="W83" s="265"/>
      <c r="X83" s="265"/>
      <c r="Y83" s="265"/>
      <c r="Z83" s="265"/>
      <c r="AA83" s="265"/>
      <c r="AB83" s="265"/>
      <c r="AC83" s="265"/>
      <c r="AD83" s="265"/>
      <c r="AE83" s="265"/>
      <c r="AF83" s="265"/>
    </row>
    <row r="84" spans="1:32" ht="12.75" customHeight="1">
      <c r="A84" s="265"/>
      <c r="B84" s="289" t="s">
        <v>871</v>
      </c>
      <c r="C84" s="290" t="s">
        <v>872</v>
      </c>
      <c r="D84" s="265"/>
      <c r="E84" s="289" t="s">
        <v>873</v>
      </c>
      <c r="F84" s="266">
        <v>4</v>
      </c>
      <c r="G84" s="265" t="s">
        <v>311</v>
      </c>
      <c r="H84" s="266">
        <v>6</v>
      </c>
      <c r="I84" s="266">
        <v>2</v>
      </c>
      <c r="J84" s="266">
        <v>3</v>
      </c>
      <c r="K84" s="266">
        <v>7</v>
      </c>
      <c r="L84" s="265" t="s">
        <v>726</v>
      </c>
      <c r="M84" s="265" t="s">
        <v>193</v>
      </c>
      <c r="N84" s="267" t="s">
        <v>561</v>
      </c>
      <c r="O84" s="291">
        <v>40000</v>
      </c>
      <c r="P84" s="265"/>
      <c r="Q84" s="297" t="s">
        <v>940</v>
      </c>
      <c r="R84" s="290" t="s">
        <v>477</v>
      </c>
      <c r="S84" s="265"/>
      <c r="T84" s="265"/>
      <c r="U84" s="265"/>
      <c r="V84" s="265"/>
      <c r="W84" s="265"/>
      <c r="X84" s="265"/>
      <c r="Y84" s="265"/>
      <c r="Z84" s="265"/>
      <c r="AA84" s="265"/>
      <c r="AB84" s="265"/>
      <c r="AC84" s="265"/>
      <c r="AD84" s="265"/>
      <c r="AE84" s="265"/>
      <c r="AF84" s="265"/>
    </row>
    <row r="85" spans="1:32" ht="12.75" customHeight="1">
      <c r="A85" s="265"/>
      <c r="B85" s="297" t="s">
        <v>874</v>
      </c>
      <c r="C85" s="290" t="s">
        <v>872</v>
      </c>
      <c r="D85" s="265"/>
      <c r="E85" s="289" t="s">
        <v>875</v>
      </c>
      <c r="F85" s="266">
        <v>2</v>
      </c>
      <c r="G85" s="265" t="s">
        <v>262</v>
      </c>
      <c r="H85" s="266">
        <v>5</v>
      </c>
      <c r="I85" s="266">
        <v>3</v>
      </c>
      <c r="J85" s="266">
        <v>3</v>
      </c>
      <c r="K85" s="266">
        <v>8</v>
      </c>
      <c r="L85" s="265" t="s">
        <v>787</v>
      </c>
      <c r="M85" s="265" t="s">
        <v>446</v>
      </c>
      <c r="N85" s="267" t="s">
        <v>447</v>
      </c>
      <c r="O85" s="291">
        <v>70000</v>
      </c>
      <c r="P85" s="265"/>
      <c r="Q85" s="297" t="s">
        <v>939</v>
      </c>
      <c r="R85" s="290" t="s">
        <v>783</v>
      </c>
      <c r="S85" s="265"/>
      <c r="T85" s="265"/>
      <c r="U85" s="265"/>
      <c r="V85" s="265"/>
      <c r="W85" s="265"/>
      <c r="X85" s="265"/>
      <c r="Y85" s="265"/>
      <c r="Z85" s="265"/>
      <c r="AA85" s="265"/>
      <c r="AB85" s="265"/>
      <c r="AC85" s="265"/>
      <c r="AD85" s="265"/>
      <c r="AE85" s="265"/>
      <c r="AF85" s="265"/>
    </row>
    <row r="86" spans="1:32" ht="12.75" customHeight="1">
      <c r="A86" s="265"/>
      <c r="B86" s="289" t="s">
        <v>876</v>
      </c>
      <c r="C86" s="290" t="s">
        <v>872</v>
      </c>
      <c r="D86" s="265"/>
      <c r="E86" s="289" t="s">
        <v>877</v>
      </c>
      <c r="F86" s="266">
        <v>4</v>
      </c>
      <c r="G86" s="265" t="s">
        <v>277</v>
      </c>
      <c r="H86" s="266">
        <v>4</v>
      </c>
      <c r="I86" s="266">
        <v>4</v>
      </c>
      <c r="J86" s="266">
        <v>2</v>
      </c>
      <c r="K86" s="266">
        <v>9</v>
      </c>
      <c r="L86" s="265"/>
      <c r="M86" s="265" t="s">
        <v>465</v>
      </c>
      <c r="N86" s="267" t="s">
        <v>466</v>
      </c>
      <c r="O86" s="291">
        <v>80000</v>
      </c>
      <c r="P86" s="265"/>
      <c r="Q86" s="304" t="str">
        <f>IF(Ruleset="LRB 6","Necromantic6","X")</f>
        <v>Necromantic6</v>
      </c>
      <c r="R86" s="290" t="s">
        <v>687</v>
      </c>
      <c r="S86" s="265"/>
      <c r="T86" s="265"/>
      <c r="U86" s="265"/>
      <c r="V86" s="265"/>
      <c r="W86" s="265"/>
      <c r="X86" s="265"/>
      <c r="Y86" s="265"/>
      <c r="Z86" s="265"/>
      <c r="AA86" s="265"/>
      <c r="AB86" s="265"/>
      <c r="AC86" s="265"/>
      <c r="AD86" s="265"/>
      <c r="AE86" s="265"/>
      <c r="AF86" s="265"/>
    </row>
    <row r="87" spans="1:32" ht="12.75" customHeight="1">
      <c r="A87" s="265"/>
      <c r="B87" s="289" t="s">
        <v>878</v>
      </c>
      <c r="C87" s="290" t="s">
        <v>872</v>
      </c>
      <c r="D87" s="265"/>
      <c r="E87" s="289" t="s">
        <v>879</v>
      </c>
      <c r="F87" s="266">
        <v>4</v>
      </c>
      <c r="G87" s="265" t="s">
        <v>269</v>
      </c>
      <c r="H87" s="266">
        <v>6</v>
      </c>
      <c r="I87" s="266">
        <v>3</v>
      </c>
      <c r="J87" s="266">
        <v>3</v>
      </c>
      <c r="K87" s="266">
        <v>9</v>
      </c>
      <c r="L87" s="265" t="s">
        <v>162</v>
      </c>
      <c r="M87" s="265" t="s">
        <v>465</v>
      </c>
      <c r="N87" s="267" t="s">
        <v>466</v>
      </c>
      <c r="O87" s="291">
        <v>80000</v>
      </c>
      <c r="P87" s="265"/>
      <c r="Q87" s="297" t="s">
        <v>828</v>
      </c>
      <c r="R87" s="299" t="s">
        <v>489</v>
      </c>
      <c r="S87" s="265"/>
      <c r="T87" s="265"/>
      <c r="U87" s="265"/>
      <c r="V87" s="265"/>
      <c r="W87" s="265"/>
      <c r="X87" s="265"/>
      <c r="Y87" s="265"/>
      <c r="Z87" s="265"/>
      <c r="AA87" s="265"/>
      <c r="AB87" s="265"/>
      <c r="AC87" s="265"/>
      <c r="AD87" s="265"/>
      <c r="AE87" s="265"/>
      <c r="AF87" s="265"/>
    </row>
    <row r="88" spans="1:32" ht="12.75" customHeight="1">
      <c r="A88" s="265"/>
      <c r="B88" s="289" t="s">
        <v>880</v>
      </c>
      <c r="C88" s="290" t="s">
        <v>872</v>
      </c>
      <c r="D88" s="265"/>
      <c r="E88" s="289" t="s">
        <v>881</v>
      </c>
      <c r="F88" s="266">
        <v>1</v>
      </c>
      <c r="G88" s="265" t="s">
        <v>322</v>
      </c>
      <c r="H88" s="266">
        <v>4</v>
      </c>
      <c r="I88" s="266">
        <v>5</v>
      </c>
      <c r="J88" s="266">
        <v>1</v>
      </c>
      <c r="K88" s="266">
        <v>9</v>
      </c>
      <c r="L88" s="265" t="s">
        <v>589</v>
      </c>
      <c r="M88" s="265" t="s">
        <v>542</v>
      </c>
      <c r="N88" s="267" t="s">
        <v>499</v>
      </c>
      <c r="O88" s="291">
        <v>110000</v>
      </c>
      <c r="P88" s="265"/>
      <c r="Q88" s="297" t="s">
        <v>825</v>
      </c>
      <c r="R88" s="290" t="s">
        <v>612</v>
      </c>
      <c r="S88" s="265"/>
      <c r="T88" s="265"/>
      <c r="U88" s="265"/>
      <c r="V88" s="265"/>
      <c r="W88" s="265"/>
      <c r="X88" s="265"/>
      <c r="Y88" s="265"/>
      <c r="Z88" s="265"/>
      <c r="AA88" s="265"/>
      <c r="AB88" s="265"/>
      <c r="AC88" s="265"/>
      <c r="AD88" s="265"/>
      <c r="AE88" s="265"/>
      <c r="AF88" s="265"/>
    </row>
    <row r="89" spans="1:32" ht="12.75" customHeight="1">
      <c r="A89" s="265"/>
      <c r="B89" s="289" t="s">
        <v>475</v>
      </c>
      <c r="C89" s="290" t="s">
        <v>872</v>
      </c>
      <c r="D89" s="265"/>
      <c r="E89" s="289" t="s">
        <v>882</v>
      </c>
      <c r="F89" s="266">
        <v>16</v>
      </c>
      <c r="G89" s="265" t="s">
        <v>777</v>
      </c>
      <c r="H89" s="266">
        <v>7</v>
      </c>
      <c r="I89" s="266">
        <v>3</v>
      </c>
      <c r="J89" s="266">
        <v>3</v>
      </c>
      <c r="K89" s="266">
        <v>7</v>
      </c>
      <c r="L89" s="265"/>
      <c r="M89" s="267" t="s">
        <v>435</v>
      </c>
      <c r="N89" s="267" t="s">
        <v>883</v>
      </c>
      <c r="O89" s="291">
        <v>50000</v>
      </c>
      <c r="P89" s="265"/>
      <c r="Q89" s="297" t="s">
        <v>822</v>
      </c>
      <c r="R89" s="290" t="s">
        <v>753</v>
      </c>
      <c r="S89" s="265"/>
      <c r="T89" s="265"/>
      <c r="U89" s="265"/>
      <c r="V89" s="265"/>
      <c r="W89" s="265"/>
      <c r="X89" s="265"/>
      <c r="Y89" s="265"/>
      <c r="Z89" s="265"/>
      <c r="AA89" s="265"/>
      <c r="AB89" s="265"/>
      <c r="AC89" s="265"/>
      <c r="AD89" s="265"/>
      <c r="AE89" s="265"/>
      <c r="AF89" s="265"/>
    </row>
    <row r="90" spans="1:32" ht="12.75" customHeight="1">
      <c r="A90" s="265"/>
      <c r="B90" s="289" t="s">
        <v>884</v>
      </c>
      <c r="C90" s="290" t="s">
        <v>872</v>
      </c>
      <c r="D90" s="265"/>
      <c r="E90" s="289" t="s">
        <v>885</v>
      </c>
      <c r="F90" s="266">
        <v>2</v>
      </c>
      <c r="G90" s="265" t="s">
        <v>262</v>
      </c>
      <c r="H90" s="266">
        <v>7</v>
      </c>
      <c r="I90" s="266">
        <v>3</v>
      </c>
      <c r="J90" s="266">
        <v>3</v>
      </c>
      <c r="K90" s="266">
        <v>7</v>
      </c>
      <c r="L90" s="265" t="s">
        <v>787</v>
      </c>
      <c r="M90" s="267" t="s">
        <v>646</v>
      </c>
      <c r="N90" s="267" t="s">
        <v>886</v>
      </c>
      <c r="O90" s="291">
        <v>70000</v>
      </c>
      <c r="P90" s="265"/>
      <c r="Q90" s="297" t="s">
        <v>820</v>
      </c>
      <c r="R90" s="290" t="s">
        <v>770</v>
      </c>
      <c r="S90" s="265"/>
      <c r="T90" s="265"/>
      <c r="U90" s="265"/>
      <c r="V90" s="265"/>
      <c r="W90" s="265"/>
      <c r="X90" s="265"/>
      <c r="Y90" s="265"/>
      <c r="Z90" s="265"/>
      <c r="AA90" s="265"/>
      <c r="AB90" s="265"/>
      <c r="AC90" s="265"/>
      <c r="AD90" s="265"/>
      <c r="AE90" s="265"/>
      <c r="AF90" s="265"/>
    </row>
    <row r="91" spans="1:32" ht="12.75" customHeight="1">
      <c r="A91" s="265"/>
      <c r="B91" s="289" t="s">
        <v>887</v>
      </c>
      <c r="C91" s="290" t="s">
        <v>872</v>
      </c>
      <c r="D91" s="265"/>
      <c r="E91" s="289" t="s">
        <v>888</v>
      </c>
      <c r="F91" s="266">
        <v>4</v>
      </c>
      <c r="G91" s="265" t="s">
        <v>889</v>
      </c>
      <c r="H91" s="266">
        <v>9</v>
      </c>
      <c r="I91" s="266">
        <v>2</v>
      </c>
      <c r="J91" s="266">
        <v>4</v>
      </c>
      <c r="K91" s="266">
        <v>7</v>
      </c>
      <c r="L91" s="265" t="s">
        <v>165</v>
      </c>
      <c r="M91" s="267" t="s">
        <v>457</v>
      </c>
      <c r="N91" s="267" t="s">
        <v>890</v>
      </c>
      <c r="O91" s="291">
        <v>80000</v>
      </c>
      <c r="P91" s="265"/>
      <c r="Q91" s="297" t="s">
        <v>818</v>
      </c>
      <c r="R91" s="299" t="s">
        <v>799</v>
      </c>
      <c r="S91" s="265"/>
      <c r="T91" s="265"/>
      <c r="U91" s="265"/>
      <c r="V91" s="265"/>
      <c r="W91" s="265"/>
      <c r="X91" s="265"/>
      <c r="Y91" s="265"/>
      <c r="Z91" s="265"/>
      <c r="AA91" s="265"/>
      <c r="AB91" s="265"/>
      <c r="AC91" s="265"/>
      <c r="AD91" s="265"/>
      <c r="AE91" s="265"/>
      <c r="AF91" s="265"/>
    </row>
    <row r="92" spans="1:32" ht="12.75" customHeight="1">
      <c r="A92" s="265"/>
      <c r="B92" s="289" t="s">
        <v>891</v>
      </c>
      <c r="C92" s="290" t="s">
        <v>872</v>
      </c>
      <c r="D92" s="265"/>
      <c r="E92" s="289" t="s">
        <v>892</v>
      </c>
      <c r="F92" s="266">
        <v>2</v>
      </c>
      <c r="G92" s="265" t="s">
        <v>269</v>
      </c>
      <c r="H92" s="266">
        <v>7</v>
      </c>
      <c r="I92" s="266">
        <v>3</v>
      </c>
      <c r="J92" s="266">
        <v>3</v>
      </c>
      <c r="K92" s="266">
        <v>8</v>
      </c>
      <c r="L92" s="265" t="s">
        <v>162</v>
      </c>
      <c r="M92" s="267" t="s">
        <v>465</v>
      </c>
      <c r="N92" s="267" t="s">
        <v>519</v>
      </c>
      <c r="O92" s="291">
        <v>90000</v>
      </c>
      <c r="P92" s="265"/>
      <c r="Q92" s="297" t="s">
        <v>845</v>
      </c>
      <c r="R92" s="290" t="s">
        <v>468</v>
      </c>
      <c r="S92" s="265"/>
      <c r="T92" s="265"/>
      <c r="U92" s="265"/>
      <c r="V92" s="265"/>
      <c r="W92" s="265"/>
      <c r="X92" s="265"/>
      <c r="Y92" s="265"/>
      <c r="Z92" s="265"/>
      <c r="AA92" s="265"/>
      <c r="AB92" s="265"/>
      <c r="AC92" s="265"/>
      <c r="AD92" s="265"/>
      <c r="AE92" s="265"/>
      <c r="AF92" s="265"/>
    </row>
    <row r="93" spans="1:32" ht="12.75" customHeight="1">
      <c r="A93" s="265"/>
      <c r="B93" s="289" t="s">
        <v>893</v>
      </c>
      <c r="C93" s="290" t="s">
        <v>872</v>
      </c>
      <c r="D93" s="265"/>
      <c r="E93" s="289" t="s">
        <v>894</v>
      </c>
      <c r="F93" s="266">
        <v>1</v>
      </c>
      <c r="G93" s="265" t="s">
        <v>895</v>
      </c>
      <c r="H93" s="266">
        <v>6</v>
      </c>
      <c r="I93" s="266">
        <v>5</v>
      </c>
      <c r="J93" s="266">
        <v>2</v>
      </c>
      <c r="K93" s="266">
        <v>8</v>
      </c>
      <c r="L93" s="265" t="s">
        <v>896</v>
      </c>
      <c r="M93" s="265" t="s">
        <v>542</v>
      </c>
      <c r="N93" s="267" t="s">
        <v>543</v>
      </c>
      <c r="O93" s="300">
        <f>IF(Ruleset="LRB 6",150000,160000)</f>
        <v>150000</v>
      </c>
      <c r="P93" s="291"/>
      <c r="Q93" s="297" t="s">
        <v>842</v>
      </c>
      <c r="R93" s="290" t="s">
        <v>467</v>
      </c>
      <c r="S93" s="265"/>
      <c r="T93" s="265"/>
      <c r="U93" s="265"/>
      <c r="V93" s="265"/>
      <c r="W93" s="265"/>
      <c r="X93" s="265"/>
      <c r="Y93" s="265"/>
      <c r="Z93" s="265"/>
      <c r="AA93" s="265"/>
      <c r="AB93" s="265"/>
      <c r="AC93" s="265"/>
      <c r="AD93" s="265"/>
      <c r="AE93" s="265"/>
      <c r="AF93" s="265"/>
    </row>
    <row r="94" spans="1:32" ht="12.75" customHeight="1">
      <c r="A94" s="265"/>
      <c r="B94" s="289"/>
      <c r="C94" s="290"/>
      <c r="D94" s="265"/>
      <c r="E94" s="292" t="str">
        <f>IF(Ruleset="LRB 6","Slann1","Slann (exp.)1")</f>
        <v>Slann1</v>
      </c>
      <c r="F94" s="266">
        <v>16</v>
      </c>
      <c r="G94" s="265" t="s">
        <v>777</v>
      </c>
      <c r="H94" s="266">
        <v>6</v>
      </c>
      <c r="I94" s="266">
        <v>3</v>
      </c>
      <c r="J94" s="266">
        <v>3</v>
      </c>
      <c r="K94" s="266">
        <v>8</v>
      </c>
      <c r="L94" s="265" t="s">
        <v>897</v>
      </c>
      <c r="M94" s="267" t="s">
        <v>435</v>
      </c>
      <c r="N94" s="267" t="s">
        <v>436</v>
      </c>
      <c r="O94" s="291">
        <v>60000</v>
      </c>
      <c r="P94" s="265"/>
      <c r="Q94" s="297" t="s">
        <v>838</v>
      </c>
      <c r="R94" s="290" t="s">
        <v>677</v>
      </c>
      <c r="S94" s="265"/>
      <c r="T94" s="265"/>
      <c r="U94" s="265"/>
      <c r="V94" s="265"/>
      <c r="W94" s="265"/>
      <c r="X94" s="265"/>
      <c r="Y94" s="265"/>
      <c r="Z94" s="265"/>
      <c r="AA94" s="265"/>
      <c r="AB94" s="265"/>
      <c r="AC94" s="265"/>
      <c r="AD94" s="265"/>
      <c r="AE94" s="265"/>
      <c r="AF94" s="265"/>
    </row>
    <row r="95" spans="1:32" ht="12.75" customHeight="1">
      <c r="A95" s="265"/>
      <c r="B95" s="297" t="s">
        <v>898</v>
      </c>
      <c r="C95" s="290"/>
      <c r="D95" s="265"/>
      <c r="E95" s="292" t="str">
        <f>IF(Ruleset="LRB 6","Slann2","Slann (exp.)2")</f>
        <v>Slann2</v>
      </c>
      <c r="F95" s="266">
        <v>4</v>
      </c>
      <c r="G95" s="265" t="s">
        <v>284</v>
      </c>
      <c r="H95" s="266">
        <v>7</v>
      </c>
      <c r="I95" s="266">
        <v>2</v>
      </c>
      <c r="J95" s="266">
        <v>4</v>
      </c>
      <c r="K95" s="266">
        <v>7</v>
      </c>
      <c r="L95" s="265" t="s">
        <v>899</v>
      </c>
      <c r="M95" s="265" t="s">
        <v>900</v>
      </c>
      <c r="N95" s="267" t="s">
        <v>458</v>
      </c>
      <c r="O95" s="291">
        <v>80000</v>
      </c>
      <c r="P95" s="265"/>
      <c r="Q95" s="297" t="s">
        <v>835</v>
      </c>
      <c r="R95" s="290" t="s">
        <v>477</v>
      </c>
      <c r="S95" s="265"/>
      <c r="T95" s="265"/>
      <c r="U95" s="265"/>
      <c r="V95" s="265"/>
      <c r="W95" s="265"/>
      <c r="X95" s="265"/>
      <c r="Y95" s="265"/>
      <c r="Z95" s="265"/>
      <c r="AA95" s="265"/>
      <c r="AB95" s="265"/>
      <c r="AC95" s="265"/>
      <c r="AD95" s="265"/>
      <c r="AE95" s="265"/>
      <c r="AF95" s="265"/>
    </row>
    <row r="96" spans="1:32" ht="12.75" customHeight="1">
      <c r="A96" s="265"/>
      <c r="B96" s="297" t="str">
        <f>T_MA&amp;"+"</f>
        <v>MA+</v>
      </c>
      <c r="C96" s="290" t="s">
        <v>901</v>
      </c>
      <c r="D96" s="265"/>
      <c r="E96" s="292" t="str">
        <f>IF(Ruleset="LRB 6","Slann3","Slann (exp.)3")</f>
        <v>Slann3</v>
      </c>
      <c r="F96" s="266">
        <v>4</v>
      </c>
      <c r="G96" s="265" t="s">
        <v>269</v>
      </c>
      <c r="H96" s="266">
        <v>7</v>
      </c>
      <c r="I96" s="266">
        <v>3</v>
      </c>
      <c r="J96" s="266">
        <v>3</v>
      </c>
      <c r="K96" s="266">
        <v>8</v>
      </c>
      <c r="L96" s="265" t="s">
        <v>902</v>
      </c>
      <c r="M96" s="265" t="s">
        <v>655</v>
      </c>
      <c r="N96" s="267" t="s">
        <v>656</v>
      </c>
      <c r="O96" s="291">
        <v>110000</v>
      </c>
      <c r="P96" s="265"/>
      <c r="Q96" s="297" t="s">
        <v>833</v>
      </c>
      <c r="R96" s="299" t="s">
        <v>799</v>
      </c>
      <c r="S96" s="265"/>
      <c r="T96" s="265"/>
      <c r="U96" s="265"/>
      <c r="V96" s="265"/>
      <c r="W96" s="265"/>
      <c r="X96" s="265"/>
      <c r="Y96" s="265"/>
      <c r="Z96" s="265"/>
      <c r="AA96" s="265"/>
      <c r="AB96" s="265"/>
      <c r="AC96" s="265"/>
      <c r="AD96" s="265"/>
      <c r="AE96" s="265"/>
      <c r="AF96" s="265"/>
    </row>
    <row r="97" spans="1:32" ht="12.75" customHeight="1">
      <c r="A97" s="265"/>
      <c r="B97" s="289" t="str">
        <f>T_AV&amp;"+"</f>
        <v>AV+</v>
      </c>
      <c r="C97" s="290" t="s">
        <v>901</v>
      </c>
      <c r="D97" s="265"/>
      <c r="E97" s="292" t="str">
        <f>IF(Ruleset="LRB 6","Slann4","Slann (exp.)4")</f>
        <v>Slann4</v>
      </c>
      <c r="F97" s="266">
        <v>1</v>
      </c>
      <c r="G97" s="265" t="s">
        <v>302</v>
      </c>
      <c r="H97" s="266">
        <v>6</v>
      </c>
      <c r="I97" s="266">
        <v>5</v>
      </c>
      <c r="J97" s="266">
        <v>1</v>
      </c>
      <c r="K97" s="266">
        <v>9</v>
      </c>
      <c r="L97" s="265" t="s">
        <v>816</v>
      </c>
      <c r="M97" s="265" t="s">
        <v>542</v>
      </c>
      <c r="N97" s="267" t="s">
        <v>499</v>
      </c>
      <c r="O97" s="291">
        <v>140000</v>
      </c>
      <c r="P97" s="265"/>
      <c r="Q97" s="297" t="s">
        <v>831</v>
      </c>
      <c r="R97" s="290" t="s">
        <v>488</v>
      </c>
      <c r="S97" s="265"/>
      <c r="T97" s="265"/>
      <c r="U97" s="265"/>
      <c r="V97" s="265"/>
      <c r="W97" s="265"/>
      <c r="X97" s="265"/>
      <c r="Y97" s="265"/>
      <c r="Z97" s="265"/>
      <c r="AA97" s="265"/>
      <c r="AB97" s="265"/>
      <c r="AC97" s="265"/>
      <c r="AD97" s="265"/>
      <c r="AE97" s="265"/>
      <c r="AF97" s="265"/>
    </row>
    <row r="98" spans="1:32" ht="12.75" customHeight="1">
      <c r="A98" s="265"/>
      <c r="B98" s="289" t="str">
        <f>T_AG&amp;"+"</f>
        <v>AG+</v>
      </c>
      <c r="C98" s="290" t="s">
        <v>901</v>
      </c>
      <c r="D98" s="265"/>
      <c r="E98" s="289" t="s">
        <v>903</v>
      </c>
      <c r="F98" s="266">
        <v>16</v>
      </c>
      <c r="G98" s="265" t="s">
        <v>797</v>
      </c>
      <c r="H98" s="266">
        <v>5</v>
      </c>
      <c r="I98" s="266">
        <v>3</v>
      </c>
      <c r="J98" s="266">
        <v>2</v>
      </c>
      <c r="K98" s="266">
        <v>7</v>
      </c>
      <c r="L98" s="294" t="str">
        <f>IF(Ruleset="LRB 6","Regeneration, Thick Skull","Regeneration")</f>
        <v>Regeneration, Thick Skull</v>
      </c>
      <c r="M98" s="265" t="s">
        <v>435</v>
      </c>
      <c r="N98" s="267" t="s">
        <v>436</v>
      </c>
      <c r="O98" s="300">
        <f>IF(Ruleset="LRB 6",40000,30000)</f>
        <v>40000</v>
      </c>
      <c r="P98" s="265"/>
      <c r="Q98" s="297" t="s">
        <v>904</v>
      </c>
      <c r="R98" s="299" t="s">
        <v>479</v>
      </c>
      <c r="S98" s="265"/>
      <c r="T98" s="265"/>
      <c r="U98" s="265"/>
      <c r="V98" s="265"/>
      <c r="W98" s="265"/>
      <c r="X98" s="265"/>
      <c r="Y98" s="265"/>
      <c r="Z98" s="265"/>
      <c r="AA98" s="265"/>
      <c r="AB98" s="265"/>
      <c r="AC98" s="265"/>
      <c r="AD98" s="265"/>
      <c r="AE98" s="265"/>
      <c r="AF98" s="265"/>
    </row>
    <row r="99" spans="1:32" ht="12.75" customHeight="1">
      <c r="A99" s="265"/>
      <c r="B99" s="289" t="str">
        <f>T_ST&amp;"+"</f>
        <v>ST+</v>
      </c>
      <c r="C99" s="290" t="s">
        <v>901</v>
      </c>
      <c r="D99" s="265"/>
      <c r="E99" s="289" t="s">
        <v>905</v>
      </c>
      <c r="F99" s="266">
        <v>16</v>
      </c>
      <c r="G99" s="265" t="s">
        <v>232</v>
      </c>
      <c r="H99" s="266">
        <v>4</v>
      </c>
      <c r="I99" s="266">
        <v>3</v>
      </c>
      <c r="J99" s="266">
        <v>2</v>
      </c>
      <c r="K99" s="266">
        <v>8</v>
      </c>
      <c r="L99" s="265" t="s">
        <v>819</v>
      </c>
      <c r="M99" s="265" t="s">
        <v>435</v>
      </c>
      <c r="N99" s="267" t="s">
        <v>436</v>
      </c>
      <c r="O99" s="291">
        <v>40000</v>
      </c>
      <c r="P99" s="265"/>
      <c r="Q99" s="297" t="s">
        <v>906</v>
      </c>
      <c r="R99" s="290" t="s">
        <v>510</v>
      </c>
      <c r="S99" s="265"/>
      <c r="T99" s="265"/>
      <c r="U99" s="265"/>
      <c r="V99" s="265"/>
      <c r="W99" s="265"/>
      <c r="X99" s="265"/>
      <c r="Y99" s="265"/>
      <c r="Z99" s="265"/>
      <c r="AA99" s="265"/>
      <c r="AB99" s="265"/>
      <c r="AC99" s="265"/>
      <c r="AD99" s="265"/>
      <c r="AE99" s="265"/>
      <c r="AF99" s="265"/>
    </row>
    <row r="100" spans="1:32" ht="12.75" customHeight="1">
      <c r="A100" s="265"/>
      <c r="B100" s="265"/>
      <c r="C100" s="265"/>
      <c r="D100" s="265"/>
      <c r="E100" s="289" t="s">
        <v>907</v>
      </c>
      <c r="F100" s="266">
        <v>4</v>
      </c>
      <c r="G100" s="265" t="s">
        <v>341</v>
      </c>
      <c r="H100" s="266">
        <v>7</v>
      </c>
      <c r="I100" s="266">
        <v>3</v>
      </c>
      <c r="J100" s="266">
        <v>3</v>
      </c>
      <c r="K100" s="266">
        <v>7</v>
      </c>
      <c r="L100" s="265" t="s">
        <v>165</v>
      </c>
      <c r="M100" s="265" t="s">
        <v>457</v>
      </c>
      <c r="N100" s="267" t="s">
        <v>458</v>
      </c>
      <c r="O100" s="291">
        <v>70000</v>
      </c>
      <c r="P100" s="265"/>
      <c r="Q100" s="297" t="s">
        <v>860</v>
      </c>
      <c r="R100" s="290" t="s">
        <v>521</v>
      </c>
      <c r="S100" s="265"/>
      <c r="T100" s="265"/>
      <c r="U100" s="265"/>
      <c r="V100" s="265"/>
      <c r="W100" s="265"/>
      <c r="X100" s="265"/>
      <c r="Y100" s="265"/>
      <c r="Z100" s="265"/>
      <c r="AA100" s="265"/>
      <c r="AB100" s="265"/>
      <c r="AC100" s="265"/>
      <c r="AD100" s="265"/>
      <c r="AE100" s="265"/>
      <c r="AF100" s="265"/>
    </row>
    <row r="101" spans="1:32" ht="12.75" customHeight="1">
      <c r="A101" s="265"/>
      <c r="B101" s="265"/>
      <c r="C101" s="265"/>
      <c r="D101" s="265"/>
      <c r="E101" s="289" t="s">
        <v>908</v>
      </c>
      <c r="F101" s="266">
        <v>2</v>
      </c>
      <c r="G101" s="265" t="s">
        <v>349</v>
      </c>
      <c r="H101" s="266">
        <v>6</v>
      </c>
      <c r="I101" s="266">
        <v>3</v>
      </c>
      <c r="J101" s="266">
        <v>3</v>
      </c>
      <c r="K101" s="266">
        <v>8</v>
      </c>
      <c r="L101" s="265" t="s">
        <v>808</v>
      </c>
      <c r="M101" s="265" t="s">
        <v>465</v>
      </c>
      <c r="N101" s="267" t="s">
        <v>466</v>
      </c>
      <c r="O101" s="291">
        <v>90000</v>
      </c>
      <c r="P101" s="265"/>
      <c r="Q101" s="297" t="s">
        <v>857</v>
      </c>
      <c r="R101" s="290" t="s">
        <v>533</v>
      </c>
      <c r="S101" s="265"/>
      <c r="T101" s="265"/>
      <c r="U101" s="265"/>
      <c r="V101" s="265"/>
      <c r="W101" s="265"/>
      <c r="X101" s="265"/>
      <c r="Y101" s="265"/>
      <c r="Z101" s="265"/>
      <c r="AA101" s="265"/>
      <c r="AB101" s="265"/>
      <c r="AC101" s="265"/>
      <c r="AD101" s="265"/>
      <c r="AE101" s="265"/>
      <c r="AF101" s="265"/>
    </row>
    <row r="102" spans="1:32" ht="12.75" customHeight="1">
      <c r="A102" s="265"/>
      <c r="B102" s="267"/>
      <c r="C102" s="265"/>
      <c r="D102" s="265"/>
      <c r="E102" s="289" t="s">
        <v>909</v>
      </c>
      <c r="F102" s="266">
        <v>2</v>
      </c>
      <c r="G102" s="265" t="s">
        <v>336</v>
      </c>
      <c r="H102" s="266">
        <v>3</v>
      </c>
      <c r="I102" s="266">
        <v>5</v>
      </c>
      <c r="J102" s="266">
        <v>1</v>
      </c>
      <c r="K102" s="266">
        <v>9</v>
      </c>
      <c r="L102" s="265" t="s">
        <v>910</v>
      </c>
      <c r="M102" s="265" t="s">
        <v>542</v>
      </c>
      <c r="N102" s="267" t="s">
        <v>499</v>
      </c>
      <c r="O102" s="300">
        <f>IF(Ruleset="LRB 6",120000,110000)</f>
        <v>120000</v>
      </c>
      <c r="P102" s="265"/>
      <c r="Q102" s="297" t="s">
        <v>853</v>
      </c>
      <c r="R102" s="290" t="s">
        <v>477</v>
      </c>
      <c r="S102" s="265"/>
      <c r="T102" s="265"/>
      <c r="U102" s="265"/>
      <c r="V102" s="265"/>
      <c r="W102" s="265"/>
      <c r="X102" s="265"/>
      <c r="Y102" s="265"/>
      <c r="Z102" s="265"/>
      <c r="AA102" s="265"/>
      <c r="AB102" s="265"/>
      <c r="AC102" s="265"/>
      <c r="AD102" s="265"/>
      <c r="AE102" s="265"/>
      <c r="AF102" s="265"/>
    </row>
    <row r="103" spans="1:32" ht="12.75" customHeight="1">
      <c r="A103" s="265"/>
      <c r="B103" s="265"/>
      <c r="C103" s="265"/>
      <c r="D103" s="265"/>
      <c r="E103" s="292" t="str">
        <f>IF(Ruleset="LRB 6","Underworld1","Underworld (exp.)1")</f>
        <v>Underworld1</v>
      </c>
      <c r="F103" s="266">
        <v>12</v>
      </c>
      <c r="G103" s="265" t="s">
        <v>911</v>
      </c>
      <c r="H103" s="266">
        <v>6</v>
      </c>
      <c r="I103" s="266">
        <v>2</v>
      </c>
      <c r="J103" s="266">
        <v>3</v>
      </c>
      <c r="K103" s="266">
        <v>7</v>
      </c>
      <c r="L103" s="265" t="s">
        <v>726</v>
      </c>
      <c r="M103" s="265" t="s">
        <v>912</v>
      </c>
      <c r="N103" s="267" t="s">
        <v>561</v>
      </c>
      <c r="O103" s="291">
        <v>40000</v>
      </c>
      <c r="P103" s="265"/>
      <c r="Q103" s="297" t="s">
        <v>849</v>
      </c>
      <c r="R103" s="298" t="str">
        <f>IF(Ruleset="LRB 6","Lewdgrip Whiparm","Ripper")</f>
        <v>Lewdgrip Whiparm</v>
      </c>
      <c r="S103" s="265"/>
      <c r="T103" s="265"/>
      <c r="U103" s="265"/>
      <c r="V103" s="265"/>
      <c r="W103" s="265"/>
      <c r="X103" s="265"/>
      <c r="Y103" s="265"/>
      <c r="Z103" s="265"/>
      <c r="AA103" s="265"/>
      <c r="AB103" s="265"/>
      <c r="AC103" s="265"/>
      <c r="AD103" s="265"/>
      <c r="AE103" s="265"/>
      <c r="AF103" s="265"/>
    </row>
    <row r="104" spans="1:32" ht="12.75" customHeight="1">
      <c r="A104" s="265"/>
      <c r="B104" s="267"/>
      <c r="C104" s="265"/>
      <c r="D104" s="265"/>
      <c r="E104" s="292" t="str">
        <f>IF(Ruleset="LRB 6","Underworld2","Underworld (exp.)2")</f>
        <v>Underworld2</v>
      </c>
      <c r="F104" s="266">
        <v>2</v>
      </c>
      <c r="G104" s="265" t="s">
        <v>913</v>
      </c>
      <c r="H104" s="266">
        <v>7</v>
      </c>
      <c r="I104" s="266">
        <v>3</v>
      </c>
      <c r="J104" s="266">
        <v>3</v>
      </c>
      <c r="K104" s="266">
        <v>7</v>
      </c>
      <c r="L104" s="265" t="s">
        <v>570</v>
      </c>
      <c r="M104" s="267" t="s">
        <v>571</v>
      </c>
      <c r="N104" s="267" t="s">
        <v>436</v>
      </c>
      <c r="O104" s="291">
        <v>50000</v>
      </c>
      <c r="P104" s="265"/>
      <c r="Q104" s="304" t="str">
        <f>IF(Ruleset="LRB 6","Ogre6","X")</f>
        <v>Ogre6</v>
      </c>
      <c r="R104" s="290" t="s">
        <v>449</v>
      </c>
      <c r="S104" s="265"/>
      <c r="T104" s="265"/>
      <c r="U104" s="265"/>
      <c r="V104" s="265"/>
      <c r="W104" s="265"/>
      <c r="X104" s="265"/>
      <c r="Y104" s="265"/>
      <c r="Z104" s="265"/>
      <c r="AA104" s="265"/>
      <c r="AB104" s="265"/>
      <c r="AC104" s="265"/>
      <c r="AD104" s="265"/>
      <c r="AE104" s="265"/>
      <c r="AF104" s="265"/>
    </row>
    <row r="105" spans="1:32" ht="12.75" customHeight="1">
      <c r="A105" s="265"/>
      <c r="B105" s="265"/>
      <c r="C105" s="265"/>
      <c r="D105" s="265"/>
      <c r="E105" s="292" t="str">
        <f>IF(Ruleset="LRB 6","Underworld3","Underworld (exp.)3")</f>
        <v>Underworld3</v>
      </c>
      <c r="F105" s="266">
        <v>2</v>
      </c>
      <c r="G105" s="265" t="s">
        <v>914</v>
      </c>
      <c r="H105" s="266">
        <v>7</v>
      </c>
      <c r="I105" s="266">
        <v>3</v>
      </c>
      <c r="J105" s="266">
        <v>3</v>
      </c>
      <c r="K105" s="266">
        <v>7</v>
      </c>
      <c r="L105" s="265" t="s">
        <v>915</v>
      </c>
      <c r="M105" s="267" t="s">
        <v>916</v>
      </c>
      <c r="N105" s="267" t="s">
        <v>447</v>
      </c>
      <c r="O105" s="291">
        <v>70000</v>
      </c>
      <c r="P105" s="265"/>
      <c r="Q105" s="304" t="str">
        <f>IF(Ruleset="LRB 6","Ogre5","X")</f>
        <v>Ogre5</v>
      </c>
      <c r="R105" s="290" t="s">
        <v>459</v>
      </c>
      <c r="S105" s="265"/>
      <c r="T105" s="265"/>
      <c r="U105" s="265"/>
      <c r="V105" s="265"/>
      <c r="W105" s="265"/>
      <c r="X105" s="265"/>
      <c r="Y105" s="265"/>
      <c r="Z105" s="265"/>
      <c r="AA105" s="265"/>
      <c r="AB105" s="265"/>
      <c r="AC105" s="265"/>
      <c r="AD105" s="265"/>
      <c r="AE105" s="265"/>
      <c r="AF105" s="265"/>
    </row>
    <row r="106" spans="1:32" ht="12.75" customHeight="1">
      <c r="A106" s="265"/>
      <c r="B106" s="265"/>
      <c r="C106" s="265"/>
      <c r="D106" s="265"/>
      <c r="E106" s="292" t="str">
        <f>IF(Ruleset="LRB 6","Underworld4","Underworld (exp.)4")</f>
        <v>Underworld4</v>
      </c>
      <c r="F106" s="266">
        <v>2</v>
      </c>
      <c r="G106" s="265" t="s">
        <v>917</v>
      </c>
      <c r="H106" s="266">
        <v>7</v>
      </c>
      <c r="I106" s="266">
        <v>3</v>
      </c>
      <c r="J106" s="266">
        <v>3</v>
      </c>
      <c r="K106" s="266">
        <v>8</v>
      </c>
      <c r="L106" s="265" t="s">
        <v>918</v>
      </c>
      <c r="M106" s="267" t="s">
        <v>476</v>
      </c>
      <c r="N106" s="267" t="s">
        <v>466</v>
      </c>
      <c r="O106" s="291">
        <v>90000</v>
      </c>
      <c r="P106" s="265"/>
      <c r="Q106" s="297" t="s">
        <v>919</v>
      </c>
      <c r="R106" s="299" t="s">
        <v>479</v>
      </c>
      <c r="S106" s="265"/>
      <c r="T106" s="265"/>
      <c r="U106" s="265"/>
      <c r="V106" s="265"/>
      <c r="W106" s="265"/>
      <c r="X106" s="265"/>
      <c r="Y106" s="265"/>
      <c r="Z106" s="265"/>
      <c r="AA106" s="265"/>
      <c r="AB106" s="265"/>
      <c r="AC106" s="265"/>
      <c r="AD106" s="265"/>
      <c r="AE106" s="265"/>
      <c r="AF106" s="265"/>
    </row>
    <row r="107" spans="1:32" ht="12.75" customHeight="1">
      <c r="A107" s="265"/>
      <c r="B107" s="265"/>
      <c r="C107" s="265"/>
      <c r="D107" s="265"/>
      <c r="E107" s="292" t="str">
        <f>IF(Ruleset="LRB 6","Underworld5","Underworld (exp.)5")</f>
        <v>Underworld5</v>
      </c>
      <c r="F107" s="266">
        <v>1</v>
      </c>
      <c r="G107" s="265" t="s">
        <v>920</v>
      </c>
      <c r="H107" s="266">
        <v>4</v>
      </c>
      <c r="I107" s="266">
        <v>5</v>
      </c>
      <c r="J107" s="266">
        <v>1</v>
      </c>
      <c r="K107" s="266">
        <v>9</v>
      </c>
      <c r="L107" s="265" t="s">
        <v>589</v>
      </c>
      <c r="M107" s="265" t="s">
        <v>498</v>
      </c>
      <c r="N107" s="267" t="s">
        <v>499</v>
      </c>
      <c r="O107" s="291">
        <v>110000</v>
      </c>
      <c r="P107" s="265"/>
      <c r="Q107" s="297" t="s">
        <v>921</v>
      </c>
      <c r="R107" s="290" t="s">
        <v>477</v>
      </c>
      <c r="S107" s="265"/>
      <c r="T107" s="265"/>
      <c r="U107" s="265"/>
      <c r="V107" s="265"/>
      <c r="W107" s="265"/>
      <c r="X107" s="265"/>
      <c r="Y107" s="265"/>
      <c r="Z107" s="265"/>
      <c r="AA107" s="265"/>
      <c r="AB107" s="265"/>
      <c r="AC107" s="265"/>
      <c r="AD107" s="265"/>
      <c r="AE107" s="265"/>
      <c r="AF107" s="265"/>
    </row>
    <row r="108" spans="1:32" ht="12.75" customHeight="1">
      <c r="A108" s="265"/>
      <c r="B108" s="265"/>
      <c r="C108" s="265"/>
      <c r="D108" s="265"/>
      <c r="E108" s="289" t="s">
        <v>922</v>
      </c>
      <c r="F108" s="266">
        <v>16</v>
      </c>
      <c r="G108" s="265" t="s">
        <v>171</v>
      </c>
      <c r="H108" s="266">
        <v>6</v>
      </c>
      <c r="I108" s="266">
        <v>3</v>
      </c>
      <c r="J108" s="266">
        <v>3</v>
      </c>
      <c r="K108" s="266">
        <v>7</v>
      </c>
      <c r="L108" s="265"/>
      <c r="M108" s="265" t="s">
        <v>435</v>
      </c>
      <c r="N108" s="267" t="s">
        <v>436</v>
      </c>
      <c r="O108" s="291">
        <v>40000</v>
      </c>
      <c r="P108" s="265"/>
      <c r="Q108" s="297" t="s">
        <v>867</v>
      </c>
      <c r="R108" s="290" t="s">
        <v>590</v>
      </c>
      <c r="S108" s="265"/>
      <c r="T108" s="265"/>
      <c r="U108" s="265"/>
      <c r="V108" s="265"/>
      <c r="W108" s="265"/>
      <c r="X108" s="265"/>
      <c r="Y108" s="265"/>
      <c r="Z108" s="265"/>
      <c r="AA108" s="265"/>
      <c r="AB108" s="265"/>
      <c r="AC108" s="265"/>
      <c r="AD108" s="265"/>
      <c r="AE108" s="265"/>
      <c r="AF108" s="265"/>
    </row>
    <row r="109" spans="1:32" ht="12.75" customHeight="1">
      <c r="A109" s="265"/>
      <c r="B109" s="265"/>
      <c r="C109" s="265"/>
      <c r="D109" s="265"/>
      <c r="E109" s="289" t="s">
        <v>923</v>
      </c>
      <c r="F109" s="266">
        <v>6</v>
      </c>
      <c r="G109" s="265" t="s">
        <v>132</v>
      </c>
      <c r="H109" s="266">
        <v>6</v>
      </c>
      <c r="I109" s="266">
        <v>4</v>
      </c>
      <c r="J109" s="266">
        <v>4</v>
      </c>
      <c r="K109" s="266">
        <v>8</v>
      </c>
      <c r="L109" s="267" t="s">
        <v>924</v>
      </c>
      <c r="M109" s="265" t="s">
        <v>655</v>
      </c>
      <c r="N109" s="267" t="s">
        <v>656</v>
      </c>
      <c r="O109" s="291">
        <v>110000</v>
      </c>
      <c r="P109" s="265"/>
      <c r="Q109" s="297" t="s">
        <v>864</v>
      </c>
      <c r="R109" s="290" t="s">
        <v>767</v>
      </c>
      <c r="S109" s="265"/>
      <c r="T109" s="265"/>
      <c r="U109" s="265"/>
      <c r="V109" s="265"/>
      <c r="W109" s="265"/>
      <c r="X109" s="265"/>
      <c r="Y109" s="265"/>
      <c r="Z109" s="265"/>
      <c r="AA109" s="265"/>
      <c r="AB109" s="265"/>
      <c r="AC109" s="265"/>
      <c r="AD109" s="265"/>
      <c r="AE109" s="265"/>
      <c r="AF109" s="265"/>
    </row>
    <row r="110" spans="1:32" ht="12.75" customHeight="1">
      <c r="A110" s="265"/>
      <c r="B110" s="265"/>
      <c r="C110" s="265"/>
      <c r="D110" s="265"/>
      <c r="E110" s="289" t="s">
        <v>925</v>
      </c>
      <c r="F110" s="266">
        <v>16</v>
      </c>
      <c r="G110" s="265" t="s">
        <v>328</v>
      </c>
      <c r="H110" s="266">
        <v>7</v>
      </c>
      <c r="I110" s="266">
        <v>3</v>
      </c>
      <c r="J110" s="266">
        <v>4</v>
      </c>
      <c r="K110" s="266">
        <v>7</v>
      </c>
      <c r="L110" s="265"/>
      <c r="M110" s="265" t="s">
        <v>457</v>
      </c>
      <c r="N110" s="267" t="s">
        <v>458</v>
      </c>
      <c r="O110" s="291">
        <v>70000</v>
      </c>
      <c r="P110" s="265"/>
      <c r="Q110" s="297" t="s">
        <v>881</v>
      </c>
      <c r="R110" s="290" t="s">
        <v>459</v>
      </c>
      <c r="S110" s="265"/>
      <c r="T110" s="265"/>
      <c r="U110" s="265"/>
      <c r="V110" s="265"/>
      <c r="W110" s="265"/>
      <c r="X110" s="265"/>
      <c r="Y110" s="265"/>
      <c r="Z110" s="265"/>
      <c r="AA110" s="265"/>
      <c r="AB110" s="265"/>
      <c r="AC110" s="265"/>
      <c r="AD110" s="265"/>
      <c r="AE110" s="265"/>
      <c r="AF110" s="265"/>
    </row>
    <row r="111" spans="1:32" ht="12.75" customHeight="1">
      <c r="A111" s="265"/>
      <c r="B111" s="265"/>
      <c r="C111" s="265"/>
      <c r="D111" s="265"/>
      <c r="E111" s="289" t="s">
        <v>926</v>
      </c>
      <c r="F111" s="266">
        <v>4</v>
      </c>
      <c r="G111" s="265" t="s">
        <v>284</v>
      </c>
      <c r="H111" s="263">
        <f>IF(Ruleset="LRB 6",8,9)</f>
        <v>8</v>
      </c>
      <c r="I111" s="266">
        <v>2</v>
      </c>
      <c r="J111" s="266">
        <v>4</v>
      </c>
      <c r="K111" s="266">
        <v>7</v>
      </c>
      <c r="L111" s="294" t="str">
        <f>IF(Ruleset="LRB 6","Catch, Dodge, Sprint","Catch, Dodge")</f>
        <v>Catch, Dodge, Sprint</v>
      </c>
      <c r="M111" s="265" t="s">
        <v>457</v>
      </c>
      <c r="N111" s="267" t="s">
        <v>458</v>
      </c>
      <c r="O111" s="291">
        <v>90000</v>
      </c>
      <c r="P111" s="265"/>
      <c r="Q111" s="297" t="s">
        <v>879</v>
      </c>
      <c r="R111" s="290" t="s">
        <v>477</v>
      </c>
      <c r="S111" s="265"/>
      <c r="T111" s="265"/>
      <c r="U111" s="265"/>
      <c r="V111" s="265"/>
      <c r="W111" s="265"/>
      <c r="X111" s="265"/>
      <c r="Y111" s="265"/>
      <c r="Z111" s="265"/>
      <c r="AA111" s="265"/>
      <c r="AB111" s="265"/>
      <c r="AC111" s="265"/>
      <c r="AD111" s="265"/>
      <c r="AE111" s="265"/>
      <c r="AF111" s="265"/>
    </row>
    <row r="112" spans="1:32" ht="12.75" customHeight="1">
      <c r="A112" s="265"/>
      <c r="B112" s="265"/>
      <c r="C112" s="265"/>
      <c r="D112" s="265"/>
      <c r="E112" s="289" t="s">
        <v>927</v>
      </c>
      <c r="F112" s="266">
        <v>2</v>
      </c>
      <c r="G112" s="265" t="s">
        <v>262</v>
      </c>
      <c r="H112" s="266">
        <v>7</v>
      </c>
      <c r="I112" s="266">
        <v>3</v>
      </c>
      <c r="J112" s="266">
        <v>4</v>
      </c>
      <c r="K112" s="266">
        <v>7</v>
      </c>
      <c r="L112" s="265" t="s">
        <v>709</v>
      </c>
      <c r="M112" s="265" t="s">
        <v>499</v>
      </c>
      <c r="N112" s="267" t="s">
        <v>542</v>
      </c>
      <c r="O112" s="291">
        <v>90000</v>
      </c>
      <c r="P112" s="265"/>
      <c r="Q112" s="297" t="s">
        <v>877</v>
      </c>
      <c r="R112" s="290" t="s">
        <v>759</v>
      </c>
      <c r="S112" s="265"/>
      <c r="T112" s="265"/>
      <c r="U112" s="265"/>
      <c r="V112" s="265"/>
      <c r="W112" s="265"/>
      <c r="X112" s="265"/>
      <c r="Y112" s="265"/>
      <c r="Z112" s="265"/>
      <c r="AA112" s="265"/>
      <c r="AB112" s="265"/>
      <c r="AC112" s="265"/>
      <c r="AD112" s="265"/>
      <c r="AE112" s="265"/>
      <c r="AF112" s="265"/>
    </row>
    <row r="113" spans="1:32" ht="12.75" customHeight="1">
      <c r="A113" s="265"/>
      <c r="B113" s="265"/>
      <c r="C113" s="265"/>
      <c r="D113" s="265"/>
      <c r="E113" s="289" t="s">
        <v>928</v>
      </c>
      <c r="F113" s="266">
        <v>2</v>
      </c>
      <c r="G113" s="265" t="s">
        <v>929</v>
      </c>
      <c r="H113" s="266">
        <v>8</v>
      </c>
      <c r="I113" s="266">
        <v>3</v>
      </c>
      <c r="J113" s="266">
        <v>4</v>
      </c>
      <c r="K113" s="266">
        <v>7</v>
      </c>
      <c r="L113" s="265" t="s">
        <v>930</v>
      </c>
      <c r="M113" s="265" t="s">
        <v>457</v>
      </c>
      <c r="N113" s="267" t="s">
        <v>458</v>
      </c>
      <c r="O113" s="291">
        <v>120000</v>
      </c>
      <c r="P113" s="265"/>
      <c r="Q113" s="297" t="s">
        <v>875</v>
      </c>
      <c r="R113" s="290" t="s">
        <v>767</v>
      </c>
      <c r="S113" s="265"/>
      <c r="T113" s="265"/>
      <c r="U113" s="265"/>
      <c r="V113" s="265"/>
      <c r="W113" s="265"/>
      <c r="X113" s="265"/>
      <c r="Y113" s="265"/>
      <c r="Z113" s="265"/>
      <c r="AA113" s="265"/>
      <c r="AB113" s="265"/>
      <c r="AC113" s="265"/>
      <c r="AD113" s="265"/>
      <c r="AE113" s="265"/>
      <c r="AF113" s="265"/>
    </row>
    <row r="114" spans="1:32" ht="12.75" customHeight="1">
      <c r="A114" s="265"/>
      <c r="B114" s="265"/>
      <c r="C114" s="265"/>
      <c r="D114" s="265"/>
      <c r="E114" s="302" t="s">
        <v>931</v>
      </c>
      <c r="F114" s="306">
        <v>1</v>
      </c>
      <c r="G114" s="307" t="s">
        <v>758</v>
      </c>
      <c r="H114" s="306">
        <v>2</v>
      </c>
      <c r="I114" s="306">
        <v>6</v>
      </c>
      <c r="J114" s="306">
        <v>1</v>
      </c>
      <c r="K114" s="306">
        <v>10</v>
      </c>
      <c r="L114" s="307" t="s">
        <v>932</v>
      </c>
      <c r="M114" s="307" t="s">
        <v>542</v>
      </c>
      <c r="N114" s="309" t="s">
        <v>499</v>
      </c>
      <c r="O114" s="310">
        <v>120000</v>
      </c>
      <c r="P114" s="265"/>
      <c r="Q114" s="297" t="s">
        <v>873</v>
      </c>
      <c r="R114" s="290" t="s">
        <v>638</v>
      </c>
      <c r="S114" s="265"/>
      <c r="T114" s="265"/>
      <c r="U114" s="265"/>
      <c r="V114" s="265"/>
      <c r="W114" s="265"/>
      <c r="X114" s="265"/>
      <c r="Y114" s="265"/>
      <c r="Z114" s="265"/>
      <c r="AA114" s="265"/>
      <c r="AB114" s="265"/>
      <c r="AC114" s="265"/>
      <c r="AD114" s="265"/>
      <c r="AE114" s="265"/>
      <c r="AF114" s="265"/>
    </row>
    <row r="115" spans="1:32" ht="12.75" customHeight="1">
      <c r="A115" s="265"/>
      <c r="B115" s="265"/>
      <c r="C115" s="265"/>
      <c r="D115" s="265"/>
      <c r="E115" s="265"/>
      <c r="F115" s="266"/>
      <c r="G115" s="265"/>
      <c r="H115" s="266"/>
      <c r="I115" s="266"/>
      <c r="J115" s="266"/>
      <c r="K115" s="266"/>
      <c r="L115" s="265"/>
      <c r="M115" s="265"/>
      <c r="N115" s="267"/>
      <c r="O115" s="265"/>
      <c r="P115" s="265"/>
      <c r="Q115" s="297" t="s">
        <v>870</v>
      </c>
      <c r="R115" s="290" t="s">
        <v>793</v>
      </c>
      <c r="S115" s="265"/>
      <c r="T115" s="265"/>
      <c r="U115" s="265"/>
      <c r="V115" s="265"/>
      <c r="W115" s="265"/>
      <c r="X115" s="265"/>
      <c r="Y115" s="265"/>
      <c r="Z115" s="265"/>
      <c r="AA115" s="265"/>
      <c r="AB115" s="265"/>
      <c r="AC115" s="265"/>
      <c r="AD115" s="265"/>
      <c r="AE115" s="265"/>
      <c r="AF115" s="265"/>
    </row>
    <row r="116" spans="1:32" ht="12.75" customHeight="1">
      <c r="A116" s="265"/>
      <c r="B116" s="265"/>
      <c r="C116" s="265"/>
      <c r="D116" s="265"/>
      <c r="E116" s="265"/>
      <c r="F116" s="266"/>
      <c r="G116" s="265"/>
      <c r="H116" s="266"/>
      <c r="I116" s="266"/>
      <c r="J116" s="266"/>
      <c r="K116" s="266"/>
      <c r="L116" s="265"/>
      <c r="M116" s="265"/>
      <c r="N116" s="267"/>
      <c r="O116" s="265"/>
      <c r="P116" s="265"/>
      <c r="Q116" s="304" t="str">
        <f>IF(Ruleset="LRB 6","Skaven6","X")</f>
        <v>Skaven6</v>
      </c>
      <c r="R116" s="290" t="s">
        <v>544</v>
      </c>
      <c r="S116" s="265"/>
      <c r="T116" s="265"/>
      <c r="U116" s="265"/>
      <c r="V116" s="265"/>
      <c r="W116" s="265"/>
      <c r="X116" s="265"/>
      <c r="Y116" s="265"/>
      <c r="Z116" s="265"/>
      <c r="AA116" s="265"/>
      <c r="AB116" s="265"/>
      <c r="AC116" s="265"/>
      <c r="AD116" s="265"/>
      <c r="AE116" s="265"/>
      <c r="AF116" s="265"/>
    </row>
    <row r="117" spans="1:32" ht="12.75" customHeight="1">
      <c r="A117" s="265"/>
      <c r="B117" s="267"/>
      <c r="C117" s="265"/>
      <c r="D117" s="265"/>
      <c r="E117" s="265"/>
      <c r="F117" s="266"/>
      <c r="G117" s="265"/>
      <c r="H117" s="266"/>
      <c r="I117" s="266"/>
      <c r="J117" s="266"/>
      <c r="K117" s="266"/>
      <c r="L117" s="265"/>
      <c r="M117" s="265"/>
      <c r="N117" s="267"/>
      <c r="O117" s="265"/>
      <c r="P117" s="265"/>
      <c r="Q117" s="304" t="str">
        <f>IF(Ruleset="LRB 6","Skaven5","X")</f>
        <v>Skaven5</v>
      </c>
      <c r="R117" s="290" t="s">
        <v>574</v>
      </c>
      <c r="S117" s="265"/>
      <c r="T117" s="265"/>
      <c r="U117" s="265"/>
      <c r="V117" s="265"/>
      <c r="W117" s="265"/>
      <c r="X117" s="265"/>
      <c r="Y117" s="265"/>
      <c r="Z117" s="265"/>
      <c r="AA117" s="265"/>
      <c r="AB117" s="265"/>
      <c r="AC117" s="265"/>
      <c r="AD117" s="265"/>
      <c r="AE117" s="265"/>
      <c r="AF117" s="265"/>
    </row>
    <row r="118" spans="1:32" ht="12.75" customHeight="1">
      <c r="A118" s="265"/>
      <c r="B118" s="265"/>
      <c r="C118" s="265"/>
      <c r="D118" s="265"/>
      <c r="E118" s="265"/>
      <c r="F118" s="266"/>
      <c r="G118" s="265"/>
      <c r="H118" s="266"/>
      <c r="I118" s="266"/>
      <c r="J118" s="266"/>
      <c r="K118" s="266"/>
      <c r="L118" s="265"/>
      <c r="M118" s="265"/>
      <c r="N118" s="267"/>
      <c r="O118" s="265"/>
      <c r="P118" s="265"/>
      <c r="Q118" s="297" t="s">
        <v>892</v>
      </c>
      <c r="R118" s="290" t="s">
        <v>621</v>
      </c>
      <c r="S118" s="265"/>
      <c r="T118" s="265"/>
      <c r="U118" s="265"/>
      <c r="V118" s="265"/>
      <c r="W118" s="265"/>
      <c r="X118" s="265"/>
      <c r="Y118" s="265"/>
      <c r="Z118" s="265"/>
      <c r="AA118" s="265"/>
      <c r="AB118" s="265"/>
      <c r="AC118" s="265"/>
      <c r="AD118" s="265"/>
      <c r="AE118" s="265"/>
      <c r="AF118" s="265"/>
    </row>
    <row r="119" spans="1:32" ht="12.75" customHeight="1">
      <c r="A119" s="265"/>
      <c r="B119" s="265"/>
      <c r="C119" s="265"/>
      <c r="D119" s="265"/>
      <c r="E119" s="265"/>
      <c r="F119" s="266"/>
      <c r="G119" s="265"/>
      <c r="H119" s="266"/>
      <c r="I119" s="266"/>
      <c r="J119" s="266"/>
      <c r="K119" s="266"/>
      <c r="L119" s="265"/>
      <c r="M119" s="265"/>
      <c r="N119" s="267"/>
      <c r="O119" s="265"/>
      <c r="P119" s="265"/>
      <c r="Q119" s="297" t="s">
        <v>888</v>
      </c>
      <c r="R119" s="290" t="s">
        <v>629</v>
      </c>
      <c r="S119" s="265"/>
      <c r="T119" s="265"/>
      <c r="U119" s="265"/>
      <c r="V119" s="265"/>
      <c r="W119" s="265"/>
      <c r="X119" s="265"/>
      <c r="Y119" s="265"/>
      <c r="Z119" s="265"/>
      <c r="AA119" s="265"/>
      <c r="AB119" s="265"/>
      <c r="AC119" s="265"/>
      <c r="AD119" s="265"/>
      <c r="AE119" s="265"/>
      <c r="AF119" s="265"/>
    </row>
    <row r="120" spans="1:32" ht="12.75" customHeight="1">
      <c r="A120" s="265"/>
      <c r="B120" s="265"/>
      <c r="C120" s="265"/>
      <c r="D120" s="265"/>
      <c r="E120" s="265"/>
      <c r="F120" s="266"/>
      <c r="G120" s="265"/>
      <c r="H120" s="266"/>
      <c r="I120" s="266"/>
      <c r="J120" s="266"/>
      <c r="K120" s="266"/>
      <c r="L120" s="265"/>
      <c r="M120" s="265"/>
      <c r="N120" s="267"/>
      <c r="O120" s="265"/>
      <c r="P120" s="265"/>
      <c r="Q120" s="297" t="s">
        <v>885</v>
      </c>
      <c r="R120" s="290" t="s">
        <v>477</v>
      </c>
      <c r="S120" s="265"/>
      <c r="T120" s="265"/>
      <c r="U120" s="265"/>
      <c r="V120" s="265"/>
      <c r="W120" s="265"/>
      <c r="X120" s="265"/>
      <c r="Y120" s="265"/>
      <c r="Z120" s="265"/>
      <c r="AA120" s="265"/>
      <c r="AB120" s="265"/>
      <c r="AC120" s="265"/>
      <c r="AD120" s="265"/>
      <c r="AE120" s="265"/>
      <c r="AF120" s="265"/>
    </row>
    <row r="121" spans="1:32" ht="12.75" customHeight="1">
      <c r="A121" s="265"/>
      <c r="B121" s="265"/>
      <c r="C121" s="265"/>
      <c r="D121" s="265"/>
      <c r="E121" s="265"/>
      <c r="F121" s="266"/>
      <c r="G121" s="265"/>
      <c r="H121" s="266"/>
      <c r="I121" s="266"/>
      <c r="J121" s="266"/>
      <c r="K121" s="266"/>
      <c r="L121" s="265"/>
      <c r="M121" s="265"/>
      <c r="N121" s="267"/>
      <c r="O121" s="265"/>
      <c r="P121" s="265"/>
      <c r="Q121" s="297" t="s">
        <v>882</v>
      </c>
      <c r="R121" s="290" t="s">
        <v>778</v>
      </c>
      <c r="S121" s="265"/>
      <c r="T121" s="265"/>
      <c r="U121" s="265"/>
      <c r="V121" s="265"/>
      <c r="W121" s="265"/>
      <c r="X121" s="265"/>
      <c r="Y121" s="265"/>
      <c r="Z121" s="265"/>
      <c r="AA121" s="265"/>
      <c r="AB121" s="265"/>
      <c r="AC121" s="265"/>
      <c r="AD121" s="265"/>
      <c r="AE121" s="265"/>
      <c r="AF121" s="265"/>
    </row>
    <row r="122" spans="1:32" ht="12.75" customHeight="1">
      <c r="A122" s="265"/>
      <c r="B122" s="265"/>
      <c r="C122" s="265"/>
      <c r="D122" s="265"/>
      <c r="E122" s="265"/>
      <c r="F122" s="266"/>
      <c r="G122" s="265"/>
      <c r="H122" s="266"/>
      <c r="I122" s="266"/>
      <c r="J122" s="266"/>
      <c r="K122" s="266"/>
      <c r="L122" s="265"/>
      <c r="M122" s="265"/>
      <c r="N122" s="267"/>
      <c r="O122" s="265"/>
      <c r="P122" s="265"/>
      <c r="Q122" s="304" t="str">
        <f>IF(Ruleset="LRB 6","Slann6","X")</f>
        <v>Slann6</v>
      </c>
      <c r="R122" s="290" t="s">
        <v>710</v>
      </c>
      <c r="S122" s="265"/>
      <c r="T122" s="265"/>
      <c r="U122" s="265"/>
      <c r="V122" s="265"/>
      <c r="W122" s="265"/>
      <c r="X122" s="265"/>
      <c r="Y122" s="265"/>
      <c r="Z122" s="265"/>
      <c r="AA122" s="265"/>
      <c r="AB122" s="265"/>
      <c r="AC122" s="265"/>
      <c r="AD122" s="265"/>
      <c r="AE122" s="265"/>
      <c r="AF122" s="265"/>
    </row>
    <row r="123" spans="1:32" ht="12.75" customHeight="1">
      <c r="A123" s="265"/>
      <c r="B123" s="265"/>
      <c r="C123" s="265"/>
      <c r="D123" s="265"/>
      <c r="E123" s="265"/>
      <c r="F123" s="266"/>
      <c r="G123" s="265"/>
      <c r="H123" s="266"/>
      <c r="I123" s="266"/>
      <c r="J123" s="266"/>
      <c r="K123" s="266"/>
      <c r="L123" s="265"/>
      <c r="M123" s="265"/>
      <c r="N123" s="267"/>
      <c r="O123" s="265"/>
      <c r="P123" s="265"/>
      <c r="Q123" s="304" t="str">
        <f>IF(Ruleset="LRB 6","Slann5","X")</f>
        <v>Slann5</v>
      </c>
      <c r="R123" s="290" t="s">
        <v>748</v>
      </c>
      <c r="S123" s="265"/>
      <c r="T123" s="265"/>
      <c r="U123" s="265"/>
      <c r="V123" s="265"/>
      <c r="W123" s="265"/>
      <c r="X123" s="265"/>
      <c r="Y123" s="265"/>
      <c r="Z123" s="265"/>
      <c r="AA123" s="265"/>
      <c r="AB123" s="265"/>
      <c r="AC123" s="265"/>
      <c r="AD123" s="265"/>
      <c r="AE123" s="265"/>
      <c r="AF123" s="265"/>
    </row>
    <row r="124" spans="1:32" ht="12.75" customHeight="1">
      <c r="A124" s="265"/>
      <c r="B124" s="265"/>
      <c r="C124" s="265"/>
      <c r="D124" s="265"/>
      <c r="E124" s="265"/>
      <c r="F124" s="266"/>
      <c r="G124" s="265"/>
      <c r="H124" s="266"/>
      <c r="I124" s="266"/>
      <c r="J124" s="266"/>
      <c r="K124" s="266"/>
      <c r="L124" s="265"/>
      <c r="M124" s="265"/>
      <c r="N124" s="267"/>
      <c r="O124" s="265"/>
      <c r="P124" s="265"/>
      <c r="Q124" s="292" t="str">
        <f>IF(Ruleset="LRB 6","Slann4","Slann (exp.)4")</f>
        <v>Slann4</v>
      </c>
      <c r="R124" s="290" t="s">
        <v>467</v>
      </c>
      <c r="S124" s="265"/>
      <c r="T124" s="265"/>
      <c r="U124" s="265"/>
      <c r="V124" s="265"/>
      <c r="W124" s="265"/>
      <c r="X124" s="265"/>
      <c r="Y124" s="265"/>
      <c r="Z124" s="265"/>
      <c r="AA124" s="265"/>
      <c r="AB124" s="265"/>
      <c r="AC124" s="265"/>
      <c r="AD124" s="265"/>
      <c r="AE124" s="265"/>
      <c r="AF124" s="265"/>
    </row>
    <row r="125" spans="1:32" ht="12.75" customHeight="1">
      <c r="A125" s="265"/>
      <c r="B125" s="265"/>
      <c r="C125" s="265"/>
      <c r="D125" s="265"/>
      <c r="E125" s="265"/>
      <c r="F125" s="266"/>
      <c r="G125" s="265"/>
      <c r="H125" s="266"/>
      <c r="I125" s="266"/>
      <c r="J125" s="266"/>
      <c r="K125" s="266"/>
      <c r="L125" s="265"/>
      <c r="M125" s="265"/>
      <c r="N125" s="267"/>
      <c r="O125" s="265"/>
      <c r="P125" s="265"/>
      <c r="Q125" s="292" t="str">
        <f>IF(Ruleset="LRB 6","Slann3","Slann (exp.)3")</f>
        <v>Slann3</v>
      </c>
      <c r="R125" s="290" t="s">
        <v>639</v>
      </c>
      <c r="S125" s="265"/>
      <c r="T125" s="265"/>
      <c r="U125" s="265"/>
      <c r="V125" s="265"/>
      <c r="W125" s="265"/>
      <c r="X125" s="265"/>
      <c r="Y125" s="265"/>
      <c r="Z125" s="265"/>
      <c r="AA125" s="265"/>
      <c r="AB125" s="265"/>
      <c r="AC125" s="265"/>
      <c r="AD125" s="265"/>
      <c r="AE125" s="265"/>
      <c r="AF125" s="265"/>
    </row>
    <row r="126" spans="1:32" ht="12.75" customHeight="1">
      <c r="A126" s="265"/>
      <c r="B126" s="265"/>
      <c r="C126" s="265"/>
      <c r="D126" s="265"/>
      <c r="E126" s="265"/>
      <c r="F126" s="266"/>
      <c r="G126" s="265"/>
      <c r="H126" s="266"/>
      <c r="I126" s="266"/>
      <c r="J126" s="266"/>
      <c r="K126" s="266"/>
      <c r="L126" s="265"/>
      <c r="M126" s="265"/>
      <c r="N126" s="267"/>
      <c r="O126" s="265"/>
      <c r="P126" s="265"/>
      <c r="Q126" s="292" t="str">
        <f>IF(Ruleset="LRB 6","Slann2","Slann (exp.)2")</f>
        <v>Slann2</v>
      </c>
      <c r="R126" s="290" t="s">
        <v>477</v>
      </c>
      <c r="S126" s="265"/>
      <c r="T126" s="265"/>
      <c r="U126" s="265"/>
      <c r="V126" s="265"/>
      <c r="W126" s="265"/>
      <c r="X126" s="265"/>
      <c r="Y126" s="265"/>
      <c r="Z126" s="265"/>
      <c r="AA126" s="265"/>
      <c r="AB126" s="265"/>
      <c r="AC126" s="265"/>
      <c r="AD126" s="265"/>
      <c r="AE126" s="265"/>
      <c r="AF126" s="265"/>
    </row>
    <row r="127" spans="1:32" ht="12.75" customHeight="1">
      <c r="A127" s="265"/>
      <c r="B127" s="265"/>
      <c r="C127" s="265"/>
      <c r="D127" s="265"/>
      <c r="E127" s="265"/>
      <c r="F127" s="266"/>
      <c r="G127" s="265"/>
      <c r="H127" s="266"/>
      <c r="I127" s="266"/>
      <c r="J127" s="266"/>
      <c r="K127" s="266"/>
      <c r="L127" s="265"/>
      <c r="M127" s="265"/>
      <c r="N127" s="267"/>
      <c r="O127" s="265"/>
      <c r="P127" s="265"/>
      <c r="Q127" s="292" t="str">
        <f>IF(Ruleset="LRB 6","Slann1","Slann (exp.)1")</f>
        <v>Slann1</v>
      </c>
      <c r="R127" s="290" t="s">
        <v>783</v>
      </c>
      <c r="S127" s="265"/>
      <c r="T127" s="265"/>
      <c r="U127" s="265"/>
      <c r="V127" s="265"/>
      <c r="W127" s="265"/>
      <c r="X127" s="265"/>
      <c r="Y127" s="265"/>
      <c r="Z127" s="265"/>
      <c r="AA127" s="265"/>
      <c r="AB127" s="265"/>
      <c r="AC127" s="265"/>
      <c r="AD127" s="265"/>
      <c r="AE127" s="265"/>
      <c r="AF127" s="265"/>
    </row>
    <row r="128" spans="1:32" ht="12.75" customHeight="1">
      <c r="A128" s="265"/>
      <c r="B128" s="265"/>
      <c r="C128" s="265"/>
      <c r="D128" s="265"/>
      <c r="E128" s="265"/>
      <c r="F128" s="266"/>
      <c r="G128" s="265"/>
      <c r="H128" s="266"/>
      <c r="I128" s="266"/>
      <c r="J128" s="266"/>
      <c r="K128" s="266"/>
      <c r="L128" s="265"/>
      <c r="M128" s="265"/>
      <c r="N128" s="267"/>
      <c r="O128" s="265"/>
      <c r="P128" s="265"/>
      <c r="Q128" s="304" t="str">
        <f>IF(Ruleset="LRB 6","Undead6","X")</f>
        <v>Undead6</v>
      </c>
      <c r="R128" s="290" t="s">
        <v>774</v>
      </c>
      <c r="S128" s="265"/>
      <c r="T128" s="265"/>
      <c r="U128" s="265"/>
      <c r="V128" s="265"/>
      <c r="W128" s="265"/>
      <c r="X128" s="265"/>
      <c r="Y128" s="265"/>
      <c r="Z128" s="265"/>
      <c r="AA128" s="265"/>
      <c r="AB128" s="265"/>
      <c r="AC128" s="265"/>
      <c r="AD128" s="265"/>
      <c r="AE128" s="265"/>
      <c r="AF128" s="265"/>
    </row>
    <row r="129" spans="1:32" ht="12.75" customHeight="1">
      <c r="A129" s="265"/>
      <c r="B129" s="265"/>
      <c r="C129" s="265"/>
      <c r="D129" s="265"/>
      <c r="E129" s="265"/>
      <c r="F129" s="266"/>
      <c r="G129" s="265"/>
      <c r="H129" s="266"/>
      <c r="I129" s="266"/>
      <c r="J129" s="266"/>
      <c r="K129" s="266"/>
      <c r="L129" s="265"/>
      <c r="M129" s="265"/>
      <c r="N129" s="267"/>
      <c r="O129" s="265"/>
      <c r="P129" s="265"/>
      <c r="Q129" s="304" t="str">
        <f>IF(Ruleset="LRB 6","Undead5","X")</f>
        <v>Undead5</v>
      </c>
      <c r="R129" s="290" t="s">
        <v>687</v>
      </c>
      <c r="S129" s="265"/>
      <c r="T129" s="265"/>
      <c r="U129" s="265"/>
      <c r="V129" s="265"/>
      <c r="W129" s="265"/>
      <c r="X129" s="265"/>
      <c r="Y129" s="265"/>
      <c r="Z129" s="265"/>
      <c r="AA129" s="265"/>
      <c r="AB129" s="265"/>
      <c r="AC129" s="265"/>
      <c r="AD129" s="265"/>
      <c r="AE129" s="265"/>
      <c r="AF129" s="265"/>
    </row>
    <row r="130" spans="1:32" ht="12.75" customHeight="1">
      <c r="A130" s="265"/>
      <c r="B130" s="265"/>
      <c r="C130" s="265"/>
      <c r="D130" s="265"/>
      <c r="E130" s="265"/>
      <c r="F130" s="266"/>
      <c r="G130" s="265"/>
      <c r="H130" s="266"/>
      <c r="I130" s="266"/>
      <c r="J130" s="266"/>
      <c r="K130" s="266"/>
      <c r="L130" s="265"/>
      <c r="M130" s="265"/>
      <c r="N130" s="267"/>
      <c r="O130" s="265"/>
      <c r="P130" s="265"/>
      <c r="Q130" s="297" t="s">
        <v>908</v>
      </c>
      <c r="R130" s="290" t="s">
        <v>489</v>
      </c>
      <c r="S130" s="265"/>
      <c r="T130" s="265"/>
      <c r="U130" s="265"/>
      <c r="V130" s="265"/>
      <c r="W130" s="265"/>
      <c r="X130" s="265"/>
      <c r="Y130" s="265"/>
      <c r="Z130" s="265"/>
      <c r="AA130" s="265"/>
      <c r="AB130" s="265"/>
      <c r="AC130" s="265"/>
      <c r="AD130" s="265"/>
      <c r="AE130" s="265"/>
      <c r="AF130" s="265"/>
    </row>
    <row r="131" spans="1:32" ht="12.75" customHeight="1">
      <c r="A131" s="265"/>
      <c r="B131" s="265"/>
      <c r="C131" s="265"/>
      <c r="D131" s="265"/>
      <c r="E131" s="265"/>
      <c r="F131" s="266"/>
      <c r="G131" s="265"/>
      <c r="H131" s="266"/>
      <c r="I131" s="266"/>
      <c r="J131" s="266"/>
      <c r="K131" s="266"/>
      <c r="L131" s="265"/>
      <c r="M131" s="265"/>
      <c r="N131" s="267"/>
      <c r="O131" s="265"/>
      <c r="P131" s="265"/>
      <c r="Q131" s="297" t="s">
        <v>907</v>
      </c>
      <c r="R131" s="290" t="s">
        <v>612</v>
      </c>
      <c r="S131" s="265"/>
      <c r="T131" s="265"/>
      <c r="U131" s="265"/>
      <c r="V131" s="265"/>
      <c r="W131" s="265"/>
      <c r="X131" s="265"/>
      <c r="Y131" s="265"/>
      <c r="Z131" s="265"/>
      <c r="AA131" s="265"/>
      <c r="AB131" s="265"/>
      <c r="AC131" s="265"/>
      <c r="AD131" s="265"/>
      <c r="AE131" s="265"/>
      <c r="AF131" s="265"/>
    </row>
    <row r="132" spans="1:32" ht="12.75" customHeight="1">
      <c r="A132" s="265"/>
      <c r="B132" s="265"/>
      <c r="C132" s="265"/>
      <c r="D132" s="265"/>
      <c r="E132" s="265"/>
      <c r="F132" s="266"/>
      <c r="G132" s="265"/>
      <c r="H132" s="266"/>
      <c r="I132" s="266"/>
      <c r="J132" s="266"/>
      <c r="K132" s="266"/>
      <c r="L132" s="265"/>
      <c r="M132" s="265"/>
      <c r="N132" s="267"/>
      <c r="O132" s="265"/>
      <c r="P132" s="265"/>
      <c r="Q132" s="297" t="s">
        <v>905</v>
      </c>
      <c r="R132" s="290" t="s">
        <v>753</v>
      </c>
      <c r="S132" s="265"/>
      <c r="T132" s="265"/>
      <c r="U132" s="265"/>
      <c r="V132" s="265"/>
      <c r="W132" s="265"/>
      <c r="X132" s="265"/>
      <c r="Y132" s="265"/>
      <c r="Z132" s="265"/>
      <c r="AA132" s="265"/>
      <c r="AB132" s="265"/>
      <c r="AC132" s="265"/>
      <c r="AD132" s="265"/>
      <c r="AE132" s="265"/>
      <c r="AF132" s="265"/>
    </row>
    <row r="133" spans="1:32" ht="12.75" customHeight="1">
      <c r="A133" s="265"/>
      <c r="B133" s="265"/>
      <c r="C133" s="265"/>
      <c r="D133" s="265"/>
      <c r="E133" s="265"/>
      <c r="F133" s="266"/>
      <c r="G133" s="265"/>
      <c r="H133" s="266"/>
      <c r="I133" s="266"/>
      <c r="J133" s="266"/>
      <c r="K133" s="266"/>
      <c r="L133" s="265"/>
      <c r="M133" s="265"/>
      <c r="N133" s="267"/>
      <c r="O133" s="265"/>
      <c r="P133" s="265"/>
      <c r="Q133" s="297" t="s">
        <v>903</v>
      </c>
      <c r="R133" s="290" t="s">
        <v>770</v>
      </c>
      <c r="S133" s="265"/>
      <c r="T133" s="265"/>
      <c r="U133" s="265"/>
      <c r="V133" s="265"/>
      <c r="W133" s="265"/>
      <c r="X133" s="265"/>
      <c r="Y133" s="265"/>
      <c r="Z133" s="265"/>
      <c r="AA133" s="265"/>
      <c r="AB133" s="265"/>
      <c r="AC133" s="265"/>
      <c r="AD133" s="265"/>
      <c r="AE133" s="265"/>
      <c r="AF133" s="265"/>
    </row>
    <row r="134" spans="1:32" ht="12.75" customHeight="1">
      <c r="A134" s="265"/>
      <c r="B134" s="265"/>
      <c r="C134" s="265"/>
      <c r="D134" s="265"/>
      <c r="E134" s="265"/>
      <c r="F134" s="266"/>
      <c r="G134" s="265"/>
      <c r="H134" s="266"/>
      <c r="I134" s="266"/>
      <c r="J134" s="266"/>
      <c r="K134" s="266"/>
      <c r="L134" s="265"/>
      <c r="M134" s="265"/>
      <c r="N134" s="267"/>
      <c r="O134" s="265"/>
      <c r="P134" s="265"/>
      <c r="Q134" s="304" t="str">
        <f>IF(Ruleset="LRB 6","Underworld6","X")</f>
        <v>Underworld6</v>
      </c>
      <c r="R134" s="290" t="s">
        <v>544</v>
      </c>
      <c r="S134" s="265"/>
      <c r="T134" s="265"/>
      <c r="U134" s="265"/>
      <c r="V134" s="265"/>
      <c r="W134" s="265"/>
      <c r="X134" s="265"/>
      <c r="Y134" s="265"/>
      <c r="Z134" s="265"/>
      <c r="AA134" s="265"/>
      <c r="AB134" s="265"/>
      <c r="AC134" s="265"/>
      <c r="AD134" s="265"/>
      <c r="AE134" s="265"/>
      <c r="AF134" s="265"/>
    </row>
    <row r="135" spans="1:32" ht="12.75" customHeight="1">
      <c r="A135" s="265"/>
      <c r="B135" s="265"/>
      <c r="C135" s="265"/>
      <c r="D135" s="265"/>
      <c r="E135" s="265"/>
      <c r="F135" s="266"/>
      <c r="G135" s="265"/>
      <c r="H135" s="266"/>
      <c r="I135" s="266"/>
      <c r="J135" s="266"/>
      <c r="K135" s="266"/>
      <c r="L135" s="265"/>
      <c r="M135" s="265"/>
      <c r="N135" s="267"/>
      <c r="O135" s="265"/>
      <c r="P135" s="265"/>
      <c r="Q135" s="304" t="str">
        <f>IF(Ruleset="LRB 6","Underworld5","X")</f>
        <v>Underworld5</v>
      </c>
      <c r="R135" s="290" t="s">
        <v>574</v>
      </c>
      <c r="S135" s="265"/>
      <c r="T135" s="265"/>
      <c r="U135" s="265"/>
      <c r="V135" s="265"/>
      <c r="W135" s="265"/>
      <c r="X135" s="265"/>
      <c r="Y135" s="265"/>
      <c r="Z135" s="265"/>
      <c r="AA135" s="265"/>
      <c r="AB135" s="265"/>
      <c r="AC135" s="265"/>
      <c r="AD135" s="265"/>
      <c r="AE135" s="265"/>
      <c r="AF135" s="265"/>
    </row>
    <row r="136" spans="1:32" ht="12.75" customHeight="1">
      <c r="A136" s="265"/>
      <c r="B136" s="265"/>
      <c r="C136" s="265"/>
      <c r="D136" s="265"/>
      <c r="E136" s="265"/>
      <c r="F136" s="266"/>
      <c r="G136" s="265"/>
      <c r="H136" s="266"/>
      <c r="I136" s="266"/>
      <c r="J136" s="266"/>
      <c r="K136" s="266"/>
      <c r="L136" s="265"/>
      <c r="M136" s="265"/>
      <c r="N136" s="267"/>
      <c r="O136" s="265"/>
      <c r="P136" s="265"/>
      <c r="Q136" s="292" t="str">
        <f>IF(Ruleset="LRB 6","Underworld4","Underworld (exp.)4")</f>
        <v>Underworld4</v>
      </c>
      <c r="R136" s="290" t="s">
        <v>459</v>
      </c>
      <c r="S136" s="265"/>
      <c r="T136" s="265"/>
      <c r="U136" s="265"/>
      <c r="V136" s="265"/>
      <c r="W136" s="265"/>
      <c r="X136" s="265"/>
      <c r="Y136" s="265"/>
      <c r="Z136" s="265"/>
      <c r="AA136" s="265"/>
      <c r="AB136" s="265"/>
      <c r="AC136" s="265"/>
      <c r="AD136" s="265"/>
      <c r="AE136" s="265"/>
      <c r="AF136" s="265"/>
    </row>
    <row r="137" spans="1:32" ht="12.75" customHeight="1">
      <c r="A137" s="265"/>
      <c r="B137" s="265"/>
      <c r="C137" s="265"/>
      <c r="D137" s="265"/>
      <c r="E137" s="265"/>
      <c r="F137" s="266"/>
      <c r="G137" s="265"/>
      <c r="H137" s="266"/>
      <c r="I137" s="266"/>
      <c r="J137" s="266"/>
      <c r="K137" s="266"/>
      <c r="L137" s="265"/>
      <c r="M137" s="265"/>
      <c r="N137" s="267"/>
      <c r="O137" s="265"/>
      <c r="P137" s="265"/>
      <c r="Q137" s="292" t="str">
        <f>IF(Ruleset="LRB 6","Underworld3","Underworld (exp.)3")</f>
        <v>Underworld3</v>
      </c>
      <c r="R137" s="290" t="s">
        <v>477</v>
      </c>
      <c r="S137" s="265"/>
      <c r="T137" s="265"/>
      <c r="U137" s="265"/>
      <c r="V137" s="265"/>
      <c r="W137" s="265"/>
      <c r="X137" s="265"/>
      <c r="Y137" s="265"/>
      <c r="Z137" s="265"/>
      <c r="AA137" s="265"/>
      <c r="AB137" s="265"/>
      <c r="AC137" s="265"/>
      <c r="AD137" s="265"/>
      <c r="AE137" s="265"/>
      <c r="AF137" s="265"/>
    </row>
    <row r="138" spans="1:32" ht="12.75" customHeight="1">
      <c r="A138" s="265"/>
      <c r="B138" s="265"/>
      <c r="C138" s="265"/>
      <c r="D138" s="265"/>
      <c r="E138" s="265"/>
      <c r="F138" s="266"/>
      <c r="G138" s="265"/>
      <c r="H138" s="266"/>
      <c r="I138" s="266"/>
      <c r="J138" s="266"/>
      <c r="K138" s="266"/>
      <c r="L138" s="265"/>
      <c r="M138" s="265"/>
      <c r="N138" s="267"/>
      <c r="O138" s="265"/>
      <c r="P138" s="265"/>
      <c r="Q138" s="292" t="str">
        <f>IF(Ruleset="LRB 6","Underworld2","Underworld (exp.)2")</f>
        <v>Underworld2</v>
      </c>
      <c r="R138" s="290" t="s">
        <v>590</v>
      </c>
      <c r="S138" s="265"/>
      <c r="T138" s="265"/>
      <c r="U138" s="265"/>
      <c r="V138" s="265"/>
      <c r="W138" s="265"/>
      <c r="X138" s="265"/>
      <c r="Y138" s="265"/>
      <c r="Z138" s="265"/>
      <c r="AA138" s="265"/>
      <c r="AB138" s="265"/>
      <c r="AC138" s="265"/>
      <c r="AD138" s="265"/>
      <c r="AE138" s="265"/>
      <c r="AF138" s="265"/>
    </row>
    <row r="139" spans="1:32" ht="12.75" customHeight="1">
      <c r="A139" s="265"/>
      <c r="B139" s="265"/>
      <c r="C139" s="265"/>
      <c r="D139" s="265"/>
      <c r="E139" s="265"/>
      <c r="F139" s="266"/>
      <c r="G139" s="265"/>
      <c r="H139" s="266"/>
      <c r="I139" s="266"/>
      <c r="J139" s="266"/>
      <c r="K139" s="266"/>
      <c r="L139" s="265"/>
      <c r="M139" s="265"/>
      <c r="N139" s="267"/>
      <c r="O139" s="265"/>
      <c r="P139" s="265"/>
      <c r="Q139" s="292" t="str">
        <f>IF(Ruleset="LRB 6","Underworld1","Underworld (exp.)1")</f>
        <v>Underworld1</v>
      </c>
      <c r="R139" s="290" t="s">
        <v>778</v>
      </c>
      <c r="S139" s="265"/>
      <c r="T139" s="265"/>
      <c r="U139" s="265"/>
      <c r="V139" s="265"/>
      <c r="W139" s="265"/>
      <c r="X139" s="265"/>
      <c r="Y139" s="265"/>
      <c r="Z139" s="265"/>
      <c r="AA139" s="265"/>
      <c r="AB139" s="265"/>
      <c r="AC139" s="265"/>
      <c r="AD139" s="265"/>
      <c r="AE139" s="265"/>
      <c r="AF139" s="265"/>
    </row>
    <row r="140" spans="1:32" ht="12.75" customHeight="1">
      <c r="A140" s="265"/>
      <c r="B140" s="265"/>
      <c r="C140" s="265"/>
      <c r="D140" s="265"/>
      <c r="E140" s="265"/>
      <c r="F140" s="266"/>
      <c r="G140" s="265"/>
      <c r="H140" s="266"/>
      <c r="I140" s="266"/>
      <c r="J140" s="266"/>
      <c r="K140" s="266"/>
      <c r="L140" s="265"/>
      <c r="M140" s="265"/>
      <c r="N140" s="267"/>
      <c r="O140" s="265"/>
      <c r="P140" s="265"/>
      <c r="Q140" s="304" t="str">
        <f>IF(Ruleset="LRB 6","Vampire6","X")</f>
        <v>Vampire6</v>
      </c>
      <c r="R140" s="290" t="s">
        <v>501</v>
      </c>
      <c r="S140" s="265"/>
      <c r="T140" s="269"/>
      <c r="U140" s="269"/>
      <c r="V140" s="269"/>
      <c r="W140" s="269"/>
      <c r="X140" s="269"/>
      <c r="Y140" s="269"/>
      <c r="Z140" s="269"/>
      <c r="AA140" s="265"/>
      <c r="AB140" s="265"/>
      <c r="AC140" s="265"/>
      <c r="AD140" s="265"/>
      <c r="AE140" s="265"/>
      <c r="AF140" s="265"/>
    </row>
    <row r="141" spans="1:32" ht="12.75" customHeight="1">
      <c r="A141" s="265"/>
      <c r="B141" s="265"/>
      <c r="C141" s="265"/>
      <c r="D141" s="269"/>
      <c r="E141" s="265"/>
      <c r="F141" s="266"/>
      <c r="G141" s="265"/>
      <c r="H141" s="266"/>
      <c r="I141" s="266"/>
      <c r="J141" s="266"/>
      <c r="K141" s="266"/>
      <c r="L141" s="265"/>
      <c r="M141" s="265"/>
      <c r="N141" s="267"/>
      <c r="O141" s="265"/>
      <c r="P141" s="269"/>
      <c r="Q141" s="304" t="str">
        <f>IF(Ruleset="LRB 6","Vampire5","X")</f>
        <v>Vampire5</v>
      </c>
      <c r="R141" s="290" t="s">
        <v>687</v>
      </c>
      <c r="S141" s="272"/>
      <c r="T141" s="269"/>
      <c r="U141" s="269"/>
      <c r="V141" s="269"/>
      <c r="W141" s="269"/>
      <c r="X141" s="269"/>
      <c r="Y141" s="269"/>
      <c r="Z141" s="269"/>
      <c r="AA141" s="269"/>
      <c r="AB141" s="265"/>
      <c r="AC141" s="265"/>
      <c r="AD141" s="265"/>
      <c r="AE141" s="265"/>
      <c r="AF141" s="265"/>
    </row>
    <row r="142" spans="1:32" ht="12.75" customHeight="1">
      <c r="A142" s="269"/>
      <c r="B142" s="265"/>
      <c r="C142" s="265"/>
      <c r="D142" s="269"/>
      <c r="E142" s="265"/>
      <c r="F142" s="266"/>
      <c r="G142" s="265"/>
      <c r="H142" s="266"/>
      <c r="I142" s="266"/>
      <c r="J142" s="266"/>
      <c r="K142" s="266"/>
      <c r="L142" s="265"/>
      <c r="M142" s="265"/>
      <c r="N142" s="267"/>
      <c r="O142" s="265"/>
      <c r="P142" s="269"/>
      <c r="Q142" s="297" t="s">
        <v>934</v>
      </c>
      <c r="R142" s="299" t="s">
        <v>489</v>
      </c>
      <c r="S142" s="272"/>
      <c r="T142" s="269"/>
      <c r="U142" s="269"/>
      <c r="V142" s="269"/>
      <c r="W142" s="269"/>
      <c r="X142" s="269"/>
      <c r="Y142" s="269"/>
      <c r="Z142" s="269"/>
      <c r="AA142" s="269"/>
      <c r="AB142" s="265"/>
      <c r="AC142" s="265"/>
      <c r="AD142" s="269"/>
      <c r="AE142" s="265"/>
      <c r="AF142" s="265"/>
    </row>
    <row r="143" spans="1:32" ht="12.75" customHeight="1">
      <c r="A143" s="269"/>
      <c r="B143" s="265"/>
      <c r="C143" s="265"/>
      <c r="D143" s="269"/>
      <c r="E143" s="265"/>
      <c r="F143" s="266"/>
      <c r="G143" s="265"/>
      <c r="H143" s="266"/>
      <c r="I143" s="266"/>
      <c r="J143" s="266"/>
      <c r="K143" s="266"/>
      <c r="L143" s="265"/>
      <c r="M143" s="265"/>
      <c r="N143" s="267"/>
      <c r="O143" s="265"/>
      <c r="P143" s="269"/>
      <c r="Q143" s="297" t="s">
        <v>935</v>
      </c>
      <c r="R143" s="290" t="s">
        <v>467</v>
      </c>
      <c r="S143" s="272"/>
      <c r="T143" s="269"/>
      <c r="U143" s="269"/>
      <c r="V143" s="269"/>
      <c r="W143" s="269"/>
      <c r="X143" s="269"/>
      <c r="Y143" s="269"/>
      <c r="Z143" s="269"/>
      <c r="AA143" s="269"/>
      <c r="AB143" s="265"/>
      <c r="AC143" s="265"/>
      <c r="AD143" s="269"/>
      <c r="AE143" s="265"/>
      <c r="AF143" s="265"/>
    </row>
    <row r="144" spans="1:32" ht="12.75" customHeight="1">
      <c r="A144" s="269"/>
      <c r="B144" s="265"/>
      <c r="C144" s="265"/>
      <c r="D144" s="269"/>
      <c r="E144" s="265"/>
      <c r="F144" s="266"/>
      <c r="G144" s="265"/>
      <c r="H144" s="266"/>
      <c r="I144" s="266"/>
      <c r="J144" s="266"/>
      <c r="K144" s="266"/>
      <c r="L144" s="265"/>
      <c r="M144" s="265"/>
      <c r="N144" s="267"/>
      <c r="O144" s="265"/>
      <c r="P144" s="269"/>
      <c r="Q144" s="297" t="s">
        <v>923</v>
      </c>
      <c r="R144" s="290" t="s">
        <v>477</v>
      </c>
      <c r="S144" s="272"/>
      <c r="T144" s="269"/>
      <c r="U144" s="269"/>
      <c r="V144" s="269"/>
      <c r="W144" s="269"/>
      <c r="X144" s="269"/>
      <c r="Y144" s="269"/>
      <c r="Z144" s="269"/>
      <c r="AA144" s="269"/>
      <c r="AB144" s="265"/>
      <c r="AC144" s="265"/>
      <c r="AD144" s="269"/>
      <c r="AE144" s="269"/>
      <c r="AF144" s="269"/>
    </row>
    <row r="145" spans="1:32" ht="12.75" customHeight="1">
      <c r="A145" s="269"/>
      <c r="B145" s="269"/>
      <c r="C145" s="269"/>
      <c r="D145" s="269"/>
      <c r="E145" s="269"/>
      <c r="F145" s="270"/>
      <c r="G145" s="269"/>
      <c r="H145" s="270"/>
      <c r="I145" s="270"/>
      <c r="J145" s="270"/>
      <c r="K145" s="270"/>
      <c r="L145" s="269"/>
      <c r="M145" s="269"/>
      <c r="N145" s="271"/>
      <c r="O145" s="269"/>
      <c r="P145" s="269"/>
      <c r="Q145" s="297" t="s">
        <v>922</v>
      </c>
      <c r="R145" s="299" t="s">
        <v>799</v>
      </c>
      <c r="S145" s="272"/>
      <c r="T145" s="269"/>
      <c r="U145" s="269"/>
      <c r="V145" s="269"/>
      <c r="W145" s="269"/>
      <c r="X145" s="269"/>
      <c r="Y145" s="269"/>
      <c r="Z145" s="269"/>
      <c r="AA145" s="269"/>
      <c r="AB145" s="265"/>
      <c r="AC145" s="265"/>
      <c r="AD145" s="269"/>
      <c r="AE145" s="269"/>
      <c r="AF145" s="269"/>
    </row>
    <row r="146" spans="1:32" ht="12.75" customHeight="1">
      <c r="A146" s="269"/>
      <c r="B146" s="269"/>
      <c r="C146" s="269"/>
      <c r="D146" s="269"/>
      <c r="E146" s="269"/>
      <c r="F146" s="270"/>
      <c r="G146" s="269"/>
      <c r="H146" s="270"/>
      <c r="I146" s="270"/>
      <c r="J146" s="270"/>
      <c r="K146" s="270"/>
      <c r="L146" s="269"/>
      <c r="M146" s="269"/>
      <c r="N146" s="271"/>
      <c r="O146" s="269"/>
      <c r="P146" s="269"/>
      <c r="Q146" s="304" t="str">
        <f>IF(Ruleset="LRB 6","Wood Elf6","X")</f>
        <v>Wood Elf6</v>
      </c>
      <c r="R146" s="290" t="s">
        <v>522</v>
      </c>
      <c r="S146" s="272"/>
      <c r="T146" s="269"/>
      <c r="U146" s="269"/>
      <c r="V146" s="269"/>
      <c r="W146" s="269"/>
      <c r="X146" s="269"/>
      <c r="Y146" s="269"/>
      <c r="Z146" s="269"/>
      <c r="AA146" s="269"/>
      <c r="AB146" s="265"/>
      <c r="AC146" s="265"/>
      <c r="AD146" s="269"/>
      <c r="AE146" s="269"/>
      <c r="AF146" s="269"/>
    </row>
    <row r="147" spans="1:32" ht="12.75" customHeight="1">
      <c r="A147" s="269"/>
      <c r="B147" s="269"/>
      <c r="C147" s="269"/>
      <c r="D147" s="269"/>
      <c r="E147" s="269"/>
      <c r="F147" s="270"/>
      <c r="G147" s="269"/>
      <c r="H147" s="270"/>
      <c r="I147" s="270"/>
      <c r="J147" s="270"/>
      <c r="K147" s="270"/>
      <c r="L147" s="269"/>
      <c r="M147" s="269"/>
      <c r="N147" s="271"/>
      <c r="O147" s="269"/>
      <c r="P147" s="269"/>
      <c r="Q147" s="304" t="str">
        <f>IF(Ruleset="LRB 6","Wood Elf5","X")</f>
        <v>Wood Elf5</v>
      </c>
      <c r="R147" s="290" t="s">
        <v>437</v>
      </c>
      <c r="S147" s="272"/>
      <c r="T147" s="269"/>
      <c r="U147" s="269"/>
      <c r="V147" s="269"/>
      <c r="W147" s="269"/>
      <c r="X147" s="269"/>
      <c r="Y147" s="269"/>
      <c r="Z147" s="269"/>
      <c r="AA147" s="269"/>
      <c r="AB147" s="269"/>
      <c r="AC147" s="269"/>
      <c r="AD147" s="269"/>
      <c r="AE147" s="269"/>
      <c r="AF147" s="269"/>
    </row>
    <row r="148" spans="1:32" ht="12.75" customHeight="1">
      <c r="A148" s="269"/>
      <c r="B148" s="269"/>
      <c r="C148" s="269"/>
      <c r="D148" s="269"/>
      <c r="E148" s="269"/>
      <c r="F148" s="270"/>
      <c r="G148" s="269"/>
      <c r="H148" s="270"/>
      <c r="I148" s="270"/>
      <c r="J148" s="270"/>
      <c r="K148" s="270"/>
      <c r="L148" s="269"/>
      <c r="M148" s="269"/>
      <c r="N148" s="271"/>
      <c r="O148" s="269"/>
      <c r="P148" s="269"/>
      <c r="Q148" s="304" t="str">
        <f>IF(Ruleset="LRB 6","Wood Elf4","X")</f>
        <v>Wood Elf4</v>
      </c>
      <c r="R148" s="290" t="s">
        <v>488</v>
      </c>
      <c r="S148" s="272"/>
      <c r="T148" s="269"/>
      <c r="U148" s="269"/>
      <c r="V148" s="269"/>
      <c r="W148" s="269"/>
      <c r="X148" s="269"/>
      <c r="Y148" s="269"/>
      <c r="Z148" s="269"/>
      <c r="AA148" s="269"/>
      <c r="AB148" s="269"/>
      <c r="AC148" s="269"/>
      <c r="AD148" s="269"/>
      <c r="AE148" s="269"/>
      <c r="AF148" s="269"/>
    </row>
    <row r="149" spans="1:32" ht="12.75" customHeight="1">
      <c r="A149" s="269"/>
      <c r="B149" s="269"/>
      <c r="C149" s="269"/>
      <c r="D149" s="269"/>
      <c r="E149" s="269"/>
      <c r="F149" s="270"/>
      <c r="G149" s="269"/>
      <c r="H149" s="270"/>
      <c r="I149" s="270"/>
      <c r="J149" s="270"/>
      <c r="K149" s="270"/>
      <c r="L149" s="269"/>
      <c r="M149" s="269"/>
      <c r="N149" s="271"/>
      <c r="O149" s="269"/>
      <c r="P149" s="269"/>
      <c r="Q149" s="297" t="s">
        <v>927</v>
      </c>
      <c r="R149" s="290" t="s">
        <v>534</v>
      </c>
      <c r="S149" s="272"/>
      <c r="T149" s="269"/>
      <c r="U149" s="269"/>
      <c r="V149" s="269"/>
      <c r="W149" s="269"/>
      <c r="X149" s="269"/>
      <c r="Y149" s="269"/>
      <c r="Z149" s="269"/>
      <c r="AA149" s="269"/>
      <c r="AB149" s="269"/>
      <c r="AC149" s="269"/>
      <c r="AD149" s="269"/>
      <c r="AE149" s="269"/>
      <c r="AF149" s="269"/>
    </row>
    <row r="150" spans="1:32" ht="12.75" customHeight="1">
      <c r="A150" s="269"/>
      <c r="B150" s="269"/>
      <c r="C150" s="269"/>
      <c r="D150" s="269"/>
      <c r="E150" s="269"/>
      <c r="F150" s="270"/>
      <c r="G150" s="269"/>
      <c r="H150" s="270"/>
      <c r="I150" s="270"/>
      <c r="J150" s="270"/>
      <c r="K150" s="270"/>
      <c r="L150" s="269"/>
      <c r="M150" s="269"/>
      <c r="N150" s="271"/>
      <c r="O150" s="269"/>
      <c r="P150" s="269"/>
      <c r="Q150" s="289" t="s">
        <v>926</v>
      </c>
      <c r="R150" s="290" t="s">
        <v>477</v>
      </c>
      <c r="S150" s="272"/>
      <c r="T150" s="269"/>
      <c r="U150" s="269"/>
      <c r="V150" s="269"/>
      <c r="W150" s="269"/>
      <c r="X150" s="269"/>
      <c r="Y150" s="269"/>
      <c r="Z150" s="269"/>
      <c r="AA150" s="269"/>
      <c r="AB150" s="269"/>
      <c r="AC150" s="269"/>
      <c r="AD150" s="269"/>
      <c r="AE150" s="269"/>
      <c r="AF150" s="269"/>
    </row>
    <row r="151" spans="1:32" ht="12.75" customHeight="1">
      <c r="A151" s="269"/>
      <c r="B151" s="269"/>
      <c r="C151" s="269"/>
      <c r="D151" s="269"/>
      <c r="E151" s="269"/>
      <c r="F151" s="270"/>
      <c r="G151" s="269"/>
      <c r="H151" s="270"/>
      <c r="I151" s="270"/>
      <c r="J151" s="270"/>
      <c r="K151" s="270"/>
      <c r="L151" s="269"/>
      <c r="M151" s="269"/>
      <c r="N151" s="271"/>
      <c r="O151" s="269"/>
      <c r="P151" s="269"/>
      <c r="Q151" s="313" t="s">
        <v>925</v>
      </c>
      <c r="R151" s="303" t="s">
        <v>694</v>
      </c>
      <c r="S151" s="272"/>
      <c r="T151" s="269"/>
      <c r="U151" s="269"/>
      <c r="V151" s="269"/>
      <c r="W151" s="269"/>
      <c r="X151" s="269"/>
      <c r="Y151" s="269"/>
      <c r="Z151" s="269"/>
      <c r="AA151" s="269"/>
      <c r="AB151" s="269"/>
      <c r="AC151" s="269"/>
      <c r="AD151" s="269"/>
      <c r="AE151" s="269"/>
      <c r="AF151" s="269"/>
    </row>
    <row r="152" spans="1:32" ht="12.75" customHeight="1">
      <c r="A152" s="269"/>
      <c r="B152" s="269"/>
      <c r="C152" s="269"/>
      <c r="D152" s="269"/>
      <c r="E152" s="269"/>
      <c r="F152" s="270"/>
      <c r="G152" s="269"/>
      <c r="H152" s="270"/>
      <c r="I152" s="270"/>
      <c r="J152" s="270"/>
      <c r="K152" s="270"/>
      <c r="L152" s="269"/>
      <c r="M152" s="269"/>
      <c r="N152" s="271"/>
      <c r="O152" s="269"/>
      <c r="P152" s="269"/>
      <c r="Q152" s="265"/>
      <c r="R152" s="265"/>
      <c r="S152" s="272"/>
      <c r="T152" s="269"/>
      <c r="U152" s="269"/>
      <c r="V152" s="269"/>
      <c r="W152" s="269"/>
      <c r="X152" s="269"/>
      <c r="Y152" s="269"/>
      <c r="Z152" s="269"/>
      <c r="AA152" s="269"/>
      <c r="AB152" s="269"/>
      <c r="AC152" s="269"/>
      <c r="AD152" s="269"/>
      <c r="AE152" s="269"/>
      <c r="AF152" s="269"/>
    </row>
  </sheetData>
  <dataValidations count="1">
    <dataValidation type="list" allowBlank="1" showErrorMessage="1" sqref="B1">
      <formula1>"LRB 5,LRB 6"</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117</vt:i4>
      </vt:variant>
    </vt:vector>
  </HeadingPairs>
  <TitlesOfParts>
    <vt:vector size="136" baseType="lpstr">
      <vt:lpstr>Overview</vt:lpstr>
      <vt:lpstr>Results</vt:lpstr>
      <vt:lpstr>Ranking</vt:lpstr>
      <vt:lpstr>Team Stats</vt:lpstr>
      <vt:lpstr>Player Stats</vt:lpstr>
      <vt:lpstr>T1</vt:lpstr>
      <vt:lpstr>T2</vt:lpstr>
      <vt:lpstr>T3</vt:lpstr>
      <vt:lpstr>T4</vt:lpstr>
      <vt:lpstr>T5</vt:lpstr>
      <vt:lpstr>T6</vt:lpstr>
      <vt:lpstr>T7</vt:lpstr>
      <vt:lpstr>T8</vt:lpstr>
      <vt:lpstr>T9</vt:lpstr>
      <vt:lpstr>T10</vt:lpstr>
      <vt:lpstr>HallOfFame</vt:lpstr>
      <vt:lpstr>Team Template</vt:lpstr>
      <vt:lpstr>Readme</vt:lpstr>
      <vt:lpstr>Database</vt:lpstr>
      <vt:lpstr>Brick</vt:lpstr>
      <vt:lpstr>DBPlayers</vt:lpstr>
      <vt:lpstr>DBSkills</vt:lpstr>
      <vt:lpstr>DBStars</vt:lpstr>
      <vt:lpstr>DBTeams</vt:lpstr>
      <vt:lpstr>DBTeamStars</vt:lpstr>
      <vt:lpstr>ExistsTx</vt:lpstr>
      <vt:lpstr>Finalranking</vt:lpstr>
      <vt:lpstr>GameTypes</vt:lpstr>
      <vt:lpstr>Goblin</vt:lpstr>
      <vt:lpstr>Grotty</vt:lpstr>
      <vt:lpstr>Halfling</vt:lpstr>
      <vt:lpstr>IMP_AG</vt:lpstr>
      <vt:lpstr>IMP_AV</vt:lpstr>
      <vt:lpstr>IMP_DOUBLE</vt:lpstr>
      <vt:lpstr>IMP_MA</vt:lpstr>
      <vt:lpstr>IMP_REGULAR</vt:lpstr>
      <vt:lpstr>IMP_ST</vt:lpstr>
      <vt:lpstr>ListTeams</vt:lpstr>
      <vt:lpstr>PCOUNT_CP</vt:lpstr>
      <vt:lpstr>PCOUNT_CS</vt:lpstr>
      <vt:lpstr>PCOUNT_IN</vt:lpstr>
      <vt:lpstr>PCOUNT_SP</vt:lpstr>
      <vt:lpstr>PCOUNT_TD</vt:lpstr>
      <vt:lpstr>PCOUNT_VP</vt:lpstr>
      <vt:lpstr>PSTAT_CP</vt:lpstr>
      <vt:lpstr>PSTAT_CS</vt:lpstr>
      <vt:lpstr>PSTAT_IN</vt:lpstr>
      <vt:lpstr>PSTAT_SP</vt:lpstr>
      <vt:lpstr>PSTAT_TD</vt:lpstr>
      <vt:lpstr>PSTAT_VP</vt:lpstr>
      <vt:lpstr>PSTATS</vt:lpstr>
      <vt:lpstr>PTS_CS_MAX</vt:lpstr>
      <vt:lpstr>PTS_CS_MIN</vt:lpstr>
      <vt:lpstr>PTS_CS_THRESHOLD</vt:lpstr>
      <vt:lpstr>PTS_LOSS</vt:lpstr>
      <vt:lpstr>PTS_PER_CS_AG</vt:lpstr>
      <vt:lpstr>PTS_PER_CS_FOR</vt:lpstr>
      <vt:lpstr>PTS_PER_TD_AG</vt:lpstr>
      <vt:lpstr>PTS_PER_TD_FOR</vt:lpstr>
      <vt:lpstr>PTS_TD_CS_COMB_THRES</vt:lpstr>
      <vt:lpstr>PTS_TD_CS_MAX</vt:lpstr>
      <vt:lpstr>PTS_TD_CS_MIN</vt:lpstr>
      <vt:lpstr>PTS_TD_MAX</vt:lpstr>
      <vt:lpstr>PTS_TD_MIN</vt:lpstr>
      <vt:lpstr>PTS_TD_THRESHOLD</vt:lpstr>
      <vt:lpstr>PTS_TIE</vt:lpstr>
      <vt:lpstr>PTS_WIN</vt:lpstr>
      <vt:lpstr>PTS_WINRATIO</vt:lpstr>
      <vt:lpstr>RankingSelection</vt:lpstr>
      <vt:lpstr>Overview!RES_A</vt:lpstr>
      <vt:lpstr>RES_A</vt:lpstr>
      <vt:lpstr>RES_CAS_A</vt:lpstr>
      <vt:lpstr>RES_CAS_H</vt:lpstr>
      <vt:lpstr>Overview!RES_GATE</vt:lpstr>
      <vt:lpstr>RES_GATE</vt:lpstr>
      <vt:lpstr>RES_GATE_A</vt:lpstr>
      <vt:lpstr>Overview!RES_GATE_DATA</vt:lpstr>
      <vt:lpstr>RES_GATE_DATA</vt:lpstr>
      <vt:lpstr>RES_GATE_H</vt:lpstr>
      <vt:lpstr>Overview!RES_H</vt:lpstr>
      <vt:lpstr>RES_H</vt:lpstr>
      <vt:lpstr>Overview!RES_PTS_A</vt:lpstr>
      <vt:lpstr>RES_PTS_A</vt:lpstr>
      <vt:lpstr>Overview!RES_PTS_H</vt:lpstr>
      <vt:lpstr>RES_PTS_H</vt:lpstr>
      <vt:lpstr>Overview!RES_RANK_GATE</vt:lpstr>
      <vt:lpstr>RES_RANK_GATE</vt:lpstr>
      <vt:lpstr>RES_TD_A</vt:lpstr>
      <vt:lpstr>Overview!RES_TD_H</vt:lpstr>
      <vt:lpstr>RES_TD_H</vt:lpstr>
      <vt:lpstr>RES_TYPE</vt:lpstr>
      <vt:lpstr>Overview!RES_WIN_A</vt:lpstr>
      <vt:lpstr>RES_WIN_A</vt:lpstr>
      <vt:lpstr>Overview!RES_WIN_H</vt:lpstr>
      <vt:lpstr>RES_WIN_H</vt:lpstr>
      <vt:lpstr>RetireTypes</vt:lpstr>
      <vt:lpstr>Ruleset</vt:lpstr>
      <vt:lpstr>SPP_1</vt:lpstr>
      <vt:lpstr>SPP_2</vt:lpstr>
      <vt:lpstr>SPP_3</vt:lpstr>
      <vt:lpstr>SPP_4</vt:lpstr>
      <vt:lpstr>SPP_5</vt:lpstr>
      <vt:lpstr>SPP_6</vt:lpstr>
      <vt:lpstr>SPP_CP</vt:lpstr>
      <vt:lpstr>SPP_CS</vt:lpstr>
      <vt:lpstr>SPP_IN</vt:lpstr>
      <vt:lpstr>SPP_TD</vt:lpstr>
      <vt:lpstr>SPP_VP</vt:lpstr>
      <vt:lpstr>StatusDropdown</vt:lpstr>
      <vt:lpstr>T_AG</vt:lpstr>
      <vt:lpstr>T_AllowedJourney</vt:lpstr>
      <vt:lpstr>T_AV</vt:lpstr>
      <vt:lpstr>T_empty</vt:lpstr>
      <vt:lpstr>T_Error</vt:lpstr>
      <vt:lpstr>T_Error1</vt:lpstr>
      <vt:lpstr>T_Error2</vt:lpstr>
      <vt:lpstr>T_Error3</vt:lpstr>
      <vt:lpstr>T_Error4</vt:lpstr>
      <vt:lpstr>T_Error5</vt:lpstr>
      <vt:lpstr>T_Error6</vt:lpstr>
      <vt:lpstr>T_Error7</vt:lpstr>
      <vt:lpstr>T_Error8</vt:lpstr>
      <vt:lpstr>T_Journey</vt:lpstr>
      <vt:lpstr>T_Loner</vt:lpstr>
      <vt:lpstr>T_MA</vt:lpstr>
      <vt:lpstr>T_Merc</vt:lpstr>
      <vt:lpstr>T_missing</vt:lpstr>
      <vt:lpstr>T_MNG</vt:lpstr>
      <vt:lpstr>T_MS</vt:lpstr>
      <vt:lpstr>T_NoName</vt:lpstr>
      <vt:lpstr>T_retired</vt:lpstr>
      <vt:lpstr>T_ST</vt:lpstr>
      <vt:lpstr>'Team Stats'!Tabelle</vt:lpstr>
      <vt:lpstr>Team_Stat_Sel</vt:lpstr>
      <vt:lpstr>TeamList</vt:lpstr>
      <vt:lpstr>TeamRanking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Phillip</cp:lastModifiedBy>
  <dcterms:modified xsi:type="dcterms:W3CDTF">2017-09-11T02:36:46Z</dcterms:modified>
</cp:coreProperties>
</file>