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28455" windowHeight="13740" activeTab="12"/>
  </bookViews>
  <sheets>
    <sheet name="BB" sheetId="4" r:id="rId1"/>
    <sheet name="DC" sheetId="5" r:id="rId2"/>
    <sheet name="CT" sheetId="6" r:id="rId3"/>
    <sheet name="DH" sheetId="7" r:id="rId4"/>
    <sheet name="JR" sheetId="8" r:id="rId5"/>
    <sheet name="JV" sheetId="9" r:id="rId6"/>
    <sheet name="KB" sheetId="10" r:id="rId7"/>
    <sheet name="MQ" sheetId="11" r:id="rId8"/>
    <sheet name="PM" sheetId="12" r:id="rId9"/>
    <sheet name="PP" sheetId="13" r:id="rId10"/>
    <sheet name="RC" sheetId="14" r:id="rId11"/>
    <sheet name="TC" sheetId="15" r:id="rId12"/>
    <sheet name="TL" sheetId="16" r:id="rId13"/>
    <sheet name="Star Players-Hidden" sheetId="19" r:id="rId14"/>
    <sheet name="Database-Hidden" sheetId="21" r:id="rId15"/>
  </sheets>
  <definedNames>
    <definedName name="_xlnm._FilterDatabase" localSheetId="13" hidden="1">'Star Players-Hidden'!$A$2:$AK$69</definedName>
  </definedNames>
  <calcPr calcId="125725"/>
  <customWorkbookViews>
    <customWorkbookView name="Filter 1" guid="{32A5D747-A213-432C-BBBF-6F6CB5D49CF7}" maximized="1" windowWidth="0" windowHeight="0" activeSheetId="0"/>
  </customWorkbookViews>
  <fileRecoveryPr repairLoad="1"/>
</workbook>
</file>

<file path=xl/calcChain.xml><?xml version="1.0" encoding="utf-8"?>
<calcChain xmlns="http://schemas.openxmlformats.org/spreadsheetml/2006/main">
  <c r="AC122" i="21"/>
  <c r="AC121"/>
  <c r="C121"/>
  <c r="AC120"/>
  <c r="C120"/>
  <c r="AC119"/>
  <c r="C119"/>
  <c r="AC118"/>
  <c r="C118"/>
  <c r="AC117"/>
  <c r="C117"/>
  <c r="AC116"/>
  <c r="C116"/>
  <c r="AC115"/>
  <c r="C115"/>
  <c r="AC114"/>
  <c r="C114"/>
  <c r="AC113"/>
  <c r="C113"/>
  <c r="AC112"/>
  <c r="C112"/>
  <c r="AC111"/>
  <c r="C111"/>
  <c r="AC110"/>
  <c r="C110"/>
  <c r="AC109"/>
  <c r="C109"/>
  <c r="AC108"/>
  <c r="C108"/>
  <c r="AC107"/>
  <c r="C107"/>
  <c r="AC106"/>
  <c r="C106"/>
  <c r="AC105"/>
  <c r="C105"/>
  <c r="AC104"/>
  <c r="C104"/>
  <c r="AC103"/>
  <c r="C103"/>
  <c r="AC102"/>
  <c r="C102"/>
  <c r="AC101"/>
  <c r="C101"/>
  <c r="AC100"/>
  <c r="C100"/>
  <c r="AC99"/>
  <c r="C99"/>
  <c r="AC98"/>
  <c r="C98"/>
  <c r="AC97"/>
  <c r="C97"/>
  <c r="AC96"/>
  <c r="C96"/>
  <c r="AC95"/>
  <c r="C95"/>
  <c r="AC94"/>
  <c r="C94"/>
  <c r="AC93"/>
  <c r="C93"/>
  <c r="AC92"/>
  <c r="C92"/>
  <c r="AC91"/>
  <c r="C91"/>
  <c r="AC90"/>
  <c r="C90"/>
  <c r="AC89"/>
  <c r="C89"/>
  <c r="AC88"/>
  <c r="C88"/>
  <c r="AC87"/>
  <c r="C87"/>
  <c r="AC86"/>
  <c r="C86"/>
  <c r="AC85"/>
  <c r="C85"/>
  <c r="AC84"/>
  <c r="C84"/>
  <c r="AC83"/>
  <c r="C83"/>
  <c r="AC82"/>
  <c r="C82"/>
  <c r="AC81"/>
  <c r="C81"/>
  <c r="AC80"/>
  <c r="C80"/>
  <c r="AC79"/>
  <c r="C79"/>
  <c r="AC78"/>
  <c r="C78"/>
  <c r="AC77"/>
  <c r="C77"/>
  <c r="AC76"/>
  <c r="C76"/>
  <c r="AC75"/>
  <c r="C75"/>
  <c r="AC74"/>
  <c r="C74"/>
  <c r="AC73"/>
  <c r="C73"/>
  <c r="AC72"/>
  <c r="C72"/>
  <c r="AC71"/>
  <c r="C71"/>
  <c r="AC70"/>
  <c r="C70"/>
  <c r="AC69"/>
  <c r="C69"/>
  <c r="AC68"/>
  <c r="C68"/>
  <c r="AC67"/>
  <c r="C67"/>
  <c r="AC66"/>
  <c r="C66"/>
  <c r="AC65"/>
  <c r="C65"/>
  <c r="AC64"/>
  <c r="C64"/>
  <c r="AC63"/>
  <c r="C63"/>
  <c r="AC62"/>
  <c r="C62"/>
  <c r="AC61"/>
  <c r="C61"/>
  <c r="AC60"/>
  <c r="C60"/>
  <c r="AC59"/>
  <c r="C59"/>
  <c r="AC58"/>
  <c r="C58"/>
  <c r="AC57"/>
  <c r="C57"/>
  <c r="AC56"/>
  <c r="C56"/>
  <c r="AC55"/>
  <c r="C55"/>
  <c r="AC54"/>
  <c r="C54"/>
  <c r="AC53"/>
  <c r="C53"/>
  <c r="AC52"/>
  <c r="C52"/>
  <c r="AC51"/>
  <c r="C51"/>
  <c r="AC50"/>
  <c r="C50"/>
  <c r="AC49"/>
  <c r="C49"/>
  <c r="AC48"/>
  <c r="C48"/>
  <c r="AC47"/>
  <c r="C47"/>
  <c r="AC46"/>
  <c r="C46"/>
  <c r="AC45"/>
  <c r="C45"/>
  <c r="AC44"/>
  <c r="C44"/>
  <c r="AC43"/>
  <c r="C43"/>
  <c r="AC42"/>
  <c r="C42"/>
  <c r="AC41"/>
  <c r="C41"/>
  <c r="AC40"/>
  <c r="C40"/>
  <c r="AC39"/>
  <c r="C39"/>
  <c r="AC38"/>
  <c r="C38"/>
  <c r="AC37"/>
  <c r="C37"/>
  <c r="AC36"/>
  <c r="C36"/>
  <c r="AC35"/>
  <c r="C35"/>
  <c r="AC34"/>
  <c r="C34"/>
  <c r="AC33"/>
  <c r="C33"/>
  <c r="AC32"/>
  <c r="C32"/>
  <c r="AC31"/>
  <c r="C31"/>
  <c r="AC30"/>
  <c r="C30"/>
  <c r="AC29"/>
  <c r="C29"/>
  <c r="AC28"/>
  <c r="C28"/>
  <c r="AC27"/>
  <c r="C27"/>
  <c r="AC26"/>
  <c r="C26"/>
  <c r="AC25"/>
  <c r="C25"/>
  <c r="AC24"/>
  <c r="C24"/>
  <c r="AC23"/>
  <c r="C23"/>
  <c r="AC22"/>
  <c r="C22"/>
  <c r="AC21"/>
  <c r="C21"/>
  <c r="AC20"/>
  <c r="C20"/>
  <c r="AC19"/>
  <c r="C19"/>
  <c r="AC18"/>
  <c r="C18"/>
  <c r="AC17"/>
  <c r="C17"/>
  <c r="AC16"/>
  <c r="C16"/>
  <c r="AC15"/>
  <c r="C15"/>
  <c r="AC14"/>
  <c r="C14"/>
  <c r="AC13"/>
  <c r="C13"/>
  <c r="AC12"/>
  <c r="C12"/>
  <c r="AC11"/>
  <c r="C11"/>
  <c r="AC10"/>
  <c r="C10"/>
  <c r="AC9"/>
  <c r="C9"/>
  <c r="AC8"/>
  <c r="C8"/>
  <c r="AC7"/>
  <c r="C7"/>
  <c r="AC6"/>
  <c r="C6"/>
  <c r="AC5"/>
  <c r="C5"/>
  <c r="AC4"/>
  <c r="C4"/>
  <c r="AC3"/>
  <c r="C3"/>
  <c r="C2"/>
  <c r="AK69" i="19"/>
  <c r="AK68"/>
  <c r="AK67"/>
  <c r="AK66"/>
  <c r="AK65"/>
  <c r="AK64"/>
  <c r="AK63"/>
  <c r="AK62"/>
  <c r="AK61"/>
  <c r="AK60"/>
  <c r="AK59"/>
  <c r="AK58"/>
  <c r="AK57"/>
  <c r="AK56"/>
  <c r="AK55"/>
  <c r="AK54"/>
  <c r="AK53"/>
  <c r="AK52"/>
  <c r="AK51"/>
  <c r="AK50"/>
  <c r="AK49"/>
  <c r="AK48"/>
  <c r="AK47"/>
  <c r="AK46"/>
  <c r="AK45"/>
  <c r="AK44"/>
  <c r="AK43"/>
  <c r="AK42"/>
  <c r="AK41"/>
  <c r="AK40"/>
  <c r="AK39"/>
  <c r="AK38"/>
  <c r="AK37"/>
  <c r="AK36"/>
  <c r="AK35"/>
  <c r="AK34"/>
  <c r="AK33"/>
  <c r="AK32"/>
  <c r="AK31"/>
  <c r="AK30"/>
  <c r="AK29"/>
  <c r="AK28"/>
  <c r="AK27"/>
  <c r="AK26"/>
  <c r="AK25"/>
  <c r="AK24"/>
  <c r="AK23"/>
  <c r="AK22"/>
  <c r="AK21"/>
  <c r="AK20"/>
  <c r="AK19"/>
  <c r="AK18"/>
  <c r="AK17"/>
  <c r="AK16"/>
  <c r="AK15"/>
  <c r="AK14"/>
  <c r="AK13"/>
  <c r="AK12"/>
  <c r="AK11"/>
  <c r="AK10"/>
  <c r="AK9"/>
  <c r="AK8"/>
  <c r="AK7"/>
  <c r="AK6"/>
  <c r="AK5"/>
  <c r="AK4"/>
  <c r="AK3"/>
  <c r="D51" i="16"/>
  <c r="D50"/>
  <c r="D49"/>
  <c r="D48"/>
  <c r="D47"/>
  <c r="D46"/>
  <c r="C40"/>
  <c r="C30"/>
  <c r="I30" s="1" a="1"/>
  <c r="I30" s="1"/>
  <c r="AB27"/>
  <c r="V27"/>
  <c r="V26"/>
  <c r="AB26" s="1"/>
  <c r="L25"/>
  <c r="U25" s="1"/>
  <c r="E25"/>
  <c r="AB24"/>
  <c r="AO23"/>
  <c r="AB23"/>
  <c r="AB21"/>
  <c r="V21"/>
  <c r="AL19"/>
  <c r="AD19"/>
  <c r="AB19" s="1"/>
  <c r="AA19"/>
  <c r="K19"/>
  <c r="I19"/>
  <c r="H19"/>
  <c r="G19"/>
  <c r="F19"/>
  <c r="E19"/>
  <c r="AV18"/>
  <c r="T22" s="1"/>
  <c r="AB22" s="1"/>
  <c r="AU18"/>
  <c r="AO25" s="1"/>
  <c r="AT18"/>
  <c r="AO24" s="1"/>
  <c r="AO18"/>
  <c r="AO22" s="1"/>
  <c r="AL18"/>
  <c r="AD18"/>
  <c r="AB18" s="1"/>
  <c r="AA18"/>
  <c r="K18" s="1"/>
  <c r="I18"/>
  <c r="H18"/>
  <c r="G18"/>
  <c r="F18"/>
  <c r="E18"/>
  <c r="AL17"/>
  <c r="AD17"/>
  <c r="AA17"/>
  <c r="K17"/>
  <c r="I17"/>
  <c r="H17"/>
  <c r="G17"/>
  <c r="F17"/>
  <c r="E17"/>
  <c r="AL16"/>
  <c r="AD16"/>
  <c r="AB16" s="1"/>
  <c r="AA16"/>
  <c r="K16" s="1"/>
  <c r="I16"/>
  <c r="H16"/>
  <c r="G16"/>
  <c r="F16"/>
  <c r="E16"/>
  <c r="AL15"/>
  <c r="AD15"/>
  <c r="AA15"/>
  <c r="K15" s="1"/>
  <c r="I15"/>
  <c r="H15"/>
  <c r="G15"/>
  <c r="F15"/>
  <c r="E15"/>
  <c r="AL14"/>
  <c r="AD14"/>
  <c r="AA14"/>
  <c r="K14" s="1"/>
  <c r="I14"/>
  <c r="H14"/>
  <c r="G14"/>
  <c r="F14"/>
  <c r="E14"/>
  <c r="AL13"/>
  <c r="AD13"/>
  <c r="AA13"/>
  <c r="K13" s="1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 s="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B20" s="1"/>
  <c r="AA4"/>
  <c r="K4" s="1"/>
  <c r="I4"/>
  <c r="H4"/>
  <c r="G4"/>
  <c r="F4"/>
  <c r="E4"/>
  <c r="AJ3"/>
  <c r="AI3"/>
  <c r="AH3"/>
  <c r="AG3"/>
  <c r="D51" i="15"/>
  <c r="D50"/>
  <c r="D49"/>
  <c r="D48"/>
  <c r="D47"/>
  <c r="C40"/>
  <c r="C30"/>
  <c r="I30" s="1" a="1"/>
  <c r="I30" s="1"/>
  <c r="AB27"/>
  <c r="V27"/>
  <c r="AB26"/>
  <c r="V26"/>
  <c r="L25"/>
  <c r="U25" s="1"/>
  <c r="E25"/>
  <c r="AO24"/>
  <c r="AB24"/>
  <c r="AO23"/>
  <c r="AB23"/>
  <c r="AB21"/>
  <c r="V21"/>
  <c r="AL19"/>
  <c r="AD19"/>
  <c r="AA19"/>
  <c r="K19" s="1"/>
  <c r="I19"/>
  <c r="H19"/>
  <c r="G19"/>
  <c r="F19"/>
  <c r="E19"/>
  <c r="AV18"/>
  <c r="T22" s="1"/>
  <c r="AB22" s="1"/>
  <c r="AU18"/>
  <c r="AO25" s="1"/>
  <c r="AT18"/>
  <c r="AO18"/>
  <c r="AO22" s="1"/>
  <c r="AL18"/>
  <c r="AD18"/>
  <c r="AA18"/>
  <c r="K18" s="1"/>
  <c r="I18"/>
  <c r="H18"/>
  <c r="G18"/>
  <c r="F18"/>
  <c r="E18"/>
  <c r="AL17"/>
  <c r="AD17"/>
  <c r="AA17"/>
  <c r="K17" s="1"/>
  <c r="I17"/>
  <c r="H17"/>
  <c r="G17"/>
  <c r="F17"/>
  <c r="E17"/>
  <c r="AL16"/>
  <c r="AD16"/>
  <c r="AA16"/>
  <c r="K16" s="1"/>
  <c r="I16"/>
  <c r="H16"/>
  <c r="G16"/>
  <c r="F16"/>
  <c r="E16"/>
  <c r="AL15"/>
  <c r="AD15"/>
  <c r="AB15" s="1"/>
  <c r="AA15"/>
  <c r="K15" s="1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 s="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B20" s="1"/>
  <c r="AA4"/>
  <c r="K4" s="1"/>
  <c r="I4"/>
  <c r="H4"/>
  <c r="G4"/>
  <c r="F4"/>
  <c r="E4"/>
  <c r="AJ3"/>
  <c r="AI3"/>
  <c r="AH3"/>
  <c r="AG3"/>
  <c r="D51" i="14"/>
  <c r="D50"/>
  <c r="D49"/>
  <c r="C40"/>
  <c r="C30"/>
  <c r="I30" s="1" a="1"/>
  <c r="I30" s="1"/>
  <c r="AB27"/>
  <c r="V27"/>
  <c r="I27"/>
  <c r="V26"/>
  <c r="AB26" s="1"/>
  <c r="AO25"/>
  <c r="L25"/>
  <c r="U25" s="1"/>
  <c r="E25"/>
  <c r="AB24"/>
  <c r="AO23"/>
  <c r="AB23"/>
  <c r="AO22"/>
  <c r="T22"/>
  <c r="AB22" s="1"/>
  <c r="V21"/>
  <c r="AB21" s="1"/>
  <c r="AL19"/>
  <c r="AD19"/>
  <c r="AB19"/>
  <c r="AA19"/>
  <c r="K19"/>
  <c r="I19"/>
  <c r="H19"/>
  <c r="G19"/>
  <c r="F19"/>
  <c r="E19"/>
  <c r="AV18"/>
  <c r="AU18"/>
  <c r="AT18"/>
  <c r="AO24" s="1"/>
  <c r="AO18"/>
  <c r="AL18"/>
  <c r="AD18"/>
  <c r="AB18"/>
  <c r="AA18"/>
  <c r="K18"/>
  <c r="I18"/>
  <c r="H18"/>
  <c r="G18"/>
  <c r="F18"/>
  <c r="E18"/>
  <c r="AL17"/>
  <c r="AD17"/>
  <c r="AB17"/>
  <c r="AA17"/>
  <c r="K17"/>
  <c r="I17"/>
  <c r="H17"/>
  <c r="G17"/>
  <c r="F17"/>
  <c r="E17"/>
  <c r="AL16"/>
  <c r="AD16"/>
  <c r="AB16"/>
  <c r="AA16"/>
  <c r="K16"/>
  <c r="I16"/>
  <c r="H16"/>
  <c r="G16"/>
  <c r="F16"/>
  <c r="E16"/>
  <c r="AL15"/>
  <c r="AD15"/>
  <c r="AB15"/>
  <c r="AA15"/>
  <c r="K15"/>
  <c r="I15"/>
  <c r="H15"/>
  <c r="G15"/>
  <c r="F15"/>
  <c r="E15"/>
  <c r="AL14"/>
  <c r="AD14"/>
  <c r="AA14"/>
  <c r="K14"/>
  <c r="I14"/>
  <c r="H14"/>
  <c r="G14"/>
  <c r="F14"/>
  <c r="E14"/>
  <c r="AL13"/>
  <c r="AD13"/>
  <c r="AA13"/>
  <c r="K13"/>
  <c r="I13"/>
  <c r="H13"/>
  <c r="G13"/>
  <c r="F13"/>
  <c r="E13"/>
  <c r="AL12"/>
  <c r="AD12"/>
  <c r="AA12"/>
  <c r="K12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A9"/>
  <c r="K9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51" i="13"/>
  <c r="D50"/>
  <c r="D49"/>
  <c r="D48"/>
  <c r="D47"/>
  <c r="D46"/>
  <c r="C40"/>
  <c r="C30"/>
  <c r="E30" s="1" a="1"/>
  <c r="E30" s="1"/>
  <c r="V27"/>
  <c r="AB27" s="1"/>
  <c r="I27"/>
  <c r="V26"/>
  <c r="AB26" s="1"/>
  <c r="L25"/>
  <c r="U25" s="1"/>
  <c r="E25"/>
  <c r="AO24"/>
  <c r="AB24"/>
  <c r="AO23"/>
  <c r="AB23"/>
  <c r="AO22"/>
  <c r="V21"/>
  <c r="AB21" s="1"/>
  <c r="AL19"/>
  <c r="AD19"/>
  <c r="AB19" s="1"/>
  <c r="AA19"/>
  <c r="K19" s="1"/>
  <c r="I19"/>
  <c r="H19"/>
  <c r="G19"/>
  <c r="F19"/>
  <c r="E19"/>
  <c r="AV18"/>
  <c r="T22" s="1"/>
  <c r="AB22" s="1"/>
  <c r="AU18"/>
  <c r="AO25" s="1"/>
  <c r="AT18"/>
  <c r="AO18"/>
  <c r="AL18"/>
  <c r="AD18"/>
  <c r="AB18" s="1"/>
  <c r="AA18"/>
  <c r="K18"/>
  <c r="I18"/>
  <c r="H18"/>
  <c r="G18"/>
  <c r="F18"/>
  <c r="E18"/>
  <c r="AL17"/>
  <c r="AD17"/>
  <c r="AB17" s="1"/>
  <c r="AA17"/>
  <c r="K17" s="1"/>
  <c r="I17"/>
  <c r="H17"/>
  <c r="G17"/>
  <c r="F17"/>
  <c r="E17"/>
  <c r="AL16"/>
  <c r="AD16"/>
  <c r="AB16" s="1"/>
  <c r="AA16"/>
  <c r="K16"/>
  <c r="I16"/>
  <c r="H16"/>
  <c r="G16"/>
  <c r="F16"/>
  <c r="E16"/>
  <c r="AL15"/>
  <c r="AD15"/>
  <c r="AB15" s="1"/>
  <c r="AA15"/>
  <c r="K15" s="1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A12"/>
  <c r="K12"/>
  <c r="I12"/>
  <c r="H12"/>
  <c r="G12"/>
  <c r="F12"/>
  <c r="E12"/>
  <c r="AL11"/>
  <c r="AD11"/>
  <c r="AA11"/>
  <c r="K11" s="1"/>
  <c r="I11"/>
  <c r="H11"/>
  <c r="G11"/>
  <c r="F11"/>
  <c r="E11"/>
  <c r="AL10"/>
  <c r="AD10"/>
  <c r="AB10" s="1"/>
  <c r="AA10"/>
  <c r="K10"/>
  <c r="I10"/>
  <c r="H10"/>
  <c r="G10"/>
  <c r="F10"/>
  <c r="E10"/>
  <c r="AL9"/>
  <c r="AD9"/>
  <c r="AB9"/>
  <c r="AA9"/>
  <c r="K9" s="1"/>
  <c r="I9"/>
  <c r="H9"/>
  <c r="G9"/>
  <c r="F9"/>
  <c r="E9"/>
  <c r="AL8"/>
  <c r="AD8"/>
  <c r="AB8" s="1"/>
  <c r="AA8"/>
  <c r="K8"/>
  <c r="I8"/>
  <c r="H8"/>
  <c r="G8"/>
  <c r="F8"/>
  <c r="E8"/>
  <c r="AL7"/>
  <c r="AD7"/>
  <c r="AB7"/>
  <c r="AA7"/>
  <c r="K7" s="1"/>
  <c r="I7"/>
  <c r="H7"/>
  <c r="G7"/>
  <c r="F7"/>
  <c r="E7"/>
  <c r="AL6"/>
  <c r="AD6"/>
  <c r="AA6"/>
  <c r="K6"/>
  <c r="AL5"/>
  <c r="AD5"/>
  <c r="AB5" s="1"/>
  <c r="AA5"/>
  <c r="K5"/>
  <c r="I5"/>
  <c r="H5"/>
  <c r="G5"/>
  <c r="F5"/>
  <c r="E5"/>
  <c r="AL4"/>
  <c r="AD4"/>
  <c r="AB4"/>
  <c r="AA4"/>
  <c r="K4" s="1"/>
  <c r="I4"/>
  <c r="H4"/>
  <c r="G4"/>
  <c r="F4"/>
  <c r="E4"/>
  <c r="AJ3"/>
  <c r="AI3"/>
  <c r="AH3"/>
  <c r="AG3"/>
  <c r="D51" i="12"/>
  <c r="D50"/>
  <c r="D49"/>
  <c r="D48"/>
  <c r="D47"/>
  <c r="D46"/>
  <c r="C40"/>
  <c r="C30"/>
  <c r="C31" s="1"/>
  <c r="I31" s="1" a="1"/>
  <c r="I31" s="1"/>
  <c r="AB27"/>
  <c r="V27"/>
  <c r="V26"/>
  <c r="AB26" s="1"/>
  <c r="V25"/>
  <c r="AB25" s="1"/>
  <c r="L25"/>
  <c r="U25" s="1"/>
  <c r="E25"/>
  <c r="AO24"/>
  <c r="AB24"/>
  <c r="AO23"/>
  <c r="AB23"/>
  <c r="AO22"/>
  <c r="V21"/>
  <c r="AB21" s="1"/>
  <c r="AL19"/>
  <c r="AD19"/>
  <c r="AA19"/>
  <c r="K19" s="1"/>
  <c r="I19"/>
  <c r="H19"/>
  <c r="G19"/>
  <c r="F19"/>
  <c r="E19"/>
  <c r="AU18"/>
  <c r="AO25" s="1"/>
  <c r="AT18"/>
  <c r="AO18"/>
  <c r="I27" s="1"/>
  <c r="AL18"/>
  <c r="AD18"/>
  <c r="AB18" s="1"/>
  <c r="AA18"/>
  <c r="K18"/>
  <c r="I18"/>
  <c r="H18"/>
  <c r="G18"/>
  <c r="F18"/>
  <c r="E18"/>
  <c r="AL17"/>
  <c r="AD17"/>
  <c r="AA17"/>
  <c r="K17" s="1"/>
  <c r="I17"/>
  <c r="H17"/>
  <c r="G17"/>
  <c r="F17"/>
  <c r="E17"/>
  <c r="AL16"/>
  <c r="AD16"/>
  <c r="AB16"/>
  <c r="AA16"/>
  <c r="K16"/>
  <c r="I16"/>
  <c r="H16"/>
  <c r="G16"/>
  <c r="F16"/>
  <c r="E16"/>
  <c r="AL15"/>
  <c r="AD15"/>
  <c r="AB15" s="1"/>
  <c r="AA15"/>
  <c r="K15" s="1"/>
  <c r="I15"/>
  <c r="H15"/>
  <c r="G15"/>
  <c r="F15"/>
  <c r="E15"/>
  <c r="AL14"/>
  <c r="AD14"/>
  <c r="AA14"/>
  <c r="K14"/>
  <c r="I14"/>
  <c r="H14"/>
  <c r="G14"/>
  <c r="F14"/>
  <c r="E14"/>
  <c r="AL13"/>
  <c r="AD13"/>
  <c r="AB13"/>
  <c r="AA13"/>
  <c r="K13" s="1"/>
  <c r="I13"/>
  <c r="H13"/>
  <c r="G13"/>
  <c r="F13"/>
  <c r="E13"/>
  <c r="AL12"/>
  <c r="AD12"/>
  <c r="AB12" s="1"/>
  <c r="AA12"/>
  <c r="K12"/>
  <c r="I12"/>
  <c r="H12"/>
  <c r="G12"/>
  <c r="F12"/>
  <c r="E12"/>
  <c r="AV11"/>
  <c r="AL11"/>
  <c r="AD11"/>
  <c r="AB11" s="1"/>
  <c r="AA11"/>
  <c r="K1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/>
  <c r="I9"/>
  <c r="H9"/>
  <c r="G9"/>
  <c r="F9"/>
  <c r="E9"/>
  <c r="AL8"/>
  <c r="AD8"/>
  <c r="AB8" s="1"/>
  <c r="AA8"/>
  <c r="K8" s="1"/>
  <c r="I8"/>
  <c r="H8"/>
  <c r="G8"/>
  <c r="F8"/>
  <c r="E8"/>
  <c r="AV7"/>
  <c r="AV18" s="1"/>
  <c r="T22" s="1"/>
  <c r="AB22" s="1"/>
  <c r="AL7"/>
  <c r="AD7"/>
  <c r="AB7" s="1"/>
  <c r="AA7"/>
  <c r="K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51" i="11"/>
  <c r="D50"/>
  <c r="D49"/>
  <c r="D48"/>
  <c r="C40"/>
  <c r="C30"/>
  <c r="I30" s="1" a="1"/>
  <c r="I30" s="1"/>
  <c r="AB27"/>
  <c r="V27"/>
  <c r="AB26"/>
  <c r="V26"/>
  <c r="AO25"/>
  <c r="L25"/>
  <c r="U25" s="1"/>
  <c r="E25"/>
  <c r="AB24"/>
  <c r="AO23"/>
  <c r="AB23"/>
  <c r="T22"/>
  <c r="AB22" s="1"/>
  <c r="V21"/>
  <c r="AB21" s="1"/>
  <c r="AL19"/>
  <c r="AD19"/>
  <c r="AA19"/>
  <c r="K19"/>
  <c r="I19"/>
  <c r="H19"/>
  <c r="G19"/>
  <c r="F19"/>
  <c r="E19"/>
  <c r="AV18"/>
  <c r="AU18"/>
  <c r="AT18"/>
  <c r="AO24" s="1"/>
  <c r="AO18"/>
  <c r="I27" s="1"/>
  <c r="AL18"/>
  <c r="AD18"/>
  <c r="AA18"/>
  <c r="K18" s="1"/>
  <c r="I18"/>
  <c r="H18"/>
  <c r="G18"/>
  <c r="F18"/>
  <c r="E18"/>
  <c r="AL17"/>
  <c r="AD17"/>
  <c r="AA17"/>
  <c r="K17"/>
  <c r="I17"/>
  <c r="H17"/>
  <c r="G17"/>
  <c r="F17"/>
  <c r="E17"/>
  <c r="AL16"/>
  <c r="AD16"/>
  <c r="AA16"/>
  <c r="K16" s="1"/>
  <c r="I16"/>
  <c r="H16"/>
  <c r="G16"/>
  <c r="F16"/>
  <c r="E16"/>
  <c r="AL15"/>
  <c r="AD15"/>
  <c r="AB15" s="1"/>
  <c r="AA15"/>
  <c r="K15" s="1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/>
  <c r="AA13"/>
  <c r="K13" s="1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 s="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 s="1"/>
  <c r="I6"/>
  <c r="H6"/>
  <c r="G6"/>
  <c r="F6"/>
  <c r="E6"/>
  <c r="AL5"/>
  <c r="AD5"/>
  <c r="AB5"/>
  <c r="AA5"/>
  <c r="K5" s="1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51" i="10"/>
  <c r="D50"/>
  <c r="D49"/>
  <c r="D48"/>
  <c r="D47"/>
  <c r="D46"/>
  <c r="C40"/>
  <c r="C30"/>
  <c r="E30" s="1" a="1"/>
  <c r="E30" s="1"/>
  <c r="V27"/>
  <c r="AB27" s="1"/>
  <c r="AB26"/>
  <c r="V26"/>
  <c r="L25"/>
  <c r="U25" s="1"/>
  <c r="E25"/>
  <c r="AO24"/>
  <c r="AB24"/>
  <c r="AO23"/>
  <c r="AB23"/>
  <c r="AB21"/>
  <c r="V21"/>
  <c r="AL19"/>
  <c r="AD19"/>
  <c r="AA19"/>
  <c r="K19" s="1"/>
  <c r="I19"/>
  <c r="H19"/>
  <c r="G19"/>
  <c r="F19"/>
  <c r="E19"/>
  <c r="AU18"/>
  <c r="AO25" s="1"/>
  <c r="AT18"/>
  <c r="AO18"/>
  <c r="AO22" s="1"/>
  <c r="AL18"/>
  <c r="AD18"/>
  <c r="AA18"/>
  <c r="K18" s="1"/>
  <c r="I18"/>
  <c r="H18"/>
  <c r="G18"/>
  <c r="F18"/>
  <c r="E18"/>
  <c r="AL17"/>
  <c r="AD17"/>
  <c r="AA17"/>
  <c r="K17" s="1"/>
  <c r="I17"/>
  <c r="H17"/>
  <c r="G17"/>
  <c r="F17"/>
  <c r="E17"/>
  <c r="AL16"/>
  <c r="AD16"/>
  <c r="AA16"/>
  <c r="K16" s="1"/>
  <c r="I16"/>
  <c r="H16"/>
  <c r="G16"/>
  <c r="F16"/>
  <c r="E16"/>
  <c r="AL15"/>
  <c r="AD15"/>
  <c r="AA15"/>
  <c r="K15" s="1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/>
  <c r="AA11"/>
  <c r="K11" s="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V7"/>
  <c r="AV18" s="1"/>
  <c r="T22" s="1"/>
  <c r="AB22" s="1"/>
  <c r="AL7"/>
  <c r="AD7"/>
  <c r="AB7" s="1"/>
  <c r="AA7"/>
  <c r="K7"/>
  <c r="I7"/>
  <c r="H7"/>
  <c r="G7"/>
  <c r="F7"/>
  <c r="E7"/>
  <c r="AL6"/>
  <c r="AD6"/>
  <c r="AB6" s="1"/>
  <c r="AA6"/>
  <c r="K6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/>
  <c r="I4"/>
  <c r="H4"/>
  <c r="G4"/>
  <c r="F4"/>
  <c r="E4"/>
  <c r="AJ3"/>
  <c r="AI3"/>
  <c r="AH3"/>
  <c r="AG3"/>
  <c r="D51" i="9"/>
  <c r="D50"/>
  <c r="D49"/>
  <c r="D48"/>
  <c r="C40"/>
  <c r="C31"/>
  <c r="C30"/>
  <c r="E30" s="1" a="1"/>
  <c r="E30" s="1"/>
  <c r="AB27"/>
  <c r="V27"/>
  <c r="I27"/>
  <c r="V26"/>
  <c r="AB26" s="1"/>
  <c r="AO25"/>
  <c r="L25"/>
  <c r="U25" s="1"/>
  <c r="E25"/>
  <c r="AO24"/>
  <c r="AB24"/>
  <c r="AO23"/>
  <c r="AB23"/>
  <c r="AO22"/>
  <c r="V21"/>
  <c r="AB21" s="1"/>
  <c r="AL19"/>
  <c r="AD19"/>
  <c r="AA19"/>
  <c r="K19"/>
  <c r="I19"/>
  <c r="H19"/>
  <c r="G19"/>
  <c r="F19"/>
  <c r="E19"/>
  <c r="AU18"/>
  <c r="AT18"/>
  <c r="AO18"/>
  <c r="AL18"/>
  <c r="AD18"/>
  <c r="AA18"/>
  <c r="K18"/>
  <c r="I18"/>
  <c r="H18"/>
  <c r="G18"/>
  <c r="F18"/>
  <c r="E18"/>
  <c r="AL17"/>
  <c r="AD17"/>
  <c r="AA17"/>
  <c r="K17"/>
  <c r="I17"/>
  <c r="H17"/>
  <c r="G17"/>
  <c r="F17"/>
  <c r="E17"/>
  <c r="AL16"/>
  <c r="AD16"/>
  <c r="AA16"/>
  <c r="K16"/>
  <c r="I16"/>
  <c r="H16"/>
  <c r="G16"/>
  <c r="F16"/>
  <c r="E16"/>
  <c r="AL15"/>
  <c r="AD15"/>
  <c r="AA15"/>
  <c r="K15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B13" s="1"/>
  <c r="AA13"/>
  <c r="K13"/>
  <c r="I13"/>
  <c r="H13"/>
  <c r="G13"/>
  <c r="F13"/>
  <c r="E13"/>
  <c r="AL12"/>
  <c r="AD12"/>
  <c r="AB12"/>
  <c r="AA12"/>
  <c r="K12"/>
  <c r="I12"/>
  <c r="H12"/>
  <c r="G12"/>
  <c r="F12"/>
  <c r="E12"/>
  <c r="AV11"/>
  <c r="AL11"/>
  <c r="AD11"/>
  <c r="AB11" s="1"/>
  <c r="AA11"/>
  <c r="K11" s="1"/>
  <c r="I11"/>
  <c r="H11"/>
  <c r="G11"/>
  <c r="F11"/>
  <c r="E11"/>
  <c r="AV10"/>
  <c r="AL10"/>
  <c r="AD10"/>
  <c r="AB10" s="1"/>
  <c r="AA10"/>
  <c r="K10"/>
  <c r="I10"/>
  <c r="H10"/>
  <c r="G10"/>
  <c r="F10"/>
  <c r="E10"/>
  <c r="AL9"/>
  <c r="AD9"/>
  <c r="AB9"/>
  <c r="AA9"/>
  <c r="K9"/>
  <c r="I9"/>
  <c r="H9"/>
  <c r="G9"/>
  <c r="F9"/>
  <c r="E9"/>
  <c r="AL8"/>
  <c r="AD8"/>
  <c r="AB8" s="1"/>
  <c r="AA8"/>
  <c r="K8"/>
  <c r="I8"/>
  <c r="H8"/>
  <c r="G8"/>
  <c r="F8"/>
  <c r="E8"/>
  <c r="AV7"/>
  <c r="AV18" s="1"/>
  <c r="T22" s="1"/>
  <c r="AL7"/>
  <c r="AD7"/>
  <c r="AB7" s="1"/>
  <c r="AA7"/>
  <c r="K7" s="1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51" i="8"/>
  <c r="D50"/>
  <c r="D49"/>
  <c r="D48"/>
  <c r="D47"/>
  <c r="D46"/>
  <c r="C40"/>
  <c r="C30"/>
  <c r="C31" s="1"/>
  <c r="C32" s="1"/>
  <c r="C33" s="1"/>
  <c r="C34" s="1"/>
  <c r="C35" s="1"/>
  <c r="C36" s="1"/>
  <c r="C37" s="1"/>
  <c r="C38" s="1"/>
  <c r="C39" s="1"/>
  <c r="E39" s="1" a="1"/>
  <c r="E39" s="1"/>
  <c r="V27"/>
  <c r="AB27" s="1"/>
  <c r="AB26"/>
  <c r="V26"/>
  <c r="AB25"/>
  <c r="U25"/>
  <c r="L25"/>
  <c r="V25" s="1"/>
  <c r="E25"/>
  <c r="AB24"/>
  <c r="AO23"/>
  <c r="AB23"/>
  <c r="V21"/>
  <c r="AB21" s="1"/>
  <c r="AL19"/>
  <c r="AD19"/>
  <c r="AB19" s="1"/>
  <c r="AA19"/>
  <c r="K19" s="1"/>
  <c r="I19"/>
  <c r="H19"/>
  <c r="G19"/>
  <c r="F19"/>
  <c r="E19"/>
  <c r="AU18"/>
  <c r="AO25" s="1"/>
  <c r="AT18"/>
  <c r="AO24" s="1"/>
  <c r="AO18"/>
  <c r="AL18"/>
  <c r="AD18"/>
  <c r="AB18" s="1"/>
  <c r="AA18"/>
  <c r="K18" s="1"/>
  <c r="I18"/>
  <c r="H18"/>
  <c r="G18"/>
  <c r="F18"/>
  <c r="E18"/>
  <c r="AL17"/>
  <c r="AD17"/>
  <c r="AB17" s="1"/>
  <c r="AA17"/>
  <c r="K17" s="1"/>
  <c r="I17"/>
  <c r="H17"/>
  <c r="G17"/>
  <c r="F17"/>
  <c r="E17"/>
  <c r="AL16"/>
  <c r="AD16"/>
  <c r="AA16"/>
  <c r="K16" s="1"/>
  <c r="I16"/>
  <c r="H16"/>
  <c r="G16"/>
  <c r="F16"/>
  <c r="E16"/>
  <c r="AL15"/>
  <c r="AD15"/>
  <c r="AA15"/>
  <c r="K15" s="1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 s="1"/>
  <c r="I11"/>
  <c r="H11"/>
  <c r="G11"/>
  <c r="F11"/>
  <c r="E11"/>
  <c r="AV10"/>
  <c r="AL10"/>
  <c r="AD10"/>
  <c r="AB10" s="1"/>
  <c r="AA10"/>
  <c r="K10"/>
  <c r="I10"/>
  <c r="H10"/>
  <c r="G10"/>
  <c r="F10"/>
  <c r="E10"/>
  <c r="AV9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V7"/>
  <c r="AL7"/>
  <c r="AD7"/>
  <c r="AB7" s="1"/>
  <c r="AA7"/>
  <c r="K7"/>
  <c r="I7"/>
  <c r="H7"/>
  <c r="G7"/>
  <c r="F7"/>
  <c r="E7"/>
  <c r="AL6"/>
  <c r="AD6"/>
  <c r="AA6"/>
  <c r="K6"/>
  <c r="I6"/>
  <c r="H6"/>
  <c r="G6"/>
  <c r="F6"/>
  <c r="E6"/>
  <c r="AL5"/>
  <c r="AD5"/>
  <c r="AA5"/>
  <c r="K5"/>
  <c r="I5"/>
  <c r="H5"/>
  <c r="G5"/>
  <c r="F5"/>
  <c r="E5"/>
  <c r="AL4"/>
  <c r="AD4"/>
  <c r="AB4"/>
  <c r="AA4"/>
  <c r="K4" s="1"/>
  <c r="I4"/>
  <c r="H4"/>
  <c r="G4"/>
  <c r="F4"/>
  <c r="E4"/>
  <c r="AJ3"/>
  <c r="AI3"/>
  <c r="AH3"/>
  <c r="AG3"/>
  <c r="D51" i="7"/>
  <c r="D50"/>
  <c r="D49"/>
  <c r="D48"/>
  <c r="C40"/>
  <c r="C31"/>
  <c r="C32" s="1"/>
  <c r="C30"/>
  <c r="E30" s="1" a="1"/>
  <c r="E30" s="1"/>
  <c r="AB27"/>
  <c r="V27"/>
  <c r="I27"/>
  <c r="V26"/>
  <c r="AB26" s="1"/>
  <c r="L25"/>
  <c r="V25" s="1"/>
  <c r="AB25" s="1"/>
  <c r="E25"/>
  <c r="AO24"/>
  <c r="AB24"/>
  <c r="AO23"/>
  <c r="AB23"/>
  <c r="AO22"/>
  <c r="V21"/>
  <c r="AB21" s="1"/>
  <c r="AL19"/>
  <c r="AD19"/>
  <c r="AB19" s="1"/>
  <c r="AA19"/>
  <c r="K19" s="1"/>
  <c r="I19"/>
  <c r="H19"/>
  <c r="G19"/>
  <c r="F19"/>
  <c r="E19"/>
  <c r="AV18"/>
  <c r="T22" s="1"/>
  <c r="AU18"/>
  <c r="AO25" s="1"/>
  <c r="AT18"/>
  <c r="AO18"/>
  <c r="AL18"/>
  <c r="AD18"/>
  <c r="AA18"/>
  <c r="K18"/>
  <c r="I18"/>
  <c r="H18"/>
  <c r="G18"/>
  <c r="F18"/>
  <c r="E18"/>
  <c r="AL17"/>
  <c r="AD17"/>
  <c r="AB17" s="1"/>
  <c r="AA17"/>
  <c r="K17" s="1"/>
  <c r="I17"/>
  <c r="H17"/>
  <c r="G17"/>
  <c r="F17"/>
  <c r="E17"/>
  <c r="AL16"/>
  <c r="AD16"/>
  <c r="AB16" s="1"/>
  <c r="AA16"/>
  <c r="K16"/>
  <c r="I16"/>
  <c r="H16"/>
  <c r="G16"/>
  <c r="F16"/>
  <c r="E16"/>
  <c r="AL15"/>
  <c r="AD15"/>
  <c r="AB15"/>
  <c r="AA15"/>
  <c r="K15" s="1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A13"/>
  <c r="K13" s="1"/>
  <c r="I13"/>
  <c r="H13"/>
  <c r="G13"/>
  <c r="F13"/>
  <c r="E13"/>
  <c r="AL12"/>
  <c r="AD12"/>
  <c r="AA12"/>
  <c r="K12"/>
  <c r="H12"/>
  <c r="G12"/>
  <c r="F12"/>
  <c r="E12"/>
  <c r="AL11"/>
  <c r="AD11"/>
  <c r="AA11"/>
  <c r="K1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/>
  <c r="AA9"/>
  <c r="K9"/>
  <c r="I9"/>
  <c r="H9"/>
  <c r="G9"/>
  <c r="F9"/>
  <c r="E9"/>
  <c r="AL8"/>
  <c r="AD8"/>
  <c r="AB8"/>
  <c r="AA8"/>
  <c r="K8" s="1"/>
  <c r="I8"/>
  <c r="H8"/>
  <c r="G8"/>
  <c r="F8"/>
  <c r="E8"/>
  <c r="AL7"/>
  <c r="AD7"/>
  <c r="AB7" s="1"/>
  <c r="AA7"/>
  <c r="K7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51" i="6"/>
  <c r="D50"/>
  <c r="D49"/>
  <c r="D48"/>
  <c r="D47"/>
  <c r="C40"/>
  <c r="C30"/>
  <c r="I30" s="1" a="1"/>
  <c r="I30" s="1"/>
  <c r="AB27"/>
  <c r="V27"/>
  <c r="V26"/>
  <c r="AB26" s="1"/>
  <c r="AO25"/>
  <c r="L25"/>
  <c r="U25" s="1"/>
  <c r="E25"/>
  <c r="AO24"/>
  <c r="AB24"/>
  <c r="AO23"/>
  <c r="AB23"/>
  <c r="AO22"/>
  <c r="V21"/>
  <c r="AB21" s="1"/>
  <c r="AL19"/>
  <c r="AD19"/>
  <c r="AB19"/>
  <c r="AA19"/>
  <c r="K19"/>
  <c r="I19"/>
  <c r="H19"/>
  <c r="G19"/>
  <c r="F19"/>
  <c r="E19"/>
  <c r="AV18"/>
  <c r="T22" s="1"/>
  <c r="AU18"/>
  <c r="AT18"/>
  <c r="AO18"/>
  <c r="I27" s="1"/>
  <c r="AL18"/>
  <c r="AD18"/>
  <c r="AA18"/>
  <c r="K18"/>
  <c r="I18"/>
  <c r="H18"/>
  <c r="G18"/>
  <c r="F18"/>
  <c r="E18"/>
  <c r="AL17"/>
  <c r="AD17"/>
  <c r="AB17" s="1"/>
  <c r="AA17"/>
  <c r="K17"/>
  <c r="I17"/>
  <c r="H17"/>
  <c r="G17"/>
  <c r="F17"/>
  <c r="E17"/>
  <c r="AL16"/>
  <c r="AD16"/>
  <c r="AB16" s="1"/>
  <c r="AA16"/>
  <c r="K16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A13"/>
  <c r="K13"/>
  <c r="I13"/>
  <c r="H13"/>
  <c r="G13"/>
  <c r="F13"/>
  <c r="E13"/>
  <c r="AL12"/>
  <c r="AD12"/>
  <c r="AA12"/>
  <c r="K12" s="1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A9"/>
  <c r="K9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/>
  <c r="I5"/>
  <c r="H5"/>
  <c r="G5"/>
  <c r="F5"/>
  <c r="E5"/>
  <c r="AL4"/>
  <c r="AD4"/>
  <c r="AB4"/>
  <c r="AA4"/>
  <c r="K4" s="1"/>
  <c r="I4"/>
  <c r="H4"/>
  <c r="G4"/>
  <c r="F4"/>
  <c r="E4"/>
  <c r="AJ3"/>
  <c r="AI3"/>
  <c r="AH3"/>
  <c r="AG3"/>
  <c r="D51" i="5"/>
  <c r="D50"/>
  <c r="D49"/>
  <c r="D48"/>
  <c r="D47"/>
  <c r="C40"/>
  <c r="C30"/>
  <c r="C31" s="1"/>
  <c r="E31" s="1" a="1"/>
  <c r="E31" s="1"/>
  <c r="AB27"/>
  <c r="V27"/>
  <c r="V26"/>
  <c r="AB26" s="1"/>
  <c r="L25"/>
  <c r="V25" s="1"/>
  <c r="AB25" s="1"/>
  <c r="E25"/>
  <c r="AO24"/>
  <c r="AB24"/>
  <c r="AO23"/>
  <c r="AB23"/>
  <c r="AO22"/>
  <c r="V21"/>
  <c r="AB21" s="1"/>
  <c r="AL19"/>
  <c r="AD19"/>
  <c r="AA19"/>
  <c r="K19" s="1"/>
  <c r="I19"/>
  <c r="H19"/>
  <c r="G19"/>
  <c r="F19"/>
  <c r="E19"/>
  <c r="AV18"/>
  <c r="T22" s="1"/>
  <c r="AU18"/>
  <c r="AO25" s="1"/>
  <c r="AT18"/>
  <c r="AO18"/>
  <c r="I27" s="1"/>
  <c r="AL18"/>
  <c r="AD18"/>
  <c r="AA18"/>
  <c r="K18"/>
  <c r="I18"/>
  <c r="H18"/>
  <c r="G18"/>
  <c r="F18"/>
  <c r="E18"/>
  <c r="AL17"/>
  <c r="AD17"/>
  <c r="AB17" s="1"/>
  <c r="AA17"/>
  <c r="K17" s="1"/>
  <c r="AL16"/>
  <c r="AD16"/>
  <c r="AA16"/>
  <c r="K16"/>
  <c r="I16"/>
  <c r="H16"/>
  <c r="G16"/>
  <c r="F16"/>
  <c r="E16"/>
  <c r="AL15"/>
  <c r="AD15"/>
  <c r="K15"/>
  <c r="I15"/>
  <c r="H15"/>
  <c r="G15"/>
  <c r="F15"/>
  <c r="E15"/>
  <c r="AL14"/>
  <c r="AD14"/>
  <c r="AA14"/>
  <c r="K14" s="1"/>
  <c r="I14"/>
  <c r="H14"/>
  <c r="G14"/>
  <c r="F14"/>
  <c r="E14"/>
  <c r="AL13"/>
  <c r="AD13"/>
  <c r="AB13" s="1"/>
  <c r="AA13"/>
  <c r="K13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 s="1"/>
  <c r="I11"/>
  <c r="H11"/>
  <c r="G11"/>
  <c r="F11"/>
  <c r="E11"/>
  <c r="AL10"/>
  <c r="AD10"/>
  <c r="AB10"/>
  <c r="AA10"/>
  <c r="K10" s="1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A6"/>
  <c r="K6" s="1"/>
  <c r="I6"/>
  <c r="H6"/>
  <c r="AL5"/>
  <c r="AD5"/>
  <c r="AB5"/>
  <c r="AA5"/>
  <c r="K5"/>
  <c r="I5"/>
  <c r="H5"/>
  <c r="G5"/>
  <c r="F5"/>
  <c r="E5"/>
  <c r="AL4"/>
  <c r="AD4"/>
  <c r="AB4"/>
  <c r="AA4"/>
  <c r="K4"/>
  <c r="I4"/>
  <c r="H4"/>
  <c r="G4"/>
  <c r="F4"/>
  <c r="E4"/>
  <c r="AJ3"/>
  <c r="AI3"/>
  <c r="AH3"/>
  <c r="AG3"/>
  <c r="D51" i="4"/>
  <c r="D50"/>
  <c r="D49"/>
  <c r="D48"/>
  <c r="D47"/>
  <c r="D46"/>
  <c r="C40"/>
  <c r="C30"/>
  <c r="I30" s="1" a="1"/>
  <c r="I30" s="1"/>
  <c r="AB27"/>
  <c r="V27"/>
  <c r="V26"/>
  <c r="AB26" s="1"/>
  <c r="V25"/>
  <c r="AB25" s="1"/>
  <c r="L25"/>
  <c r="U25" s="1"/>
  <c r="E25"/>
  <c r="AO24"/>
  <c r="AB24"/>
  <c r="AO23"/>
  <c r="AB23"/>
  <c r="AO22"/>
  <c r="I27" s="1"/>
  <c r="AB22"/>
  <c r="V21"/>
  <c r="AB21" s="1"/>
  <c r="AL19"/>
  <c r="AD19"/>
  <c r="AB19" s="1"/>
  <c r="AA19"/>
  <c r="K19" s="1"/>
  <c r="I19"/>
  <c r="H19"/>
  <c r="G19"/>
  <c r="F19"/>
  <c r="E19"/>
  <c r="AU18"/>
  <c r="AO25" s="1"/>
  <c r="AT18"/>
  <c r="AO18"/>
  <c r="AL18"/>
  <c r="AD18"/>
  <c r="AB18" s="1"/>
  <c r="AA18"/>
  <c r="K18" s="1"/>
  <c r="I18"/>
  <c r="H18"/>
  <c r="G18"/>
  <c r="F18"/>
  <c r="E18"/>
  <c r="AL17"/>
  <c r="AD17"/>
  <c r="AB17" s="1"/>
  <c r="AA17"/>
  <c r="K17" s="1"/>
  <c r="I17"/>
  <c r="H17"/>
  <c r="G17"/>
  <c r="F17"/>
  <c r="E17"/>
  <c r="AL16"/>
  <c r="AD16"/>
  <c r="AA16"/>
  <c r="K16" s="1"/>
  <c r="I16"/>
  <c r="H16"/>
  <c r="G16"/>
  <c r="F16"/>
  <c r="E16"/>
  <c r="AL15"/>
  <c r="AD15"/>
  <c r="AB15" s="1"/>
  <c r="AA15"/>
  <c r="K15" s="1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B12" s="1"/>
  <c r="AA12"/>
  <c r="K12" s="1"/>
  <c r="I12"/>
  <c r="H12"/>
  <c r="G12"/>
  <c r="F12"/>
  <c r="E12"/>
  <c r="AV11"/>
  <c r="AL11"/>
  <c r="AD11"/>
  <c r="AB11" s="1"/>
  <c r="AA11"/>
  <c r="K11"/>
  <c r="I11"/>
  <c r="H11"/>
  <c r="G11"/>
  <c r="F11"/>
  <c r="E11"/>
  <c r="AL10"/>
  <c r="AD10"/>
  <c r="AA10"/>
  <c r="K10"/>
  <c r="I10"/>
  <c r="H10"/>
  <c r="G10"/>
  <c r="F10"/>
  <c r="E10"/>
  <c r="AL9"/>
  <c r="AD9"/>
  <c r="AB9" s="1"/>
  <c r="AA9"/>
  <c r="K9"/>
  <c r="I9"/>
  <c r="H9"/>
  <c r="G9"/>
  <c r="F9"/>
  <c r="E9"/>
  <c r="AL8"/>
  <c r="AD8"/>
  <c r="AB8" s="1"/>
  <c r="AA8"/>
  <c r="K8"/>
  <c r="I8"/>
  <c r="H8"/>
  <c r="G8"/>
  <c r="F8"/>
  <c r="E8"/>
  <c r="AV7"/>
  <c r="AV18" s="1"/>
  <c r="AL7"/>
  <c r="AD7"/>
  <c r="AB7" s="1"/>
  <c r="AA7"/>
  <c r="K7" s="1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I45" i="15"/>
  <c r="I43"/>
  <c r="I41"/>
  <c r="I47" i="14"/>
  <c r="I45"/>
  <c r="I43"/>
  <c r="I41"/>
  <c r="I44" i="13"/>
  <c r="I42"/>
  <c r="I40"/>
  <c r="I47" i="11"/>
  <c r="I45"/>
  <c r="I43"/>
  <c r="I41"/>
  <c r="I44" i="10"/>
  <c r="I42"/>
  <c r="I40"/>
  <c r="I45" i="8"/>
  <c r="I43"/>
  <c r="I41"/>
  <c r="I44" i="16"/>
  <c r="I42"/>
  <c r="I40"/>
  <c r="I45" i="12"/>
  <c r="I43"/>
  <c r="I41"/>
  <c r="I47" i="9"/>
  <c r="I45"/>
  <c r="I43"/>
  <c r="I41"/>
  <c r="I46" i="15"/>
  <c r="I44"/>
  <c r="I42"/>
  <c r="I40"/>
  <c r="I48" i="14"/>
  <c r="I46"/>
  <c r="I44"/>
  <c r="I42"/>
  <c r="I40"/>
  <c r="I45" i="13"/>
  <c r="I43"/>
  <c r="I41"/>
  <c r="I46" i="11"/>
  <c r="I44"/>
  <c r="I42"/>
  <c r="I40"/>
  <c r="I45" i="10"/>
  <c r="I43"/>
  <c r="I41"/>
  <c r="I44" i="8"/>
  <c r="I42"/>
  <c r="I40"/>
  <c r="I45" i="16"/>
  <c r="I43"/>
  <c r="I41"/>
  <c r="I44" i="12"/>
  <c r="I42"/>
  <c r="I40"/>
  <c r="I40" i="9"/>
  <c r="I45" i="7"/>
  <c r="I40"/>
  <c r="I46" i="6"/>
  <c r="I44"/>
  <c r="I42"/>
  <c r="I40"/>
  <c r="I42" i="9"/>
  <c r="I46" i="7"/>
  <c r="I43"/>
  <c r="I46" i="5"/>
  <c r="I44"/>
  <c r="I42"/>
  <c r="I40"/>
  <c r="I44" i="4"/>
  <c r="I42"/>
  <c r="I40"/>
  <c r="I44" i="9"/>
  <c r="I44" i="7"/>
  <c r="I41"/>
  <c r="I45" i="6"/>
  <c r="I43"/>
  <c r="I41"/>
  <c r="I46" i="9"/>
  <c r="I47" i="7"/>
  <c r="I42"/>
  <c r="I45" i="5"/>
  <c r="I43"/>
  <c r="I41"/>
  <c r="I45" i="4"/>
  <c r="I43"/>
  <c r="I41"/>
  <c r="V25" i="10" l="1"/>
  <c r="AB25" s="1"/>
  <c r="I30" i="5" a="1"/>
  <c r="I30" s="1"/>
  <c r="U25" i="7"/>
  <c r="I31" i="8" a="1"/>
  <c r="I31" s="1"/>
  <c r="V25" i="9"/>
  <c r="AB25" s="1"/>
  <c r="C31" i="10"/>
  <c r="C32" s="1"/>
  <c r="V25" i="13"/>
  <c r="AB25" s="1"/>
  <c r="AB28" s="1"/>
  <c r="U25" i="5"/>
  <c r="V25" i="6"/>
  <c r="AB25" s="1"/>
  <c r="E30" i="5" a="1"/>
  <c r="E30" s="1"/>
  <c r="C31" i="6"/>
  <c r="I31" s="1" a="1"/>
  <c r="I31" s="1"/>
  <c r="I39" i="8" a="1"/>
  <c r="I39" s="1"/>
  <c r="D39" s="1"/>
  <c r="AB20" i="10"/>
  <c r="AB20" i="4"/>
  <c r="E34" i="8" a="1"/>
  <c r="E34" s="1"/>
  <c r="E31" i="10" a="1"/>
  <c r="E31" s="1"/>
  <c r="I30" i="12" a="1"/>
  <c r="I30" s="1"/>
  <c r="E30" a="1"/>
  <c r="E30" s="1"/>
  <c r="C31" i="13"/>
  <c r="C32" s="1"/>
  <c r="V25" i="15"/>
  <c r="AB25" s="1"/>
  <c r="C31" i="4"/>
  <c r="E31" s="1" a="1"/>
  <c r="E31" s="1"/>
  <c r="E30" i="6" a="1"/>
  <c r="E30" s="1"/>
  <c r="D30" s="1"/>
  <c r="I30" i="7" a="1"/>
  <c r="I30" s="1"/>
  <c r="D30" s="1"/>
  <c r="I30" i="8" a="1"/>
  <c r="I30" s="1"/>
  <c r="E38" a="1"/>
  <c r="E38" s="1"/>
  <c r="I30" i="10" a="1"/>
  <c r="I30" s="1"/>
  <c r="D30" s="1"/>
  <c r="I30" i="13" a="1"/>
  <c r="I30" s="1"/>
  <c r="D30" s="1"/>
  <c r="AB20" i="14"/>
  <c r="C31" i="15"/>
  <c r="C32" s="1"/>
  <c r="D30" i="5"/>
  <c r="AB20" i="8"/>
  <c r="E30" a="1"/>
  <c r="E30" s="1"/>
  <c r="D30" s="1"/>
  <c r="I35" a="1"/>
  <c r="I35" s="1"/>
  <c r="AB20" i="9"/>
  <c r="I31" i="10" a="1"/>
  <c r="I31" s="1"/>
  <c r="D31" s="1"/>
  <c r="E30" i="11" a="1"/>
  <c r="E30" s="1"/>
  <c r="AB20" i="12"/>
  <c r="D41" i="4"/>
  <c r="D43"/>
  <c r="D45"/>
  <c r="D41" i="5"/>
  <c r="D43"/>
  <c r="D45"/>
  <c r="D42" i="7"/>
  <c r="D47"/>
  <c r="D46" i="9"/>
  <c r="D41" i="6"/>
  <c r="D43"/>
  <c r="D45"/>
  <c r="D41" i="7"/>
  <c r="D44"/>
  <c r="D44" i="9"/>
  <c r="D40" i="4"/>
  <c r="D42"/>
  <c r="D44"/>
  <c r="D40" i="5"/>
  <c r="D42"/>
  <c r="D44"/>
  <c r="D46"/>
  <c r="D43" i="7"/>
  <c r="D46"/>
  <c r="D42" i="9"/>
  <c r="D40" i="6"/>
  <c r="D42"/>
  <c r="D44"/>
  <c r="D46"/>
  <c r="D40" i="7"/>
  <c r="D45"/>
  <c r="D40" i="9"/>
  <c r="D40" i="12"/>
  <c r="D42"/>
  <c r="D44"/>
  <c r="D41" i="16"/>
  <c r="D43"/>
  <c r="D45"/>
  <c r="D40" i="8"/>
  <c r="D42"/>
  <c r="D44"/>
  <c r="D41" i="10"/>
  <c r="D43"/>
  <c r="D45"/>
  <c r="D40" i="11"/>
  <c r="D42"/>
  <c r="D44"/>
  <c r="D46"/>
  <c r="D41" i="13"/>
  <c r="D43"/>
  <c r="D45"/>
  <c r="D40" i="14"/>
  <c r="D42"/>
  <c r="D44"/>
  <c r="D46"/>
  <c r="D48"/>
  <c r="D40" i="15"/>
  <c r="D42"/>
  <c r="D44"/>
  <c r="D46"/>
  <c r="D41" i="9"/>
  <c r="D43"/>
  <c r="D45"/>
  <c r="D47"/>
  <c r="D41" i="12"/>
  <c r="D43"/>
  <c r="D45"/>
  <c r="D40" i="16"/>
  <c r="D42"/>
  <c r="D44"/>
  <c r="D41" i="8"/>
  <c r="D43"/>
  <c r="D45"/>
  <c r="D40" i="10"/>
  <c r="D42"/>
  <c r="D44"/>
  <c r="D41" i="11"/>
  <c r="D43"/>
  <c r="D45"/>
  <c r="D47"/>
  <c r="D40" i="13"/>
  <c r="D42"/>
  <c r="D44"/>
  <c r="D41" i="14"/>
  <c r="D43"/>
  <c r="D45"/>
  <c r="D47"/>
  <c r="D41" i="15"/>
  <c r="D43"/>
  <c r="D45"/>
  <c r="AB22" i="6"/>
  <c r="AB28" i="4"/>
  <c r="I26" s="1"/>
  <c r="AB20" i="7"/>
  <c r="AB22"/>
  <c r="AB22" i="5"/>
  <c r="I32" i="7" a="1"/>
  <c r="I32" s="1"/>
  <c r="C33"/>
  <c r="E32" a="1"/>
  <c r="E32" s="1"/>
  <c r="AB22" i="9"/>
  <c r="AB20" i="5"/>
  <c r="AB28"/>
  <c r="AB20" i="6"/>
  <c r="AB28"/>
  <c r="AB28" i="7"/>
  <c r="C32" i="4"/>
  <c r="C32" i="5"/>
  <c r="I31" i="7" a="1"/>
  <c r="I31" s="1"/>
  <c r="E33" i="8" a="1"/>
  <c r="E33" s="1"/>
  <c r="I34" a="1"/>
  <c r="I34" s="1"/>
  <c r="D34" s="1"/>
  <c r="E37" a="1"/>
  <c r="E37" s="1"/>
  <c r="I38" a="1"/>
  <c r="I38" s="1"/>
  <c r="D38" s="1"/>
  <c r="D30" i="11"/>
  <c r="AB28" i="12"/>
  <c r="I26" s="1"/>
  <c r="C33" i="10"/>
  <c r="E32" a="1"/>
  <c r="E32" s="1"/>
  <c r="I32" a="1"/>
  <c r="I32" s="1"/>
  <c r="E30" i="4" a="1"/>
  <c r="E30" s="1"/>
  <c r="D30" s="1"/>
  <c r="I31" a="1"/>
  <c r="I31" s="1"/>
  <c r="D31" s="1"/>
  <c r="I31" i="5" a="1"/>
  <c r="I31" s="1"/>
  <c r="D31" s="1"/>
  <c r="AB28" i="10"/>
  <c r="I26" s="1"/>
  <c r="AB20" i="11"/>
  <c r="AB20" i="13"/>
  <c r="AB28" i="15"/>
  <c r="I26" s="1"/>
  <c r="I27" i="8"/>
  <c r="AO22"/>
  <c r="I31" i="9" a="1"/>
  <c r="I31" s="1"/>
  <c r="C32"/>
  <c r="E31" a="1"/>
  <c r="E31" s="1"/>
  <c r="I32" i="15" a="1"/>
  <c r="I32" s="1"/>
  <c r="C33"/>
  <c r="E32" a="1"/>
  <c r="E32" s="1"/>
  <c r="E31" i="7" a="1"/>
  <c r="E31" s="1"/>
  <c r="E31" i="8" a="1"/>
  <c r="E31" s="1"/>
  <c r="D31" s="1"/>
  <c r="I32" a="1"/>
  <c r="I32" s="1"/>
  <c r="E35" a="1"/>
  <c r="E35" s="1"/>
  <c r="D35" s="1"/>
  <c r="I36" a="1"/>
  <c r="I36" s="1"/>
  <c r="AB28" i="9"/>
  <c r="I26" s="1"/>
  <c r="AV18" i="8"/>
  <c r="T22" s="1"/>
  <c r="E32" a="1"/>
  <c r="E32" s="1"/>
  <c r="I33" a="1"/>
  <c r="I33" s="1"/>
  <c r="D33" s="1"/>
  <c r="E36" a="1"/>
  <c r="E36" s="1"/>
  <c r="I37" a="1"/>
  <c r="I37" s="1"/>
  <c r="D37" s="1"/>
  <c r="E30" i="14" a="1"/>
  <c r="E30" s="1"/>
  <c r="D30" s="1"/>
  <c r="E30" i="15" a="1"/>
  <c r="E30" s="1"/>
  <c r="D30" s="1"/>
  <c r="I31" a="1"/>
  <c r="I31" s="1"/>
  <c r="I27" i="16"/>
  <c r="I30" i="9" a="1"/>
  <c r="I30" s="1"/>
  <c r="D30" s="1"/>
  <c r="I27" i="10"/>
  <c r="AO22" i="11"/>
  <c r="V25"/>
  <c r="AB25" s="1"/>
  <c r="AB28" s="1"/>
  <c r="C31"/>
  <c r="E31" i="12" a="1"/>
  <c r="E31" s="1"/>
  <c r="D31" s="1"/>
  <c r="V25" i="14"/>
  <c r="AB28" s="1"/>
  <c r="I26" s="1"/>
  <c r="C31"/>
  <c r="E30" i="16" a="1"/>
  <c r="E30" s="1"/>
  <c r="D30" s="1"/>
  <c r="C32" i="12"/>
  <c r="E31" i="15" a="1"/>
  <c r="E31" s="1"/>
  <c r="V25" i="16"/>
  <c r="AB28" s="1"/>
  <c r="I26" s="1"/>
  <c r="C31"/>
  <c r="D31" i="6" l="1"/>
  <c r="C32"/>
  <c r="E31" a="1"/>
  <c r="E31" s="1"/>
  <c r="I26" i="7"/>
  <c r="D31" i="15"/>
  <c r="D36" i="8"/>
  <c r="D30" i="12"/>
  <c r="I26" i="11"/>
  <c r="I31" i="13" a="1"/>
  <c r="I31" s="1"/>
  <c r="D31" s="1"/>
  <c r="E31" a="1"/>
  <c r="E31" s="1"/>
  <c r="D32" i="10"/>
  <c r="AB22" i="8"/>
  <c r="AB28" s="1"/>
  <c r="I26" s="1"/>
  <c r="I32" i="5" a="1"/>
  <c r="I32" s="1"/>
  <c r="D32" s="1"/>
  <c r="C33"/>
  <c r="E32" a="1"/>
  <c r="E32" s="1"/>
  <c r="C34" i="15"/>
  <c r="E33" a="1"/>
  <c r="E33" s="1"/>
  <c r="I33" a="1"/>
  <c r="I33" s="1"/>
  <c r="I33" i="10" a="1"/>
  <c r="I33" s="1"/>
  <c r="C34"/>
  <c r="E33" a="1"/>
  <c r="E33" s="1"/>
  <c r="D32" i="8"/>
  <c r="D31" i="9"/>
  <c r="D32" i="7"/>
  <c r="E32" i="9" a="1"/>
  <c r="E32" s="1"/>
  <c r="I32" a="1"/>
  <c r="I32" s="1"/>
  <c r="C33"/>
  <c r="C34" i="7"/>
  <c r="E33" a="1"/>
  <c r="E33" s="1"/>
  <c r="I33" a="1"/>
  <c r="I33" s="1"/>
  <c r="D31"/>
  <c r="I26" i="6"/>
  <c r="I26" i="5"/>
  <c r="E31" i="16" a="1"/>
  <c r="E31" s="1"/>
  <c r="I31" a="1"/>
  <c r="I31" s="1"/>
  <c r="C32"/>
  <c r="I32" i="4" a="1"/>
  <c r="I32" s="1"/>
  <c r="D32" s="1"/>
  <c r="C33"/>
  <c r="E32" a="1"/>
  <c r="E32" s="1"/>
  <c r="C32" i="14"/>
  <c r="E31" a="1"/>
  <c r="E31" s="1"/>
  <c r="I31" a="1"/>
  <c r="I31" s="1"/>
  <c r="C32" i="11"/>
  <c r="E31" a="1"/>
  <c r="E31" s="1"/>
  <c r="I31" a="1"/>
  <c r="I31" s="1"/>
  <c r="D31" s="1"/>
  <c r="E32" i="12" a="1"/>
  <c r="E32" s="1"/>
  <c r="I32" a="1"/>
  <c r="I32" s="1"/>
  <c r="C33"/>
  <c r="C33" i="13"/>
  <c r="E32" a="1"/>
  <c r="E32" s="1"/>
  <c r="I32" a="1"/>
  <c r="I32" s="1"/>
  <c r="C33" i="6"/>
  <c r="E32" a="1"/>
  <c r="E32" s="1"/>
  <c r="I32" a="1"/>
  <c r="I32" s="1"/>
  <c r="D32" i="15"/>
  <c r="I26" i="13"/>
  <c r="D32" i="6" l="1"/>
  <c r="D33" i="7"/>
  <c r="D31" i="14"/>
  <c r="I32" i="11" a="1"/>
  <c r="I32" s="1"/>
  <c r="C33"/>
  <c r="E32" a="1"/>
  <c r="E32" s="1"/>
  <c r="E33" i="5" a="1"/>
  <c r="E33" s="1"/>
  <c r="I33" a="1"/>
  <c r="I33" s="1"/>
  <c r="C34"/>
  <c r="I33" i="6" a="1"/>
  <c r="I33" s="1"/>
  <c r="C34"/>
  <c r="E33" a="1"/>
  <c r="E33" s="1"/>
  <c r="I33" i="12" a="1"/>
  <c r="I33" s="1"/>
  <c r="C34"/>
  <c r="E33" a="1"/>
  <c r="E33" s="1"/>
  <c r="I32" i="14" a="1"/>
  <c r="I32" s="1"/>
  <c r="C33"/>
  <c r="E32" a="1"/>
  <c r="E32" s="1"/>
  <c r="I32" i="16" a="1"/>
  <c r="I32" s="1"/>
  <c r="C33"/>
  <c r="E32" a="1"/>
  <c r="E32" s="1"/>
  <c r="I34" i="7" a="1"/>
  <c r="I34" s="1"/>
  <c r="D34" s="1"/>
  <c r="C35"/>
  <c r="E34" a="1"/>
  <c r="E34" s="1"/>
  <c r="I33" i="9" a="1"/>
  <c r="I33" s="1"/>
  <c r="C34"/>
  <c r="E33" a="1"/>
  <c r="E33" s="1"/>
  <c r="D32" i="13"/>
  <c r="D32" i="12"/>
  <c r="D31" i="16"/>
  <c r="D32" i="9"/>
  <c r="D33" i="15"/>
  <c r="D33" i="10"/>
  <c r="C35"/>
  <c r="E34" a="1"/>
  <c r="E34" s="1"/>
  <c r="I34" a="1"/>
  <c r="I34" s="1"/>
  <c r="I34" i="15" a="1"/>
  <c r="I34" s="1"/>
  <c r="C35"/>
  <c r="E34" a="1"/>
  <c r="E34" s="1"/>
  <c r="I33" i="13" a="1"/>
  <c r="I33" s="1"/>
  <c r="C34"/>
  <c r="E33" a="1"/>
  <c r="E33" s="1"/>
  <c r="E33" i="4" a="1"/>
  <c r="E33" s="1"/>
  <c r="I33" a="1"/>
  <c r="I33" s="1"/>
  <c r="C34"/>
  <c r="D32" i="16" l="1"/>
  <c r="D33" i="6"/>
  <c r="C36" i="15"/>
  <c r="E35" a="1"/>
  <c r="E35" s="1"/>
  <c r="I35" a="1"/>
  <c r="I35" s="1"/>
  <c r="I35" i="10" a="1"/>
  <c r="I35" s="1"/>
  <c r="C36"/>
  <c r="E35" a="1"/>
  <c r="E35" s="1"/>
  <c r="C35" i="6"/>
  <c r="E34" a="1"/>
  <c r="E34" s="1"/>
  <c r="I34" a="1"/>
  <c r="I34" s="1"/>
  <c r="E33" i="16" a="1"/>
  <c r="E33" s="1"/>
  <c r="I33" a="1"/>
  <c r="I33" s="1"/>
  <c r="C34"/>
  <c r="I34" i="4" a="1"/>
  <c r="I34" s="1"/>
  <c r="C35"/>
  <c r="E34" a="1"/>
  <c r="E34" s="1"/>
  <c r="C35" i="13"/>
  <c r="E34" a="1"/>
  <c r="E34" s="1"/>
  <c r="I34" a="1"/>
  <c r="I34" s="1"/>
  <c r="D34" s="1"/>
  <c r="C34" i="14"/>
  <c r="E33" a="1"/>
  <c r="E33" s="1"/>
  <c r="I33" a="1"/>
  <c r="I33" s="1"/>
  <c r="I34" i="5" a="1"/>
  <c r="I34" s="1"/>
  <c r="C35"/>
  <c r="E34" a="1"/>
  <c r="E34" s="1"/>
  <c r="C34" i="11"/>
  <c r="E33" a="1"/>
  <c r="E33" s="1"/>
  <c r="I33" a="1"/>
  <c r="I33" s="1"/>
  <c r="D33" i="4"/>
  <c r="D34" i="10"/>
  <c r="D32" i="14"/>
  <c r="D33" i="5"/>
  <c r="D32" i="11"/>
  <c r="D34" i="15"/>
  <c r="D33" i="9"/>
  <c r="D33" i="12"/>
  <c r="E34" i="9" a="1"/>
  <c r="E34" s="1"/>
  <c r="I34" a="1"/>
  <c r="I34" s="1"/>
  <c r="C35"/>
  <c r="E34" i="12" a="1"/>
  <c r="E34" s="1"/>
  <c r="I34" a="1"/>
  <c r="I34" s="1"/>
  <c r="C35"/>
  <c r="E35" i="7" a="1"/>
  <c r="E35" s="1"/>
  <c r="I35" a="1"/>
  <c r="I35" s="1"/>
  <c r="C36"/>
  <c r="D33" i="13"/>
  <c r="D33" i="16" l="1"/>
  <c r="D35" i="15"/>
  <c r="D33" i="14"/>
  <c r="D34" i="5"/>
  <c r="I36" i="7" a="1"/>
  <c r="I36" s="1"/>
  <c r="C37"/>
  <c r="E36" a="1"/>
  <c r="E36" s="1"/>
  <c r="I35" i="12" a="1"/>
  <c r="I35" s="1"/>
  <c r="D35" s="1"/>
  <c r="C36"/>
  <c r="E35" a="1"/>
  <c r="E35" s="1"/>
  <c r="I34" i="11" a="1"/>
  <c r="I34" s="1"/>
  <c r="C35"/>
  <c r="E34" a="1"/>
  <c r="E34" s="1"/>
  <c r="C37" i="10"/>
  <c r="E36" a="1"/>
  <c r="E36" s="1"/>
  <c r="I36" a="1"/>
  <c r="I36" s="1"/>
  <c r="D36" s="1"/>
  <c r="I36" i="15" a="1"/>
  <c r="I36" s="1"/>
  <c r="C37"/>
  <c r="E36" a="1"/>
  <c r="E36" s="1"/>
  <c r="D34" i="9"/>
  <c r="D34" i="4"/>
  <c r="D34" i="6"/>
  <c r="E35" i="4" a="1"/>
  <c r="E35" s="1"/>
  <c r="I35" a="1"/>
  <c r="I35" s="1"/>
  <c r="C36"/>
  <c r="I35" i="9" a="1"/>
  <c r="I35" s="1"/>
  <c r="C36"/>
  <c r="E35" a="1"/>
  <c r="E35" s="1"/>
  <c r="E35" i="5" a="1"/>
  <c r="E35" s="1"/>
  <c r="I35" a="1"/>
  <c r="I35" s="1"/>
  <c r="C36"/>
  <c r="I34" i="14" a="1"/>
  <c r="I34" s="1"/>
  <c r="D34" s="1"/>
  <c r="C35"/>
  <c r="E34" a="1"/>
  <c r="E34" s="1"/>
  <c r="I35" i="6" a="1"/>
  <c r="I35" s="1"/>
  <c r="C36"/>
  <c r="E35" a="1"/>
  <c r="E35" s="1"/>
  <c r="I35" i="13" a="1"/>
  <c r="I35" s="1"/>
  <c r="C36"/>
  <c r="E35" a="1"/>
  <c r="E35" s="1"/>
  <c r="I34" i="16" a="1"/>
  <c r="I34" s="1"/>
  <c r="D34" s="1"/>
  <c r="C35"/>
  <c r="E34" a="1"/>
  <c r="E34" s="1"/>
  <c r="D35" i="7"/>
  <c r="D33" i="11"/>
  <c r="D34" i="12"/>
  <c r="D35" i="10"/>
  <c r="D35" i="4" l="1"/>
  <c r="D36" i="15"/>
  <c r="D36" i="7"/>
  <c r="C36" i="14"/>
  <c r="E35" a="1"/>
  <c r="E35" s="1"/>
  <c r="I35" a="1"/>
  <c r="I35" s="1"/>
  <c r="E36" i="12" a="1"/>
  <c r="E36" s="1"/>
  <c r="I36" a="1"/>
  <c r="I36" s="1"/>
  <c r="C37"/>
  <c r="E35" i="16" a="1"/>
  <c r="E35" s="1"/>
  <c r="I35" a="1"/>
  <c r="I35" s="1"/>
  <c r="C36"/>
  <c r="I36" i="4" a="1"/>
  <c r="I36" s="1"/>
  <c r="C37"/>
  <c r="E36" a="1"/>
  <c r="E36" s="1"/>
  <c r="C38" i="15"/>
  <c r="E37" a="1"/>
  <c r="E37" s="1"/>
  <c r="I37" a="1"/>
  <c r="I37" s="1"/>
  <c r="D37" s="1"/>
  <c r="I37" i="10" a="1"/>
  <c r="I37" s="1"/>
  <c r="C38"/>
  <c r="E37" a="1"/>
  <c r="E37" s="1"/>
  <c r="E37" i="7" a="1"/>
  <c r="E37" s="1"/>
  <c r="I37" a="1"/>
  <c r="I37" s="1"/>
  <c r="C38"/>
  <c r="C37" i="13"/>
  <c r="E36" a="1"/>
  <c r="E36" s="1"/>
  <c r="I36" a="1"/>
  <c r="I36" s="1"/>
  <c r="I36" i="5" a="1"/>
  <c r="I36" s="1"/>
  <c r="C37"/>
  <c r="E36" a="1"/>
  <c r="E36" s="1"/>
  <c r="E36" i="9" a="1"/>
  <c r="E36" s="1"/>
  <c r="I36" a="1"/>
  <c r="I36" s="1"/>
  <c r="C37"/>
  <c r="D35" i="13"/>
  <c r="D35" i="5"/>
  <c r="D35" i="9"/>
  <c r="D35" i="6"/>
  <c r="D34" i="11"/>
  <c r="C37" i="6"/>
  <c r="E36" a="1"/>
  <c r="E36" s="1"/>
  <c r="I36" a="1"/>
  <c r="I36" s="1"/>
  <c r="C36" i="11"/>
  <c r="E35" a="1"/>
  <c r="E35" s="1"/>
  <c r="I35" a="1"/>
  <c r="I35" s="1"/>
  <c r="D36" i="6" l="1"/>
  <c r="D35" i="11"/>
  <c r="D36" i="9"/>
  <c r="D36" i="12"/>
  <c r="D36" i="4"/>
  <c r="E37" a="1"/>
  <c r="E37" s="1"/>
  <c r="I37" a="1"/>
  <c r="I37" s="1"/>
  <c r="C38"/>
  <c r="I37" i="6" a="1"/>
  <c r="I37" s="1"/>
  <c r="D37" s="1"/>
  <c r="C38"/>
  <c r="E37" a="1"/>
  <c r="E37" s="1"/>
  <c r="D36" i="13"/>
  <c r="D37" i="7"/>
  <c r="D37" i="10"/>
  <c r="D35" i="16"/>
  <c r="D35" i="14"/>
  <c r="I37" i="9" a="1"/>
  <c r="I37" s="1"/>
  <c r="D37" s="1"/>
  <c r="C38"/>
  <c r="E37" a="1"/>
  <c r="E37" s="1"/>
  <c r="E37" i="5" a="1"/>
  <c r="E37" s="1"/>
  <c r="I37" a="1"/>
  <c r="I37" s="1"/>
  <c r="C38"/>
  <c r="I37" i="13" a="1"/>
  <c r="I37" s="1"/>
  <c r="C38"/>
  <c r="E37" a="1"/>
  <c r="E37" s="1"/>
  <c r="I37" i="12" a="1"/>
  <c r="I37" s="1"/>
  <c r="C38"/>
  <c r="E37" a="1"/>
  <c r="E37" s="1"/>
  <c r="I36" i="14" a="1"/>
  <c r="I36" s="1"/>
  <c r="C37"/>
  <c r="E36" a="1"/>
  <c r="E36" s="1"/>
  <c r="I36" i="11" a="1"/>
  <c r="I36" s="1"/>
  <c r="C37"/>
  <c r="E36" a="1"/>
  <c r="E36" s="1"/>
  <c r="I38" i="7" a="1"/>
  <c r="I38" s="1"/>
  <c r="D38" s="1"/>
  <c r="E38" a="1"/>
  <c r="E38" s="1"/>
  <c r="C39"/>
  <c r="C39" i="10"/>
  <c r="E38" a="1"/>
  <c r="E38" s="1"/>
  <c r="I38" a="1"/>
  <c r="I38" s="1"/>
  <c r="I38" i="15" a="1"/>
  <c r="I38" s="1"/>
  <c r="C39"/>
  <c r="E38" a="1"/>
  <c r="E38" s="1"/>
  <c r="I36" i="16" a="1"/>
  <c r="I36" s="1"/>
  <c r="C37"/>
  <c r="E36" a="1"/>
  <c r="E36" s="1"/>
  <c r="D36" i="5"/>
  <c r="D36" i="14" l="1"/>
  <c r="I38" i="5" a="1"/>
  <c r="I38" s="1"/>
  <c r="C39"/>
  <c r="E38" a="1"/>
  <c r="E38" s="1"/>
  <c r="E38" i="9" a="1"/>
  <c r="E38" s="1"/>
  <c r="I38" a="1"/>
  <c r="I38" s="1"/>
  <c r="C39"/>
  <c r="C39" i="6"/>
  <c r="E38" a="1"/>
  <c r="E38" s="1"/>
  <c r="I38" a="1"/>
  <c r="I38" s="1"/>
  <c r="D38" s="1"/>
  <c r="E38" i="12" a="1"/>
  <c r="E38" s="1"/>
  <c r="I38" a="1"/>
  <c r="I38" s="1"/>
  <c r="C39"/>
  <c r="D37"/>
  <c r="D36" i="16"/>
  <c r="D38" i="10"/>
  <c r="D36" i="11"/>
  <c r="D37" i="13"/>
  <c r="D37" i="4"/>
  <c r="E37" i="16" a="1"/>
  <c r="E37" s="1"/>
  <c r="I37" a="1"/>
  <c r="I37" s="1"/>
  <c r="D37" s="1"/>
  <c r="C38"/>
  <c r="E39" i="7" a="1"/>
  <c r="E39" s="1"/>
  <c r="I39" a="1"/>
  <c r="I39" s="1"/>
  <c r="C38" i="11"/>
  <c r="E37" a="1"/>
  <c r="E37" s="1"/>
  <c r="I37" a="1"/>
  <c r="I37" s="1"/>
  <c r="D37" s="1"/>
  <c r="C39" i="13"/>
  <c r="E38" a="1"/>
  <c r="E38" s="1"/>
  <c r="I38" a="1"/>
  <c r="I38" s="1"/>
  <c r="I38" i="4" a="1"/>
  <c r="I38" s="1"/>
  <c r="C39"/>
  <c r="E38" a="1"/>
  <c r="E38" s="1"/>
  <c r="E39" i="15" a="1"/>
  <c r="E39" s="1"/>
  <c r="I39" a="1"/>
  <c r="I39" s="1"/>
  <c r="D39" s="1"/>
  <c r="I39" i="10" a="1"/>
  <c r="I39" s="1"/>
  <c r="E39" a="1"/>
  <c r="E39" s="1"/>
  <c r="C38" i="14"/>
  <c r="E37" a="1"/>
  <c r="E37" s="1"/>
  <c r="I37" a="1"/>
  <c r="I37" s="1"/>
  <c r="D38" i="15"/>
  <c r="D37" i="5"/>
  <c r="D38" i="4" l="1"/>
  <c r="D38" i="9"/>
  <c r="E39" i="4" a="1"/>
  <c r="E39" s="1"/>
  <c r="I39" a="1"/>
  <c r="I39" s="1"/>
  <c r="I39" i="13" a="1"/>
  <c r="I39" s="1"/>
  <c r="D39" s="1"/>
  <c r="E39" a="1"/>
  <c r="E39" s="1"/>
  <c r="I39" i="9" a="1"/>
  <c r="I39" s="1"/>
  <c r="E39" a="1"/>
  <c r="E39" s="1"/>
  <c r="E39" i="5" a="1"/>
  <c r="E39" s="1"/>
  <c r="I39" a="1"/>
  <c r="I39" s="1"/>
  <c r="D38"/>
  <c r="D37" i="14"/>
  <c r="D39" i="10"/>
  <c r="D39" i="7"/>
  <c r="D38" i="12"/>
  <c r="I38" i="11" a="1"/>
  <c r="I38" s="1"/>
  <c r="C39"/>
  <c r="E38" a="1"/>
  <c r="E38" s="1"/>
  <c r="I39" i="12" a="1"/>
  <c r="I39" s="1"/>
  <c r="E39" a="1"/>
  <c r="E39" s="1"/>
  <c r="I39" i="6" a="1"/>
  <c r="I39" s="1"/>
  <c r="D39" s="1"/>
  <c r="E39" a="1"/>
  <c r="E39" s="1"/>
  <c r="I38" i="14" a="1"/>
  <c r="I38" s="1"/>
  <c r="C39"/>
  <c r="E38" a="1"/>
  <c r="E38" s="1"/>
  <c r="I38" i="16" a="1"/>
  <c r="I38" s="1"/>
  <c r="C39"/>
  <c r="E38" a="1"/>
  <c r="E38" s="1"/>
  <c r="D38" i="13"/>
  <c r="D39" i="9" l="1"/>
  <c r="D38" i="11"/>
  <c r="D38" i="16"/>
  <c r="E39" i="11" a="1"/>
  <c r="E39" s="1"/>
  <c r="I39" a="1"/>
  <c r="I39" s="1"/>
  <c r="E39" i="16" a="1"/>
  <c r="E39" s="1"/>
  <c r="I39" a="1"/>
  <c r="I39" s="1"/>
  <c r="E39" i="14" a="1"/>
  <c r="E39" s="1"/>
  <c r="I39" a="1"/>
  <c r="I39" s="1"/>
  <c r="D39" i="5"/>
  <c r="D38" i="14"/>
  <c r="D39" i="12"/>
  <c r="D39" i="4"/>
  <c r="D39" i="14" l="1"/>
  <c r="D39" i="11"/>
  <c r="D39" i="16"/>
</calcChain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O14" authorId="0">
      <text>
        <r>
          <rPr>
            <sz val="10"/>
            <color rgb="FF000000"/>
            <rFont val="Arial"/>
          </rPr>
          <t>Phillip: Didn't roll because fired whole team? I wouldn't be opposed if you reconsidered... no MVP was selected either... see M37 in Season 5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J4" authorId="0">
      <text>
        <r>
          <rPr>
            <sz val="10"/>
            <color rgb="FF000000"/>
            <rFont val="Arial"/>
          </rPr>
          <t>Rolled double 6's
	-Phillip Ponzer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O4" authorId="0">
      <text>
        <r>
          <rPr>
            <sz val="10"/>
            <color rgb="FF000000"/>
            <rFont val="Arial"/>
          </rPr>
          <t>one extra winnings roll and one extra MVP due to team joining the league late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8" authorId="0">
      <text>
        <r>
          <rPr>
            <sz val="10"/>
            <color rgb="FF000000"/>
            <rFont val="Arial"/>
          </rPr>
          <t>Cost includes purchase of Grotty, who must be purchased alongside Brick Far'th.</t>
        </r>
      </text>
    </comment>
    <comment ref="A24" authorId="0">
      <text>
        <r>
          <rPr>
            <sz val="10"/>
            <color rgb="FF000000"/>
            <rFont val="Arial"/>
          </rPr>
          <t>Cost includes purchase of Brick Far'th, who must be purchased alongside Grotty.</t>
        </r>
      </text>
    </comment>
    <comment ref="A45" authorId="0">
      <text>
        <r>
          <rPr>
            <sz val="10"/>
            <color rgb="FF000000"/>
            <rFont val="Arial"/>
          </rPr>
          <t>Cost includes Valen the Swift, who must be bought alongside Lucien.</t>
        </r>
      </text>
    </comment>
    <comment ref="A64" authorId="0">
      <text>
        <r>
          <rPr>
            <sz val="10"/>
            <color rgb="FF000000"/>
            <rFont val="Arial"/>
          </rPr>
          <t>Cost includes Lucien the Swift, who must be bought alongside Valen.</t>
        </r>
      </text>
    </comment>
  </commentList>
</comments>
</file>

<file path=xl/sharedStrings.xml><?xml version="1.0" encoding="utf-8"?>
<sst xmlns="http://schemas.openxmlformats.org/spreadsheetml/2006/main" count="3702" uniqueCount="722">
  <si>
    <t>#</t>
  </si>
  <si>
    <t>Player Name</t>
  </si>
  <si>
    <t>Fan Factor</t>
  </si>
  <si>
    <t>Stat Injuries</t>
  </si>
  <si>
    <t>Skills</t>
  </si>
  <si>
    <t>MA</t>
  </si>
  <si>
    <t>ST</t>
  </si>
  <si>
    <t>AG</t>
  </si>
  <si>
    <t>AV</t>
  </si>
  <si>
    <t>TD</t>
  </si>
  <si>
    <t>MVP</t>
  </si>
  <si>
    <t>SPP</t>
  </si>
  <si>
    <t>Type</t>
  </si>
  <si>
    <t>Bloodthirster</t>
  </si>
  <si>
    <t>Starting Skills</t>
  </si>
  <si>
    <t>Herald</t>
  </si>
  <si>
    <t>Improvements</t>
  </si>
  <si>
    <t>M</t>
  </si>
  <si>
    <t>Bloodletter</t>
  </si>
  <si>
    <t>N</t>
  </si>
  <si>
    <t>S</t>
  </si>
  <si>
    <t>R</t>
  </si>
  <si>
    <t>Pit Fighter</t>
  </si>
  <si>
    <t>Int</t>
  </si>
  <si>
    <t>Comp</t>
  </si>
  <si>
    <t>Cas</t>
  </si>
  <si>
    <t>Kills</t>
  </si>
  <si>
    <t>Fouls</t>
  </si>
  <si>
    <t>Value</t>
  </si>
  <si>
    <t>Base Cost</t>
  </si>
  <si>
    <t>D</t>
  </si>
  <si>
    <t>Other</t>
  </si>
  <si>
    <t>Upkeep</t>
  </si>
  <si>
    <t>TREASURY TRACKING</t>
  </si>
  <si>
    <t>GAME TRACKING</t>
  </si>
  <si>
    <t>Total</t>
  </si>
  <si>
    <t>x</t>
  </si>
  <si>
    <t>Race</t>
  </si>
  <si>
    <t>Daemons of Khorne</t>
  </si>
  <si>
    <t>After Team Build</t>
  </si>
  <si>
    <t>Creepy</t>
  </si>
  <si>
    <t>Blocker</t>
  </si>
  <si>
    <t>Initial Fan Factor</t>
  </si>
  <si>
    <t>Guard</t>
  </si>
  <si>
    <t>Dumpy</t>
  </si>
  <si>
    <t>Ragnarok</t>
  </si>
  <si>
    <t>Yhetee</t>
  </si>
  <si>
    <t>Game</t>
  </si>
  <si>
    <t>Winnings</t>
  </si>
  <si>
    <t>Purchases</t>
  </si>
  <si>
    <t>Exp Mistakes</t>
  </si>
  <si>
    <t>Opponent</t>
  </si>
  <si>
    <t>Win/Tie/Loss?</t>
  </si>
  <si>
    <t>Touchdowns</t>
  </si>
  <si>
    <t>Cas Caused</t>
  </si>
  <si>
    <t>Block</t>
  </si>
  <si>
    <t>Mopey</t>
  </si>
  <si>
    <t>G1</t>
  </si>
  <si>
    <t>Fenris</t>
  </si>
  <si>
    <t>Werewolf</t>
  </si>
  <si>
    <t>The Herculadies</t>
  </si>
  <si>
    <t>Win</t>
  </si>
  <si>
    <t>Wheezy</t>
  </si>
  <si>
    <t>G2</t>
  </si>
  <si>
    <t>Riverdale Ravagers</t>
  </si>
  <si>
    <t>Niggletown Nightblades</t>
  </si>
  <si>
    <t>Tie</t>
  </si>
  <si>
    <t>Balder</t>
  </si>
  <si>
    <t>Blitzer</t>
  </si>
  <si>
    <t>G3</t>
  </si>
  <si>
    <t>Chumpy</t>
  </si>
  <si>
    <t>Mighty Blow</t>
  </si>
  <si>
    <t>G4</t>
  </si>
  <si>
    <t>The Everlasting Hobstompers</t>
  </si>
  <si>
    <t>Loss</t>
  </si>
  <si>
    <t>Thor</t>
  </si>
  <si>
    <t>Terrorwood Tyrants</t>
  </si>
  <si>
    <t>Sleazy</t>
  </si>
  <si>
    <t>G5</t>
  </si>
  <si>
    <t>Burning Wood Bashers</t>
  </si>
  <si>
    <t>Magni</t>
  </si>
  <si>
    <t>Catcher</t>
  </si>
  <si>
    <t>G6</t>
  </si>
  <si>
    <t>Dodge / Mighty Blow</t>
  </si>
  <si>
    <t>The Flying Circus</t>
  </si>
  <si>
    <t>Oden</t>
  </si>
  <si>
    <t>Diving Catch / Catch</t>
  </si>
  <si>
    <t>G7</t>
  </si>
  <si>
    <t>Flash'nik</t>
  </si>
  <si>
    <t>Hobgoblin</t>
  </si>
  <si>
    <t>Wyrdstone Wranglers</t>
  </si>
  <si>
    <t>Ran</t>
  </si>
  <si>
    <t>Lineman</t>
  </si>
  <si>
    <t>Sure Hands</t>
  </si>
  <si>
    <t>Kick, Tackle</t>
  </si>
  <si>
    <t>G8</t>
  </si>
  <si>
    <t>Slash'nik</t>
  </si>
  <si>
    <t>Gefjun</t>
  </si>
  <si>
    <t>PO1</t>
  </si>
  <si>
    <t>Bash'nik</t>
  </si>
  <si>
    <t>n/a</t>
  </si>
  <si>
    <t>Joro</t>
  </si>
  <si>
    <t>PO2</t>
  </si>
  <si>
    <t>Strip Ball</t>
  </si>
  <si>
    <t>Ssteeeveee</t>
  </si>
  <si>
    <t>PO3</t>
  </si>
  <si>
    <t>Bill</t>
  </si>
  <si>
    <t>Loki</t>
  </si>
  <si>
    <t>PO4</t>
  </si>
  <si>
    <t>Dead</t>
  </si>
  <si>
    <t>Keepers Of The Nile</t>
  </si>
  <si>
    <t>Minotaur</t>
  </si>
  <si>
    <t>Big Papa Pump</t>
  </si>
  <si>
    <t>Bull Centaur</t>
  </si>
  <si>
    <t>Block, Catch</t>
  </si>
  <si>
    <t>Big Sexy</t>
  </si>
  <si>
    <t>Forseti</t>
  </si>
  <si>
    <t>Gaurd</t>
  </si>
  <si>
    <t>VALUE OF AVAILABLE PLAYERS:</t>
  </si>
  <si>
    <t>TEAM NAME</t>
  </si>
  <si>
    <t>Nazgar's Daggers</t>
  </si>
  <si>
    <t>RE-ROLL</t>
  </si>
  <si>
    <t>Next Season Starting Treasury</t>
  </si>
  <si>
    <t>FAN FACTOR</t>
  </si>
  <si>
    <t>Ending Treasury</t>
  </si>
  <si>
    <t>Krevland Krakens</t>
  </si>
  <si>
    <t>ASSISTANT COACH</t>
  </si>
  <si>
    <t>Games Played</t>
  </si>
  <si>
    <t>RACE</t>
  </si>
  <si>
    <t>Chaos Dwarf</t>
  </si>
  <si>
    <t>CHEERLEADER</t>
  </si>
  <si>
    <t>Norse</t>
  </si>
  <si>
    <t>Bryan Bledsoe</t>
  </si>
  <si>
    <t>Daniel Connors</t>
  </si>
  <si>
    <t>Casualties</t>
  </si>
  <si>
    <t>TEAM VALUE</t>
  </si>
  <si>
    <t>HALFLING MASTER CHEF</t>
  </si>
  <si>
    <t>TREASURY</t>
  </si>
  <si>
    <t>BRIBE</t>
  </si>
  <si>
    <t>VALUE OF EXTRAS:</t>
  </si>
  <si>
    <t>Moukzoth Falleye</t>
  </si>
  <si>
    <t>Barry the Tricky</t>
  </si>
  <si>
    <t>Beastman</t>
  </si>
  <si>
    <t>Veronica  Lodge</t>
  </si>
  <si>
    <t>Dark Elf Renegade</t>
  </si>
  <si>
    <t>Dodge, Block</t>
  </si>
  <si>
    <t>Harry the Tremendous</t>
  </si>
  <si>
    <t>Quren Shadesorrow</t>
  </si>
  <si>
    <t>Gary the Tough</t>
  </si>
  <si>
    <t>Naughen Netherripper</t>
  </si>
  <si>
    <t>Hy-Vee Vegitarians</t>
  </si>
  <si>
    <t>Jerry the Tireless</t>
  </si>
  <si>
    <t>-</t>
  </si>
  <si>
    <t>Logoc Ashscar</t>
  </si>
  <si>
    <t>The Walking Dead</t>
  </si>
  <si>
    <t>WIN</t>
  </si>
  <si>
    <t>Mr. Svenson</t>
  </si>
  <si>
    <t>Orc Renegade</t>
  </si>
  <si>
    <t>Terry the Terrifying</t>
  </si>
  <si>
    <t>TIE</t>
  </si>
  <si>
    <t>Archibald Andrews</t>
  </si>
  <si>
    <t>Galugat Deathbringer</t>
  </si>
  <si>
    <t>Marauder</t>
  </si>
  <si>
    <t>Larry the Terrific</t>
  </si>
  <si>
    <t>Forsythe "The Jug" Jones</t>
  </si>
  <si>
    <t>Wrestle</t>
  </si>
  <si>
    <t>Perry the Tenacious</t>
  </si>
  <si>
    <t>Betty Cooper</t>
  </si>
  <si>
    <t>Donnel Fellreaper</t>
  </si>
  <si>
    <t>Runner</t>
  </si>
  <si>
    <t>Kick</t>
  </si>
  <si>
    <t>Reginald Mantle</t>
  </si>
  <si>
    <t>Leader</t>
  </si>
  <si>
    <t>Kauvokin Ragefall</t>
  </si>
  <si>
    <t>Hiram Lodge</t>
  </si>
  <si>
    <t>Terry "Poppa" Tate</t>
  </si>
  <si>
    <t>Elmer Flutesnoot</t>
  </si>
  <si>
    <t>Sam the Tumultuous</t>
  </si>
  <si>
    <t>Chaos Warrior</t>
  </si>
  <si>
    <t>Ricky the Twin</t>
  </si>
  <si>
    <t>Carl the Terrible</t>
  </si>
  <si>
    <t>Simon the Twisted</t>
  </si>
  <si>
    <t>Raunkalcol Voidgrip</t>
  </si>
  <si>
    <t>"The Moose" Mason</t>
  </si>
  <si>
    <t>Ogre</t>
  </si>
  <si>
    <t>Assassin</t>
  </si>
  <si>
    <t>Dodge</t>
  </si>
  <si>
    <t>"Hot Dog" Jones</t>
  </si>
  <si>
    <t>Multiple Block</t>
  </si>
  <si>
    <t>Juggernaut</t>
  </si>
  <si>
    <t>Indar Shadowstriker</t>
  </si>
  <si>
    <t>Frank the Titanic</t>
  </si>
  <si>
    <t>Mista Weatherbee</t>
  </si>
  <si>
    <t>Troll</t>
  </si>
  <si>
    <t>Stand Firm, Tentacles</t>
  </si>
  <si>
    <t>Laketh Shadowstriker</t>
  </si>
  <si>
    <t>Leap</t>
  </si>
  <si>
    <t>Riverdale Ragers</t>
  </si>
  <si>
    <t>Cignuget Falleyes</t>
  </si>
  <si>
    <t>Graveyard</t>
  </si>
  <si>
    <t>Dodge, Leap</t>
  </si>
  <si>
    <t>Patton Howitzer</t>
  </si>
  <si>
    <t>Chaos</t>
  </si>
  <si>
    <t>Chaos Pact</t>
  </si>
  <si>
    <t>David J Harshman</t>
  </si>
  <si>
    <t>Joe Roberts</t>
  </si>
  <si>
    <t>Felli Hellheart</t>
  </si>
  <si>
    <t>Witch Elf</t>
  </si>
  <si>
    <t>Block, Leap, Side Step</t>
  </si>
  <si>
    <t>#9 Stab Cas</t>
  </si>
  <si>
    <t>#10 Stab Cas</t>
  </si>
  <si>
    <t>Dark Elf</t>
  </si>
  <si>
    <t>Chris Thomason</t>
  </si>
  <si>
    <t>Rot Claw</t>
  </si>
  <si>
    <t>Rat Ogre</t>
  </si>
  <si>
    <t>Sobek</t>
  </si>
  <si>
    <t>Kroxigor</t>
  </si>
  <si>
    <t>Juggernaut, +MA</t>
  </si>
  <si>
    <t>Anubis</t>
  </si>
  <si>
    <t>Saurus</t>
  </si>
  <si>
    <t>Skab Strongarm</t>
  </si>
  <si>
    <t>Thrower</t>
  </si>
  <si>
    <t>Block, Mighty Blow</t>
  </si>
  <si>
    <t>Ra</t>
  </si>
  <si>
    <t>Ithuriel</t>
  </si>
  <si>
    <t>Wardancer</t>
  </si>
  <si>
    <t>Zya the Shank</t>
  </si>
  <si>
    <t>Block, Tackle</t>
  </si>
  <si>
    <t>Tackle</t>
  </si>
  <si>
    <t>Side Step</t>
  </si>
  <si>
    <t>Set</t>
  </si>
  <si>
    <t>Wyrd Two-Blade</t>
  </si>
  <si>
    <t>Speedy</t>
  </si>
  <si>
    <t>Gutter Runner</t>
  </si>
  <si>
    <t>Sharian (DEAD)</t>
  </si>
  <si>
    <t>Horus</t>
  </si>
  <si>
    <t>Quick-Quick</t>
  </si>
  <si>
    <t>Ardreth</t>
  </si>
  <si>
    <t>Thoth</t>
  </si>
  <si>
    <t>Block, Sidestep</t>
  </si>
  <si>
    <t>Dash</t>
  </si>
  <si>
    <t>+ST</t>
  </si>
  <si>
    <t>Wrestle, Dauntless</t>
  </si>
  <si>
    <t>40,000gp</t>
  </si>
  <si>
    <t>50,000gp</t>
  </si>
  <si>
    <t>Sneakers</t>
  </si>
  <si>
    <t>Ailre</t>
  </si>
  <si>
    <t>Strip Ball, Block</t>
  </si>
  <si>
    <t>Osiris</t>
  </si>
  <si>
    <t>Weasel</t>
  </si>
  <si>
    <t>Conceded</t>
  </si>
  <si>
    <t>Myrin</t>
  </si>
  <si>
    <t>Bast (DEAD)</t>
  </si>
  <si>
    <t>Skink</t>
  </si>
  <si>
    <t>Plucky</t>
  </si>
  <si>
    <t>Wyn</t>
  </si>
  <si>
    <t>Slick</t>
  </si>
  <si>
    <t>Shu</t>
  </si>
  <si>
    <t>???</t>
  </si>
  <si>
    <t>Ayduin</t>
  </si>
  <si>
    <t>Isis</t>
  </si>
  <si>
    <t>Virion</t>
  </si>
  <si>
    <t>Geb</t>
  </si>
  <si>
    <t>Selgauth</t>
  </si>
  <si>
    <t>Accurate</t>
  </si>
  <si>
    <t>Elmon</t>
  </si>
  <si>
    <t>Burning Oak</t>
  </si>
  <si>
    <t>Treeman</t>
  </si>
  <si>
    <t>Skaven</t>
  </si>
  <si>
    <t>James Valdez</t>
  </si>
  <si>
    <t>Lizardman</t>
  </si>
  <si>
    <t>Kendal Jon Bowser</t>
  </si>
  <si>
    <t>Wood Elf</t>
  </si>
  <si>
    <t>Matthew Quinn</t>
  </si>
  <si>
    <t>Egg Plant Parmesan</t>
  </si>
  <si>
    <t>Spring Rolls</t>
  </si>
  <si>
    <t>Black Orc Blocker</t>
  </si>
  <si>
    <t>Tofu</t>
  </si>
  <si>
    <t xml:space="preserve">Win </t>
  </si>
  <si>
    <t>Rice</t>
  </si>
  <si>
    <t>Beans</t>
  </si>
  <si>
    <t>Quinoa</t>
  </si>
  <si>
    <t>Veggie Burger</t>
  </si>
  <si>
    <t>Roy</t>
  </si>
  <si>
    <t>Pasta</t>
  </si>
  <si>
    <t>Fred</t>
  </si>
  <si>
    <t>Falafel</t>
  </si>
  <si>
    <t>Manfred von Richthofen</t>
  </si>
  <si>
    <t>Beast</t>
  </si>
  <si>
    <t>Melvin</t>
  </si>
  <si>
    <t>Stand Firm</t>
  </si>
  <si>
    <t>Peanut Butter</t>
  </si>
  <si>
    <t>Maxwell</t>
  </si>
  <si>
    <t>Rene Fonck</t>
  </si>
  <si>
    <t>Warrior</t>
  </si>
  <si>
    <t>Lincoln</t>
  </si>
  <si>
    <t>Grilled Cheese</t>
  </si>
  <si>
    <t>Adolphe Pegoud</t>
  </si>
  <si>
    <t>Okra</t>
  </si>
  <si>
    <t>Beatrice</t>
  </si>
  <si>
    <t>Albert Ball</t>
  </si>
  <si>
    <t>Block, Claw</t>
  </si>
  <si>
    <t>Billy Bishop</t>
  </si>
  <si>
    <t>Artichoke</t>
  </si>
  <si>
    <t>Goblin</t>
  </si>
  <si>
    <t>Thalouck Graniteaxe</t>
  </si>
  <si>
    <t>Thradroic Bloodbrand</t>
  </si>
  <si>
    <t>Throbout Beastbasher</t>
  </si>
  <si>
    <t>Loss 0 - 1</t>
  </si>
  <si>
    <t>Charles Lindbergh</t>
  </si>
  <si>
    <t>Pestigor</t>
  </si>
  <si>
    <t>Mighty Blow, Dauntless</t>
  </si>
  <si>
    <t>Grumrog Fieryarm</t>
  </si>
  <si>
    <t>Joe Foss</t>
  </si>
  <si>
    <t>Orc</t>
  </si>
  <si>
    <t>Befrorlig Brewguard</t>
  </si>
  <si>
    <t>Patrick Morrissey</t>
  </si>
  <si>
    <t>+AG, Sure Hands</t>
  </si>
  <si>
    <t>Vorbath Hammermail</t>
  </si>
  <si>
    <t>Fang</t>
  </si>
  <si>
    <t>Win 2 - 0</t>
  </si>
  <si>
    <t>Indra Lal Roy</t>
  </si>
  <si>
    <t>Rotter</t>
  </si>
  <si>
    <t>Gerhard Barkom</t>
  </si>
  <si>
    <t>Loss 0-2</t>
  </si>
  <si>
    <t>Giora Epstein</t>
  </si>
  <si>
    <t>Phillip Ponzer</t>
  </si>
  <si>
    <t>Bast</t>
  </si>
  <si>
    <t>Edward Mannock</t>
  </si>
  <si>
    <t>Nurgle</t>
  </si>
  <si>
    <t>Randy Cummins</t>
  </si>
  <si>
    <t>Queen Diamond</t>
  </si>
  <si>
    <t>Jezibel N. Hell</t>
  </si>
  <si>
    <t>Sunshine N F-N Rainbows</t>
  </si>
  <si>
    <t>Abraham "Do it live" Ford</t>
  </si>
  <si>
    <t>Mummy</t>
  </si>
  <si>
    <t>Slammy Whipchester</t>
  </si>
  <si>
    <t>Sensei "Stick" Eastman</t>
  </si>
  <si>
    <t>Block, Guard</t>
  </si>
  <si>
    <t>Paige Not Found</t>
  </si>
  <si>
    <t>Merle "The Stump" Dixon</t>
  </si>
  <si>
    <t>Wight</t>
  </si>
  <si>
    <t>Sassy Sutton</t>
  </si>
  <si>
    <t>+AG, Guard</t>
  </si>
  <si>
    <t>Tyreese "Hammer" Williams</t>
  </si>
  <si>
    <t>Attention Deficit Disorder</t>
  </si>
  <si>
    <t>Linewoman</t>
  </si>
  <si>
    <t>Shane "The Tool" Walsh</t>
  </si>
  <si>
    <t>Ghoul</t>
  </si>
  <si>
    <t>Blunt Force Drama</t>
  </si>
  <si>
    <t>Glen "Too Soon" Rhee</t>
  </si>
  <si>
    <t>Block, Sure Hands</t>
  </si>
  <si>
    <t>Hershel "Doc" Greene</t>
  </si>
  <si>
    <t>Pop Not Soda</t>
  </si>
  <si>
    <t>Bob "Smiles" Stookey</t>
  </si>
  <si>
    <t>Ruthless Bader Ginsburg</t>
  </si>
  <si>
    <t>R.I.Punzel</t>
  </si>
  <si>
    <t>Amethyst Uzbrukums</t>
  </si>
  <si>
    <t>Maverick Glorius - DE</t>
  </si>
  <si>
    <t>Zombie</t>
  </si>
  <si>
    <t>Thar Runbek - Dw</t>
  </si>
  <si>
    <t>Lori Grimes</t>
  </si>
  <si>
    <t>Skeleton</t>
  </si>
  <si>
    <t>Amazon</t>
  </si>
  <si>
    <t>TDC</t>
  </si>
  <si>
    <t>Undead</t>
  </si>
  <si>
    <t>Trever Leikam</t>
  </si>
  <si>
    <t>Name</t>
  </si>
  <si>
    <t>Rostered By</t>
  </si>
  <si>
    <t>Bretonnian</t>
  </si>
  <si>
    <t>Dwarf</t>
  </si>
  <si>
    <t>Elf</t>
  </si>
  <si>
    <t>Halfling</t>
  </si>
  <si>
    <t>High Elf</t>
  </si>
  <si>
    <t>Human</t>
  </si>
  <si>
    <t>Khemri</t>
  </si>
  <si>
    <t>Necromantic</t>
  </si>
  <si>
    <t>Simyin</t>
  </si>
  <si>
    <t>Slann</t>
  </si>
  <si>
    <t>Underworld</t>
  </si>
  <si>
    <t>Vampire</t>
  </si>
  <si>
    <t>Cost</t>
  </si>
  <si>
    <t>Barik Farblast</t>
  </si>
  <si>
    <t>X</t>
  </si>
  <si>
    <t>Loner, Hail Mary Pass, Pass, Secret Weapon, Strong Arm, Sure Hands, Thick Skull</t>
  </si>
  <si>
    <t>Bertha Bigfist</t>
  </si>
  <si>
    <t>Loner, Bone-Head, Break Tackle, Dodge, Mighty Blow, Thick Skull, Throw Team-Mate</t>
  </si>
  <si>
    <t>Bo Gallante</t>
  </si>
  <si>
    <t>Loner, Dodge, Side Step, Sprint, Sure Feet</t>
  </si>
  <si>
    <t>Paired With</t>
  </si>
  <si>
    <t>Bomber Dribblesnot</t>
  </si>
  <si>
    <t>Loner, Accurate, Bombardier, Dodge, Right Stuff, Secret Weapon, Stunty</t>
  </si>
  <si>
    <t>Boomer Eziasson</t>
  </si>
  <si>
    <t>Loner, Accurate, Block, Bombardier, Secret Weapon, Thick Skull</t>
  </si>
  <si>
    <t>Brick Far'th</t>
  </si>
  <si>
    <t>Loner, Bone-Head, Mighty Blow, Nerves of Steel, Strong Arm, Thick Skull, Throw Team-Mate</t>
  </si>
  <si>
    <t>Count Luther Von Drakenborg</t>
  </si>
  <si>
    <t>Loner, Block, Hypnotic Gaze, Regeneration, Side Step</t>
  </si>
  <si>
    <t>Crazy Igor</t>
  </si>
  <si>
    <t>Loner, Dauntless, Regeneration, Thick Skull (Can be bitten as a Thrall)</t>
  </si>
  <si>
    <t>Deeproot Strongbranch</t>
  </si>
  <si>
    <t>Loner, Block, Mighty Blow, Stand Firm, Strong Arm, Thick Skull, Throw Team-Mate</t>
  </si>
  <si>
    <t>Dolfar Longstride</t>
  </si>
  <si>
    <t>Loner, Diving Catch, Hail Mary Pass, Kick, Kick Off Return, Pass Block</t>
  </si>
  <si>
    <t>Eldril Sidewinder</t>
  </si>
  <si>
    <t>Loner, Catch, Dodge, Hypnotic Gaze, Nerves of Steel, Pass Block</t>
  </si>
  <si>
    <t>Fezglitch</t>
  </si>
  <si>
    <t>Loner, Ball &amp; Chain, Disturbing Presence, Foul Appearance, No Hands, Secret Weapon</t>
  </si>
  <si>
    <t>Flint Churnblade</t>
  </si>
  <si>
    <t>Loner, Block, Chainsaw, Secret Weapon, Thick Skull</t>
  </si>
  <si>
    <t>Fungus the Loon</t>
  </si>
  <si>
    <t>Grotty</t>
  </si>
  <si>
    <t>Loner, Ball &amp; Chain, Mighty Blow, No Hands, Secret Weapon, Stunty</t>
  </si>
  <si>
    <t>Buggy Baconbreath</t>
  </si>
  <si>
    <t>Furious George</t>
  </si>
  <si>
    <t>Loner, Catch, Dodge, Extra Arms, Pass Block, Strip Ball, Wrestle</t>
  </si>
  <si>
    <t>Loner, Block, Dodge, Nerves of Steel, Right Stuff, Stunty</t>
  </si>
  <si>
    <t>Glart Smashrip Jr.</t>
  </si>
  <si>
    <t>Loner, Block, Claw, Juggernaut</t>
  </si>
  <si>
    <t>Glart Smashrip Sr.</t>
  </si>
  <si>
    <t>Loner, Block, Claw, Grab, Juggernaut, Sure Feet</t>
  </si>
  <si>
    <t>Grashnak Blackhoof</t>
  </si>
  <si>
    <t>Loner, Frenzy, Horn, Mighty Blow, Thick Skull</t>
  </si>
  <si>
    <t>Griff Oberwald</t>
  </si>
  <si>
    <t>Loner, Block, Dodge, Fend, Sprint, Sure Feet</t>
  </si>
  <si>
    <t>Grim Ironjaw</t>
  </si>
  <si>
    <t>Loner, Block, Dauntless, Frenzy, Multiple Block, Thick Skull</t>
  </si>
  <si>
    <t>Loner, Dodge, Right Stuff, Stunty</t>
  </si>
  <si>
    <t>Guffle Pusmaw</t>
  </si>
  <si>
    <t>Loner, Foul Appearance, Monstrous Mouth, Nurgle's Rot</t>
  </si>
  <si>
    <t>Hack Enslash</t>
  </si>
  <si>
    <t>Loner, Chainsaw, Regeneration, Secret Weapon, Side Step</t>
  </si>
  <si>
    <t>Hakflem Skuttlespike</t>
  </si>
  <si>
    <t>Loner, Dodge, Extra Arms, Prehensile Tails, Two Heads</t>
  </si>
  <si>
    <t>Headsplitter</t>
  </si>
  <si>
    <t>Loner, Frenzy, Mighty Blow, Prehensile Tail</t>
  </si>
  <si>
    <t>Helmut Wulf</t>
  </si>
  <si>
    <t>Loner, Chainsaw, Secret Weapon, Stand Firm</t>
  </si>
  <si>
    <t>Hemlock</t>
  </si>
  <si>
    <t>Loner, Block, Dodge, Sidestep, Jump Up, Stab, Stunty</t>
  </si>
  <si>
    <t>Horkon Heartripper</t>
  </si>
  <si>
    <t>Hthark the Unstoppable</t>
  </si>
  <si>
    <t>Loner, Block, Break Tackle, Juggernaut, Sprint, Sure Feet, Thick Skull</t>
  </si>
  <si>
    <t>Hubris Rukarth</t>
  </si>
  <si>
    <t>Loner, Block, Dirty Player, Jump Up, Mighty Blow, Strip Ball</t>
  </si>
  <si>
    <t>Humerus Carpal</t>
  </si>
  <si>
    <t>Loner, Catch, Dodge, Regeneration, Nerves of Steel</t>
  </si>
  <si>
    <t>Icepelt Hammerblow</t>
  </si>
  <si>
    <t>Loner, Claws, Disturbing Presence, Frenzy, Regeneration, Thick Skull</t>
  </si>
  <si>
    <t>Ithaca Benoin</t>
  </si>
  <si>
    <t>Loner, Accurate, Dump Off, Nerves of Steel, Pass, Regeneration, Sure Hands</t>
  </si>
  <si>
    <t>Loner, Dodge, Leap, Multiple Block, Shadowing Stab</t>
  </si>
  <si>
    <t>J Earlice</t>
  </si>
  <si>
    <t>Loner, Catch, Diving Catch, Dodge, Sprint</t>
  </si>
  <si>
    <t>Jordell Fleshbreeze</t>
  </si>
  <si>
    <t>Loner, Block, Diving Catch, Dodge, Leap, Side Step</t>
  </si>
  <si>
    <t>Karla Von Kill</t>
  </si>
  <si>
    <t>Loner, Block, Dauntless, Dodge, Jump Up</t>
  </si>
  <si>
    <t>King Boombastic</t>
  </si>
  <si>
    <t>Loner, Break Tackle, Grab, Mighty Blow, Piling On, Wild Animal</t>
  </si>
  <si>
    <t>Kreek Rustgouger</t>
  </si>
  <si>
    <t>Loner, Ball &amp; Chain, Mighty Blow, No Hands, Prehensile Tail, Secret Weapon</t>
  </si>
  <si>
    <t>Lewdgrip Whiparm</t>
  </si>
  <si>
    <t>Loner, Pass, Strong Arm, Sure Hands, Tentacles</t>
  </si>
  <si>
    <t>Lord Borak the Despoiler</t>
  </si>
  <si>
    <t>Loner, Block, Dirty Player, Mighty Blow</t>
  </si>
  <si>
    <t>Lottabottol</t>
  </si>
  <si>
    <t>Loner, Catch, Diving Tackle, Jump Up, Leap, Pass Block, Shadowing, Very Long Legs</t>
  </si>
  <si>
    <t>Lucien the Swift</t>
  </si>
  <si>
    <t>Loner, Block, Mighty Blow, Tackle</t>
  </si>
  <si>
    <t>Madcap Miggz</t>
  </si>
  <si>
    <t>Loner, Break Tackle, Claw, Leap, Very Long Legs, Wild Animal</t>
  </si>
  <si>
    <t>Max Spleenripper</t>
  </si>
  <si>
    <t>Loner, Chainsaw, Secret Weapon</t>
  </si>
  <si>
    <t>Mighty Zug</t>
  </si>
  <si>
    <t>Loner, Block, Mighty Blow</t>
  </si>
  <si>
    <t>Morg'n'Thorg</t>
  </si>
  <si>
    <t>Loner, Block, Might Blow, Thick Skull, Throw Team-Mate</t>
  </si>
  <si>
    <t>Nobbla Blackwart</t>
  </si>
  <si>
    <t>Loner, Block, Dodge, Chainsaw, Secret Weapon, Stunty</t>
  </si>
  <si>
    <t>Prince Moranion</t>
  </si>
  <si>
    <t>Loner, Block, Dauntless, Tackle, Wrestle</t>
  </si>
  <si>
    <t>Quetzal Leap</t>
  </si>
  <si>
    <t>Loner, Catch, Diving Catch, Fend, Kick Off Return, Leap, Nerves of Steel, Very Long Legs</t>
  </si>
  <si>
    <t>Ramtut III</t>
  </si>
  <si>
    <t>Loner, Break Tackle, Mighty Blow, Regeneration, Wrestle</t>
  </si>
  <si>
    <t>Rashnak Backstabber</t>
  </si>
  <si>
    <t>Valen the Swift</t>
  </si>
  <si>
    <t>Loner, Dodge, Side Step, Sneaky Git, Stab</t>
  </si>
  <si>
    <t>Ripper Bolgrot</t>
  </si>
  <si>
    <t>Loner, Grab, Mighty Blow, Regeneration, Throw Team-Mate</t>
  </si>
  <si>
    <t>Roxanna Darknall</t>
  </si>
  <si>
    <t>Loner, Dodge, Frenzy, Jump Up, Juggernaut, Leap</t>
  </si>
  <si>
    <t>Scrappa Sorehead</t>
  </si>
  <si>
    <t>Loner, Dirty Player, Dodge, Leap, Right Stuff, Sprint, Stunty, Sure Feet, Very Long Legs</t>
  </si>
  <si>
    <t>Setekh</t>
  </si>
  <si>
    <t>Loner, Block, Break Tackle, Juggernaut, Regeneration, Strip Ball</t>
  </si>
  <si>
    <t>Sinnedbad</t>
  </si>
  <si>
    <t>Loner, Block, Jump Up, Pass Block, Regeneration, Secret Weapon, Side Step, Stab</t>
  </si>
  <si>
    <t>Skitter Stab-Stab</t>
  </si>
  <si>
    <t>Loner, Dodge, Prehensile Tail, Shadowing, Stab</t>
  </si>
  <si>
    <t>Slibli</t>
  </si>
  <si>
    <t>Loner, Block, Grab, Guard, Stand Firm</t>
  </si>
  <si>
    <t>Soaren Hightower</t>
  </si>
  <si>
    <t>Loner, Fend, Kick Off Return, Pass, Safe Throw, Sure Hands, Strong Arm</t>
  </si>
  <si>
    <t>Ugroth Bolgrot</t>
  </si>
  <si>
    <t>Loner, Accurate, Nerves of Steel, Pass, Safe Throw, Sure Hands</t>
  </si>
  <si>
    <t>Varag Ghoul-Chewer</t>
  </si>
  <si>
    <t>Loner, Block, Jump Up, Mighty Blow, Thick Skull</t>
  </si>
  <si>
    <t>Wilhelm Chaney</t>
  </si>
  <si>
    <t>Loner, Catch, Claws, Frenzy, Regeneration, Wrestle</t>
  </si>
  <si>
    <t>Willow Rosebark</t>
  </si>
  <si>
    <t>Loner, Dauntless, Side Step, Thick Skull</t>
  </si>
  <si>
    <t>Zara the Slayer</t>
  </si>
  <si>
    <t>Loner, Block, Dauntless, Dodge, Jump Up, Stab, Stakes</t>
  </si>
  <si>
    <t>Zzharg Madeye</t>
  </si>
  <si>
    <t>Loner, Hail Mary Pass, Pass, Secret Weapon, Strong Arm, Sure Hands, Tackle, Thick Skull</t>
  </si>
  <si>
    <t>Title</t>
  </si>
  <si>
    <t>Race+Title</t>
  </si>
  <si>
    <t>Max</t>
  </si>
  <si>
    <t>Normal</t>
  </si>
  <si>
    <t>Double</t>
  </si>
  <si>
    <t>Races</t>
  </si>
  <si>
    <t>Reroll Cost</t>
  </si>
  <si>
    <t>General</t>
  </si>
  <si>
    <t>Agility</t>
  </si>
  <si>
    <t>Strength</t>
  </si>
  <si>
    <t>Passing</t>
  </si>
  <si>
    <t>Mutation</t>
  </si>
  <si>
    <t>Extraordinary</t>
  </si>
  <si>
    <t>No Apothecary</t>
  </si>
  <si>
    <t>Necromancer as Head Coach?</t>
  </si>
  <si>
    <t>Normals</t>
  </si>
  <si>
    <t>Doubles</t>
  </si>
  <si>
    <t>G</t>
  </si>
  <si>
    <t>ASP</t>
  </si>
  <si>
    <t>Catch</t>
  </si>
  <si>
    <t>Break Tackle</t>
  </si>
  <si>
    <t>Big Hand</t>
  </si>
  <si>
    <t>Always Hungry</t>
  </si>
  <si>
    <t>No</t>
  </si>
  <si>
    <t>Block, Dodge</t>
  </si>
  <si>
    <t>GS</t>
  </si>
  <si>
    <t>AP</t>
  </si>
  <si>
    <t>Dodge, Pass</t>
  </si>
  <si>
    <t>GP</t>
  </si>
  <si>
    <t>AS</t>
  </si>
  <si>
    <t>Dauntless</t>
  </si>
  <si>
    <t>Diving Catch</t>
  </si>
  <si>
    <t>Grab</t>
  </si>
  <si>
    <t>Dump-off</t>
  </si>
  <si>
    <t>Claws</t>
  </si>
  <si>
    <t>Animosity</t>
  </si>
  <si>
    <t>Yes</t>
  </si>
  <si>
    <t/>
  </si>
  <si>
    <t>A</t>
  </si>
  <si>
    <t>P</t>
  </si>
  <si>
    <t>Dodge, Catch</t>
  </si>
  <si>
    <t>GA</t>
  </si>
  <si>
    <t>SP</t>
  </si>
  <si>
    <t>Dirty Player</t>
  </si>
  <si>
    <t>Diving Tackle</t>
  </si>
  <si>
    <t>Hail Mary Pass</t>
  </si>
  <si>
    <t>Disturbing Presence</t>
  </si>
  <si>
    <t>Ball &amp; Chain</t>
  </si>
  <si>
    <t>Fend</t>
  </si>
  <si>
    <t>Extra Arms</t>
  </si>
  <si>
    <t>Blood Lust</t>
  </si>
  <si>
    <t>Frenzy</t>
  </si>
  <si>
    <t>Jump Up</t>
  </si>
  <si>
    <t>Nerves of Steel</t>
  </si>
  <si>
    <t>Foul Appearance</t>
  </si>
  <si>
    <t>Bombardier</t>
  </si>
  <si>
    <t>Yeoman</t>
  </si>
  <si>
    <t>Block, Catch, Dauntless</t>
  </si>
  <si>
    <t>GAP</t>
  </si>
  <si>
    <t>Horns</t>
  </si>
  <si>
    <t>Bone-Head</t>
  </si>
  <si>
    <t>Kick-Off Return</t>
  </si>
  <si>
    <t>Pass Block</t>
  </si>
  <si>
    <t>Piling On</t>
  </si>
  <si>
    <t>Safe Throw</t>
  </si>
  <si>
    <t>Prehensile Tail</t>
  </si>
  <si>
    <t>Chainsaw</t>
  </si>
  <si>
    <t>GSM</t>
  </si>
  <si>
    <t>Sneaky Grit</t>
  </si>
  <si>
    <t>Tentacles</t>
  </si>
  <si>
    <t>Decay</t>
  </si>
  <si>
    <t>Pro</t>
  </si>
  <si>
    <t>Sprint</t>
  </si>
  <si>
    <t>Strong Arm</t>
  </si>
  <si>
    <t>Two Heads</t>
  </si>
  <si>
    <t>Fan Favorite</t>
  </si>
  <si>
    <t>Shadowing</t>
  </si>
  <si>
    <t>Loner, Frenzy, Horns, Mighty Blow, Thick Skull, Wild Animal</t>
  </si>
  <si>
    <t>SM</t>
  </si>
  <si>
    <t>Sure Feet</t>
  </si>
  <si>
    <t>Thick Skull</t>
  </si>
  <si>
    <t>Very Long Legs</t>
  </si>
  <si>
    <t>Hypnotic Gaze</t>
  </si>
  <si>
    <t>Loner</t>
  </si>
  <si>
    <t>Block, Tackle, Thick Skull</t>
  </si>
  <si>
    <t>APM</t>
  </si>
  <si>
    <t>Monstrous Mouth</t>
  </si>
  <si>
    <t>Sprint, Sure Feet, Thick Skull</t>
  </si>
  <si>
    <t>No Hands</t>
  </si>
  <si>
    <t>GAPM</t>
  </si>
  <si>
    <t>Nurgle's Rot</t>
  </si>
  <si>
    <t>GSPM</t>
  </si>
  <si>
    <t>Really Stupid</t>
  </si>
  <si>
    <t>Goblin Renegade</t>
  </si>
  <si>
    <t>Animosity, Dodge, Right Stuff, Stunty</t>
  </si>
  <si>
    <t>AM</t>
  </si>
  <si>
    <t>GSP</t>
  </si>
  <si>
    <t>Regeneration</t>
  </si>
  <si>
    <t>Skaven Renegade</t>
  </si>
  <si>
    <t>GM</t>
  </si>
  <si>
    <t>Right Stuff</t>
  </si>
  <si>
    <t>GAM</t>
  </si>
  <si>
    <t>Secret Weapon</t>
  </si>
  <si>
    <t>Stab</t>
  </si>
  <si>
    <t>Loner, Always Hungry, Mighty Blow, Really Stupid, Regeneration, Throw Team-mate</t>
  </si>
  <si>
    <t>Stakes</t>
  </si>
  <si>
    <t>Loner, Bone-head, Mighty Blow, Thick Skull, Throw Team-mate</t>
  </si>
  <si>
    <t>Stunty</t>
  </si>
  <si>
    <t>Loner, Frenzy, Wild Animal, Horns, Mighty Blow, Thick Skull</t>
  </si>
  <si>
    <t>Swoop</t>
  </si>
  <si>
    <t>Take Root</t>
  </si>
  <si>
    <t>Horns, Juggernaut, Regeneration</t>
  </si>
  <si>
    <t>GAS</t>
  </si>
  <si>
    <t>Throw Team-mate</t>
  </si>
  <si>
    <t>Frenzy, Horns, Juggernaut</t>
  </si>
  <si>
    <t>Timmm-ber!</t>
  </si>
  <si>
    <t>Loner, Frenzy, Wild Animal, Claw, Horns, Juggernaut, Regeneration</t>
  </si>
  <si>
    <t>Titchy</t>
  </si>
  <si>
    <t>Wild Animal</t>
  </si>
  <si>
    <t>Dump-Off</t>
  </si>
  <si>
    <t>Shadowing, Stab</t>
  </si>
  <si>
    <t>Frenzy, Dodge, Jump Up</t>
  </si>
  <si>
    <t>Sure Hands, Thick Skull</t>
  </si>
  <si>
    <t>Block, Thick Skull</t>
  </si>
  <si>
    <t>Troll Slayer</t>
  </si>
  <si>
    <t>Block, Dauntless, Frenzy, Thick Skull</t>
  </si>
  <si>
    <t>Deathroller</t>
  </si>
  <si>
    <t>Loner, Break Tackle, Dirty Player, Juggernaut, Mighty Blow, No Hands, Secret Weapon, Stand Firm</t>
  </si>
  <si>
    <t>Catch, Nerves of Steel</t>
  </si>
  <si>
    <t>Pass</t>
  </si>
  <si>
    <t>Block, Side Step</t>
  </si>
  <si>
    <t>Dodge, Right Stuff, Stunty</t>
  </si>
  <si>
    <t>Doom Diver</t>
  </si>
  <si>
    <t>Disturbing Presence, Dodge, Fan Favorite, Right Stuff, Stunty</t>
  </si>
  <si>
    <t>Right Stuff, Stunty, Swoop</t>
  </si>
  <si>
    <t>Bomma</t>
  </si>
  <si>
    <t>Bombardier, Dodge, Secret Weapon, Stunty</t>
  </si>
  <si>
    <t>Looney</t>
  </si>
  <si>
    <t>Chainsaw, Secret Weapon, Stunty</t>
  </si>
  <si>
    <t>Fanatic</t>
  </si>
  <si>
    <t>Pogoer</t>
  </si>
  <si>
    <t>Ball &amp; Chain, No Hands, Secret Weapon, Stunty</t>
  </si>
  <si>
    <t>Dodge, Leap, Stunty, Very Long Legs</t>
  </si>
  <si>
    <t>Ooligan</t>
  </si>
  <si>
    <t>Hopeful</t>
  </si>
  <si>
    <t>Mighty Blow, Stand Firm, Strong Arm, Take Root, Thick Skull, Throw Team-mate, Timmm-ber!</t>
  </si>
  <si>
    <t>Pass, Safe Throw</t>
  </si>
  <si>
    <t>Pass, Sure Hands</t>
  </si>
  <si>
    <t>Loner, Bone-Head, Mighty Blow, Thick Skull, Throw Team-mate</t>
  </si>
  <si>
    <t>Regeneration, Thick Skull</t>
  </si>
  <si>
    <t>Tomb Guardian</t>
  </si>
  <si>
    <t>Decay, Regeneration</t>
  </si>
  <si>
    <t>Blitz-Ra</t>
  </si>
  <si>
    <t>Block, Regeneration</t>
  </si>
  <si>
    <t>Thro-Ra</t>
  </si>
  <si>
    <t>Pass, Regeneration, Sure Hands</t>
  </si>
  <si>
    <t>Dodge, Stunty</t>
  </si>
  <si>
    <t>Loner, Bone-Head, Mighty Blow, Prehensile Tail, Thick Skull</t>
  </si>
  <si>
    <t>Claws, Frenzy, Regeneration</t>
  </si>
  <si>
    <t>Flesh Golem</t>
  </si>
  <si>
    <t>Stand Firm, Thick Skull, Regeneration</t>
  </si>
  <si>
    <t>Block, Frenzy, Jump Up</t>
  </si>
  <si>
    <t>Block, Dauntless</t>
  </si>
  <si>
    <t>Block, Pass</t>
  </si>
  <si>
    <t>Loner, Claws, Disturbing Presence, Frenzy, Wild Animal</t>
  </si>
  <si>
    <t>Decay, Nurgle's Rot</t>
  </si>
  <si>
    <t>Horns, Nurgle's Rot, Regeneration</t>
  </si>
  <si>
    <t>Disturbing Presence, Foul Appearance, Nurgle's Rot, Regeneration</t>
  </si>
  <si>
    <t>Loner, Disturbing Presence, Foul Appearance, Mighty Blow, Nurgle's Rot, Really Stupid, Regeneration, Tentacles</t>
  </si>
  <si>
    <t>Snotling</t>
  </si>
  <si>
    <t>Dodge, Right Stuff, Stunty, Side Step, Titchy</t>
  </si>
  <si>
    <t>Bone-Head, Mighty Blow, Thick Skull, Throw Team-mate</t>
  </si>
  <si>
    <t>Right Stuff, Dodge, Stunty</t>
  </si>
  <si>
    <t>Sure Hands, Pass</t>
  </si>
  <si>
    <t>Black Orc</t>
  </si>
  <si>
    <t>Bonobo</t>
  </si>
  <si>
    <t>Gorilla</t>
  </si>
  <si>
    <t>Extra Arms, Grab</t>
  </si>
  <si>
    <t>Chimpanzee</t>
  </si>
  <si>
    <t>Extra Arms, Wrestle</t>
  </si>
  <si>
    <t>Orangutan</t>
  </si>
  <si>
    <t>Extra Arms, Strong Arm</t>
  </si>
  <si>
    <t>Silverback</t>
  </si>
  <si>
    <t>Loner, Wild Animal, Extra Arms, Grab, Mighty Blow</t>
  </si>
  <si>
    <t>ASPM</t>
  </si>
  <si>
    <t>Dodge, Weeping Dagger</t>
  </si>
  <si>
    <t>SPM</t>
  </si>
  <si>
    <t>ASM</t>
  </si>
  <si>
    <t>Loner, Frenzy, Mighty Blow, Prehensile Tail, Wild Animal</t>
  </si>
  <si>
    <t>Leap, Very Long Legs</t>
  </si>
  <si>
    <t>Diving Catch, Leap, Very Long Legs</t>
  </si>
  <si>
    <t>Diving Tackle, Jump Up, Leap, Very Long Legs</t>
  </si>
  <si>
    <t>Loner, Bone-head, Mighty Blow, Prehensile Tail, Thick Skull</t>
  </si>
  <si>
    <t>Mighty Blow, Regeneration</t>
  </si>
  <si>
    <t>Skaven Blitzer</t>
  </si>
  <si>
    <t>Animosity, Block</t>
  </si>
  <si>
    <t>Skaven Lineman</t>
  </si>
  <si>
    <t>Skaven Thrower</t>
  </si>
  <si>
    <t>Animosity, Pass, Sure Hands</t>
  </si>
  <si>
    <t>GPM</t>
  </si>
  <si>
    <t>Thrall</t>
  </si>
  <si>
    <t>Blood Lust, Hypnotic Gaze, Regeneration</t>
  </si>
  <si>
    <t>Catch, Dodge, Sprint</t>
  </si>
  <si>
    <t>Block, Dodge, Leap</t>
  </si>
  <si>
    <t>Loner, Mighty Blow, Stand Firm, Strong Arm, Take Root, Thick Skull, Throw Team-mate</t>
  </si>
</sst>
</file>

<file path=xl/styles.xml><?xml version="1.0" encoding="utf-8"?>
<styleSheet xmlns="http://schemas.openxmlformats.org/spreadsheetml/2006/main">
  <numFmts count="3">
    <numFmt numFmtId="164" formatCode="#,##0\ \g\p"/>
    <numFmt numFmtId="166" formatCode="&quot;$&quot;#,##0.00"/>
    <numFmt numFmtId="167" formatCode="\+\1;\-\1;\+0"/>
  </numFmts>
  <fonts count="29">
    <font>
      <sz val="10"/>
      <color rgb="FF000000"/>
      <name val="Arial"/>
    </font>
    <font>
      <sz val="8"/>
      <name val="Arial"/>
    </font>
    <font>
      <b/>
      <sz val="10"/>
      <name val="Arial"/>
    </font>
    <font>
      <sz val="10"/>
      <name val="Arial"/>
    </font>
    <font>
      <sz val="6"/>
      <name val="Arial"/>
    </font>
    <font>
      <sz val="8"/>
      <name val="Arial"/>
    </font>
    <font>
      <sz val="6"/>
      <color rgb="FF333333"/>
      <name val="Arial"/>
    </font>
    <font>
      <b/>
      <sz val="10"/>
      <name val="Arial"/>
    </font>
    <font>
      <b/>
      <sz val="8"/>
      <name val="Arial"/>
    </font>
    <font>
      <sz val="8"/>
      <color rgb="FF006200"/>
      <name val="Arial"/>
    </font>
    <font>
      <sz val="7"/>
      <color rgb="FF808080"/>
      <name val="Arial"/>
    </font>
    <font>
      <b/>
      <sz val="7"/>
      <color rgb="FF800000"/>
      <name val="Arial"/>
    </font>
    <font>
      <sz val="7"/>
      <name val="Arial"/>
    </font>
    <font>
      <sz val="10"/>
      <name val="Arial"/>
    </font>
    <font>
      <b/>
      <strike/>
      <sz val="8"/>
      <name val="Arial"/>
    </font>
    <font>
      <strike/>
      <sz val="8"/>
      <name val="Arial"/>
    </font>
    <font>
      <strike/>
      <sz val="8"/>
      <color rgb="FF006200"/>
      <name val="Arial"/>
    </font>
    <font>
      <strike/>
      <sz val="7"/>
      <color rgb="FF808080"/>
      <name val="Arial"/>
    </font>
    <font>
      <b/>
      <strike/>
      <sz val="7"/>
      <color rgb="FF800000"/>
      <name val="Arial"/>
    </font>
    <font>
      <strike/>
      <sz val="7"/>
      <name val="Arial"/>
    </font>
    <font>
      <sz val="8"/>
      <color rgb="FF333333"/>
      <name val="Arial"/>
    </font>
    <font>
      <b/>
      <sz val="14"/>
      <name val="Arial"/>
    </font>
    <font>
      <sz val="10"/>
      <name val="Arial"/>
    </font>
    <font>
      <u/>
      <sz val="7"/>
      <color rgb="FF808080"/>
      <name val="Arial"/>
    </font>
    <font>
      <sz val="7"/>
      <color rgb="FF333333"/>
      <name val="Arial"/>
    </font>
    <font>
      <b/>
      <sz val="18"/>
      <name val="Arial"/>
    </font>
    <font>
      <sz val="10"/>
      <name val="Arial"/>
    </font>
    <font>
      <sz val="10"/>
      <color rgb="FF666666"/>
      <name val="Arial"/>
    </font>
    <font>
      <sz val="8"/>
      <color rgb="FF666666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ADAD"/>
        <bgColor rgb="FFADADAD"/>
      </patternFill>
    </fill>
    <fill>
      <patternFill patternType="solid">
        <fgColor rgb="FFD5D5D5"/>
        <bgColor rgb="FFD5D5D5"/>
      </patternFill>
    </fill>
    <fill>
      <patternFill patternType="solid">
        <fgColor rgb="FFEBFFFF"/>
        <bgColor rgb="FFEBFFFF"/>
      </patternFill>
    </fill>
    <fill>
      <patternFill patternType="solid">
        <fgColor rgb="FF99CCFF"/>
        <bgColor rgb="FF99CCFF"/>
      </patternFill>
    </fill>
    <fill>
      <patternFill patternType="solid">
        <fgColor rgb="FFCFF4FD"/>
        <bgColor rgb="FFCFF4F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7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shrinkToFi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4" fillId="3" borderId="18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3" xfId="0" applyFont="1" applyFill="1" applyBorder="1" applyAlignment="1">
      <alignment horizontal="center" wrapText="1"/>
    </xf>
    <xf numFmtId="0" fontId="4" fillId="3" borderId="24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/>
    </xf>
    <xf numFmtId="49" fontId="1" fillId="3" borderId="19" xfId="0" applyNumberFormat="1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vertical="center" shrinkToFit="1"/>
    </xf>
    <xf numFmtId="0" fontId="1" fillId="0" borderId="7" xfId="0" applyFont="1" applyBorder="1" applyAlignment="1">
      <alignment horizontal="center" vertical="center" shrinkToFit="1"/>
    </xf>
    <xf numFmtId="0" fontId="8" fillId="4" borderId="30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36" xfId="0" applyFont="1" applyFill="1" applyBorder="1" applyAlignment="1">
      <alignment horizontal="center" vertical="center"/>
    </xf>
    <xf numFmtId="0" fontId="12" fillId="7" borderId="37" xfId="0" applyFont="1" applyFill="1" applyBorder="1" applyAlignment="1">
      <alignment horizontal="center" vertical="center" shrinkToFit="1"/>
    </xf>
    <xf numFmtId="0" fontId="12" fillId="7" borderId="6" xfId="0" applyFont="1" applyFill="1" applyBorder="1" applyAlignment="1">
      <alignment horizontal="center" vertical="center" shrinkToFit="1"/>
    </xf>
    <xf numFmtId="0" fontId="12" fillId="7" borderId="38" xfId="0" applyFont="1" applyFill="1" applyBorder="1" applyAlignment="1">
      <alignment horizontal="center" vertical="center" shrinkToFit="1"/>
    </xf>
    <xf numFmtId="0" fontId="12" fillId="5" borderId="39" xfId="0" applyFont="1" applyFill="1" applyBorder="1" applyAlignment="1">
      <alignment horizontal="center" vertical="center" shrinkToFit="1"/>
    </xf>
    <xf numFmtId="0" fontId="12" fillId="5" borderId="6" xfId="0" applyFont="1" applyFill="1" applyBorder="1" applyAlignment="1">
      <alignment horizontal="center" vertical="center" shrinkToFit="1"/>
    </xf>
    <xf numFmtId="0" fontId="12" fillId="5" borderId="36" xfId="0" applyFont="1" applyFill="1" applyBorder="1" applyAlignment="1">
      <alignment horizontal="center" vertical="center" shrinkToFit="1"/>
    </xf>
    <xf numFmtId="0" fontId="1" fillId="4" borderId="37" xfId="0" applyFont="1" applyFill="1" applyBorder="1" applyAlignment="1">
      <alignment horizontal="center" vertical="center" shrinkToFit="1"/>
    </xf>
    <xf numFmtId="164" fontId="1" fillId="4" borderId="38" xfId="0" applyNumberFormat="1" applyFont="1" applyFill="1" applyBorder="1" applyAlignment="1">
      <alignment horizontal="right" vertical="center" shrinkToFit="1"/>
    </xf>
    <xf numFmtId="164" fontId="1" fillId="4" borderId="43" xfId="0" applyNumberFormat="1" applyFont="1" applyFill="1" applyBorder="1" applyAlignment="1">
      <alignment horizontal="center" vertical="center" shrinkToFit="1"/>
    </xf>
    <xf numFmtId="3" fontId="12" fillId="5" borderId="39" xfId="0" applyNumberFormat="1" applyFont="1" applyFill="1" applyBorder="1" applyAlignment="1">
      <alignment horizontal="center" vertical="center" shrinkToFit="1"/>
    </xf>
    <xf numFmtId="166" fontId="1" fillId="0" borderId="0" xfId="0" applyNumberFormat="1" applyFont="1" applyAlignment="1">
      <alignment vertical="center"/>
    </xf>
    <xf numFmtId="3" fontId="12" fillId="5" borderId="6" xfId="0" applyNumberFormat="1" applyFont="1" applyFill="1" applyBorder="1" applyAlignment="1">
      <alignment horizontal="center" vertical="center" shrinkToFit="1"/>
    </xf>
    <xf numFmtId="3" fontId="13" fillId="5" borderId="6" xfId="0" applyNumberFormat="1" applyFont="1" applyFill="1" applyBorder="1"/>
    <xf numFmtId="164" fontId="13" fillId="8" borderId="44" xfId="0" applyNumberFormat="1" applyFont="1" applyFill="1" applyBorder="1"/>
    <xf numFmtId="0" fontId="1" fillId="8" borderId="8" xfId="0" applyFont="1" applyFill="1" applyBorder="1" applyAlignment="1">
      <alignment horizontal="right" vertical="center"/>
    </xf>
    <xf numFmtId="164" fontId="1" fillId="9" borderId="8" xfId="0" applyNumberFormat="1" applyFont="1" applyFill="1" applyBorder="1" applyAlignment="1">
      <alignment horizontal="center" vertical="center"/>
    </xf>
    <xf numFmtId="0" fontId="3" fillId="0" borderId="26" xfId="0" applyFont="1" applyBorder="1"/>
    <xf numFmtId="0" fontId="3" fillId="0" borderId="0" xfId="0" applyFont="1" applyAlignment="1">
      <alignment vertical="center"/>
    </xf>
    <xf numFmtId="0" fontId="5" fillId="1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8" fillId="5" borderId="46" xfId="0" applyFont="1" applyFill="1" applyBorder="1" applyAlignment="1">
      <alignment vertical="center" shrinkToFit="1"/>
    </xf>
    <xf numFmtId="0" fontId="1" fillId="0" borderId="16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4" borderId="46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35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 shrinkToFit="1"/>
    </xf>
    <xf numFmtId="0" fontId="12" fillId="7" borderId="12" xfId="0" applyFont="1" applyFill="1" applyBorder="1" applyAlignment="1">
      <alignment horizontal="center" vertical="center" shrinkToFit="1"/>
    </xf>
    <xf numFmtId="0" fontId="12" fillId="7" borderId="16" xfId="0" applyFont="1" applyFill="1" applyBorder="1" applyAlignment="1">
      <alignment horizontal="center" vertical="center" shrinkToFit="1"/>
    </xf>
    <xf numFmtId="0" fontId="12" fillId="5" borderId="46" xfId="0" applyFont="1" applyFill="1" applyBorder="1" applyAlignment="1">
      <alignment horizontal="center" vertical="center" shrinkToFit="1"/>
    </xf>
    <xf numFmtId="0" fontId="12" fillId="5" borderId="12" xfId="0" applyFont="1" applyFill="1" applyBorder="1" applyAlignment="1">
      <alignment horizontal="center" vertical="center" shrinkToFit="1"/>
    </xf>
    <xf numFmtId="0" fontId="12" fillId="5" borderId="12" xfId="0" applyFont="1" applyFill="1" applyBorder="1" applyAlignment="1">
      <alignment horizontal="center" vertical="center" shrinkToFit="1"/>
    </xf>
    <xf numFmtId="0" fontId="12" fillId="5" borderId="35" xfId="0" applyFont="1" applyFill="1" applyBorder="1" applyAlignment="1">
      <alignment horizontal="center" vertical="center" shrinkToFit="1"/>
    </xf>
    <xf numFmtId="0" fontId="1" fillId="4" borderId="10" xfId="0" applyFont="1" applyFill="1" applyBorder="1" applyAlignment="1">
      <alignment horizontal="center" vertical="center" shrinkToFit="1"/>
    </xf>
    <xf numFmtId="164" fontId="1" fillId="4" borderId="45" xfId="0" applyNumberFormat="1" applyFont="1" applyFill="1" applyBorder="1" applyAlignment="1">
      <alignment horizontal="center" vertical="center" shrinkToFit="1"/>
    </xf>
    <xf numFmtId="3" fontId="12" fillId="5" borderId="46" xfId="0" applyNumberFormat="1" applyFont="1" applyFill="1" applyBorder="1" applyAlignment="1">
      <alignment horizontal="center" vertical="center" shrinkToFit="1"/>
    </xf>
    <xf numFmtId="3" fontId="12" fillId="5" borderId="12" xfId="0" applyNumberFormat="1" applyFont="1" applyFill="1" applyBorder="1" applyAlignment="1">
      <alignment horizontal="center" vertical="center" shrinkToFit="1"/>
    </xf>
    <xf numFmtId="0" fontId="1" fillId="11" borderId="8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 wrapText="1"/>
    </xf>
    <xf numFmtId="164" fontId="1" fillId="4" borderId="38" xfId="0" applyNumberFormat="1" applyFont="1" applyFill="1" applyBorder="1" applyAlignment="1">
      <alignment horizontal="right" vertical="center" shrinkToFit="1"/>
    </xf>
    <xf numFmtId="0" fontId="1" fillId="11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5" borderId="46" xfId="0" applyFont="1" applyFill="1" applyBorder="1" applyAlignment="1">
      <alignment vertical="center" shrinkToFit="1"/>
    </xf>
    <xf numFmtId="0" fontId="9" fillId="2" borderId="16" xfId="0" applyFont="1" applyFill="1" applyBorder="1" applyAlignment="1">
      <alignment horizontal="center" vertical="center" wrapText="1"/>
    </xf>
    <xf numFmtId="3" fontId="12" fillId="5" borderId="12" xfId="0" applyNumberFormat="1" applyFont="1" applyFill="1" applyBorder="1" applyAlignment="1">
      <alignment horizontal="center" vertical="center" shrinkToFit="1"/>
    </xf>
    <xf numFmtId="0" fontId="1" fillId="12" borderId="28" xfId="0" applyFont="1" applyFill="1" applyBorder="1" applyAlignment="1">
      <alignment horizontal="center" vertical="center"/>
    </xf>
    <xf numFmtId="164" fontId="1" fillId="9" borderId="30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164" fontId="1" fillId="13" borderId="32" xfId="0" applyNumberFormat="1" applyFont="1" applyFill="1" applyBorder="1" applyAlignment="1">
      <alignment horizontal="center" vertical="center"/>
    </xf>
    <xf numFmtId="0" fontId="12" fillId="5" borderId="46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9" borderId="5" xfId="0" applyFont="1" applyFill="1" applyBorder="1" applyAlignment="1">
      <alignment horizontal="center" vertical="center"/>
    </xf>
    <xf numFmtId="167" fontId="1" fillId="10" borderId="38" xfId="0" applyNumberFormat="1" applyFont="1" applyFill="1" applyBorder="1" applyAlignment="1">
      <alignment horizontal="center" vertical="center"/>
    </xf>
    <xf numFmtId="164" fontId="1" fillId="4" borderId="45" xfId="0" applyNumberFormat="1" applyFont="1" applyFill="1" applyBorder="1" applyAlignment="1">
      <alignment horizontal="center" vertical="center" shrinkToFit="1"/>
    </xf>
    <xf numFmtId="0" fontId="1" fillId="12" borderId="45" xfId="0" applyFont="1" applyFill="1" applyBorder="1" applyAlignment="1">
      <alignment horizontal="center" vertical="center"/>
    </xf>
    <xf numFmtId="164" fontId="1" fillId="9" borderId="46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164" fontId="1" fillId="13" borderId="35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167" fontId="1" fillId="10" borderId="1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9" borderId="46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167" fontId="1" fillId="10" borderId="16" xfId="0" applyNumberFormat="1" applyFont="1" applyFill="1" applyBorder="1" applyAlignment="1">
      <alignment horizontal="center" vertical="center"/>
    </xf>
    <xf numFmtId="164" fontId="1" fillId="13" borderId="35" xfId="0" applyNumberFormat="1" applyFont="1" applyFill="1" applyBorder="1" applyAlignment="1">
      <alignment horizontal="center" vertical="center"/>
    </xf>
    <xf numFmtId="3" fontId="12" fillId="5" borderId="46" xfId="0" applyNumberFormat="1" applyFont="1" applyFill="1" applyBorder="1" applyAlignment="1">
      <alignment horizontal="center" vertical="center" shrinkToFit="1"/>
    </xf>
    <xf numFmtId="0" fontId="12" fillId="7" borderId="12" xfId="0" applyFont="1" applyFill="1" applyBorder="1" applyAlignment="1">
      <alignment horizontal="center" vertical="center" shrinkToFit="1"/>
    </xf>
    <xf numFmtId="0" fontId="1" fillId="12" borderId="47" xfId="0" applyFont="1" applyFill="1" applyBorder="1" applyAlignment="1">
      <alignment horizontal="center" vertical="center"/>
    </xf>
    <xf numFmtId="164" fontId="1" fillId="9" borderId="48" xfId="0" applyNumberFormat="1" applyFont="1" applyFill="1" applyBorder="1" applyAlignment="1">
      <alignment horizontal="center" vertical="center"/>
    </xf>
    <xf numFmtId="164" fontId="1" fillId="2" borderId="27" xfId="0" applyNumberFormat="1" applyFont="1" applyFill="1" applyBorder="1" applyAlignment="1">
      <alignment horizontal="center" vertical="center"/>
    </xf>
    <xf numFmtId="164" fontId="1" fillId="13" borderId="49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 vertical="center"/>
    </xf>
    <xf numFmtId="0" fontId="14" fillId="5" borderId="46" xfId="0" applyFont="1" applyFill="1" applyBorder="1" applyAlignment="1">
      <alignment vertical="center" shrinkToFit="1"/>
    </xf>
    <xf numFmtId="0" fontId="1" fillId="13" borderId="27" xfId="0" applyFont="1" applyFill="1" applyBorder="1" applyAlignment="1">
      <alignment horizontal="center" vertical="center"/>
    </xf>
    <xf numFmtId="167" fontId="1" fillId="10" borderId="40" xfId="0" applyNumberFormat="1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shrinkToFit="1"/>
    </xf>
    <xf numFmtId="0" fontId="15" fillId="4" borderId="46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7" fillId="4" borderId="46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right" vertical="center"/>
    </xf>
    <xf numFmtId="0" fontId="18" fillId="6" borderId="12" xfId="0" applyFont="1" applyFill="1" applyBorder="1" applyAlignment="1">
      <alignment horizontal="center" vertical="center"/>
    </xf>
    <xf numFmtId="0" fontId="18" fillId="6" borderId="35" xfId="0" applyFont="1" applyFill="1" applyBorder="1" applyAlignment="1">
      <alignment horizontal="center" vertical="center"/>
    </xf>
    <xf numFmtId="164" fontId="1" fillId="4" borderId="19" xfId="0" applyNumberFormat="1" applyFont="1" applyFill="1" applyBorder="1" applyAlignment="1">
      <alignment horizontal="center" vertical="center"/>
    </xf>
    <xf numFmtId="0" fontId="19" fillId="7" borderId="10" xfId="0" applyFont="1" applyFill="1" applyBorder="1" applyAlignment="1">
      <alignment horizontal="center" vertical="center" shrinkToFit="1"/>
    </xf>
    <xf numFmtId="0" fontId="1" fillId="4" borderId="18" xfId="0" applyFont="1" applyFill="1" applyBorder="1" applyAlignment="1">
      <alignment horizontal="center" vertical="center"/>
    </xf>
    <xf numFmtId="0" fontId="19" fillId="7" borderId="12" xfId="0" applyFont="1" applyFill="1" applyBorder="1" applyAlignment="1">
      <alignment horizontal="center" vertical="center" shrinkToFit="1"/>
    </xf>
    <xf numFmtId="0" fontId="1" fillId="4" borderId="14" xfId="0" applyFont="1" applyFill="1" applyBorder="1" applyAlignment="1">
      <alignment horizontal="center" vertical="center"/>
    </xf>
    <xf numFmtId="0" fontId="19" fillId="7" borderId="16" xfId="0" applyFont="1" applyFill="1" applyBorder="1" applyAlignment="1">
      <alignment horizontal="center" vertical="center" shrinkToFit="1"/>
    </xf>
    <xf numFmtId="3" fontId="13" fillId="5" borderId="6" xfId="0" applyNumberFormat="1" applyFont="1" applyFill="1" applyBorder="1" applyAlignment="1"/>
    <xf numFmtId="0" fontId="19" fillId="5" borderId="46" xfId="0" applyFont="1" applyFill="1" applyBorder="1" applyAlignment="1">
      <alignment horizontal="center" vertical="center" shrinkToFit="1"/>
    </xf>
    <xf numFmtId="3" fontId="1" fillId="4" borderId="11" xfId="0" applyNumberFormat="1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 shrinkToFit="1"/>
    </xf>
    <xf numFmtId="0" fontId="1" fillId="3" borderId="47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 shrinkToFit="1"/>
    </xf>
    <xf numFmtId="0" fontId="8" fillId="5" borderId="50" xfId="0" applyFont="1" applyFill="1" applyBorder="1" applyAlignment="1">
      <alignment vertical="center" shrinkToFit="1"/>
    </xf>
    <xf numFmtId="0" fontId="19" fillId="5" borderId="35" xfId="0" applyFont="1" applyFill="1" applyBorder="1" applyAlignment="1">
      <alignment horizontal="center" vertical="center" shrinkToFit="1"/>
    </xf>
    <xf numFmtId="0" fontId="1" fillId="0" borderId="31" xfId="0" applyFont="1" applyBorder="1" applyAlignment="1">
      <alignment horizontal="center" vertical="center" shrinkToFit="1"/>
    </xf>
    <xf numFmtId="0" fontId="15" fillId="4" borderId="10" xfId="0" applyFont="1" applyFill="1" applyBorder="1" applyAlignment="1">
      <alignment horizontal="center" vertical="center" shrinkToFit="1"/>
    </xf>
    <xf numFmtId="0" fontId="8" fillId="4" borderId="50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1" fillId="4" borderId="50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0" fontId="1" fillId="4" borderId="46" xfId="0" applyFont="1" applyFill="1" applyBorder="1" applyAlignment="1">
      <alignment horizontal="center" vertical="center" wrapText="1"/>
    </xf>
    <xf numFmtId="0" fontId="10" fillId="4" borderId="50" xfId="0" applyFont="1" applyFill="1" applyBorder="1" applyAlignment="1">
      <alignment horizontal="center" vertical="center"/>
    </xf>
    <xf numFmtId="0" fontId="11" fillId="6" borderId="29" xfId="0" applyFont="1" applyFill="1" applyBorder="1" applyAlignment="1">
      <alignment horizontal="center" vertical="center"/>
    </xf>
    <xf numFmtId="0" fontId="11" fillId="6" borderId="29" xfId="0" applyFont="1" applyFill="1" applyBorder="1" applyAlignment="1">
      <alignment horizontal="center" vertical="center"/>
    </xf>
    <xf numFmtId="0" fontId="11" fillId="6" borderId="51" xfId="0" applyFont="1" applyFill="1" applyBorder="1" applyAlignment="1">
      <alignment horizontal="center" vertical="center"/>
    </xf>
    <xf numFmtId="0" fontId="12" fillId="7" borderId="52" xfId="0" applyFont="1" applyFill="1" applyBorder="1" applyAlignment="1">
      <alignment horizontal="center" vertical="center" shrinkToFit="1"/>
    </xf>
    <xf numFmtId="0" fontId="12" fillId="7" borderId="29" xfId="0" applyFont="1" applyFill="1" applyBorder="1" applyAlignment="1">
      <alignment horizontal="center" vertical="center" shrinkToFit="1"/>
    </xf>
    <xf numFmtId="0" fontId="12" fillId="7" borderId="31" xfId="0" applyFont="1" applyFill="1" applyBorder="1" applyAlignment="1">
      <alignment horizontal="center" vertical="center" shrinkToFit="1"/>
    </xf>
    <xf numFmtId="0" fontId="12" fillId="5" borderId="50" xfId="0" applyFont="1" applyFill="1" applyBorder="1" applyAlignment="1">
      <alignment horizontal="center" vertical="center" shrinkToFit="1"/>
    </xf>
    <xf numFmtId="0" fontId="12" fillId="5" borderId="29" xfId="0" applyFont="1" applyFill="1" applyBorder="1" applyAlignment="1">
      <alignment horizontal="center" vertical="center" shrinkToFit="1"/>
    </xf>
    <xf numFmtId="0" fontId="12" fillId="5" borderId="29" xfId="0" applyFont="1" applyFill="1" applyBorder="1" applyAlignment="1">
      <alignment horizontal="center" vertical="center" shrinkToFit="1"/>
    </xf>
    <xf numFmtId="0" fontId="12" fillId="5" borderId="51" xfId="0" applyFont="1" applyFill="1" applyBorder="1" applyAlignment="1">
      <alignment horizontal="center" vertical="center" shrinkToFit="1"/>
    </xf>
    <xf numFmtId="0" fontId="1" fillId="4" borderId="52" xfId="0" applyFont="1" applyFill="1" applyBorder="1" applyAlignment="1">
      <alignment horizontal="center" vertical="center" shrinkToFit="1"/>
    </xf>
    <xf numFmtId="164" fontId="1" fillId="4" borderId="47" xfId="0" applyNumberFormat="1" applyFont="1" applyFill="1" applyBorder="1" applyAlignment="1">
      <alignment horizontal="center" vertical="center" shrinkToFit="1"/>
    </xf>
    <xf numFmtId="3" fontId="12" fillId="5" borderId="48" xfId="0" applyNumberFormat="1" applyFont="1" applyFill="1" applyBorder="1" applyAlignment="1">
      <alignment horizontal="center" vertical="center" shrinkToFit="1"/>
    </xf>
    <xf numFmtId="3" fontId="12" fillId="5" borderId="27" xfId="0" applyNumberFormat="1" applyFont="1" applyFill="1" applyBorder="1" applyAlignment="1">
      <alignment horizontal="center" vertical="center" shrinkToFit="1"/>
    </xf>
    <xf numFmtId="3" fontId="13" fillId="5" borderId="22" xfId="0" applyNumberFormat="1" applyFont="1" applyFill="1" applyBorder="1"/>
    <xf numFmtId="164" fontId="13" fillId="8" borderId="53" xfId="0" applyNumberFormat="1" applyFont="1" applyFill="1" applyBorder="1"/>
    <xf numFmtId="0" fontId="3" fillId="0" borderId="0" xfId="0" applyFont="1" applyAlignment="1">
      <alignment horizontal="center"/>
    </xf>
    <xf numFmtId="164" fontId="20" fillId="3" borderId="19" xfId="0" applyNumberFormat="1" applyFont="1" applyFill="1" applyBorder="1" applyAlignment="1">
      <alignment horizontal="right" vertical="center" shrinkToFit="1"/>
    </xf>
    <xf numFmtId="0" fontId="3" fillId="0" borderId="0" xfId="0" applyFont="1" applyAlignment="1">
      <alignment horizontal="center" vertical="center"/>
    </xf>
    <xf numFmtId="0" fontId="1" fillId="5" borderId="6" xfId="0" applyFont="1" applyFill="1" applyBorder="1" applyAlignment="1">
      <alignment horizontal="center" vertical="center" shrinkToFit="1"/>
    </xf>
    <xf numFmtId="0" fontId="1" fillId="3" borderId="59" xfId="0" applyFont="1" applyFill="1" applyBorder="1" applyAlignment="1">
      <alignment horizontal="center" vertical="center"/>
    </xf>
    <xf numFmtId="164" fontId="1" fillId="4" borderId="60" xfId="0" applyNumberFormat="1" applyFont="1" applyFill="1" applyBorder="1" applyAlignment="1">
      <alignment horizontal="right" vertical="center" shrinkToFit="1"/>
    </xf>
    <xf numFmtId="0" fontId="1" fillId="4" borderId="12" xfId="0" applyFont="1" applyFill="1" applyBorder="1" applyAlignment="1">
      <alignment horizontal="center" vertical="center" shrinkToFit="1"/>
    </xf>
    <xf numFmtId="0" fontId="1" fillId="3" borderId="62" xfId="0" applyFont="1" applyFill="1" applyBorder="1" applyAlignment="1">
      <alignment horizontal="center" vertical="center"/>
    </xf>
    <xf numFmtId="3" fontId="1" fillId="4" borderId="12" xfId="0" applyNumberFormat="1" applyFont="1" applyFill="1" applyBorder="1" applyAlignment="1">
      <alignment horizontal="center" vertical="center" shrinkToFit="1"/>
    </xf>
    <xf numFmtId="164" fontId="1" fillId="4" borderId="64" xfId="0" applyNumberFormat="1" applyFont="1" applyFill="1" applyBorder="1" applyAlignment="1">
      <alignment horizontal="right" vertical="center" shrinkToFit="1"/>
    </xf>
    <xf numFmtId="0" fontId="5" fillId="3" borderId="4" xfId="0" applyFont="1" applyFill="1" applyBorder="1" applyAlignment="1">
      <alignment horizontal="center" vertical="center"/>
    </xf>
    <xf numFmtId="164" fontId="5" fillId="4" borderId="7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 shrinkToFit="1"/>
    </xf>
    <xf numFmtId="0" fontId="1" fillId="3" borderId="6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64" fontId="1" fillId="4" borderId="16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164" fontId="1" fillId="4" borderId="40" xfId="0" applyNumberFormat="1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right" vertical="center"/>
    </xf>
    <xf numFmtId="164" fontId="1" fillId="4" borderId="23" xfId="0" applyNumberFormat="1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 shrinkToFit="1"/>
    </xf>
    <xf numFmtId="0" fontId="1" fillId="3" borderId="71" xfId="0" applyFont="1" applyFill="1" applyBorder="1" applyAlignment="1">
      <alignment horizontal="center" vertical="center"/>
    </xf>
    <xf numFmtId="0" fontId="8" fillId="0" borderId="0" xfId="0" applyFont="1" applyAlignment="1">
      <alignment vertical="center" shrinkToFit="1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23" fillId="0" borderId="0" xfId="0" applyFont="1" applyAlignment="1">
      <alignment vertical="center"/>
    </xf>
    <xf numFmtId="0" fontId="20" fillId="0" borderId="0" xfId="0" applyFont="1" applyAlignment="1">
      <alignment horizontal="center" vertical="center" shrinkToFit="1"/>
    </xf>
    <xf numFmtId="0" fontId="20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right" vertical="center"/>
    </xf>
    <xf numFmtId="3" fontId="20" fillId="0" borderId="0" xfId="0" applyNumberFormat="1" applyFont="1" applyAlignment="1">
      <alignment horizontal="right" vertical="center" shrinkToFit="1"/>
    </xf>
    <xf numFmtId="0" fontId="5" fillId="15" borderId="0" xfId="0" applyFont="1" applyFill="1"/>
    <xf numFmtId="0" fontId="5" fillId="15" borderId="0" xfId="0" applyFont="1" applyFill="1" applyAlignment="1">
      <alignment horizontal="center"/>
    </xf>
    <xf numFmtId="0" fontId="5" fillId="15" borderId="74" xfId="0" applyFont="1" applyFill="1" applyBorder="1"/>
    <xf numFmtId="0" fontId="3" fillId="0" borderId="74" xfId="0" applyFont="1" applyBorder="1"/>
    <xf numFmtId="0" fontId="5" fillId="15" borderId="0" xfId="0" applyFont="1" applyFill="1"/>
    <xf numFmtId="0" fontId="8" fillId="5" borderId="46" xfId="0" applyFont="1" applyFill="1" applyBorder="1" applyAlignment="1">
      <alignment vertical="center" shrinkToFit="1"/>
    </xf>
    <xf numFmtId="0" fontId="12" fillId="7" borderId="29" xfId="0" applyFont="1" applyFill="1" applyBorder="1" applyAlignment="1">
      <alignment horizontal="center" vertical="center" shrinkToFit="1"/>
    </xf>
    <xf numFmtId="3" fontId="12" fillId="5" borderId="27" xfId="0" applyNumberFormat="1" applyFont="1" applyFill="1" applyBorder="1" applyAlignment="1">
      <alignment horizontal="center" vertical="center" shrinkToFit="1"/>
    </xf>
    <xf numFmtId="3" fontId="13" fillId="5" borderId="22" xfId="0" applyNumberFormat="1" applyFont="1" applyFill="1" applyBorder="1" applyAlignment="1"/>
    <xf numFmtId="0" fontId="9" fillId="2" borderId="16" xfId="0" quotePrefix="1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 shrinkToFit="1"/>
    </xf>
    <xf numFmtId="164" fontId="1" fillId="9" borderId="48" xfId="0" applyNumberFormat="1" applyFont="1" applyFill="1" applyBorder="1" applyAlignment="1">
      <alignment horizontal="center" vertical="center"/>
    </xf>
    <xf numFmtId="164" fontId="1" fillId="2" borderId="27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 vertical="center"/>
    </xf>
    <xf numFmtId="0" fontId="1" fillId="13" borderId="27" xfId="0" applyFont="1" applyFill="1" applyBorder="1" applyAlignment="1">
      <alignment horizontal="center" vertical="center"/>
    </xf>
    <xf numFmtId="167" fontId="1" fillId="10" borderId="40" xfId="0" applyNumberFormat="1" applyFont="1" applyFill="1" applyBorder="1" applyAlignment="1">
      <alignment horizontal="center" vertical="center"/>
    </xf>
    <xf numFmtId="0" fontId="8" fillId="5" borderId="4" xfId="0" applyFont="1" applyFill="1" applyBorder="1" applyAlignment="1">
      <alignment vertical="center"/>
    </xf>
    <xf numFmtId="0" fontId="8" fillId="5" borderId="37" xfId="0" applyFont="1" applyFill="1" applyBorder="1" applyAlignment="1">
      <alignment vertical="center"/>
    </xf>
    <xf numFmtId="0" fontId="8" fillId="5" borderId="37" xfId="0" applyFont="1" applyFill="1" applyBorder="1" applyAlignment="1">
      <alignment vertical="center"/>
    </xf>
    <xf numFmtId="0" fontId="12" fillId="7" borderId="10" xfId="0" applyFont="1" applyFill="1" applyBorder="1" applyAlignment="1">
      <alignment horizontal="center" vertical="center" shrinkToFit="1"/>
    </xf>
    <xf numFmtId="0" fontId="1" fillId="3" borderId="33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vertical="center" shrinkToFit="1"/>
    </xf>
    <xf numFmtId="0" fontId="1" fillId="0" borderId="64" xfId="0" applyFont="1" applyBorder="1" applyAlignment="1">
      <alignment horizontal="center" vertical="center" shrinkToFit="1"/>
    </xf>
    <xf numFmtId="0" fontId="8" fillId="5" borderId="39" xfId="0" applyFont="1" applyFill="1" applyBorder="1" applyAlignment="1">
      <alignment vertical="center" shrinkToFit="1"/>
    </xf>
    <xf numFmtId="0" fontId="3" fillId="0" borderId="0" xfId="0" applyFont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27" fillId="16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textRotation="180"/>
    </xf>
    <xf numFmtId="0" fontId="5" fillId="16" borderId="0" xfId="0" applyFont="1" applyFill="1" applyAlignment="1">
      <alignment vertical="center"/>
    </xf>
    <xf numFmtId="0" fontId="28" fillId="16" borderId="0" xfId="0" applyNumberFormat="1" applyFont="1" applyFill="1" applyAlignment="1">
      <alignment horizontal="center" vertical="center"/>
    </xf>
    <xf numFmtId="0" fontId="28" fillId="16" borderId="0" xfId="0" applyFont="1" applyFill="1" applyAlignment="1">
      <alignment horizontal="center" vertical="center"/>
    </xf>
    <xf numFmtId="0" fontId="3" fillId="0" borderId="0" xfId="0" applyFont="1" applyAlignment="1"/>
    <xf numFmtId="0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center" wrapText="1"/>
    </xf>
    <xf numFmtId="0" fontId="2" fillId="0" borderId="12" xfId="0" applyFont="1" applyBorder="1" applyAlignment="1"/>
    <xf numFmtId="3" fontId="2" fillId="0" borderId="12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2" fillId="0" borderId="12" xfId="0" applyNumberFormat="1" applyFont="1" applyBorder="1" applyAlignment="1"/>
    <xf numFmtId="0" fontId="2" fillId="0" borderId="0" xfId="0" applyFont="1"/>
    <xf numFmtId="0" fontId="2" fillId="0" borderId="0" xfId="0" applyFont="1" applyAlignment="1"/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0" fontId="3" fillId="0" borderId="75" xfId="0" applyFont="1" applyBorder="1" applyAlignment="1">
      <alignment horizontal="center"/>
    </xf>
    <xf numFmtId="0" fontId="3" fillId="0" borderId="76" xfId="0" applyFont="1" applyBorder="1" applyAlignment="1">
      <alignment horizontal="center"/>
    </xf>
    <xf numFmtId="0" fontId="13" fillId="2" borderId="0" xfId="0" applyFont="1" applyFill="1" applyAlignment="1"/>
    <xf numFmtId="3" fontId="13" fillId="2" borderId="0" xfId="0" applyNumberFormat="1" applyFont="1" applyFill="1" applyAlignment="1">
      <alignment horizontal="right"/>
    </xf>
    <xf numFmtId="3" fontId="13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75" xfId="0" applyFont="1" applyBorder="1" applyAlignment="1">
      <alignment horizontal="center"/>
    </xf>
    <xf numFmtId="0" fontId="3" fillId="0" borderId="76" xfId="0" applyFont="1" applyBorder="1" applyAlignment="1">
      <alignment horizontal="center"/>
    </xf>
    <xf numFmtId="3" fontId="3" fillId="0" borderId="0" xfId="0" applyNumberFormat="1" applyFont="1"/>
    <xf numFmtId="0" fontId="13" fillId="0" borderId="0" xfId="0" applyFont="1" applyAlignment="1"/>
    <xf numFmtId="3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/>
    <xf numFmtId="3" fontId="3" fillId="0" borderId="0" xfId="0" applyNumberFormat="1" applyFont="1" applyAlignment="1">
      <alignment horizontal="center"/>
    </xf>
    <xf numFmtId="0" fontId="3" fillId="0" borderId="34" xfId="0" applyFont="1" applyBorder="1"/>
    <xf numFmtId="0" fontId="3" fillId="0" borderId="42" xfId="0" applyFont="1" applyBorder="1"/>
    <xf numFmtId="164" fontId="1" fillId="3" borderId="63" xfId="0" applyNumberFormat="1" applyFont="1" applyFill="1" applyBorder="1" applyAlignment="1">
      <alignment horizontal="center" vertical="center"/>
    </xf>
    <xf numFmtId="0" fontId="3" fillId="0" borderId="64" xfId="0" applyFont="1" applyBorder="1"/>
    <xf numFmtId="0" fontId="22" fillId="5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 shrinkToFit="1"/>
    </xf>
    <xf numFmtId="0" fontId="3" fillId="0" borderId="46" xfId="0" applyFont="1" applyBorder="1"/>
    <xf numFmtId="0" fontId="20" fillId="3" borderId="54" xfId="0" applyFont="1" applyFill="1" applyBorder="1" applyAlignment="1">
      <alignment horizontal="right" vertical="center"/>
    </xf>
    <xf numFmtId="0" fontId="3" fillId="0" borderId="54" xfId="0" applyFont="1" applyBorder="1"/>
    <xf numFmtId="0" fontId="3" fillId="0" borderId="19" xfId="0" applyFont="1" applyBorder="1"/>
    <xf numFmtId="0" fontId="21" fillId="5" borderId="26" xfId="0" applyFont="1" applyFill="1" applyBorder="1" applyAlignment="1">
      <alignment horizontal="center" vertical="center"/>
    </xf>
    <xf numFmtId="0" fontId="0" fillId="0" borderId="0" xfId="0" applyFont="1" applyAlignment="1"/>
    <xf numFmtId="0" fontId="3" fillId="0" borderId="55" xfId="0" applyFont="1" applyBorder="1"/>
    <xf numFmtId="0" fontId="3" fillId="0" borderId="26" xfId="0" applyFont="1" applyBorder="1"/>
    <xf numFmtId="0" fontId="3" fillId="0" borderId="66" xfId="0" applyFont="1" applyBorder="1"/>
    <xf numFmtId="0" fontId="3" fillId="0" borderId="58" xfId="0" applyFont="1" applyBorder="1"/>
    <xf numFmtId="0" fontId="3" fillId="0" borderId="44" xfId="0" applyFont="1" applyBorder="1"/>
    <xf numFmtId="164" fontId="1" fillId="3" borderId="57" xfId="0" applyNumberFormat="1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 shrinkToFit="1"/>
    </xf>
    <xf numFmtId="0" fontId="3" fillId="0" borderId="39" xfId="0" applyFont="1" applyBorder="1"/>
    <xf numFmtId="0" fontId="1" fillId="3" borderId="69" xfId="0" applyFont="1" applyFill="1" applyBorder="1" applyAlignment="1">
      <alignment horizontal="center" vertical="center" shrinkToFit="1"/>
    </xf>
    <xf numFmtId="0" fontId="3" fillId="0" borderId="68" xfId="0" applyFont="1" applyBorder="1"/>
    <xf numFmtId="0" fontId="3" fillId="0" borderId="70" xfId="0" applyFont="1" applyBorder="1"/>
    <xf numFmtId="0" fontId="8" fillId="3" borderId="6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1" xfId="0" applyFont="1" applyBorder="1"/>
    <xf numFmtId="0" fontId="3" fillId="0" borderId="53" xfId="0" applyFont="1" applyBorder="1"/>
    <xf numFmtId="0" fontId="1" fillId="3" borderId="0" xfId="0" applyFont="1" applyFill="1" applyAlignment="1">
      <alignment horizontal="center" vertical="center"/>
    </xf>
    <xf numFmtId="0" fontId="3" fillId="0" borderId="56" xfId="0" applyFont="1" applyBorder="1"/>
    <xf numFmtId="0" fontId="3" fillId="0" borderId="65" xfId="0" applyFont="1" applyBorder="1"/>
    <xf numFmtId="0" fontId="1" fillId="3" borderId="6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3" fillId="0" borderId="67" xfId="0" applyFont="1" applyBorder="1"/>
    <xf numFmtId="164" fontId="22" fillId="4" borderId="69" xfId="0" applyNumberFormat="1" applyFont="1" applyFill="1" applyBorder="1" applyAlignment="1">
      <alignment horizontal="center" vertical="center"/>
    </xf>
    <xf numFmtId="164" fontId="22" fillId="4" borderId="33" xfId="0" applyNumberFormat="1" applyFont="1" applyFill="1" applyBorder="1" applyAlignment="1">
      <alignment horizontal="center" vertical="center"/>
    </xf>
    <xf numFmtId="164" fontId="1" fillId="3" borderId="72" xfId="0" applyNumberFormat="1" applyFont="1" applyFill="1" applyBorder="1" applyAlignment="1">
      <alignment horizontal="center" vertical="center"/>
    </xf>
    <xf numFmtId="0" fontId="3" fillId="0" borderId="73" xfId="0" applyFont="1" applyBorder="1"/>
    <xf numFmtId="0" fontId="1" fillId="3" borderId="33" xfId="0" applyFont="1" applyFill="1" applyBorder="1" applyAlignment="1">
      <alignment horizontal="center" vertical="center" shrinkToFit="1"/>
    </xf>
    <xf numFmtId="0" fontId="1" fillId="3" borderId="63" xfId="0" applyFont="1" applyFill="1" applyBorder="1" applyAlignment="1">
      <alignment horizontal="center" vertical="center" shrinkToFit="1"/>
    </xf>
    <xf numFmtId="0" fontId="1" fillId="3" borderId="58" xfId="0" applyFont="1" applyFill="1" applyBorder="1" applyAlignment="1">
      <alignment horizontal="center" vertical="center" shrinkToFit="1"/>
    </xf>
    <xf numFmtId="0" fontId="25" fillId="5" borderId="26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/>
    </xf>
  </cellXfs>
  <cellStyles count="1">
    <cellStyle name="Normal" xfId="0" builtinId="0"/>
  </cellStyles>
  <dxfs count="411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6">
    <tableStyle name="Teams-style" pivot="0" count="3">
      <tableStyleElement type="headerRow" dxfId="410"/>
      <tableStyleElement type="firstRowStripe" dxfId="409"/>
      <tableStyleElement type="secondRowStripe" dxfId="408"/>
    </tableStyle>
    <tableStyle name="Printable-style" pivot="0" count="3">
      <tableStyleElement type="headerRow" dxfId="407"/>
      <tableStyleElement type="firstRowStripe" dxfId="406"/>
      <tableStyleElement type="secondRowStripe" dxfId="405"/>
    </tableStyle>
    <tableStyle name="DC-style" pivot="0" count="2">
      <tableStyleElement type="firstRowStripe" dxfId="404"/>
      <tableStyleElement type="secondRowStripe" dxfId="403"/>
    </tableStyle>
    <tableStyle name="Blank-style" pivot="0" count="2">
      <tableStyleElement type="firstRowStripe" dxfId="402"/>
      <tableStyleElement type="secondRowStripe" dxfId="401"/>
    </tableStyle>
    <tableStyle name="BB-style" pivot="0" count="2">
      <tableStyleElement type="firstRowStripe" dxfId="400"/>
      <tableStyleElement type="secondRowStripe" dxfId="399"/>
    </tableStyle>
    <tableStyle name="JR-style" pivot="0" count="2">
      <tableStyleElement type="firstRowStripe" dxfId="398"/>
      <tableStyleElement type="secondRowStripe" dxfId="397"/>
    </tableStyle>
    <tableStyle name="DH-style" pivot="0" count="2">
      <tableStyleElement type="firstRowStripe" dxfId="396"/>
      <tableStyleElement type="secondRowStripe" dxfId="395"/>
    </tableStyle>
    <tableStyle name="CT-style" pivot="0" count="2">
      <tableStyleElement type="firstRowStripe" dxfId="394"/>
      <tableStyleElement type="secondRowStripe" dxfId="393"/>
    </tableStyle>
    <tableStyle name="JV-style" pivot="0" count="2">
      <tableStyleElement type="firstRowStripe" dxfId="392"/>
      <tableStyleElement type="secondRowStripe" dxfId="391"/>
    </tableStyle>
    <tableStyle name="MQ-style" pivot="0" count="2">
      <tableStyleElement type="firstRowStripe" dxfId="390"/>
      <tableStyleElement type="secondRowStripe" dxfId="389"/>
    </tableStyle>
    <tableStyle name="KB-style" pivot="0" count="2">
      <tableStyleElement type="firstRowStripe" dxfId="388"/>
      <tableStyleElement type="secondRowStripe" dxfId="387"/>
    </tableStyle>
    <tableStyle name="PM-style" pivot="0" count="2">
      <tableStyleElement type="firstRowStripe" dxfId="386"/>
      <tableStyleElement type="secondRowStripe" dxfId="385"/>
    </tableStyle>
    <tableStyle name="PP-style" pivot="0" count="2">
      <tableStyleElement type="firstRowStripe" dxfId="384"/>
      <tableStyleElement type="secondRowStripe" dxfId="383"/>
    </tableStyle>
    <tableStyle name="RC-style" pivot="0" count="2">
      <tableStyleElement type="firstRowStripe" dxfId="382"/>
      <tableStyleElement type="secondRowStripe" dxfId="381"/>
    </tableStyle>
    <tableStyle name="TC-style" pivot="0" count="2">
      <tableStyleElement type="firstRowStripe" dxfId="380"/>
      <tableStyleElement type="secondRowStripe" dxfId="379"/>
    </tableStyle>
    <tableStyle name="TL-style" pivot="0" count="2">
      <tableStyleElement type="firstRowStripe" dxfId="378"/>
      <tableStyleElement type="secondRowStripe" dxfId="377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19</xdr:row>
      <xdr:rowOff>76200</xdr:rowOff>
    </xdr:from>
    <xdr:ext cx="2838450" cy="163830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W51"/>
  <sheetViews>
    <sheetView showGridLines="0" workbookViewId="0">
      <selection activeCell="AB10" sqref="AB10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6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337" t="s">
        <v>3</v>
      </c>
      <c r="Q2" s="329"/>
      <c r="R2" s="329"/>
      <c r="S2" s="330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14</v>
      </c>
      <c r="J3" s="21" t="s">
        <v>16</v>
      </c>
      <c r="K3" s="22" t="s">
        <v>0</v>
      </c>
      <c r="L3" s="23" t="s">
        <v>17</v>
      </c>
      <c r="M3" s="24" t="s">
        <v>19</v>
      </c>
      <c r="N3" s="24" t="s">
        <v>20</v>
      </c>
      <c r="O3" s="25" t="s">
        <v>21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23</v>
      </c>
      <c r="U3" s="30" t="s">
        <v>24</v>
      </c>
      <c r="V3" s="30" t="s">
        <v>9</v>
      </c>
      <c r="W3" s="30" t="s">
        <v>25</v>
      </c>
      <c r="X3" s="31" t="s">
        <v>26</v>
      </c>
      <c r="Y3" s="25" t="s">
        <v>27</v>
      </c>
      <c r="Z3" s="32" t="s">
        <v>10</v>
      </c>
      <c r="AA3" s="33" t="s">
        <v>11</v>
      </c>
      <c r="AB3" s="34" t="s">
        <v>28</v>
      </c>
      <c r="AC3" s="4"/>
      <c r="AD3" s="13" t="s">
        <v>29</v>
      </c>
      <c r="AE3" s="20" t="s">
        <v>19</v>
      </c>
      <c r="AF3" s="35" t="s">
        <v>30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31</v>
      </c>
      <c r="AL3" s="39" t="s">
        <v>32</v>
      </c>
      <c r="AM3" s="4"/>
      <c r="AN3" s="338" t="s">
        <v>33</v>
      </c>
      <c r="AO3" s="315"/>
      <c r="AP3" s="315"/>
      <c r="AQ3" s="315"/>
      <c r="AR3" s="339" t="s">
        <v>34</v>
      </c>
      <c r="AS3" s="315"/>
      <c r="AT3" s="315"/>
      <c r="AU3" s="315"/>
      <c r="AV3" s="315"/>
      <c r="AW3" s="12"/>
    </row>
    <row r="4" spans="1:49" ht="12.75">
      <c r="A4" s="2"/>
      <c r="B4" s="40">
        <v>1</v>
      </c>
      <c r="C4" s="41" t="s">
        <v>40</v>
      </c>
      <c r="D4" s="42" t="s">
        <v>41</v>
      </c>
      <c r="E4" s="43">
        <f>IFERROR(VLOOKUP($I$24&amp;$D4,'Database-Hidden'!$C$2:$J$121,4,FALSE)-P4+AG4,"")</f>
        <v>4</v>
      </c>
      <c r="F4" s="44">
        <f>IFERROR(VLOOKUP($I$24&amp;$D4,'Database-Hidden'!$C$2:$J$121,5,FALSE)-Q4+AH4,"")</f>
        <v>3</v>
      </c>
      <c r="G4" s="44">
        <f>IFERROR(VLOOKUP($I$24&amp;$D4,'Database-Hidden'!$C$2:$J$121,6,FALSE)-R4+AI4,"")</f>
        <v>2</v>
      </c>
      <c r="H4" s="45">
        <f>IFERROR(VLOOKUP($I$24&amp;$D4,'Database-Hidden'!$C$2:$J$121,7,FALSE)-S4+AJ4,"")</f>
        <v>9</v>
      </c>
      <c r="I4" s="46" t="str">
        <f>IFERROR(VLOOKUP($I$24&amp;$D4,'Database-Hidden'!$C$2:$J$121,8,FALSE),"")</f>
        <v>Block, Tackle, Thick Skull</v>
      </c>
      <c r="J4" s="74" t="s">
        <v>43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>
        <v>1</v>
      </c>
      <c r="W4" s="55">
        <v>4</v>
      </c>
      <c r="X4" s="52">
        <v>1</v>
      </c>
      <c r="Y4" s="52"/>
      <c r="Z4" s="56"/>
      <c r="AA4" s="57">
        <f t="shared" ref="AA4:AA19" si="1">2*T4+U4+3*V4+2*W4+5*Z4</f>
        <v>11</v>
      </c>
      <c r="AB4" s="58">
        <f t="shared" ref="AB4:AB19" si="2">IF(L4=1,0,AD4+(20000*O4)+(20000*AE4)+(30000*AF4)+(30000*AG4)+(50000*AH4)+(40000*AI4)+(50000*AJ4)+AK4)</f>
        <v>90000</v>
      </c>
      <c r="AC4" s="4"/>
      <c r="AD4" s="59">
        <f>IFERROR(VLOOKUP($I$24&amp;D4,'Database-Hidden'!$C$2:$E$121,3,FALSE),"")</f>
        <v>70000</v>
      </c>
      <c r="AE4" s="60">
        <v>1</v>
      </c>
      <c r="AF4" s="62"/>
      <c r="AG4" s="62"/>
      <c r="AH4" s="62"/>
      <c r="AI4" s="62"/>
      <c r="AJ4" s="62"/>
      <c r="AK4" s="63"/>
      <c r="AL4" s="64" t="str">
        <f>IF(LEFT($D4,6)&lt;&gt;"Star: ","",VLOOKUP(RIGHT($D4,LEN($D4)-6),'Star Players-Hidden'!$A$3:$AK$69,37,FALSE))</f>
        <v/>
      </c>
      <c r="AM4" s="4"/>
      <c r="AN4" s="65" t="s">
        <v>39</v>
      </c>
      <c r="AO4" s="66">
        <v>0</v>
      </c>
      <c r="AP4" s="4"/>
      <c r="AQ4" s="4"/>
      <c r="AR4" s="67"/>
      <c r="AS4" s="68"/>
      <c r="AT4" s="68"/>
      <c r="AU4" s="65" t="s">
        <v>42</v>
      </c>
      <c r="AV4" s="69">
        <v>2</v>
      </c>
      <c r="AW4" s="70"/>
    </row>
    <row r="5" spans="1:49" ht="12.75">
      <c r="A5" s="2"/>
      <c r="B5" s="71">
        <v>2</v>
      </c>
      <c r="C5" s="72" t="s">
        <v>44</v>
      </c>
      <c r="D5" s="73" t="s">
        <v>41</v>
      </c>
      <c r="E5" s="75">
        <f>IFERROR(VLOOKUP($I$24&amp;$D5,'Database-Hidden'!$C$2:$J$121,4,FALSE)-P5+AG5,"")</f>
        <v>4</v>
      </c>
      <c r="F5" s="76">
        <f>IFERROR(VLOOKUP($I$24&amp;$D5,'Database-Hidden'!$C$2:$J$121,5,FALSE)-Q5+AH5,"")</f>
        <v>3</v>
      </c>
      <c r="G5" s="76">
        <f>IFERROR(VLOOKUP($I$24&amp;$D5,'Database-Hidden'!$C$2:$J$121,6,FALSE)-R5+AI5,"")</f>
        <v>2</v>
      </c>
      <c r="H5" s="77">
        <f>IFERROR(VLOOKUP($I$24&amp;$D5,'Database-Hidden'!$C$2:$J$121,7,FALSE)-S5+AJ5,"")</f>
        <v>9</v>
      </c>
      <c r="I5" s="78" t="str">
        <f>IFERROR(VLOOKUP($I$24&amp;$D5,'Database-Hidden'!$C$2:$J$121,8,FALSE),"")</f>
        <v>Block, Tackle, Thick Skull</v>
      </c>
      <c r="J5" s="97" t="s">
        <v>43</v>
      </c>
      <c r="K5" s="80">
        <f t="shared" si="0"/>
        <v>1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/>
      <c r="W5" s="89">
        <v>2</v>
      </c>
      <c r="X5" s="85"/>
      <c r="Y5" s="85"/>
      <c r="Z5" s="90">
        <v>1</v>
      </c>
      <c r="AA5" s="91">
        <f t="shared" si="1"/>
        <v>9</v>
      </c>
      <c r="AB5" s="102">
        <f t="shared" si="2"/>
        <v>90000</v>
      </c>
      <c r="AC5" s="4"/>
      <c r="AD5" s="92">
        <f>IFERROR(VLOOKUP($I$24&amp;D5,'Database-Hidden'!$C$2:$E$121,3,FALSE),"")</f>
        <v>70000</v>
      </c>
      <c r="AE5" s="93">
        <v>1</v>
      </c>
      <c r="AF5" s="94"/>
      <c r="AG5" s="94"/>
      <c r="AH5" s="94"/>
      <c r="AI5" s="94"/>
      <c r="AJ5" s="94"/>
      <c r="AK5" s="63"/>
      <c r="AL5" s="64" t="str">
        <f>IF(LEFT($D5,6)&lt;&gt;"Star: ","",VLOOKUP(RIGHT($D5,LEN($D5)-6),'Star Players-Hidden'!$A$3:$AK$69,37,FALSE))</f>
        <v/>
      </c>
      <c r="AM5" s="1"/>
      <c r="AN5" s="95" t="s">
        <v>47</v>
      </c>
      <c r="AO5" s="96" t="s">
        <v>48</v>
      </c>
      <c r="AP5" s="98" t="s">
        <v>49</v>
      </c>
      <c r="AQ5" s="99" t="s">
        <v>50</v>
      </c>
      <c r="AR5" s="100" t="s">
        <v>51</v>
      </c>
      <c r="AS5" s="98" t="s">
        <v>52</v>
      </c>
      <c r="AT5" s="101" t="s">
        <v>53</v>
      </c>
      <c r="AU5" s="101" t="s">
        <v>54</v>
      </c>
      <c r="AV5" s="103" t="s">
        <v>2</v>
      </c>
      <c r="AW5" s="104"/>
    </row>
    <row r="6" spans="1:49" ht="12.75">
      <c r="A6" s="2"/>
      <c r="B6" s="71">
        <v>3</v>
      </c>
      <c r="C6" s="72" t="s">
        <v>56</v>
      </c>
      <c r="D6" s="73" t="s">
        <v>41</v>
      </c>
      <c r="E6" s="75">
        <f>IFERROR(VLOOKUP($I$24&amp;$D6,'Database-Hidden'!$C$2:$J$121,4,FALSE)-P6+AG6,"")</f>
        <v>4</v>
      </c>
      <c r="F6" s="76">
        <f>IFERROR(VLOOKUP($I$24&amp;$D6,'Database-Hidden'!$C$2:$J$121,5,FALSE)-Q6+AH6,"")</f>
        <v>3</v>
      </c>
      <c r="G6" s="76">
        <f>IFERROR(VLOOKUP($I$24&amp;$D6,'Database-Hidden'!$C$2:$J$121,6,FALSE)-R6+AI6,"")</f>
        <v>2</v>
      </c>
      <c r="H6" s="77">
        <f>IFERROR(VLOOKUP($I$24&amp;$D6,'Database-Hidden'!$C$2:$J$121,7,FALSE)-S6+AJ6,"")</f>
        <v>9</v>
      </c>
      <c r="I6" s="78" t="str">
        <f>IFERROR(VLOOKUP($I$24&amp;$D6,'Database-Hidden'!$C$2:$J$121,8,FALSE),"")</f>
        <v>Block, Tackle, Thick Skull</v>
      </c>
      <c r="J6" s="111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113">
        <v>1</v>
      </c>
      <c r="U6" s="88"/>
      <c r="V6" s="88"/>
      <c r="W6" s="89">
        <v>1</v>
      </c>
      <c r="X6" s="85"/>
      <c r="Y6" s="85"/>
      <c r="Z6" s="90"/>
      <c r="AA6" s="91">
        <f t="shared" si="1"/>
        <v>4</v>
      </c>
      <c r="AB6" s="58">
        <f t="shared" si="2"/>
        <v>70000</v>
      </c>
      <c r="AC6" s="4"/>
      <c r="AD6" s="92">
        <f>IFERROR(VLOOKUP($I$24&amp;D6,'Database-Hidden'!$C$2:$E$121,3,FALSE),"")</f>
        <v>70000</v>
      </c>
      <c r="AE6" s="93"/>
      <c r="AF6" s="107"/>
      <c r="AG6" s="107"/>
      <c r="AH6" s="107"/>
      <c r="AI6" s="107"/>
      <c r="AJ6" s="107"/>
      <c r="AK6" s="63"/>
      <c r="AL6" s="64" t="str">
        <f>IF(LEFT($D6,6)&lt;&gt;"Star: ","",VLOOKUP(RIGHT($D6,LEN($D6)-6),'Star Players-Hidden'!$A$3:$AK$69,37,FALSE))</f>
        <v/>
      </c>
      <c r="AM6" s="4"/>
      <c r="AN6" s="108" t="s">
        <v>57</v>
      </c>
      <c r="AO6" s="109">
        <v>80000</v>
      </c>
      <c r="AP6" s="110">
        <v>0</v>
      </c>
      <c r="AQ6" s="112"/>
      <c r="AR6" s="114" t="s">
        <v>60</v>
      </c>
      <c r="AS6" s="115" t="s">
        <v>61</v>
      </c>
      <c r="AT6" s="118">
        <v>2</v>
      </c>
      <c r="AU6" s="116">
        <v>2</v>
      </c>
      <c r="AV6" s="119">
        <v>1</v>
      </c>
      <c r="AW6" s="117"/>
    </row>
    <row r="7" spans="1:49" ht="12.75">
      <c r="A7" s="2"/>
      <c r="B7" s="71">
        <v>4</v>
      </c>
      <c r="C7" s="72" t="s">
        <v>62</v>
      </c>
      <c r="D7" s="73" t="s">
        <v>41</v>
      </c>
      <c r="E7" s="75">
        <f>IFERROR(VLOOKUP($I$24&amp;$D7,'Database-Hidden'!$C$2:$J$121,4,FALSE)-P7+AG7,"")</f>
        <v>4</v>
      </c>
      <c r="F7" s="76">
        <f>IFERROR(VLOOKUP($I$24&amp;$D7,'Database-Hidden'!$C$2:$J$121,5,FALSE)-Q7+AH7,"")</f>
        <v>3</v>
      </c>
      <c r="G7" s="76">
        <f>IFERROR(VLOOKUP($I$24&amp;$D7,'Database-Hidden'!$C$2:$J$121,6,FALSE)-R7+AI7,"")</f>
        <v>2</v>
      </c>
      <c r="H7" s="77">
        <f>IFERROR(VLOOKUP($I$24&amp;$D7,'Database-Hidden'!$C$2:$J$121,7,FALSE)-S7+AJ7,"")</f>
        <v>9</v>
      </c>
      <c r="I7" s="78" t="str">
        <f>IFERROR(VLOOKUP($I$24&amp;$D7,'Database-Hidden'!$C$2:$J$121,8,FALSE),"")</f>
        <v>Block, Tackle, Thick Skull</v>
      </c>
      <c r="J7" s="97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85"/>
      <c r="Z7" s="90"/>
      <c r="AA7" s="91">
        <f t="shared" si="1"/>
        <v>0</v>
      </c>
      <c r="AB7" s="58">
        <f t="shared" si="2"/>
        <v>70000</v>
      </c>
      <c r="AC7" s="4"/>
      <c r="AD7" s="120">
        <f>IFERROR(VLOOKUP($I$24&amp;D7,'Database-Hidden'!$C$2:$E$121,3,FALSE),"")</f>
        <v>70000</v>
      </c>
      <c r="AE7" s="93"/>
      <c r="AF7" s="107"/>
      <c r="AG7" s="107"/>
      <c r="AH7" s="107"/>
      <c r="AI7" s="107"/>
      <c r="AJ7" s="107"/>
      <c r="AK7" s="63"/>
      <c r="AL7" s="64" t="str">
        <f>IF(LEFT($D7,6)&lt;&gt;"Star: ","",VLOOKUP(RIGHT($D7,LEN($D7)-6),'Star Players-Hidden'!$A$3:$AK$69,37,FALSE))</f>
        <v/>
      </c>
      <c r="AM7" s="4"/>
      <c r="AN7" s="121" t="s">
        <v>63</v>
      </c>
      <c r="AO7" s="131">
        <v>80000</v>
      </c>
      <c r="AP7" s="132">
        <v>90000</v>
      </c>
      <c r="AQ7" s="124"/>
      <c r="AR7" s="133" t="s">
        <v>64</v>
      </c>
      <c r="AS7" s="134" t="s">
        <v>66</v>
      </c>
      <c r="AT7" s="135">
        <v>1</v>
      </c>
      <c r="AU7" s="136">
        <v>1</v>
      </c>
      <c r="AV7" s="129">
        <f>1</f>
        <v>1</v>
      </c>
      <c r="AW7" s="130"/>
    </row>
    <row r="8" spans="1:49" ht="12.75">
      <c r="A8" s="2"/>
      <c r="B8" s="71">
        <v>5</v>
      </c>
      <c r="C8" s="72" t="s">
        <v>70</v>
      </c>
      <c r="D8" s="73" t="s">
        <v>41</v>
      </c>
      <c r="E8" s="75">
        <f>IFERROR(VLOOKUP($I$24&amp;$D8,'Database-Hidden'!$C$2:$J$121,4,FALSE)-P8+AG8,"")</f>
        <v>4</v>
      </c>
      <c r="F8" s="76">
        <f>IFERROR(VLOOKUP($I$24&amp;$D8,'Database-Hidden'!$C$2:$J$121,5,FALSE)-Q8+AH8,"")</f>
        <v>3</v>
      </c>
      <c r="G8" s="76">
        <f>IFERROR(VLOOKUP($I$24&amp;$D8,'Database-Hidden'!$C$2:$J$121,6,FALSE)-R8+AI8,"")</f>
        <v>2</v>
      </c>
      <c r="H8" s="77">
        <f>IFERROR(VLOOKUP($I$24&amp;$D8,'Database-Hidden'!$C$2:$J$121,7,FALSE)-S8+AJ8,"")</f>
        <v>9</v>
      </c>
      <c r="I8" s="78" t="str">
        <f>IFERROR(VLOOKUP($I$24&amp;$D8,'Database-Hidden'!$C$2:$J$121,8,FALSE),"")</f>
        <v>Block, Tackle, Thick Skull</v>
      </c>
      <c r="J8" s="97" t="s">
        <v>43</v>
      </c>
      <c r="K8" s="80">
        <f t="shared" si="0"/>
        <v>1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9">
        <v>1</v>
      </c>
      <c r="W8" s="88"/>
      <c r="X8" s="85"/>
      <c r="Y8" s="85"/>
      <c r="Z8" s="90">
        <v>1</v>
      </c>
      <c r="AA8" s="91">
        <f t="shared" si="1"/>
        <v>8</v>
      </c>
      <c r="AB8" s="58">
        <f t="shared" si="2"/>
        <v>90000</v>
      </c>
      <c r="AC8" s="4"/>
      <c r="AD8" s="120">
        <f>IFERROR(VLOOKUP($I$24&amp;D8,'Database-Hidden'!$C$2:$E$121,3,FALSE),"")</f>
        <v>70000</v>
      </c>
      <c r="AE8" s="93">
        <v>1</v>
      </c>
      <c r="AF8" s="107"/>
      <c r="AG8" s="107"/>
      <c r="AH8" s="107"/>
      <c r="AI8" s="107"/>
      <c r="AJ8" s="107"/>
      <c r="AK8" s="63"/>
      <c r="AL8" s="64" t="str">
        <f>IF(LEFT($D8,6)&lt;&gt;"Star: ","",VLOOKUP(RIGHT($D8,LEN($D8)-6),'Star Players-Hidden'!$A$3:$AK$69,37,FALSE))</f>
        <v/>
      </c>
      <c r="AM8" s="4"/>
      <c r="AN8" s="121" t="s">
        <v>69</v>
      </c>
      <c r="AO8" s="131">
        <v>70000</v>
      </c>
      <c r="AP8" s="132">
        <v>140000</v>
      </c>
      <c r="AQ8" s="124"/>
      <c r="AR8" s="133" t="s">
        <v>76</v>
      </c>
      <c r="AS8" s="134" t="s">
        <v>61</v>
      </c>
      <c r="AT8" s="135">
        <v>2</v>
      </c>
      <c r="AU8" s="136">
        <v>0</v>
      </c>
      <c r="AV8" s="137">
        <v>1</v>
      </c>
      <c r="AW8" s="130"/>
    </row>
    <row r="9" spans="1:49" ht="12.75">
      <c r="A9" s="2"/>
      <c r="B9" s="71">
        <v>6</v>
      </c>
      <c r="C9" s="72" t="s">
        <v>77</v>
      </c>
      <c r="D9" s="73" t="s">
        <v>41</v>
      </c>
      <c r="E9" s="75">
        <f>IFERROR(VLOOKUP($I$24&amp;$D9,'Database-Hidden'!$C$2:$J$121,4,FALSE)-P9+AG9,"")</f>
        <v>4</v>
      </c>
      <c r="F9" s="76">
        <f>IFERROR(VLOOKUP($I$24&amp;$D9,'Database-Hidden'!$C$2:$J$121,5,FALSE)-Q9+AH9,"")</f>
        <v>3</v>
      </c>
      <c r="G9" s="76">
        <f>IFERROR(VLOOKUP($I$24&amp;$D9,'Database-Hidden'!$C$2:$J$121,6,FALSE)-R9+AI9,"")</f>
        <v>2</v>
      </c>
      <c r="H9" s="77">
        <f>IFERROR(VLOOKUP($I$24&amp;$D9,'Database-Hidden'!$C$2:$J$121,7,FALSE)-S9+AJ9,"")</f>
        <v>9</v>
      </c>
      <c r="I9" s="78" t="str">
        <f>IFERROR(VLOOKUP($I$24&amp;$D9,'Database-Hidden'!$C$2:$J$121,8,FALSE),"")</f>
        <v>Block, Tackle, Thick Skull</v>
      </c>
      <c r="J9" s="111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85"/>
      <c r="Z9" s="90"/>
      <c r="AA9" s="91">
        <f t="shared" si="1"/>
        <v>0</v>
      </c>
      <c r="AB9" s="58">
        <f t="shared" si="2"/>
        <v>70000</v>
      </c>
      <c r="AC9" s="4"/>
      <c r="AD9" s="120">
        <f>IFERROR(VLOOKUP($I$24&amp;D9,'Database-Hidden'!$C$2:$E$121,3,FALSE),"")</f>
        <v>70000</v>
      </c>
      <c r="AE9" s="93"/>
      <c r="AF9" s="94"/>
      <c r="AG9" s="107"/>
      <c r="AH9" s="107"/>
      <c r="AI9" s="107"/>
      <c r="AJ9" s="107"/>
      <c r="AK9" s="63"/>
      <c r="AL9" s="64" t="str">
        <f>IF(LEFT($D9,6)&lt;&gt;"Star: ","",VLOOKUP(RIGHT($D9,LEN($D9)-6),'Star Players-Hidden'!$A$3:$AK$69,37,FALSE))</f>
        <v/>
      </c>
      <c r="AM9" s="4"/>
      <c r="AN9" s="121" t="s">
        <v>72</v>
      </c>
      <c r="AO9" s="131">
        <v>70000</v>
      </c>
      <c r="AP9" s="132">
        <v>0</v>
      </c>
      <c r="AQ9" s="124"/>
      <c r="AR9" s="133" t="s">
        <v>65</v>
      </c>
      <c r="AS9" s="134" t="s">
        <v>66</v>
      </c>
      <c r="AT9" s="135">
        <v>1</v>
      </c>
      <c r="AU9" s="136">
        <v>4</v>
      </c>
      <c r="AV9" s="137">
        <v>0</v>
      </c>
      <c r="AW9" s="130"/>
    </row>
    <row r="10" spans="1:49" ht="12.75">
      <c r="A10" s="2"/>
      <c r="B10" s="71">
        <v>7</v>
      </c>
      <c r="C10" s="72"/>
      <c r="D10" s="73"/>
      <c r="E10" s="75" t="str">
        <f>IFERROR(VLOOKUP($I$24&amp;$D10,'Database-Hidden'!$C$2:$J$121,4,FALSE)-P10+AG10,"")</f>
        <v/>
      </c>
      <c r="F10" s="76" t="str">
        <f>IFERROR(VLOOKUP($I$24&amp;$D10,'Database-Hidden'!$C$2:$J$121,5,FALSE)-Q10+AH10,"")</f>
        <v/>
      </c>
      <c r="G10" s="76" t="str">
        <f>IFERROR(VLOOKUP($I$24&amp;$D10,'Database-Hidden'!$C$2:$J$121,6,FALSE)-R10+AI10,"")</f>
        <v/>
      </c>
      <c r="H10" s="77" t="str">
        <f>IFERROR(VLOOKUP($I$24&amp;$D10,'Database-Hidden'!$C$2:$J$121,7,FALSE)-S10+AJ10,"")</f>
        <v/>
      </c>
      <c r="I10" s="78" t="str">
        <f>IFERROR(VLOOKUP($I$24&amp;$D10,'Database-Hidden'!$C$2:$J$121,8,FALSE),"")</f>
        <v/>
      </c>
      <c r="J10" s="97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85"/>
      <c r="Z10" s="90"/>
      <c r="AA10" s="91">
        <f t="shared" si="1"/>
        <v>0</v>
      </c>
      <c r="AB10" s="58"/>
      <c r="AC10" s="4"/>
      <c r="AD10" s="120" t="str">
        <f>IFERROR(VLOOKUP($I$24&amp;D10,'Database-Hidden'!$C$2:$E$121,3,FALSE),"")</f>
        <v/>
      </c>
      <c r="AE10" s="93"/>
      <c r="AF10" s="94"/>
      <c r="AG10" s="107"/>
      <c r="AH10" s="107"/>
      <c r="AI10" s="107"/>
      <c r="AJ10" s="107"/>
      <c r="AK10" s="63"/>
      <c r="AL10" s="64" t="str">
        <f>IF(LEFT($D10,6)&lt;&gt;"Star: ","",VLOOKUP(RIGHT($D10,LEN($D10)-6),'Star Players-Hidden'!$A$3:$AK$69,37,FALSE))</f>
        <v/>
      </c>
      <c r="AM10" s="4"/>
      <c r="AN10" s="121" t="s">
        <v>78</v>
      </c>
      <c r="AO10" s="131">
        <v>20000</v>
      </c>
      <c r="AP10" s="123"/>
      <c r="AQ10" s="124"/>
      <c r="AR10" s="133" t="s">
        <v>73</v>
      </c>
      <c r="AS10" s="134" t="s">
        <v>66</v>
      </c>
      <c r="AT10" s="135">
        <v>1</v>
      </c>
      <c r="AU10" s="136">
        <v>2</v>
      </c>
      <c r="AV10" s="137">
        <v>1</v>
      </c>
      <c r="AW10" s="130"/>
    </row>
    <row r="11" spans="1:49" ht="12.75">
      <c r="A11" s="2"/>
      <c r="B11" s="71">
        <v>8</v>
      </c>
      <c r="C11" s="72" t="s">
        <v>88</v>
      </c>
      <c r="D11" s="73" t="s">
        <v>89</v>
      </c>
      <c r="E11" s="75">
        <f>IFERROR(VLOOKUP($I$24&amp;$D11,'Database-Hidden'!$C$2:$J$121,4,FALSE)-P11+AG11,"")</f>
        <v>6</v>
      </c>
      <c r="F11" s="76">
        <f>IFERROR(VLOOKUP($I$24&amp;$D11,'Database-Hidden'!$C$2:$J$121,5,FALSE)-Q11+AH11,"")</f>
        <v>3</v>
      </c>
      <c r="G11" s="76">
        <f>IFERROR(VLOOKUP($I$24&amp;$D11,'Database-Hidden'!$C$2:$J$121,6,FALSE)-R11+AI11,"")</f>
        <v>3</v>
      </c>
      <c r="H11" s="77">
        <f>IFERROR(VLOOKUP($I$24&amp;$D11,'Database-Hidden'!$C$2:$J$121,7,FALSE)-S11+AJ11,"")</f>
        <v>7</v>
      </c>
      <c r="I11" s="78">
        <f>IFERROR(VLOOKUP($I$24&amp;$D11,'Database-Hidden'!$C$2:$J$121,8,FALSE),"")</f>
        <v>0</v>
      </c>
      <c r="J11" s="97" t="s">
        <v>93</v>
      </c>
      <c r="K11" s="80">
        <f t="shared" si="0"/>
        <v>1</v>
      </c>
      <c r="L11" s="81"/>
      <c r="M11" s="81"/>
      <c r="N11" s="81"/>
      <c r="O11" s="83"/>
      <c r="P11" s="84"/>
      <c r="Q11" s="85"/>
      <c r="R11" s="85"/>
      <c r="S11" s="86"/>
      <c r="T11" s="87"/>
      <c r="U11" s="89">
        <v>4</v>
      </c>
      <c r="V11" s="89">
        <v>2</v>
      </c>
      <c r="W11" s="89">
        <v>1</v>
      </c>
      <c r="X11" s="85"/>
      <c r="Y11" s="85"/>
      <c r="Z11" s="90"/>
      <c r="AA11" s="91">
        <f t="shared" si="1"/>
        <v>12</v>
      </c>
      <c r="AB11" s="58">
        <f t="shared" si="2"/>
        <v>60000</v>
      </c>
      <c r="AC11" s="4"/>
      <c r="AD11" s="120">
        <f>IFERROR(VLOOKUP($I$24&amp;D11,'Database-Hidden'!$C$2:$E$121,3,FALSE),"")</f>
        <v>40000</v>
      </c>
      <c r="AE11" s="93">
        <v>1</v>
      </c>
      <c r="AF11" s="107"/>
      <c r="AG11" s="107"/>
      <c r="AH11" s="107"/>
      <c r="AI11" s="107"/>
      <c r="AJ11" s="107"/>
      <c r="AK11" s="63"/>
      <c r="AL11" s="64" t="str">
        <f>IF(LEFT($D11,6)&lt;&gt;"Star: ","",VLOOKUP(RIGHT($D11,LEN($D11)-6),'Star Players-Hidden'!$A$3:$AK$69,37,FALSE))</f>
        <v/>
      </c>
      <c r="AM11" s="4"/>
      <c r="AN11" s="121" t="s">
        <v>82</v>
      </c>
      <c r="AO11" s="131">
        <v>60000</v>
      </c>
      <c r="AP11" s="132">
        <v>0</v>
      </c>
      <c r="AQ11" s="138">
        <v>0</v>
      </c>
      <c r="AR11" s="133" t="s">
        <v>79</v>
      </c>
      <c r="AS11" s="134" t="s">
        <v>61</v>
      </c>
      <c r="AT11" s="135">
        <v>4</v>
      </c>
      <c r="AU11" s="136">
        <v>4</v>
      </c>
      <c r="AV11" s="129">
        <f>1</f>
        <v>1</v>
      </c>
      <c r="AW11" s="130"/>
    </row>
    <row r="12" spans="1:49" ht="12.75">
      <c r="A12" s="2"/>
      <c r="B12" s="71">
        <v>9</v>
      </c>
      <c r="C12" s="72" t="s">
        <v>96</v>
      </c>
      <c r="D12" s="73" t="s">
        <v>89</v>
      </c>
      <c r="E12" s="75">
        <f>IFERROR(VLOOKUP($I$24&amp;$D12,'Database-Hidden'!$C$2:$J$121,4,FALSE)-P12+AG12,"")</f>
        <v>6</v>
      </c>
      <c r="F12" s="76">
        <f>IFERROR(VLOOKUP($I$24&amp;$D12,'Database-Hidden'!$C$2:$J$121,5,FALSE)-Q12+AH12,"")</f>
        <v>3</v>
      </c>
      <c r="G12" s="76">
        <f>IFERROR(VLOOKUP($I$24&amp;$D12,'Database-Hidden'!$C$2:$J$121,6,FALSE)-R12+AI12,"")</f>
        <v>3</v>
      </c>
      <c r="H12" s="77">
        <f>IFERROR(VLOOKUP($I$24&amp;$D12,'Database-Hidden'!$C$2:$J$121,7,FALSE)-S12+AJ12,"")</f>
        <v>7</v>
      </c>
      <c r="I12" s="78">
        <f>IFERROR(VLOOKUP($I$24&amp;$D12,'Database-Hidden'!$C$2:$J$121,8,FALSE),"")</f>
        <v>0</v>
      </c>
      <c r="J12" s="111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85"/>
      <c r="Z12" s="90"/>
      <c r="AA12" s="91">
        <f t="shared" si="1"/>
        <v>0</v>
      </c>
      <c r="AB12" s="58">
        <f t="shared" si="2"/>
        <v>40000</v>
      </c>
      <c r="AC12" s="4"/>
      <c r="AD12" s="120">
        <f>IFERROR(VLOOKUP($I$24&amp;D12,'Database-Hidden'!$C$2:$E$121,3,FALSE),"")</f>
        <v>40000</v>
      </c>
      <c r="AE12" s="139"/>
      <c r="AF12" s="107"/>
      <c r="AG12" s="107"/>
      <c r="AH12" s="107"/>
      <c r="AI12" s="107"/>
      <c r="AJ12" s="107"/>
      <c r="AK12" s="63"/>
      <c r="AL12" s="64" t="str">
        <f>IF(LEFT($D12,6)&lt;&gt;"Star: ","",VLOOKUP(RIGHT($D12,LEN($D12)-6),'Star Players-Hidden'!$A$3:$AK$69,37,FALSE))</f>
        <v/>
      </c>
      <c r="AM12" s="4"/>
      <c r="AN12" s="121" t="s">
        <v>87</v>
      </c>
      <c r="AO12" s="122"/>
      <c r="AP12" s="123"/>
      <c r="AQ12" s="124"/>
      <c r="AR12" s="125"/>
      <c r="AS12" s="126"/>
      <c r="AT12" s="127"/>
      <c r="AU12" s="128"/>
      <c r="AV12" s="129"/>
      <c r="AW12" s="130"/>
    </row>
    <row r="13" spans="1:49" ht="12.75">
      <c r="A13" s="2"/>
      <c r="B13" s="71">
        <v>10</v>
      </c>
      <c r="C13" s="72" t="s">
        <v>99</v>
      </c>
      <c r="D13" s="73" t="s">
        <v>89</v>
      </c>
      <c r="E13" s="75">
        <f>IFERROR(VLOOKUP($I$24&amp;$D13,'Database-Hidden'!$C$2:$J$121,4,FALSE)-P13+AG13,"")</f>
        <v>6</v>
      </c>
      <c r="F13" s="76">
        <f>IFERROR(VLOOKUP($I$24&amp;$D13,'Database-Hidden'!$C$2:$J$121,5,FALSE)-Q13+AH13,"")</f>
        <v>3</v>
      </c>
      <c r="G13" s="76">
        <f>IFERROR(VLOOKUP($I$24&amp;$D13,'Database-Hidden'!$C$2:$J$121,6,FALSE)-R13+AI13,"")</f>
        <v>3</v>
      </c>
      <c r="H13" s="77">
        <f>IFERROR(VLOOKUP($I$24&amp;$D13,'Database-Hidden'!$C$2:$J$121,7,FALSE)-S13+AJ13,"")</f>
        <v>7</v>
      </c>
      <c r="I13" s="78">
        <f>IFERROR(VLOOKUP($I$24&amp;$D13,'Database-Hidden'!$C$2:$J$121,8,FALSE),"")</f>
        <v>0</v>
      </c>
      <c r="J13" s="79" t="s">
        <v>55</v>
      </c>
      <c r="K13" s="80">
        <f t="shared" si="0"/>
        <v>1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>
        <v>1</v>
      </c>
      <c r="W13" s="89">
        <v>1</v>
      </c>
      <c r="X13" s="85"/>
      <c r="Y13" s="85"/>
      <c r="Z13" s="90">
        <v>1</v>
      </c>
      <c r="AA13" s="91">
        <f t="shared" si="1"/>
        <v>10</v>
      </c>
      <c r="AB13" s="58">
        <f t="shared" si="2"/>
        <v>60000</v>
      </c>
      <c r="AC13" s="4"/>
      <c r="AD13" s="120">
        <f>IFERROR(VLOOKUP($I$24&amp;D13,'Database-Hidden'!$C$2:$E$121,3,FALSE),"")</f>
        <v>40000</v>
      </c>
      <c r="AE13" s="93">
        <v>1</v>
      </c>
      <c r="AF13" s="94"/>
      <c r="AG13" s="107"/>
      <c r="AH13" s="107"/>
      <c r="AI13" s="107"/>
      <c r="AJ13" s="107"/>
      <c r="AK13" s="63"/>
      <c r="AL13" s="64" t="str">
        <f>IF(LEFT($D13,6)&lt;&gt;"Star: ","",VLOOKUP(RIGHT($D13,LEN($D13)-6),'Star Players-Hidden'!$A$3:$AK$69,37,FALSE))</f>
        <v/>
      </c>
      <c r="AM13" s="4"/>
      <c r="AN13" s="121" t="s">
        <v>95</v>
      </c>
      <c r="AO13" s="122"/>
      <c r="AP13" s="123"/>
      <c r="AQ13" s="124"/>
      <c r="AR13" s="125"/>
      <c r="AS13" s="126"/>
      <c r="AT13" s="127"/>
      <c r="AU13" s="128"/>
      <c r="AV13" s="129"/>
      <c r="AW13" s="130"/>
    </row>
    <row r="14" spans="1:49" ht="12.75">
      <c r="A14" s="2"/>
      <c r="B14" s="71">
        <v>11</v>
      </c>
      <c r="C14" s="72" t="s">
        <v>104</v>
      </c>
      <c r="D14" s="73" t="s">
        <v>89</v>
      </c>
      <c r="E14" s="75">
        <f>IFERROR(VLOOKUP($I$24&amp;$D14,'Database-Hidden'!$C$2:$J$121,4,FALSE)-P14+AG14,"")</f>
        <v>6</v>
      </c>
      <c r="F14" s="76">
        <f>IFERROR(VLOOKUP($I$24&amp;$D14,'Database-Hidden'!$C$2:$J$121,5,FALSE)-Q14+AH14,"")</f>
        <v>3</v>
      </c>
      <c r="G14" s="76">
        <f>IFERROR(VLOOKUP($I$24&amp;$D14,'Database-Hidden'!$C$2:$J$121,6,FALSE)-R14+AI14,"")</f>
        <v>3</v>
      </c>
      <c r="H14" s="77">
        <f>IFERROR(VLOOKUP($I$24&amp;$D14,'Database-Hidden'!$C$2:$J$121,7,FALSE)-S14+AJ14,"")</f>
        <v>7</v>
      </c>
      <c r="I14" s="78">
        <f>IFERROR(VLOOKUP($I$24&amp;$D14,'Database-Hidden'!$C$2:$J$121,8,FALSE),"")</f>
        <v>0</v>
      </c>
      <c r="J14" s="97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9">
        <v>1</v>
      </c>
      <c r="W14" s="89"/>
      <c r="X14" s="85"/>
      <c r="Y14" s="140">
        <v>1</v>
      </c>
      <c r="Z14" s="90"/>
      <c r="AA14" s="91">
        <f t="shared" si="1"/>
        <v>3</v>
      </c>
      <c r="AB14" s="58">
        <f t="shared" si="2"/>
        <v>40000</v>
      </c>
      <c r="AC14" s="4"/>
      <c r="AD14" s="120">
        <f>IFERROR(VLOOKUP($I$24&amp;D14,'Database-Hidden'!$C$2:$E$121,3,FALSE),"")</f>
        <v>40000</v>
      </c>
      <c r="AE14" s="93"/>
      <c r="AF14" s="107"/>
      <c r="AG14" s="107"/>
      <c r="AH14" s="107"/>
      <c r="AI14" s="107"/>
      <c r="AJ14" s="107"/>
      <c r="AK14" s="63"/>
      <c r="AL14" s="64" t="str">
        <f>IF(LEFT($D14,6)&lt;&gt;"Star: ","",VLOOKUP(RIGHT($D14,LEN($D14)-6),'Star Players-Hidden'!$A$3:$AK$69,37,FALSE))</f>
        <v/>
      </c>
      <c r="AM14" s="4"/>
      <c r="AN14" s="121" t="s">
        <v>98</v>
      </c>
      <c r="AO14" s="131">
        <v>60000</v>
      </c>
      <c r="AP14" s="132">
        <v>150000</v>
      </c>
      <c r="AQ14" s="138">
        <v>0</v>
      </c>
      <c r="AR14" s="133" t="s">
        <v>65</v>
      </c>
      <c r="AS14" s="134" t="s">
        <v>74</v>
      </c>
      <c r="AT14" s="135">
        <v>1</v>
      </c>
      <c r="AU14" s="136">
        <v>2</v>
      </c>
      <c r="AV14" s="137">
        <v>0</v>
      </c>
      <c r="AW14" s="130"/>
    </row>
    <row r="15" spans="1:49" ht="12.75">
      <c r="A15" s="2"/>
      <c r="B15" s="71">
        <v>12</v>
      </c>
      <c r="C15" s="72" t="s">
        <v>106</v>
      </c>
      <c r="D15" s="73" t="s">
        <v>89</v>
      </c>
      <c r="E15" s="75">
        <f>IFERROR(VLOOKUP($I$24&amp;$D15,'Database-Hidden'!$C$2:$J$121,4,FALSE)-P15+AG15,"")</f>
        <v>6</v>
      </c>
      <c r="F15" s="76">
        <f>IFERROR(VLOOKUP($I$24&amp;$D15,'Database-Hidden'!$C$2:$J$121,5,FALSE)-Q15+AH15,"")</f>
        <v>3</v>
      </c>
      <c r="G15" s="76">
        <f>IFERROR(VLOOKUP($I$24&amp;$D15,'Database-Hidden'!$C$2:$J$121,6,FALSE)-R15+AI15,"")</f>
        <v>3</v>
      </c>
      <c r="H15" s="77">
        <f>IFERROR(VLOOKUP($I$24&amp;$D15,'Database-Hidden'!$C$2:$J$121,7,FALSE)-S15+AJ15,"")</f>
        <v>7</v>
      </c>
      <c r="I15" s="78">
        <f>IFERROR(VLOOKUP($I$24&amp;$D15,'Database-Hidden'!$C$2:$J$121,8,FALSE),"")</f>
        <v>0</v>
      </c>
      <c r="J15" s="97" t="s">
        <v>93</v>
      </c>
      <c r="K15" s="80">
        <f t="shared" si="0"/>
        <v>1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>
        <v>2</v>
      </c>
      <c r="W15" s="89">
        <v>1</v>
      </c>
      <c r="X15" s="85"/>
      <c r="Y15" s="85"/>
      <c r="Z15" s="90">
        <v>1</v>
      </c>
      <c r="AA15" s="91">
        <f t="shared" si="1"/>
        <v>13</v>
      </c>
      <c r="AB15" s="58">
        <f t="shared" si="2"/>
        <v>60000</v>
      </c>
      <c r="AC15" s="4"/>
      <c r="AD15" s="120">
        <f>IFERROR(VLOOKUP($I$24&amp;D15,'Database-Hidden'!$C$2:$E$121,3,FALSE),"")</f>
        <v>40000</v>
      </c>
      <c r="AE15" s="93">
        <v>1</v>
      </c>
      <c r="AF15" s="107"/>
      <c r="AG15" s="107"/>
      <c r="AH15" s="107"/>
      <c r="AI15" s="107"/>
      <c r="AJ15" s="107"/>
      <c r="AK15" s="63"/>
      <c r="AL15" s="64" t="str">
        <f>IF(LEFT($D15,6)&lt;&gt;"Star: ","",VLOOKUP(RIGHT($D15,LEN($D15)-6),'Star Players-Hidden'!$A$3:$AK$69,37,FALSE))</f>
        <v/>
      </c>
      <c r="AM15" s="4"/>
      <c r="AN15" s="121" t="s">
        <v>102</v>
      </c>
      <c r="AO15" s="122"/>
      <c r="AP15" s="123"/>
      <c r="AQ15" s="124"/>
      <c r="AR15" s="125"/>
      <c r="AS15" s="126"/>
      <c r="AT15" s="127"/>
      <c r="AU15" s="128"/>
      <c r="AV15" s="129"/>
      <c r="AW15" s="130"/>
    </row>
    <row r="16" spans="1:49" ht="12.75">
      <c r="A16" s="2"/>
      <c r="B16" s="71">
        <v>13</v>
      </c>
      <c r="C16" s="72"/>
      <c r="D16" s="73"/>
      <c r="E16" s="75" t="str">
        <f>IFERROR(VLOOKUP($I$24&amp;$D16,'Database-Hidden'!$C$2:$J$121,4,FALSE)-P16+AG16,"")</f>
        <v/>
      </c>
      <c r="F16" s="76" t="str">
        <f>IFERROR(VLOOKUP($I$24&amp;$D16,'Database-Hidden'!$C$2:$J$121,5,FALSE)-Q16+AH16,"")</f>
        <v/>
      </c>
      <c r="G16" s="76" t="str">
        <f>IFERROR(VLOOKUP($I$24&amp;$D16,'Database-Hidden'!$C$2:$J$121,6,FALSE)-R16+AI16,"")</f>
        <v/>
      </c>
      <c r="H16" s="77" t="str">
        <f>IFERROR(VLOOKUP($I$24&amp;$D16,'Database-Hidden'!$C$2:$J$121,7,FALSE)-S16+AJ16,"")</f>
        <v/>
      </c>
      <c r="I16" s="78" t="str">
        <f>IFERROR(VLOOKUP($I$24&amp;$D16,'Database-Hidden'!$C$2:$J$121,8,FALSE),"")</f>
        <v/>
      </c>
      <c r="J16" s="97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85"/>
      <c r="Z16" s="90"/>
      <c r="AA16" s="91">
        <f t="shared" si="1"/>
        <v>0</v>
      </c>
      <c r="AB16" s="58"/>
      <c r="AC16" s="4"/>
      <c r="AD16" s="120" t="str">
        <f>IFERROR(VLOOKUP($I$24&amp;D16,'Database-Hidden'!$C$2:$E$121,3,FALSE),"")</f>
        <v/>
      </c>
      <c r="AE16" s="93"/>
      <c r="AF16" s="107"/>
      <c r="AG16" s="107"/>
      <c r="AH16" s="107"/>
      <c r="AI16" s="107"/>
      <c r="AJ16" s="107"/>
      <c r="AK16" s="63"/>
      <c r="AL16" s="64" t="str">
        <f>IF(LEFT($D16,6)&lt;&gt;"Star: ","",VLOOKUP(RIGHT($D16,LEN($D16)-6),'Star Players-Hidden'!$A$3:$AK$69,37,FALSE))</f>
        <v/>
      </c>
      <c r="AM16" s="4"/>
      <c r="AN16" s="121" t="s">
        <v>105</v>
      </c>
      <c r="AO16" s="122"/>
      <c r="AP16" s="123"/>
      <c r="AQ16" s="124"/>
      <c r="AR16" s="125"/>
      <c r="AS16" s="126"/>
      <c r="AT16" s="127"/>
      <c r="AU16" s="128"/>
      <c r="AV16" s="129"/>
      <c r="AW16" s="130"/>
    </row>
    <row r="17" spans="1:49" ht="22.5">
      <c r="A17" s="2"/>
      <c r="B17" s="71">
        <v>14</v>
      </c>
      <c r="C17" s="72"/>
      <c r="D17" s="73" t="s">
        <v>111</v>
      </c>
      <c r="E17" s="75">
        <f>IFERROR(VLOOKUP($I$24&amp;$D17,'Database-Hidden'!$C$2:$J$121,4,FALSE)-P17+AG17,"")</f>
        <v>5</v>
      </c>
      <c r="F17" s="76">
        <f>IFERROR(VLOOKUP($I$24&amp;$D17,'Database-Hidden'!$C$2:$J$121,5,FALSE)-Q17+AH17,"")</f>
        <v>5</v>
      </c>
      <c r="G17" s="76">
        <f>IFERROR(VLOOKUP($I$24&amp;$D17,'Database-Hidden'!$C$2:$J$121,6,FALSE)-R17+AI17,"")</f>
        <v>2</v>
      </c>
      <c r="H17" s="77">
        <f>IFERROR(VLOOKUP($I$24&amp;$D17,'Database-Hidden'!$C$2:$J$121,7,FALSE)-S17+AJ17,"")</f>
        <v>8</v>
      </c>
      <c r="I17" s="78" t="str">
        <f>IFERROR(VLOOKUP($I$24&amp;$D17,'Database-Hidden'!$C$2:$J$121,8,FALSE),"")</f>
        <v>Loner, Frenzy, Horns, Mighty Blow, Thick Skull, Wild Animal</v>
      </c>
      <c r="J17" s="97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85"/>
      <c r="Z17" s="90"/>
      <c r="AA17" s="91">
        <f t="shared" si="1"/>
        <v>0</v>
      </c>
      <c r="AB17" s="58">
        <f t="shared" si="2"/>
        <v>150000</v>
      </c>
      <c r="AC17" s="4"/>
      <c r="AD17" s="120">
        <f>IFERROR(VLOOKUP($I$24&amp;D17,'Database-Hidden'!$C$2:$E$121,3,FALSE),"")</f>
        <v>150000</v>
      </c>
      <c r="AE17" s="93"/>
      <c r="AF17" s="107"/>
      <c r="AG17" s="107"/>
      <c r="AH17" s="107"/>
      <c r="AI17" s="107"/>
      <c r="AJ17" s="107"/>
      <c r="AK17" s="63"/>
      <c r="AL17" s="64" t="str">
        <f>IF(LEFT($D17,6)&lt;&gt;"Star: ","",VLOOKUP(RIGHT($D17,LEN($D17)-6),'Star Players-Hidden'!$A$3:$AK$69,37,FALSE))</f>
        <v/>
      </c>
      <c r="AM17" s="4"/>
      <c r="AN17" s="141" t="s">
        <v>108</v>
      </c>
      <c r="AO17" s="142"/>
      <c r="AP17" s="143"/>
      <c r="AQ17" s="144"/>
      <c r="AR17" s="145"/>
      <c r="AS17" s="146"/>
      <c r="AT17" s="147"/>
      <c r="AU17" s="149"/>
      <c r="AV17" s="150"/>
      <c r="AW17" s="130"/>
    </row>
    <row r="18" spans="1:49" ht="12.75">
      <c r="A18" s="2"/>
      <c r="B18" s="71">
        <v>15</v>
      </c>
      <c r="C18" s="72" t="s">
        <v>112</v>
      </c>
      <c r="D18" s="73" t="s">
        <v>113</v>
      </c>
      <c r="E18" s="75">
        <f>IFERROR(VLOOKUP($I$24&amp;$D18,'Database-Hidden'!$C$2:$J$121,4,FALSE)-P18+AG18,"")</f>
        <v>6</v>
      </c>
      <c r="F18" s="76">
        <f>IFERROR(VLOOKUP($I$24&amp;$D18,'Database-Hidden'!$C$2:$J$121,5,FALSE)-Q18+AH18,"")</f>
        <v>4</v>
      </c>
      <c r="G18" s="76">
        <f>IFERROR(VLOOKUP($I$24&amp;$D18,'Database-Hidden'!$C$2:$J$121,6,FALSE)-R18+AI18,"")</f>
        <v>2</v>
      </c>
      <c r="H18" s="77">
        <f>IFERROR(VLOOKUP($I$24&amp;$D18,'Database-Hidden'!$C$2:$J$121,7,FALSE)-S18+AJ18,"")</f>
        <v>9</v>
      </c>
      <c r="I18" s="78" t="str">
        <f>IFERROR(VLOOKUP($I$24&amp;$D18,'Database-Hidden'!$C$2:$J$121,8,FALSE),"")</f>
        <v>Sprint, Sure Feet, Thick Skull</v>
      </c>
      <c r="J18" s="97" t="s">
        <v>114</v>
      </c>
      <c r="K18" s="80">
        <f t="shared" si="0"/>
        <v>2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9">
        <v>3</v>
      </c>
      <c r="W18" s="89">
        <v>4</v>
      </c>
      <c r="X18" s="85"/>
      <c r="Y18" s="85"/>
      <c r="Z18" s="90">
        <v>1</v>
      </c>
      <c r="AA18" s="91">
        <f t="shared" si="1"/>
        <v>22</v>
      </c>
      <c r="AB18" s="102">
        <f t="shared" si="2"/>
        <v>180000</v>
      </c>
      <c r="AC18" s="4"/>
      <c r="AD18" s="120">
        <f>IFERROR(VLOOKUP($I$24&amp;D18,'Database-Hidden'!$C$2:$E$121,3,FALSE),"")</f>
        <v>130000</v>
      </c>
      <c r="AE18" s="93">
        <v>1</v>
      </c>
      <c r="AF18" s="94">
        <v>1</v>
      </c>
      <c r="AG18" s="107"/>
      <c r="AH18" s="107"/>
      <c r="AI18" s="107"/>
      <c r="AJ18" s="107"/>
      <c r="AK18" s="166"/>
      <c r="AL18" s="64" t="str">
        <f>IF(LEFT($D18,6)&lt;&gt;"Star: ","",VLOOKUP(RIGHT($D18,LEN($D18)-6),'Star Players-Hidden'!$A$3:$AK$69,37,FALSE))</f>
        <v/>
      </c>
      <c r="AM18" s="4"/>
      <c r="AN18" s="157" t="s">
        <v>35</v>
      </c>
      <c r="AO18" s="160">
        <f>AO4+SUM(AO6:AO17)-SUM(AP6:AP17)-SUM(AQ6:AQ17)</f>
        <v>60000</v>
      </c>
      <c r="AP18" s="4"/>
      <c r="AQ18" s="4"/>
      <c r="AR18" s="68"/>
      <c r="AS18" s="157" t="s">
        <v>35</v>
      </c>
      <c r="AT18" s="162">
        <f t="shared" ref="AT18:AU18" si="3">SUM(AT6:AT17)</f>
        <v>12</v>
      </c>
      <c r="AU18" s="164">
        <f t="shared" si="3"/>
        <v>15</v>
      </c>
      <c r="AV18" s="168">
        <f>AV4+SUM(AV6:AV17)</f>
        <v>7</v>
      </c>
      <c r="AW18" s="5"/>
    </row>
    <row r="19" spans="1:49" ht="12.75">
      <c r="A19" s="2"/>
      <c r="B19" s="170">
        <v>16</v>
      </c>
      <c r="C19" s="172" t="s">
        <v>115</v>
      </c>
      <c r="D19" s="174" t="s">
        <v>113</v>
      </c>
      <c r="E19" s="176">
        <f>IFERROR(VLOOKUP($I$24&amp;$D19,'Database-Hidden'!$C$2:$J$121,4,FALSE)-P19+AG19,"")</f>
        <v>6</v>
      </c>
      <c r="F19" s="177">
        <f>IFERROR(VLOOKUP($I$24&amp;$D19,'Database-Hidden'!$C$2:$J$121,5,FALSE)-Q19+AH19,"")</f>
        <v>4</v>
      </c>
      <c r="G19" s="177">
        <f>IFERROR(VLOOKUP($I$24&amp;$D19,'Database-Hidden'!$C$2:$J$121,6,FALSE)-R19+AI19,"")</f>
        <v>2</v>
      </c>
      <c r="H19" s="178">
        <f>IFERROR(VLOOKUP($I$24&amp;$D19,'Database-Hidden'!$C$2:$J$121,7,FALSE)-S19+AJ19,"")</f>
        <v>9</v>
      </c>
      <c r="I19" s="180" t="str">
        <f>IFERROR(VLOOKUP($I$24&amp;$D19,'Database-Hidden'!$C$2:$J$121,8,FALSE),"")</f>
        <v>Sprint, Sure Feet, Thick Skull</v>
      </c>
      <c r="J19" s="184" t="s">
        <v>55</v>
      </c>
      <c r="K19" s="186">
        <f t="shared" si="0"/>
        <v>1</v>
      </c>
      <c r="L19" s="187"/>
      <c r="M19" s="188"/>
      <c r="N19" s="187"/>
      <c r="O19" s="189"/>
      <c r="P19" s="190"/>
      <c r="Q19" s="191"/>
      <c r="R19" s="191"/>
      <c r="S19" s="192"/>
      <c r="T19" s="193"/>
      <c r="U19" s="194"/>
      <c r="V19" s="195">
        <v>1</v>
      </c>
      <c r="W19" s="195">
        <v>1</v>
      </c>
      <c r="X19" s="191"/>
      <c r="Y19" s="191"/>
      <c r="Z19" s="196">
        <v>2</v>
      </c>
      <c r="AA19" s="197">
        <f t="shared" si="1"/>
        <v>15</v>
      </c>
      <c r="AB19" s="102">
        <f t="shared" si="2"/>
        <v>150000</v>
      </c>
      <c r="AC19" s="4"/>
      <c r="AD19" s="198">
        <f>IFERROR(VLOOKUP($I$24&amp;D19,'Database-Hidden'!$C$2:$E$121,3,FALSE),"")</f>
        <v>130000</v>
      </c>
      <c r="AE19" s="199">
        <v>1</v>
      </c>
      <c r="AF19" s="200"/>
      <c r="AG19" s="200"/>
      <c r="AH19" s="200"/>
      <c r="AI19" s="200"/>
      <c r="AJ19" s="200"/>
      <c r="AK19" s="201"/>
      <c r="AL19" s="202" t="str">
        <f>IF(LEFT($D19,6)&lt;&gt;"Star: ","",VLOOKUP(RIGHT($D19,LEN($D19)-6),'Star Players-Hidden'!$A$3:$AK$69,37,FALSE))</f>
        <v/>
      </c>
      <c r="AM19" s="4"/>
      <c r="AV19" s="203"/>
    </row>
    <row r="20" spans="1:49" ht="12.75">
      <c r="B20" s="328"/>
      <c r="C20" s="329"/>
      <c r="D20" s="330"/>
      <c r="E20" s="311" t="s">
        <v>118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3"/>
      <c r="AB20" s="204">
        <f>SUM(AB4:AB19)</f>
        <v>1220000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8"/>
      <c r="AO20" s="68"/>
      <c r="AP20" s="68"/>
      <c r="AQ20" s="68"/>
      <c r="AR20" s="68"/>
      <c r="AS20" s="68"/>
      <c r="AT20" s="68"/>
      <c r="AU20" s="68"/>
      <c r="AV20" s="205"/>
      <c r="AW20" s="68"/>
    </row>
    <row r="21" spans="1:49" ht="12.75">
      <c r="A21" s="2"/>
      <c r="B21" s="317"/>
      <c r="C21" s="315"/>
      <c r="D21" s="316"/>
      <c r="E21" s="333" t="s">
        <v>119</v>
      </c>
      <c r="F21" s="315"/>
      <c r="G21" s="315"/>
      <c r="H21" s="334"/>
      <c r="I21" s="314" t="s">
        <v>120</v>
      </c>
      <c r="J21" s="315"/>
      <c r="K21" s="316"/>
      <c r="L21" s="322" t="s">
        <v>121</v>
      </c>
      <c r="M21" s="319"/>
      <c r="N21" s="319"/>
      <c r="O21" s="319"/>
      <c r="P21" s="319"/>
      <c r="Q21" s="319"/>
      <c r="R21" s="319"/>
      <c r="S21" s="323"/>
      <c r="T21" s="206">
        <v>3</v>
      </c>
      <c r="U21" s="207" t="s">
        <v>36</v>
      </c>
      <c r="V21" s="321">
        <f>IFERROR(VLOOKUP(I24,'Database-Hidden'!N2:O28,2,FALSE),"")</f>
        <v>70000</v>
      </c>
      <c r="W21" s="319"/>
      <c r="X21" s="319"/>
      <c r="Y21" s="319"/>
      <c r="Z21" s="319"/>
      <c r="AA21" s="320"/>
      <c r="AB21" s="208">
        <f t="shared" ref="AB21:AB25" si="4">T21*V21</f>
        <v>210000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27" t="s">
        <v>122</v>
      </c>
      <c r="AO21" s="313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317"/>
      <c r="C22" s="315"/>
      <c r="D22" s="316"/>
      <c r="E22" s="315"/>
      <c r="F22" s="315"/>
      <c r="G22" s="315"/>
      <c r="H22" s="334"/>
      <c r="I22" s="317"/>
      <c r="J22" s="315"/>
      <c r="K22" s="316"/>
      <c r="L22" s="309" t="s">
        <v>123</v>
      </c>
      <c r="M22" s="304"/>
      <c r="N22" s="304"/>
      <c r="O22" s="304"/>
      <c r="P22" s="304"/>
      <c r="Q22" s="304"/>
      <c r="R22" s="304"/>
      <c r="S22" s="310"/>
      <c r="T22" s="209">
        <v>7</v>
      </c>
      <c r="U22" s="210" t="s">
        <v>36</v>
      </c>
      <c r="V22" s="306">
        <v>10000</v>
      </c>
      <c r="W22" s="304"/>
      <c r="X22" s="304"/>
      <c r="Y22" s="304"/>
      <c r="Z22" s="304"/>
      <c r="AA22" s="307"/>
      <c r="AB22" s="212">
        <f t="shared" si="4"/>
        <v>70000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213" t="s">
        <v>124</v>
      </c>
      <c r="AO22" s="214">
        <f>AO18</f>
        <v>60000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317"/>
      <c r="C23" s="315"/>
      <c r="D23" s="316"/>
      <c r="E23" s="319"/>
      <c r="F23" s="319"/>
      <c r="G23" s="319"/>
      <c r="H23" s="335"/>
      <c r="I23" s="318"/>
      <c r="J23" s="319"/>
      <c r="K23" s="320"/>
      <c r="L23" s="347" t="s">
        <v>126</v>
      </c>
      <c r="M23" s="304"/>
      <c r="N23" s="304"/>
      <c r="O23" s="304"/>
      <c r="P23" s="304"/>
      <c r="Q23" s="304"/>
      <c r="R23" s="304"/>
      <c r="S23" s="310"/>
      <c r="T23" s="215">
        <v>0</v>
      </c>
      <c r="U23" s="216" t="s">
        <v>36</v>
      </c>
      <c r="V23" s="306">
        <v>10000</v>
      </c>
      <c r="W23" s="304"/>
      <c r="X23" s="304"/>
      <c r="Y23" s="304"/>
      <c r="Z23" s="304"/>
      <c r="AA23" s="307"/>
      <c r="AB23" s="212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217" t="s">
        <v>127</v>
      </c>
      <c r="AO23" s="218">
        <f>COUNTA(AR6:AR17)*10000</f>
        <v>70000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317"/>
      <c r="C24" s="315"/>
      <c r="D24" s="316"/>
      <c r="E24" s="340" t="s">
        <v>128</v>
      </c>
      <c r="F24" s="304"/>
      <c r="G24" s="304"/>
      <c r="H24" s="341"/>
      <c r="I24" s="308" t="s">
        <v>129</v>
      </c>
      <c r="J24" s="304"/>
      <c r="K24" s="307"/>
      <c r="L24" s="309" t="s">
        <v>130</v>
      </c>
      <c r="M24" s="304"/>
      <c r="N24" s="304"/>
      <c r="O24" s="304"/>
      <c r="P24" s="304"/>
      <c r="Q24" s="304"/>
      <c r="R24" s="304"/>
      <c r="S24" s="310"/>
      <c r="T24" s="215">
        <v>0</v>
      </c>
      <c r="U24" s="216" t="s">
        <v>36</v>
      </c>
      <c r="V24" s="306">
        <v>10000</v>
      </c>
      <c r="W24" s="304"/>
      <c r="X24" s="304"/>
      <c r="Y24" s="304"/>
      <c r="Z24" s="304"/>
      <c r="AA24" s="307"/>
      <c r="AB24" s="212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217" t="s">
        <v>53</v>
      </c>
      <c r="AO24" s="218">
        <f>AT18*5000</f>
        <v>60000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317"/>
      <c r="C25" s="315"/>
      <c r="D25" s="316"/>
      <c r="E25" s="340" t="str">
        <f>IFERROR(IF(VLOOKUP(I24,'Database-Hidden'!X2:Y28,2,FALSE)="Yes","NECROMANCER","HEAD COACH"),"HEAD COACH")</f>
        <v>HEAD COACH</v>
      </c>
      <c r="F25" s="304"/>
      <c r="G25" s="304"/>
      <c r="H25" s="341"/>
      <c r="I25" s="308" t="s">
        <v>132</v>
      </c>
      <c r="J25" s="304"/>
      <c r="K25" s="307"/>
      <c r="L25" s="346" t="str">
        <f>IFERROR(IF(VLOOKUP(I24,'Database-Hidden'!X2:Y28,1,FALSE)&lt;&gt;"","",""),"APOTHECARY")</f>
        <v>APOTHECARY</v>
      </c>
      <c r="M25" s="304"/>
      <c r="N25" s="304"/>
      <c r="O25" s="304"/>
      <c r="P25" s="304"/>
      <c r="Q25" s="304"/>
      <c r="R25" s="304"/>
      <c r="S25" s="341"/>
      <c r="T25" s="215">
        <v>1</v>
      </c>
      <c r="U25" s="210" t="str">
        <f>IF(L25&lt;&gt;"","x","")</f>
        <v>x</v>
      </c>
      <c r="V25" s="306">
        <f>IF(L25&lt;&gt;"",50000,"")</f>
        <v>50000</v>
      </c>
      <c r="W25" s="304"/>
      <c r="X25" s="304"/>
      <c r="Y25" s="304"/>
      <c r="Z25" s="304"/>
      <c r="AA25" s="307"/>
      <c r="AB25" s="212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219" t="s">
        <v>134</v>
      </c>
      <c r="AO25" s="220">
        <f>AU18*5000</f>
        <v>75000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317"/>
      <c r="C26" s="315"/>
      <c r="D26" s="316"/>
      <c r="E26" s="340" t="s">
        <v>135</v>
      </c>
      <c r="F26" s="304"/>
      <c r="G26" s="304"/>
      <c r="H26" s="304"/>
      <c r="I26" s="343">
        <f>AB20+AB28</f>
        <v>1550000</v>
      </c>
      <c r="J26" s="304"/>
      <c r="K26" s="304"/>
      <c r="L26" s="346" t="s">
        <v>136</v>
      </c>
      <c r="M26" s="304"/>
      <c r="N26" s="304"/>
      <c r="O26" s="304"/>
      <c r="P26" s="304"/>
      <c r="Q26" s="304"/>
      <c r="R26" s="304"/>
      <c r="S26" s="341"/>
      <c r="T26" s="215">
        <v>0</v>
      </c>
      <c r="U26" s="210" t="s">
        <v>36</v>
      </c>
      <c r="V26" s="306">
        <f>IF(I24="Halfling",200000,600000)</f>
        <v>600000</v>
      </c>
      <c r="W26" s="304"/>
      <c r="X26" s="304"/>
      <c r="Y26" s="304"/>
      <c r="Z26" s="304"/>
      <c r="AA26" s="307"/>
      <c r="AB26" s="212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221" t="s">
        <v>35</v>
      </c>
      <c r="AO26" s="222">
        <v>260000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317"/>
      <c r="C27" s="315"/>
      <c r="D27" s="316"/>
      <c r="E27" s="336" t="s">
        <v>137</v>
      </c>
      <c r="F27" s="325"/>
      <c r="G27" s="325"/>
      <c r="H27" s="325"/>
      <c r="I27" s="342">
        <f>AO22</f>
        <v>60000</v>
      </c>
      <c r="J27" s="325"/>
      <c r="K27" s="325"/>
      <c r="L27" s="324" t="s">
        <v>138</v>
      </c>
      <c r="M27" s="325"/>
      <c r="N27" s="325"/>
      <c r="O27" s="325"/>
      <c r="P27" s="325"/>
      <c r="Q27" s="325"/>
      <c r="R27" s="325"/>
      <c r="S27" s="326"/>
      <c r="T27" s="223">
        <v>0</v>
      </c>
      <c r="U27" s="224" t="s">
        <v>36</v>
      </c>
      <c r="V27" s="344">
        <f>IF(I24="Goblin",100000,200000)</f>
        <v>200000</v>
      </c>
      <c r="W27" s="325"/>
      <c r="X27" s="325"/>
      <c r="Y27" s="325"/>
      <c r="Z27" s="325"/>
      <c r="AA27" s="345"/>
      <c r="AB27" s="212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331"/>
      <c r="C28" s="305"/>
      <c r="D28" s="332"/>
      <c r="E28" s="311" t="s">
        <v>139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3"/>
      <c r="AB28" s="204">
        <f>SUM(AB21:AB27)</f>
        <v>330000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25"/>
      <c r="D29" s="225"/>
      <c r="E29" s="226"/>
      <c r="F29" s="4"/>
      <c r="G29" s="4"/>
      <c r="H29" s="4"/>
      <c r="I29" s="227"/>
      <c r="J29" s="228"/>
      <c r="K29" s="4"/>
      <c r="L29" s="229"/>
      <c r="M29" s="229"/>
      <c r="N29" s="229"/>
      <c r="O29" s="229"/>
      <c r="P29" s="229"/>
      <c r="Q29" s="229"/>
      <c r="R29" s="229"/>
      <c r="S29" s="229"/>
      <c r="T29" s="230"/>
      <c r="U29" s="231"/>
      <c r="V29" s="9"/>
      <c r="W29" s="232"/>
      <c r="X29" s="232"/>
      <c r="Y29" s="232"/>
      <c r="Z29" s="232"/>
      <c r="AA29" s="232"/>
      <c r="AB29" s="23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34">
        <f>MATCH(I24,'Database-Hidden'!A2:A121,0)</f>
        <v>11</v>
      </c>
      <c r="D30" s="234" t="str">
        <f t="shared" ref="D30:D39" si="6">I30&amp;IF(COUNTIF(D$4:D$19,I30)&gt;E30," (Too Many)","")</f>
        <v>Hobgoblin</v>
      </c>
      <c r="E30" s="235">
        <f t="array" ref="E30">IFERROR(IF(INDEX('Database-Hidden'!$A$2:$B$121,$C30,1)=$I$24,INDEX('Database-Hidden'!$A$2:$D$121,$C30,4),""),"")</f>
        <v>16</v>
      </c>
      <c r="I30" s="234" t="str">
        <f t="array" ref="I30">IFERROR(IF(INDEX('Database-Hidden'!$A$2:$B$121,$C30,1)=$I$24,INDEX('Database-Hidden'!$A$2:$B$121,$C30,2),""),"")</f>
        <v>Hobgoblin</v>
      </c>
      <c r="AV30" s="203"/>
    </row>
    <row r="31" spans="1:49" ht="17.25" hidden="1" customHeight="1">
      <c r="C31" s="234">
        <f t="shared" ref="C31:C39" si="7">C30+1</f>
        <v>12</v>
      </c>
      <c r="D31" s="234" t="str">
        <f t="shared" si="6"/>
        <v>Blocker</v>
      </c>
      <c r="E31" s="235">
        <f t="array" ref="E31">IFERROR(IF(INDEX('Database-Hidden'!$A$2:$B$121,$C31,1)=$I$24,INDEX('Database-Hidden'!$A$2:$D$121,$C31,4),""),"")</f>
        <v>6</v>
      </c>
      <c r="I31" s="234" t="str">
        <f t="array" ref="I31">IFERROR(IF(INDEX('Database-Hidden'!$A$2:$B$121,$C31,1)=$I$24,INDEX('Database-Hidden'!$A$2:$B$121,$C31,2),""),"")</f>
        <v>Blocker</v>
      </c>
      <c r="AV31" s="203"/>
    </row>
    <row r="32" spans="1:49" ht="17.25" hidden="1" customHeight="1">
      <c r="C32" s="234">
        <f t="shared" si="7"/>
        <v>13</v>
      </c>
      <c r="D32" s="234" t="str">
        <f t="shared" si="6"/>
        <v>Bull Centaur</v>
      </c>
      <c r="E32" s="235">
        <f t="array" ref="E32">IFERROR(IF(INDEX('Database-Hidden'!$A$2:$B$121,$C32,1)=$I$24,INDEX('Database-Hidden'!$A$2:$D$121,$C32,4),""),"")</f>
        <v>2</v>
      </c>
      <c r="I32" s="234" t="str">
        <f t="array" ref="I32">IFERROR(IF(INDEX('Database-Hidden'!$A$2:$B$121,$C32,1)=$I$24,INDEX('Database-Hidden'!$A$2:$B$121,$C32,2),""),"")</f>
        <v>Bull Centaur</v>
      </c>
      <c r="AV32" s="203"/>
    </row>
    <row r="33" spans="3:48" ht="17.25" hidden="1" customHeight="1">
      <c r="C33" s="234">
        <f t="shared" si="7"/>
        <v>14</v>
      </c>
      <c r="D33" s="234" t="str">
        <f t="shared" si="6"/>
        <v>Minotaur</v>
      </c>
      <c r="E33" s="235">
        <f t="array" ref="E33">IFERROR(IF(INDEX('Database-Hidden'!$A$2:$B$121,$C33,1)=$I$24,INDEX('Database-Hidden'!$A$2:$D$121,$C33,4),""),"")</f>
        <v>1</v>
      </c>
      <c r="I33" s="234" t="str">
        <f t="array" ref="I33">IFERROR(IF(INDEX('Database-Hidden'!$A$2:$B$121,$C33,1)=$I$24,INDEX('Database-Hidden'!$A$2:$B$121,$C33,2),""),"")</f>
        <v>Minotaur</v>
      </c>
      <c r="AV33" s="203"/>
    </row>
    <row r="34" spans="3:48" ht="17.25" hidden="1" customHeight="1">
      <c r="C34" s="234">
        <f t="shared" si="7"/>
        <v>15</v>
      </c>
      <c r="D34" s="234" t="str">
        <f t="shared" si="6"/>
        <v/>
      </c>
      <c r="E34" s="235" t="str">
        <f t="array" ref="E34">IFERROR(IF(INDEX('Database-Hidden'!$A$2:$B$121,$C34,1)=$I$24,INDEX('Database-Hidden'!$A$2:$D$121,$C34,4),""),"")</f>
        <v/>
      </c>
      <c r="I34" s="234" t="str">
        <f t="array" ref="I34">IFERROR(IF(INDEX('Database-Hidden'!$A$2:$B$121,$C34,1)=$I$24,INDEX('Database-Hidden'!$A$2:$B$121,$C34,2),""),"")</f>
        <v/>
      </c>
      <c r="AV34" s="203"/>
    </row>
    <row r="35" spans="3:48" ht="17.25" hidden="1" customHeight="1">
      <c r="C35" s="234">
        <f t="shared" si="7"/>
        <v>16</v>
      </c>
      <c r="D35" s="234" t="str">
        <f t="shared" si="6"/>
        <v/>
      </c>
      <c r="E35" s="235" t="str">
        <f t="array" ref="E35">IFERROR(IF(INDEX('Database-Hidden'!$A$2:$B$121,$C35,1)=$I$24,INDEX('Database-Hidden'!$A$2:$D$121,$C35,4),""),"")</f>
        <v/>
      </c>
      <c r="I35" s="234" t="str">
        <f t="array" ref="I35">IFERROR(IF(INDEX('Database-Hidden'!$A$2:$B$121,$C35,1)=$I$24,INDEX('Database-Hidden'!$A$2:$B$121,$C35,2),""),"")</f>
        <v/>
      </c>
      <c r="AV35" s="203"/>
    </row>
    <row r="36" spans="3:48" ht="17.25" hidden="1" customHeight="1">
      <c r="C36" s="234">
        <f t="shared" si="7"/>
        <v>17</v>
      </c>
      <c r="D36" s="234" t="str">
        <f t="shared" si="6"/>
        <v/>
      </c>
      <c r="E36" s="235" t="str">
        <f t="array" ref="E36">IFERROR(IF(INDEX('Database-Hidden'!$A$2:$B$121,$C36,1)=$I$24,INDEX('Database-Hidden'!$A$2:$D$121,$C36,4),""),"")</f>
        <v/>
      </c>
      <c r="I36" s="234" t="str">
        <f t="array" ref="I36">IFERROR(IF(INDEX('Database-Hidden'!$A$2:$B$121,$C36,1)=$I$24,INDEX('Database-Hidden'!$A$2:$B$121,$C36,2),""),"")</f>
        <v/>
      </c>
      <c r="AV36" s="203"/>
    </row>
    <row r="37" spans="3:48" ht="17.25" hidden="1" customHeight="1">
      <c r="C37" s="234">
        <f t="shared" si="7"/>
        <v>18</v>
      </c>
      <c r="D37" s="234" t="str">
        <f t="shared" si="6"/>
        <v/>
      </c>
      <c r="E37" s="235" t="str">
        <f t="array" ref="E37">IFERROR(IF(INDEX('Database-Hidden'!$A$2:$B$121,$C37,1)=$I$24,INDEX('Database-Hidden'!$A$2:$D$121,$C37,4),""),"")</f>
        <v/>
      </c>
      <c r="I37" s="234" t="str">
        <f t="array" ref="I37">IFERROR(IF(INDEX('Database-Hidden'!$A$2:$B$121,$C37,1)=$I$24,INDEX('Database-Hidden'!$A$2:$B$121,$C37,2),""),"")</f>
        <v/>
      </c>
      <c r="AV37" s="203"/>
    </row>
    <row r="38" spans="3:48" ht="17.25" hidden="1" customHeight="1">
      <c r="C38" s="234">
        <f t="shared" si="7"/>
        <v>19</v>
      </c>
      <c r="D38" s="234" t="str">
        <f t="shared" si="6"/>
        <v/>
      </c>
      <c r="E38" s="235" t="str">
        <f t="array" ref="E38">IFERROR(IF(INDEX('Database-Hidden'!$A$2:$B$121,$C38,1)=$I$24,INDEX('Database-Hidden'!$A$2:$D$121,$C38,4),""),"")</f>
        <v/>
      </c>
      <c r="I38" s="234" t="str">
        <f t="array" ref="I38">IFERROR(IF(INDEX('Database-Hidden'!$A$2:$B$121,$C38,1)=$I$24,INDEX('Database-Hidden'!$A$2:$B$121,$C38,2),""),"")</f>
        <v/>
      </c>
      <c r="AV38" s="203"/>
    </row>
    <row r="39" spans="3:48" ht="17.25" hidden="1" customHeight="1">
      <c r="C39" s="234">
        <f t="shared" si="7"/>
        <v>20</v>
      </c>
      <c r="D39" s="234" t="str">
        <f t="shared" si="6"/>
        <v/>
      </c>
      <c r="E39" s="235" t="str">
        <f t="array" ref="E39">IFERROR(IF(INDEX('Database-Hidden'!$A$2:$B$121,$C39,1)=$I$24,INDEX('Database-Hidden'!$A$2:$D$121,$C39,4),""),"")</f>
        <v/>
      </c>
      <c r="I39" s="234" t="str">
        <f t="array" ref="I39">IFERROR(IF(INDEX('Database-Hidden'!$A$2:$B$121,$C39,1)=$I$24,INDEX('Database-Hidden'!$A$2:$B$121,$C39,2),""),"")</f>
        <v/>
      </c>
      <c r="AV39" s="203"/>
    </row>
    <row r="40" spans="3:48" ht="17.25" hidden="1" customHeight="1">
      <c r="C40" s="236">
        <f>MATCH(I24,'Star Players-Hidden'!D2:AD2,0)</f>
        <v>4</v>
      </c>
      <c r="D40" s="236" t="str">
        <f t="shared" ref="D40:D51" ca="1" si="8">I40&amp;IF(COUNTIF(D$4:D$19,I40)&gt;1," (Too Many)","")</f>
        <v>Star: Grashnak Blackhoof</v>
      </c>
      <c r="E40" s="237"/>
      <c r="F40" s="237"/>
      <c r="G40" s="237"/>
      <c r="H40" s="237"/>
      <c r="I40" s="236" t="str">
        <f ca="1">IFERROR(__xludf.DUMMYFUNCTION("FILTER({""Star: ""&amp;'Star Players-Hidden'!A3:A69},INDEX('Star Players-Hidden'!D3:AD69,0,C40)&lt;&gt;"""",{'Star Players-Hidden'!C3:C69=""""}+{'Star Players-Hidden'!C3:C69=I21})"),"Star: Grashnak Blackhoof")</f>
        <v>Star: Grashnak Blackhoof</v>
      </c>
      <c r="AV40" s="203"/>
    </row>
    <row r="41" spans="3:48" ht="17.25" hidden="1" customHeight="1">
      <c r="C41" s="234"/>
      <c r="D41" s="234" t="str">
        <f t="shared" ca="1" si="8"/>
        <v>Star: Hthark the Unstoppable</v>
      </c>
      <c r="I41" s="238" t="str">
        <f ca="1">IFERROR(__xludf.DUMMYFUNCTION("""COMPUTED_VALUE"""),"Star: Hthark the Unstoppable")</f>
        <v>Star: Hthark the Unstoppable</v>
      </c>
      <c r="AV41" s="203"/>
    </row>
    <row r="42" spans="3:48" ht="17.25" hidden="1" customHeight="1">
      <c r="C42" s="234"/>
      <c r="D42" s="234" t="str">
        <f t="shared" ca="1" si="8"/>
        <v>Star: Morg'n'Thorg</v>
      </c>
      <c r="I42" s="234" t="str">
        <f ca="1">IFERROR(__xludf.DUMMYFUNCTION("""COMPUTED_VALUE"""),"Star: Morg'n'Thorg")</f>
        <v>Star: Morg'n'Thorg</v>
      </c>
      <c r="AV42" s="203"/>
    </row>
    <row r="43" spans="3:48" ht="17.25" hidden="1" customHeight="1">
      <c r="C43" s="234"/>
      <c r="D43" s="234" t="str">
        <f t="shared" ca="1" si="8"/>
        <v>Star: Nobbla Blackwart</v>
      </c>
      <c r="I43" s="234" t="str">
        <f ca="1">IFERROR(__xludf.DUMMYFUNCTION("""COMPUTED_VALUE"""),"Star: Nobbla Blackwart")</f>
        <v>Star: Nobbla Blackwart</v>
      </c>
      <c r="AV43" s="203"/>
    </row>
    <row r="44" spans="3:48" ht="17.25" hidden="1" customHeight="1">
      <c r="C44" s="234"/>
      <c r="D44" s="234" t="str">
        <f t="shared" ca="1" si="8"/>
        <v>Star: Rashnak Backstabber</v>
      </c>
      <c r="I44" s="234" t="str">
        <f ca="1">IFERROR(__xludf.DUMMYFUNCTION("""COMPUTED_VALUE"""),"Star: Rashnak Backstabber")</f>
        <v>Star: Rashnak Backstabber</v>
      </c>
      <c r="AV44" s="203"/>
    </row>
    <row r="45" spans="3:48" ht="17.25" hidden="1" customHeight="1">
      <c r="C45" s="234"/>
      <c r="D45" s="234" t="str">
        <f t="shared" ca="1" si="8"/>
        <v>Star: Zzharg Madeye</v>
      </c>
      <c r="I45" s="234" t="str">
        <f ca="1">IFERROR(__xludf.DUMMYFUNCTION("""COMPUTED_VALUE"""),"Star: Zzharg Madeye")</f>
        <v>Star: Zzharg Madeye</v>
      </c>
      <c r="AV45" s="203"/>
    </row>
    <row r="46" spans="3:48" ht="17.25" hidden="1" customHeight="1">
      <c r="C46" s="234"/>
      <c r="D46" s="234" t="str">
        <f t="shared" si="8"/>
        <v/>
      </c>
      <c r="I46" s="234"/>
      <c r="AV46" s="203"/>
    </row>
    <row r="47" spans="3:48" ht="17.25" hidden="1" customHeight="1">
      <c r="C47" s="234"/>
      <c r="D47" s="234" t="str">
        <f t="shared" si="8"/>
        <v/>
      </c>
      <c r="I47" s="234"/>
      <c r="AV47" s="203"/>
    </row>
    <row r="48" spans="3:48" ht="17.25" hidden="1" customHeight="1">
      <c r="C48" s="234"/>
      <c r="D48" s="234" t="str">
        <f t="shared" si="8"/>
        <v/>
      </c>
      <c r="I48" s="234"/>
      <c r="AV48" s="203"/>
    </row>
    <row r="49" spans="3:48" ht="17.25" hidden="1" customHeight="1">
      <c r="C49" s="234"/>
      <c r="D49" s="234" t="str">
        <f t="shared" si="8"/>
        <v/>
      </c>
      <c r="I49" s="234"/>
      <c r="AV49" s="203"/>
    </row>
    <row r="50" spans="3:48" ht="17.25" hidden="1" customHeight="1">
      <c r="C50" s="234"/>
      <c r="D50" s="234" t="str">
        <f t="shared" si="8"/>
        <v/>
      </c>
      <c r="I50" s="234"/>
      <c r="AV50" s="203"/>
    </row>
    <row r="51" spans="3:48" ht="17.25" hidden="1" customHeight="1">
      <c r="C51" s="234"/>
      <c r="D51" s="234" t="str">
        <f t="shared" si="8"/>
        <v/>
      </c>
      <c r="I51" s="234"/>
      <c r="AV51" s="203"/>
    </row>
  </sheetData>
  <mergeCells count="31">
    <mergeCell ref="B20:D28"/>
    <mergeCell ref="P2:S2"/>
    <mergeCell ref="AN3:AQ3"/>
    <mergeCell ref="AR3:AV3"/>
    <mergeCell ref="L22:S22"/>
    <mergeCell ref="L23:S23"/>
    <mergeCell ref="V22:AA22"/>
    <mergeCell ref="V23:AA23"/>
    <mergeCell ref="E20:AA20"/>
    <mergeCell ref="V25:AA25"/>
    <mergeCell ref="L25:S25"/>
    <mergeCell ref="I27:K27"/>
    <mergeCell ref="I21:K23"/>
    <mergeCell ref="E21:H23"/>
    <mergeCell ref="E25:H25"/>
    <mergeCell ref="E24:H24"/>
    <mergeCell ref="I24:K24"/>
    <mergeCell ref="I25:K25"/>
    <mergeCell ref="E26:H26"/>
    <mergeCell ref="I26:K26"/>
    <mergeCell ref="V26:AA26"/>
    <mergeCell ref="L26:S26"/>
    <mergeCell ref="V24:AA24"/>
    <mergeCell ref="L24:S24"/>
    <mergeCell ref="V21:AA21"/>
    <mergeCell ref="L21:S21"/>
    <mergeCell ref="AN21:AO21"/>
    <mergeCell ref="E28:AA28"/>
    <mergeCell ref="L27:S27"/>
    <mergeCell ref="V27:AA27"/>
    <mergeCell ref="E27:H27"/>
  </mergeCells>
  <conditionalFormatting sqref="J4">
    <cfRule type="expression" dxfId="376" priority="1">
      <formula>K4&lt;&gt;SUM(AE4:AJ4)</formula>
    </cfRule>
  </conditionalFormatting>
  <conditionalFormatting sqref="K4:K19">
    <cfRule type="cellIs" dxfId="375" priority="2" operator="equal">
      <formula>0</formula>
    </cfRule>
  </conditionalFormatting>
  <conditionalFormatting sqref="AB4:AB19">
    <cfRule type="cellIs" dxfId="374" priority="3" operator="equal">
      <formula>0</formula>
    </cfRule>
  </conditionalFormatting>
  <conditionalFormatting sqref="E4:H19">
    <cfRule type="expression" dxfId="373" priority="4">
      <formula>AG4&gt;0</formula>
    </cfRule>
  </conditionalFormatting>
  <conditionalFormatting sqref="E4:H19">
    <cfRule type="expression" dxfId="372" priority="5">
      <formula>P4&gt;0</formula>
    </cfRule>
  </conditionalFormatting>
  <conditionalFormatting sqref="T4:T19 U4:U19 V4:W19 Z4:Z19 U29">
    <cfRule type="cellIs" dxfId="371" priority="6" stopIfTrue="1" operator="equal">
      <formula>0</formula>
    </cfRule>
  </conditionalFormatting>
  <conditionalFormatting sqref="K4:K19">
    <cfRule type="cellIs" dxfId="370" priority="7" stopIfTrue="1" operator="equal">
      <formula>"n/a"</formula>
    </cfRule>
  </conditionalFormatting>
  <conditionalFormatting sqref="P4:S19">
    <cfRule type="cellIs" dxfId="369" priority="8" stopIfTrue="1" operator="lessThanOrEqual">
      <formula>-1</formula>
    </cfRule>
  </conditionalFormatting>
  <conditionalFormatting sqref="V25:W27">
    <cfRule type="cellIs" dxfId="368" priority="9" stopIfTrue="1" operator="equal">
      <formula>-500</formula>
    </cfRule>
  </conditionalFormatting>
  <conditionalFormatting sqref="T25:T27">
    <cfRule type="cellIs" dxfId="367" priority="10" stopIfTrue="1" operator="greaterThan">
      <formula>$V$25</formula>
    </cfRule>
  </conditionalFormatting>
  <conditionalFormatting sqref="AA4:AA19">
    <cfRule type="cellIs" dxfId="366" priority="11" stopIfTrue="1" operator="equal">
      <formula>"Star"</formula>
    </cfRule>
  </conditionalFormatting>
  <conditionalFormatting sqref="AA4:AA19">
    <cfRule type="cellIs" dxfId="365" priority="12" stopIfTrue="1" operator="equal">
      <formula>AB4</formula>
    </cfRule>
  </conditionalFormatting>
  <conditionalFormatting sqref="I4:I19">
    <cfRule type="cellIs" dxfId="364" priority="13" stopIfTrue="1" operator="equal">
      <formula>0</formula>
    </cfRule>
  </conditionalFormatting>
  <conditionalFormatting sqref="I4:I19">
    <cfRule type="cellIs" dxfId="363" priority="14" stopIfTrue="1" operator="equal">
      <formula>"Player type quantity surpassed"</formula>
    </cfRule>
  </conditionalFormatting>
  <conditionalFormatting sqref="J5">
    <cfRule type="expression" dxfId="362" priority="15">
      <formula>K5&lt;&gt;SUM(AE5:AJ5)</formula>
    </cfRule>
  </conditionalFormatting>
  <conditionalFormatting sqref="J6">
    <cfRule type="expression" dxfId="361" priority="16">
      <formula>K6&lt;&gt;SUM(AE6:AJ6)</formula>
    </cfRule>
  </conditionalFormatting>
  <conditionalFormatting sqref="J7">
    <cfRule type="expression" dxfId="360" priority="17">
      <formula>K7&lt;&gt;SUM(AE7:AJ7)</formula>
    </cfRule>
  </conditionalFormatting>
  <conditionalFormatting sqref="J8">
    <cfRule type="expression" dxfId="359" priority="18">
      <formula>K8&lt;&gt;SUM(AE8:AJ8)</formula>
    </cfRule>
  </conditionalFormatting>
  <conditionalFormatting sqref="J9">
    <cfRule type="expression" dxfId="358" priority="19">
      <formula>K9&lt;&gt;SUM(AE9:AJ9)</formula>
    </cfRule>
  </conditionalFormatting>
  <conditionalFormatting sqref="J10">
    <cfRule type="expression" dxfId="357" priority="20">
      <formula>K10&lt;&gt;SUM(AE10:AJ10)</formula>
    </cfRule>
  </conditionalFormatting>
  <conditionalFormatting sqref="J11">
    <cfRule type="expression" dxfId="356" priority="21">
      <formula>K11&lt;&gt;SUM(AE11:AJ11)</formula>
    </cfRule>
  </conditionalFormatting>
  <conditionalFormatting sqref="J12">
    <cfRule type="expression" dxfId="355" priority="22">
      <formula>K12&lt;&gt;SUM(AE12:AJ12)</formula>
    </cfRule>
  </conditionalFormatting>
  <conditionalFormatting sqref="J13">
    <cfRule type="expression" dxfId="354" priority="23">
      <formula>K13&lt;&gt;SUM(AE13:AJ13)</formula>
    </cfRule>
  </conditionalFormatting>
  <conditionalFormatting sqref="J14">
    <cfRule type="expression" dxfId="353" priority="24">
      <formula>K14&lt;&gt;SUM(AE14:AJ14)</formula>
    </cfRule>
  </conditionalFormatting>
  <conditionalFormatting sqref="J15">
    <cfRule type="expression" dxfId="352" priority="25">
      <formula>K15&lt;&gt;SUM(AE15:AJ15)</formula>
    </cfRule>
  </conditionalFormatting>
  <conditionalFormatting sqref="J16">
    <cfRule type="expression" dxfId="351" priority="26">
      <formula>K16&lt;&gt;SUM(AE16:AJ16)</formula>
    </cfRule>
  </conditionalFormatting>
  <conditionalFormatting sqref="J17">
    <cfRule type="expression" dxfId="350" priority="27">
      <formula>K17&lt;&gt;SUM(AE17:AJ17)</formula>
    </cfRule>
  </conditionalFormatting>
  <conditionalFormatting sqref="J18">
    <cfRule type="expression" dxfId="349" priority="28">
      <formula>K18&lt;&gt;SUM(AE18:AJ18)</formula>
    </cfRule>
  </conditionalFormatting>
  <conditionalFormatting sqref="J19">
    <cfRule type="expression" dxfId="348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BB!$D$28:$D$49</formula1>
    </dataValidation>
  </dataValidations>
  <printOptions horizontalCentered="1" gridLines="1"/>
  <pageMargins left="0.7" right="0.7" top="0.75" bottom="0.75" header="0" footer="0"/>
  <pageSetup scale="75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W51"/>
  <sheetViews>
    <sheetView showGridLines="0" workbookViewId="0">
      <selection activeCell="AB18" sqref="AB18: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337" t="s">
        <v>3</v>
      </c>
      <c r="Q2" s="329"/>
      <c r="R2" s="329"/>
      <c r="S2" s="330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14</v>
      </c>
      <c r="J3" s="21" t="s">
        <v>16</v>
      </c>
      <c r="K3" s="22" t="s">
        <v>0</v>
      </c>
      <c r="L3" s="23" t="s">
        <v>17</v>
      </c>
      <c r="M3" s="24" t="s">
        <v>19</v>
      </c>
      <c r="N3" s="24" t="s">
        <v>20</v>
      </c>
      <c r="O3" s="25" t="s">
        <v>21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23</v>
      </c>
      <c r="U3" s="30" t="s">
        <v>24</v>
      </c>
      <c r="V3" s="30" t="s">
        <v>9</v>
      </c>
      <c r="W3" s="30" t="s">
        <v>25</v>
      </c>
      <c r="X3" s="31" t="s">
        <v>26</v>
      </c>
      <c r="Y3" s="25" t="s">
        <v>27</v>
      </c>
      <c r="Z3" s="32" t="s">
        <v>10</v>
      </c>
      <c r="AA3" s="33" t="s">
        <v>11</v>
      </c>
      <c r="AB3" s="34" t="s">
        <v>28</v>
      </c>
      <c r="AC3" s="4"/>
      <c r="AD3" s="13" t="s">
        <v>29</v>
      </c>
      <c r="AE3" s="20" t="s">
        <v>19</v>
      </c>
      <c r="AF3" s="35" t="s">
        <v>30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31</v>
      </c>
      <c r="AL3" s="39" t="s">
        <v>32</v>
      </c>
      <c r="AM3" s="4"/>
      <c r="AN3" s="338" t="s">
        <v>33</v>
      </c>
      <c r="AO3" s="315"/>
      <c r="AP3" s="315"/>
      <c r="AQ3" s="315"/>
      <c r="AR3" s="339" t="s">
        <v>34</v>
      </c>
      <c r="AS3" s="315"/>
      <c r="AT3" s="315"/>
      <c r="AU3" s="315"/>
      <c r="AV3" s="315"/>
      <c r="AW3" s="12"/>
    </row>
    <row r="4" spans="1:49" ht="22.5">
      <c r="A4" s="2"/>
      <c r="B4" s="40">
        <v>1</v>
      </c>
      <c r="C4" s="41" t="s">
        <v>45</v>
      </c>
      <c r="D4" s="42" t="s">
        <v>46</v>
      </c>
      <c r="E4" s="43">
        <f>IFERROR(VLOOKUP($I$24&amp;$D4,'Database-Hidden'!$C$2:$J$121,4,FALSE)-P4+AG4,"")</f>
        <v>5</v>
      </c>
      <c r="F4" s="44">
        <f>IFERROR(VLOOKUP($I$24&amp;$D4,'Database-Hidden'!$C$2:$J$121,5,FALSE)-Q4+AH4,"")</f>
        <v>5</v>
      </c>
      <c r="G4" s="44">
        <f>IFERROR(VLOOKUP($I$24&amp;$D4,'Database-Hidden'!$C$2:$J$121,6,FALSE)-R4+AI4,"")</f>
        <v>1</v>
      </c>
      <c r="H4" s="45">
        <f>IFERROR(VLOOKUP($I$24&amp;$D4,'Database-Hidden'!$C$2:$J$121,7,FALSE)-S4+AJ4,"")</f>
        <v>8</v>
      </c>
      <c r="I4" s="46" t="str">
        <f>IFERROR(VLOOKUP($I$24&amp;$D4,'Database-Hidden'!$C$2:$J$121,8,FALSE),"")</f>
        <v>Loner, Claws, Disturbing Presence, Frenzy, Wild Animal</v>
      </c>
      <c r="J4" s="74" t="s">
        <v>55</v>
      </c>
      <c r="K4" s="48">
        <f t="shared" ref="K4:K19" si="0">IF(AA4&gt;175,6,IF(AA4&gt;75,5,IF(AA4&gt;50,4,IF(AA4&gt;30,3,IF(AA4&gt;15,2,IF(AA4&gt;5,1,0))))))</f>
        <v>1</v>
      </c>
      <c r="L4" s="49">
        <v>1</v>
      </c>
      <c r="M4" s="49"/>
      <c r="N4" s="49"/>
      <c r="O4" s="50"/>
      <c r="P4" s="51"/>
      <c r="Q4" s="52"/>
      <c r="R4" s="52"/>
      <c r="S4" s="53"/>
      <c r="T4" s="54"/>
      <c r="U4" s="55"/>
      <c r="V4" s="55"/>
      <c r="W4" s="55">
        <v>3</v>
      </c>
      <c r="X4" s="52">
        <v>1</v>
      </c>
      <c r="Y4" s="52"/>
      <c r="Z4" s="56"/>
      <c r="AA4" s="57">
        <f t="shared" ref="AA4:AA14" si="1">2*T4+U4+3*V4+2*W4+5*Z4</f>
        <v>6</v>
      </c>
      <c r="AB4" s="58">
        <f t="shared" ref="AB4:AB14" si="2">IF(L4=1,0,AD4+(20000*O4)+(20000*AE4)+(30000*AF4)+(30000*AG4)+(50000*AH4)+(40000*AI4)+(50000*AJ4)+AK4)</f>
        <v>0</v>
      </c>
      <c r="AC4" s="4"/>
      <c r="AD4" s="59">
        <f>IFERROR(VLOOKUP($I$24&amp;D4,'Database-Hidden'!$C$2:$E$121,3,FALSE),"")</f>
        <v>140000</v>
      </c>
      <c r="AE4" s="60"/>
      <c r="AF4" s="62">
        <v>1</v>
      </c>
      <c r="AG4" s="62"/>
      <c r="AH4" s="62"/>
      <c r="AI4" s="62"/>
      <c r="AJ4" s="62"/>
      <c r="AK4" s="63"/>
      <c r="AL4" s="64" t="str">
        <f>IF(LEFT($D4,6)&lt;&gt;"Star: ","",VLOOKUP(RIGHT($D4,LEN($D4)-6),'Star Players-Hidden'!$A$3:$AK$69,37,FALSE))</f>
        <v/>
      </c>
      <c r="AM4" s="4"/>
      <c r="AN4" s="65" t="s">
        <v>39</v>
      </c>
      <c r="AO4" s="66">
        <v>50000</v>
      </c>
      <c r="AP4" s="4"/>
      <c r="AQ4" s="4"/>
      <c r="AR4" s="67"/>
      <c r="AS4" s="68"/>
      <c r="AT4" s="68"/>
      <c r="AU4" s="65" t="s">
        <v>42</v>
      </c>
      <c r="AV4" s="69">
        <v>0</v>
      </c>
      <c r="AW4" s="70"/>
    </row>
    <row r="5" spans="1:49" ht="12.75">
      <c r="A5" s="2"/>
      <c r="B5" s="71">
        <v>2</v>
      </c>
      <c r="C5" s="72" t="s">
        <v>58</v>
      </c>
      <c r="D5" s="73" t="s">
        <v>59</v>
      </c>
      <c r="E5" s="75">
        <f>IFERROR(VLOOKUP($I$24&amp;$D5,'Database-Hidden'!$C$2:$J$121,4,FALSE)-P5+AG5,"")</f>
        <v>6</v>
      </c>
      <c r="F5" s="76">
        <f>IFERROR(VLOOKUP($I$24&amp;$D5,'Database-Hidden'!$C$2:$J$121,5,FALSE)-Q5+AH5,"")</f>
        <v>4</v>
      </c>
      <c r="G5" s="76">
        <f>IFERROR(VLOOKUP($I$24&amp;$D5,'Database-Hidden'!$C$2:$J$121,6,FALSE)-R5+AI5,"")</f>
        <v>2</v>
      </c>
      <c r="H5" s="77">
        <f>IFERROR(VLOOKUP($I$24&amp;$D5,'Database-Hidden'!$C$2:$J$121,7,FALSE)-S5+AJ5,"")</f>
        <v>8</v>
      </c>
      <c r="I5" s="78" t="str">
        <f>IFERROR(VLOOKUP($I$24&amp;$D5,'Database-Hidden'!$C$2:$J$121,8,FALSE),"")</f>
        <v>Frenzy</v>
      </c>
      <c r="J5" s="97"/>
      <c r="K5" s="80">
        <f t="shared" si="0"/>
        <v>0</v>
      </c>
      <c r="L5" s="82">
        <v>1</v>
      </c>
      <c r="M5" s="82">
        <v>1</v>
      </c>
      <c r="N5" s="82"/>
      <c r="O5" s="83"/>
      <c r="P5" s="84"/>
      <c r="Q5" s="85"/>
      <c r="R5" s="85"/>
      <c r="S5" s="86"/>
      <c r="T5" s="87"/>
      <c r="U5" s="88"/>
      <c r="V5" s="89"/>
      <c r="W5" s="89"/>
      <c r="X5" s="85"/>
      <c r="Y5" s="85"/>
      <c r="Z5" s="90"/>
      <c r="AA5" s="91">
        <f t="shared" si="1"/>
        <v>0</v>
      </c>
      <c r="AB5" s="58">
        <f t="shared" si="2"/>
        <v>0</v>
      </c>
      <c r="AC5" s="4"/>
      <c r="AD5" s="92">
        <f>IFERROR(VLOOKUP($I$24&amp;D5,'Database-Hidden'!$C$2:$E$121,3,FALSE),"")</f>
        <v>110000</v>
      </c>
      <c r="AE5" s="93"/>
      <c r="AF5" s="94"/>
      <c r="AG5" s="94"/>
      <c r="AH5" s="94"/>
      <c r="AI5" s="94"/>
      <c r="AJ5" s="94"/>
      <c r="AK5" s="63"/>
      <c r="AL5" s="64" t="str">
        <f>IF(LEFT($D5,6)&lt;&gt;"Star: ","",VLOOKUP(RIGHT($D5,LEN($D5)-6),'Star Players-Hidden'!$A$3:$AK$69,37,FALSE))</f>
        <v/>
      </c>
      <c r="AM5" s="1"/>
      <c r="AN5" s="95" t="s">
        <v>47</v>
      </c>
      <c r="AO5" s="96" t="s">
        <v>48</v>
      </c>
      <c r="AP5" s="98" t="s">
        <v>49</v>
      </c>
      <c r="AQ5" s="99" t="s">
        <v>50</v>
      </c>
      <c r="AR5" s="100" t="s">
        <v>51</v>
      </c>
      <c r="AS5" s="98" t="s">
        <v>52</v>
      </c>
      <c r="AT5" s="101" t="s">
        <v>53</v>
      </c>
      <c r="AU5" s="101" t="s">
        <v>54</v>
      </c>
      <c r="AV5" s="103" t="s">
        <v>2</v>
      </c>
      <c r="AW5" s="104"/>
    </row>
    <row r="6" spans="1:49" ht="12.75">
      <c r="A6" s="2"/>
      <c r="B6" s="71">
        <v>3</v>
      </c>
      <c r="C6" s="105"/>
      <c r="D6" s="73"/>
      <c r="E6" s="75"/>
      <c r="F6" s="76"/>
      <c r="G6" s="76"/>
      <c r="H6" s="77" t="str">
        <f>IFERROR(VLOOKUP($I$24&amp;$D6,'Database-Hidden'!$C$2:$J$121,7,FALSE)-S6+AJ6,"")</f>
        <v/>
      </c>
      <c r="I6" s="78" t="str">
        <f>IFERROR(VLOOKUP($I$24&amp;$D6,'Database-Hidden'!$C$2:$J$121,8,FALSE),"")</f>
        <v/>
      </c>
      <c r="J6" s="111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8"/>
      <c r="X6" s="85"/>
      <c r="Y6" s="85"/>
      <c r="Z6" s="90"/>
      <c r="AA6" s="91">
        <f t="shared" si="1"/>
        <v>0</v>
      </c>
      <c r="AB6" s="58"/>
      <c r="AC6" s="4"/>
      <c r="AD6" s="92" t="str">
        <f>IFERROR(VLOOKUP($I$24&amp;D6,'Database-Hidden'!$C$2:$E$121,3,FALSE),"")</f>
        <v/>
      </c>
      <c r="AE6" s="93"/>
      <c r="AF6" s="107"/>
      <c r="AG6" s="107"/>
      <c r="AH6" s="107"/>
      <c r="AI6" s="107"/>
      <c r="AJ6" s="107"/>
      <c r="AK6" s="63"/>
      <c r="AL6" s="64" t="str">
        <f>IF(LEFT($D6,6)&lt;&gt;"Star: ","",VLOOKUP(RIGHT($D6,LEN($D6)-6),'Star Players-Hidden'!$A$3:$AK$69,37,FALSE))</f>
        <v/>
      </c>
      <c r="AM6" s="4"/>
      <c r="AN6" s="108" t="s">
        <v>57</v>
      </c>
      <c r="AO6" s="109">
        <v>20000</v>
      </c>
      <c r="AP6" s="110"/>
      <c r="AQ6" s="112"/>
      <c r="AR6" s="114" t="s">
        <v>65</v>
      </c>
      <c r="AS6" s="115" t="s">
        <v>61</v>
      </c>
      <c r="AT6" s="118">
        <v>3</v>
      </c>
      <c r="AU6" s="116">
        <v>8</v>
      </c>
      <c r="AV6" s="119">
        <v>1</v>
      </c>
      <c r="AW6" s="117"/>
    </row>
    <row r="7" spans="1:49" ht="12.75">
      <c r="A7" s="2"/>
      <c r="B7" s="71">
        <v>4</v>
      </c>
      <c r="C7" s="72" t="s">
        <v>67</v>
      </c>
      <c r="D7" s="73" t="s">
        <v>68</v>
      </c>
      <c r="E7" s="75">
        <f>IFERROR(VLOOKUP($I$24&amp;$D7,'Database-Hidden'!$C$2:$J$121,4,FALSE)-P7+AG7,"")</f>
        <v>6</v>
      </c>
      <c r="F7" s="76">
        <f>IFERROR(VLOOKUP($I$24&amp;$D7,'Database-Hidden'!$C$2:$J$121,5,FALSE)-Q7+AH7,"")</f>
        <v>3</v>
      </c>
      <c r="G7" s="76">
        <f>IFERROR(VLOOKUP($I$24&amp;$D7,'Database-Hidden'!$C$2:$J$121,6,FALSE)-R7+AI7,"")</f>
        <v>3</v>
      </c>
      <c r="H7" s="77">
        <f>IFERROR(VLOOKUP($I$24&amp;$D7,'Database-Hidden'!$C$2:$J$121,7,FALSE)-S7+AJ7,"")</f>
        <v>7</v>
      </c>
      <c r="I7" s="78" t="str">
        <f>IFERROR(VLOOKUP($I$24&amp;$D7,'Database-Hidden'!$C$2:$J$121,8,FALSE),"")</f>
        <v>Block, Frenzy, Jump Up</v>
      </c>
      <c r="J7" s="97" t="s">
        <v>71</v>
      </c>
      <c r="K7" s="80">
        <f t="shared" si="0"/>
        <v>1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9">
        <v>1</v>
      </c>
      <c r="W7" s="89">
        <v>5</v>
      </c>
      <c r="X7" s="85"/>
      <c r="Y7" s="85"/>
      <c r="Z7" s="90"/>
      <c r="AA7" s="91">
        <f t="shared" si="1"/>
        <v>13</v>
      </c>
      <c r="AB7" s="58">
        <f t="shared" si="2"/>
        <v>110000</v>
      </c>
      <c r="AC7" s="4"/>
      <c r="AD7" s="120">
        <f>IFERROR(VLOOKUP($I$24&amp;D7,'Database-Hidden'!$C$2:$E$121,3,FALSE),"")</f>
        <v>90000</v>
      </c>
      <c r="AE7" s="93">
        <v>1</v>
      </c>
      <c r="AF7" s="107"/>
      <c r="AG7" s="107"/>
      <c r="AH7" s="107"/>
      <c r="AI7" s="107"/>
      <c r="AJ7" s="107"/>
      <c r="AK7" s="63"/>
      <c r="AL7" s="64" t="str">
        <f>IF(LEFT($D7,6)&lt;&gt;"Star: ","",VLOOKUP(RIGHT($D7,LEN($D7)-6),'Star Players-Hidden'!$A$3:$AK$69,37,FALSE))</f>
        <v/>
      </c>
      <c r="AM7" s="4"/>
      <c r="AN7" s="121" t="s">
        <v>63</v>
      </c>
      <c r="AO7" s="131">
        <v>40000</v>
      </c>
      <c r="AP7" s="132">
        <v>50000</v>
      </c>
      <c r="AQ7" s="124"/>
      <c r="AR7" s="133" t="s">
        <v>73</v>
      </c>
      <c r="AS7" s="134" t="s">
        <v>74</v>
      </c>
      <c r="AT7" s="135">
        <v>0</v>
      </c>
      <c r="AU7" s="136">
        <v>1</v>
      </c>
      <c r="AV7" s="137">
        <v>0</v>
      </c>
      <c r="AW7" s="130"/>
    </row>
    <row r="8" spans="1:49" ht="12.75">
      <c r="A8" s="2"/>
      <c r="B8" s="71">
        <v>5</v>
      </c>
      <c r="C8" s="72" t="s">
        <v>75</v>
      </c>
      <c r="D8" s="73" t="s">
        <v>68</v>
      </c>
      <c r="E8" s="75">
        <f>IFERROR(VLOOKUP($I$24&amp;$D8,'Database-Hidden'!$C$2:$J$121,4,FALSE)-P8+AG8,"")</f>
        <v>6</v>
      </c>
      <c r="F8" s="76">
        <f>IFERROR(VLOOKUP($I$24&amp;$D8,'Database-Hidden'!$C$2:$J$121,5,FALSE)-Q8+AH8,"")</f>
        <v>3</v>
      </c>
      <c r="G8" s="76">
        <f>IFERROR(VLOOKUP($I$24&amp;$D8,'Database-Hidden'!$C$2:$J$121,6,FALSE)-R8+AI8,"")</f>
        <v>3</v>
      </c>
      <c r="H8" s="77">
        <f>IFERROR(VLOOKUP($I$24&amp;$D8,'Database-Hidden'!$C$2:$J$121,7,FALSE)-S8+AJ8,"")</f>
        <v>7</v>
      </c>
      <c r="I8" s="78" t="str">
        <f>IFERROR(VLOOKUP($I$24&amp;$D8,'Database-Hidden'!$C$2:$J$121,8,FALSE),"")</f>
        <v>Block, Frenzy, Jump Up</v>
      </c>
      <c r="J8" s="97" t="s">
        <v>71</v>
      </c>
      <c r="K8" s="80">
        <f t="shared" si="0"/>
        <v>1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9">
        <v>3</v>
      </c>
      <c r="X8" s="85"/>
      <c r="Y8" s="85"/>
      <c r="Z8" s="90">
        <v>1</v>
      </c>
      <c r="AA8" s="91">
        <f t="shared" si="1"/>
        <v>11</v>
      </c>
      <c r="AB8" s="58">
        <f t="shared" si="2"/>
        <v>110000</v>
      </c>
      <c r="AC8" s="4"/>
      <c r="AD8" s="120">
        <f>IFERROR(VLOOKUP($I$24&amp;D8,'Database-Hidden'!$C$2:$E$121,3,FALSE),"")</f>
        <v>90000</v>
      </c>
      <c r="AE8" s="93">
        <v>1</v>
      </c>
      <c r="AF8" s="107"/>
      <c r="AG8" s="107"/>
      <c r="AH8" s="107"/>
      <c r="AI8" s="107"/>
      <c r="AJ8" s="107"/>
      <c r="AK8" s="63"/>
      <c r="AL8" s="64" t="str">
        <f>IF(LEFT($D8,6)&lt;&gt;"Star: ","",VLOOKUP(RIGHT($D8,LEN($D8)-6),'Star Players-Hidden'!$A$3:$AK$69,37,FALSE))</f>
        <v/>
      </c>
      <c r="AM8" s="4"/>
      <c r="AN8" s="121" t="s">
        <v>69</v>
      </c>
      <c r="AO8" s="131">
        <v>50000</v>
      </c>
      <c r="AP8" s="123"/>
      <c r="AQ8" s="138">
        <v>0</v>
      </c>
      <c r="AR8" s="133" t="s">
        <v>79</v>
      </c>
      <c r="AS8" s="134" t="s">
        <v>61</v>
      </c>
      <c r="AT8" s="135">
        <v>0</v>
      </c>
      <c r="AU8" s="136">
        <v>0</v>
      </c>
      <c r="AV8" s="137">
        <v>1</v>
      </c>
      <c r="AW8" s="130"/>
    </row>
    <row r="9" spans="1:49" ht="12.75">
      <c r="A9" s="2"/>
      <c r="B9" s="71">
        <v>6</v>
      </c>
      <c r="C9" s="72" t="s">
        <v>80</v>
      </c>
      <c r="D9" s="73" t="s">
        <v>81</v>
      </c>
      <c r="E9" s="75">
        <f>IFERROR(VLOOKUP($I$24&amp;$D9,'Database-Hidden'!$C$2:$J$121,4,FALSE)-P9+AG9,"")</f>
        <v>7</v>
      </c>
      <c r="F9" s="76">
        <f>IFERROR(VLOOKUP($I$24&amp;$D9,'Database-Hidden'!$C$2:$J$121,5,FALSE)-Q9+AH9,"")</f>
        <v>3</v>
      </c>
      <c r="G9" s="76">
        <f>IFERROR(VLOOKUP($I$24&amp;$D9,'Database-Hidden'!$C$2:$J$121,6,FALSE)-R9+AI9,"")</f>
        <v>3</v>
      </c>
      <c r="H9" s="77">
        <f>IFERROR(VLOOKUP($I$24&amp;$D9,'Database-Hidden'!$C$2:$J$121,7,FALSE)-S9+AJ9,"")</f>
        <v>7</v>
      </c>
      <c r="I9" s="78" t="str">
        <f>IFERROR(VLOOKUP($I$24&amp;$D9,'Database-Hidden'!$C$2:$J$121,8,FALSE),"")</f>
        <v>Block, Dauntless</v>
      </c>
      <c r="J9" s="97" t="s">
        <v>83</v>
      </c>
      <c r="K9" s="80">
        <f t="shared" si="0"/>
        <v>2</v>
      </c>
      <c r="L9" s="82"/>
      <c r="M9" s="81"/>
      <c r="N9" s="82"/>
      <c r="O9" s="83"/>
      <c r="P9" s="84"/>
      <c r="Q9" s="85"/>
      <c r="R9" s="85"/>
      <c r="S9" s="86"/>
      <c r="T9" s="87"/>
      <c r="U9" s="89">
        <v>1</v>
      </c>
      <c r="V9" s="89">
        <v>3</v>
      </c>
      <c r="W9" s="89">
        <v>2</v>
      </c>
      <c r="X9" s="85"/>
      <c r="Y9" s="85"/>
      <c r="Z9" s="90">
        <v>3</v>
      </c>
      <c r="AA9" s="91">
        <f t="shared" si="1"/>
        <v>29</v>
      </c>
      <c r="AB9" s="58">
        <f t="shared" si="2"/>
        <v>140000</v>
      </c>
      <c r="AC9" s="4"/>
      <c r="AD9" s="120">
        <f>IFERROR(VLOOKUP($I$24&amp;D9,'Database-Hidden'!$C$2:$E$121,3,FALSE),"")</f>
        <v>90000</v>
      </c>
      <c r="AE9" s="93">
        <v>1</v>
      </c>
      <c r="AF9" s="94">
        <v>1</v>
      </c>
      <c r="AG9" s="107"/>
      <c r="AH9" s="107"/>
      <c r="AI9" s="107"/>
      <c r="AJ9" s="107"/>
      <c r="AK9" s="63"/>
      <c r="AL9" s="64" t="str">
        <f>IF(LEFT($D9,6)&lt;&gt;"Star: ","",VLOOKUP(RIGHT($D9,LEN($D9)-6),'Star Players-Hidden'!$A$3:$AK$69,37,FALSE))</f>
        <v/>
      </c>
      <c r="AM9" s="4"/>
      <c r="AN9" s="121" t="s">
        <v>72</v>
      </c>
      <c r="AO9" s="131">
        <v>70000</v>
      </c>
      <c r="AP9" s="132">
        <v>110000</v>
      </c>
      <c r="AQ9" s="138"/>
      <c r="AR9" s="133" t="s">
        <v>84</v>
      </c>
      <c r="AS9" s="134" t="s">
        <v>61</v>
      </c>
      <c r="AT9" s="135">
        <v>1</v>
      </c>
      <c r="AU9" s="136">
        <v>3</v>
      </c>
      <c r="AV9" s="137">
        <v>1</v>
      </c>
      <c r="AW9" s="130"/>
    </row>
    <row r="10" spans="1:49" ht="12.75">
      <c r="A10" s="2"/>
      <c r="B10" s="71">
        <v>7</v>
      </c>
      <c r="C10" s="72" t="s">
        <v>85</v>
      </c>
      <c r="D10" s="73" t="s">
        <v>81</v>
      </c>
      <c r="E10" s="75">
        <f>IFERROR(VLOOKUP($I$24&amp;$D10,'Database-Hidden'!$C$2:$J$121,4,FALSE)-P10+AG10,"")</f>
        <v>7</v>
      </c>
      <c r="F10" s="76">
        <f>IFERROR(VLOOKUP($I$24&amp;$D10,'Database-Hidden'!$C$2:$J$121,5,FALSE)-Q10+AH10,"")</f>
        <v>3</v>
      </c>
      <c r="G10" s="76">
        <f>IFERROR(VLOOKUP($I$24&amp;$D10,'Database-Hidden'!$C$2:$J$121,6,FALSE)-R10+AI10,"")</f>
        <v>3</v>
      </c>
      <c r="H10" s="77">
        <f>IFERROR(VLOOKUP($I$24&amp;$D10,'Database-Hidden'!$C$2:$J$121,7,FALSE)-S10+AJ10,"")</f>
        <v>7</v>
      </c>
      <c r="I10" s="78" t="str">
        <f>IFERROR(VLOOKUP($I$24&amp;$D10,'Database-Hidden'!$C$2:$J$121,8,FALSE),"")</f>
        <v>Block, Dauntless</v>
      </c>
      <c r="J10" s="97" t="s">
        <v>86</v>
      </c>
      <c r="K10" s="80">
        <f t="shared" si="0"/>
        <v>2</v>
      </c>
      <c r="L10" s="82">
        <v>1</v>
      </c>
      <c r="M10" s="81"/>
      <c r="N10" s="81"/>
      <c r="O10" s="83"/>
      <c r="P10" s="84"/>
      <c r="Q10" s="85"/>
      <c r="R10" s="85"/>
      <c r="S10" s="86"/>
      <c r="T10" s="87"/>
      <c r="U10" s="89">
        <v>2</v>
      </c>
      <c r="V10" s="89">
        <v>1</v>
      </c>
      <c r="W10" s="89">
        <v>5</v>
      </c>
      <c r="X10" s="140"/>
      <c r="Y10" s="85"/>
      <c r="Z10" s="90">
        <v>1</v>
      </c>
      <c r="AA10" s="91">
        <f t="shared" si="1"/>
        <v>20</v>
      </c>
      <c r="AB10" s="58">
        <f t="shared" si="2"/>
        <v>0</v>
      </c>
      <c r="AC10" s="4"/>
      <c r="AD10" s="120">
        <f>IFERROR(VLOOKUP($I$24&amp;D10,'Database-Hidden'!$C$2:$E$121,3,FALSE),"")</f>
        <v>90000</v>
      </c>
      <c r="AE10" s="93">
        <v>2</v>
      </c>
      <c r="AF10" s="94"/>
      <c r="AG10" s="107"/>
      <c r="AH10" s="107"/>
      <c r="AI10" s="107"/>
      <c r="AJ10" s="107"/>
      <c r="AK10" s="63"/>
      <c r="AL10" s="64" t="str">
        <f>IF(LEFT($D10,6)&lt;&gt;"Star: ","",VLOOKUP(RIGHT($D10,LEN($D10)-6),'Star Players-Hidden'!$A$3:$AK$69,37,FALSE))</f>
        <v/>
      </c>
      <c r="AM10" s="4"/>
      <c r="AN10" s="121" t="s">
        <v>78</v>
      </c>
      <c r="AO10" s="131">
        <v>60000</v>
      </c>
      <c r="AP10" s="132">
        <v>30000</v>
      </c>
      <c r="AQ10" s="138">
        <v>0</v>
      </c>
      <c r="AR10" s="133" t="s">
        <v>90</v>
      </c>
      <c r="AS10" s="134" t="s">
        <v>74</v>
      </c>
      <c r="AT10" s="135">
        <v>0</v>
      </c>
      <c r="AU10" s="136">
        <v>2</v>
      </c>
      <c r="AV10" s="137">
        <v>0</v>
      </c>
      <c r="AW10" s="130"/>
    </row>
    <row r="11" spans="1:49" ht="12.75">
      <c r="A11" s="2"/>
      <c r="B11" s="71">
        <v>8</v>
      </c>
      <c r="C11" s="72" t="s">
        <v>91</v>
      </c>
      <c r="D11" s="73" t="s">
        <v>92</v>
      </c>
      <c r="E11" s="75">
        <f>IFERROR(VLOOKUP($I$24&amp;$D11,'Database-Hidden'!$C$2:$J$121,4,FALSE)-P11+AG11,"")</f>
        <v>6</v>
      </c>
      <c r="F11" s="76">
        <f>IFERROR(VLOOKUP($I$24&amp;$D11,'Database-Hidden'!$C$2:$J$121,5,FALSE)-Q11+AH11,"")</f>
        <v>3</v>
      </c>
      <c r="G11" s="76">
        <f>IFERROR(VLOOKUP($I$24&amp;$D11,'Database-Hidden'!$C$2:$J$121,6,FALSE)-R11+AI11,"")</f>
        <v>3</v>
      </c>
      <c r="H11" s="77">
        <f>IFERROR(VLOOKUP($I$24&amp;$D11,'Database-Hidden'!$C$2:$J$121,7,FALSE)-S11+AJ11,"")</f>
        <v>7</v>
      </c>
      <c r="I11" s="78" t="str">
        <f>IFERROR(VLOOKUP($I$24&amp;$D11,'Database-Hidden'!$C$2:$J$121,8,FALSE),"")</f>
        <v>Block</v>
      </c>
      <c r="J11" s="97" t="s">
        <v>94</v>
      </c>
      <c r="K11" s="80">
        <f t="shared" si="0"/>
        <v>2</v>
      </c>
      <c r="L11" s="81"/>
      <c r="M11" s="81"/>
      <c r="N11" s="81"/>
      <c r="O11" s="83"/>
      <c r="P11" s="84"/>
      <c r="Q11" s="85"/>
      <c r="R11" s="85"/>
      <c r="S11" s="86"/>
      <c r="T11" s="87"/>
      <c r="U11" s="89">
        <v>1</v>
      </c>
      <c r="V11" s="89">
        <v>1</v>
      </c>
      <c r="W11" s="89">
        <v>1</v>
      </c>
      <c r="X11" s="85"/>
      <c r="Y11" s="85"/>
      <c r="Z11" s="90">
        <v>2</v>
      </c>
      <c r="AA11" s="91">
        <f t="shared" si="1"/>
        <v>16</v>
      </c>
      <c r="AB11" s="58">
        <f t="shared" si="2"/>
        <v>90000</v>
      </c>
      <c r="AC11" s="4"/>
      <c r="AD11" s="120">
        <f>IFERROR(VLOOKUP($I$24&amp;D11,'Database-Hidden'!$C$2:$E$121,3,FALSE),"")</f>
        <v>50000</v>
      </c>
      <c r="AE11" s="93">
        <v>2</v>
      </c>
      <c r="AF11" s="107"/>
      <c r="AG11" s="107"/>
      <c r="AH11" s="107"/>
      <c r="AI11" s="107"/>
      <c r="AJ11" s="107"/>
      <c r="AK11" s="63"/>
      <c r="AL11" s="64" t="str">
        <f>IF(LEFT($D11,6)&lt;&gt;"Star: ","",VLOOKUP(RIGHT($D11,LEN($D11)-6),'Star Players-Hidden'!$A$3:$AK$69,37,FALSE))</f>
        <v/>
      </c>
      <c r="AM11" s="4"/>
      <c r="AN11" s="121" t="s">
        <v>82</v>
      </c>
      <c r="AO11" s="131">
        <v>40000</v>
      </c>
      <c r="AP11" s="132">
        <v>50000</v>
      </c>
      <c r="AQ11" s="124"/>
      <c r="AR11" s="133" t="s">
        <v>76</v>
      </c>
      <c r="AS11" s="134" t="s">
        <v>74</v>
      </c>
      <c r="AT11" s="135">
        <v>1</v>
      </c>
      <c r="AU11" s="136">
        <v>3</v>
      </c>
      <c r="AV11" s="129"/>
      <c r="AW11" s="130"/>
    </row>
    <row r="12" spans="1:49" ht="12.75">
      <c r="A12" s="2"/>
      <c r="B12" s="71">
        <v>9</v>
      </c>
      <c r="C12" s="72" t="s">
        <v>97</v>
      </c>
      <c r="D12" s="73" t="s">
        <v>92</v>
      </c>
      <c r="E12" s="75">
        <f>IFERROR(VLOOKUP($I$24&amp;$D12,'Database-Hidden'!$C$2:$J$121,4,FALSE)-P12+AG12,"")</f>
        <v>6</v>
      </c>
      <c r="F12" s="76">
        <f>IFERROR(VLOOKUP($I$24&amp;$D12,'Database-Hidden'!$C$2:$J$121,5,FALSE)-Q12+AH12,"")</f>
        <v>3</v>
      </c>
      <c r="G12" s="76">
        <f>IFERROR(VLOOKUP($I$24&amp;$D12,'Database-Hidden'!$C$2:$J$121,6,FALSE)-R12+AI12,"")</f>
        <v>3</v>
      </c>
      <c r="H12" s="77">
        <f>IFERROR(VLOOKUP($I$24&amp;$D12,'Database-Hidden'!$C$2:$J$121,7,FALSE)-S12+AJ12,"")</f>
        <v>7</v>
      </c>
      <c r="I12" s="78" t="str">
        <f>IFERROR(VLOOKUP($I$24&amp;$D12,'Database-Hidden'!$C$2:$J$121,8,FALSE),"")</f>
        <v>Block</v>
      </c>
      <c r="J12" s="111"/>
      <c r="K12" s="80">
        <f t="shared" si="0"/>
        <v>0</v>
      </c>
      <c r="L12" s="82"/>
      <c r="M12" s="82">
        <v>1</v>
      </c>
      <c r="N12" s="82"/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85"/>
      <c r="Z12" s="90"/>
      <c r="AA12" s="91">
        <f t="shared" si="1"/>
        <v>0</v>
      </c>
      <c r="AB12" s="58">
        <f t="shared" si="2"/>
        <v>50000</v>
      </c>
      <c r="AC12" s="4"/>
      <c r="AD12" s="120">
        <f>IFERROR(VLOOKUP($I$24&amp;D12,'Database-Hidden'!$C$2:$E$121,3,FALSE),"")</f>
        <v>50000</v>
      </c>
      <c r="AE12" s="139"/>
      <c r="AF12" s="107"/>
      <c r="AG12" s="107"/>
      <c r="AH12" s="107"/>
      <c r="AI12" s="107"/>
      <c r="AJ12" s="107"/>
      <c r="AK12" s="63"/>
      <c r="AL12" s="64" t="str">
        <f>IF(LEFT($D12,6)&lt;&gt;"Star: ","",VLOOKUP(RIGHT($D12,LEN($D12)-6),'Star Players-Hidden'!$A$3:$AK$69,37,FALSE))</f>
        <v/>
      </c>
      <c r="AM12" s="4"/>
      <c r="AN12" s="121" t="s">
        <v>87</v>
      </c>
      <c r="AO12" s="131" t="s">
        <v>100</v>
      </c>
      <c r="AP12" s="123"/>
      <c r="AQ12" s="124"/>
      <c r="AR12" s="125"/>
      <c r="AS12" s="126"/>
      <c r="AT12" s="127"/>
      <c r="AU12" s="128"/>
      <c r="AV12" s="129"/>
      <c r="AW12" s="130"/>
    </row>
    <row r="13" spans="1:49" ht="12.75">
      <c r="A13" s="2"/>
      <c r="B13" s="71">
        <v>10</v>
      </c>
      <c r="C13" s="72" t="s">
        <v>101</v>
      </c>
      <c r="D13" s="73" t="s">
        <v>92</v>
      </c>
      <c r="E13" s="75">
        <f>IFERROR(VLOOKUP($I$24&amp;$D13,'Database-Hidden'!$C$2:$J$121,4,FALSE)-P13+AG13,"")</f>
        <v>6</v>
      </c>
      <c r="F13" s="76">
        <f>IFERROR(VLOOKUP($I$24&amp;$D13,'Database-Hidden'!$C$2:$J$121,5,FALSE)-Q13+AH13,"")</f>
        <v>3</v>
      </c>
      <c r="G13" s="76">
        <f>IFERROR(VLOOKUP($I$24&amp;$D13,'Database-Hidden'!$C$2:$J$121,6,FALSE)-R13+AI13,"")</f>
        <v>3</v>
      </c>
      <c r="H13" s="77">
        <f>IFERROR(VLOOKUP($I$24&amp;$D13,'Database-Hidden'!$C$2:$J$121,7,FALSE)-S13+AJ13,"")</f>
        <v>7</v>
      </c>
      <c r="I13" s="78" t="str">
        <f>IFERROR(VLOOKUP($I$24&amp;$D13,'Database-Hidden'!$C$2:$J$121,8,FALSE),"")</f>
        <v>Block</v>
      </c>
      <c r="J13" s="97" t="s">
        <v>103</v>
      </c>
      <c r="K13" s="80">
        <f t="shared" si="0"/>
        <v>1</v>
      </c>
      <c r="L13" s="81"/>
      <c r="M13" s="81"/>
      <c r="N13" s="82"/>
      <c r="O13" s="83"/>
      <c r="P13" s="84"/>
      <c r="Q13" s="85"/>
      <c r="R13" s="85"/>
      <c r="S13" s="86"/>
      <c r="T13" s="87"/>
      <c r="U13" s="89">
        <v>1</v>
      </c>
      <c r="V13" s="89">
        <v>1</v>
      </c>
      <c r="W13" s="89">
        <v>1</v>
      </c>
      <c r="X13" s="140"/>
      <c r="Y13" s="140">
        <v>1</v>
      </c>
      <c r="Z13" s="90"/>
      <c r="AA13" s="91">
        <f t="shared" si="1"/>
        <v>6</v>
      </c>
      <c r="AB13" s="58">
        <f t="shared" si="2"/>
        <v>70000</v>
      </c>
      <c r="AC13" s="4"/>
      <c r="AD13" s="120">
        <f>IFERROR(VLOOKUP($I$24&amp;D13,'Database-Hidden'!$C$2:$E$121,3,FALSE),"")</f>
        <v>50000</v>
      </c>
      <c r="AE13" s="93">
        <v>1</v>
      </c>
      <c r="AF13" s="94"/>
      <c r="AG13" s="107"/>
      <c r="AH13" s="107"/>
      <c r="AI13" s="107"/>
      <c r="AJ13" s="107"/>
      <c r="AK13" s="63"/>
      <c r="AL13" s="64" t="str">
        <f>IF(LEFT($D13,6)&lt;&gt;"Star: ","",VLOOKUP(RIGHT($D13,LEN($D13)-6),'Star Players-Hidden'!$A$3:$AK$69,37,FALSE))</f>
        <v/>
      </c>
      <c r="AM13" s="4"/>
      <c r="AN13" s="121" t="s">
        <v>95</v>
      </c>
      <c r="AO13" s="131" t="s">
        <v>100</v>
      </c>
      <c r="AP13" s="123"/>
      <c r="AQ13" s="124"/>
      <c r="AR13" s="125"/>
      <c r="AS13" s="126"/>
      <c r="AT13" s="127"/>
      <c r="AU13" s="128"/>
      <c r="AV13" s="129"/>
      <c r="AW13" s="130"/>
    </row>
    <row r="14" spans="1:49" ht="12.75">
      <c r="A14" s="2"/>
      <c r="B14" s="71">
        <v>11</v>
      </c>
      <c r="C14" s="72"/>
      <c r="D14" s="73"/>
      <c r="E14" s="75" t="str">
        <f>IFERROR(VLOOKUP($I$24&amp;$D14,'Database-Hidden'!$C$2:$J$121,4,FALSE)-P14+AG14,"")</f>
        <v/>
      </c>
      <c r="F14" s="76" t="str">
        <f>IFERROR(VLOOKUP($I$24&amp;$D14,'Database-Hidden'!$C$2:$J$121,5,FALSE)-Q14+AH14,"")</f>
        <v/>
      </c>
      <c r="G14" s="76" t="str">
        <f>IFERROR(VLOOKUP($I$24&amp;$D14,'Database-Hidden'!$C$2:$J$121,6,FALSE)-R14+AI14,"")</f>
        <v/>
      </c>
      <c r="H14" s="77" t="str">
        <f>IFERROR(VLOOKUP($I$24&amp;$D14,'Database-Hidden'!$C$2:$J$121,7,FALSE)-S14+AJ14,"")</f>
        <v/>
      </c>
      <c r="I14" s="78" t="str">
        <f>IFERROR(VLOOKUP($I$24&amp;$D14,'Database-Hidden'!$C$2:$J$121,8,FALSE),"")</f>
        <v/>
      </c>
      <c r="J14" s="97"/>
      <c r="K14" s="80">
        <f t="shared" si="0"/>
        <v>0</v>
      </c>
      <c r="L14" s="82"/>
      <c r="M14" s="82"/>
      <c r="N14" s="82"/>
      <c r="O14" s="83"/>
      <c r="P14" s="84"/>
      <c r="Q14" s="85"/>
      <c r="R14" s="85"/>
      <c r="S14" s="86"/>
      <c r="T14" s="87"/>
      <c r="U14" s="88"/>
      <c r="V14" s="88"/>
      <c r="W14" s="89"/>
      <c r="X14" s="85"/>
      <c r="Y14" s="85"/>
      <c r="Z14" s="90"/>
      <c r="AA14" s="91">
        <f t="shared" si="1"/>
        <v>0</v>
      </c>
      <c r="AB14" s="58"/>
      <c r="AC14" s="4"/>
      <c r="AD14" s="120" t="str">
        <f>IFERROR(VLOOKUP($I$24&amp;D14,'Database-Hidden'!$C$2:$E$121,3,FALSE),"")</f>
        <v/>
      </c>
      <c r="AE14" s="93"/>
      <c r="AF14" s="107"/>
      <c r="AG14" s="107"/>
      <c r="AH14" s="107"/>
      <c r="AI14" s="107"/>
      <c r="AJ14" s="107"/>
      <c r="AK14" s="63"/>
      <c r="AL14" s="64" t="str">
        <f>IF(LEFT($D14,6)&lt;&gt;"Star: ","",VLOOKUP(RIGHT($D14,LEN($D14)-6),'Star Players-Hidden'!$A$3:$AK$69,37,FALSE))</f>
        <v/>
      </c>
      <c r="AM14" s="4"/>
      <c r="AN14" s="121" t="s">
        <v>98</v>
      </c>
      <c r="AO14" s="131" t="s">
        <v>100</v>
      </c>
      <c r="AP14" s="132"/>
      <c r="AQ14" s="124"/>
      <c r="AR14" s="133"/>
      <c r="AS14" s="134"/>
      <c r="AT14" s="135"/>
      <c r="AU14" s="136"/>
      <c r="AV14" s="129"/>
      <c r="AW14" s="130"/>
    </row>
    <row r="15" spans="1:49" ht="12.75">
      <c r="A15" s="2"/>
      <c r="B15" s="71">
        <v>12</v>
      </c>
      <c r="C15" s="72" t="s">
        <v>107</v>
      </c>
      <c r="D15" s="73"/>
      <c r="E15" s="75" t="str">
        <f>IFERROR(VLOOKUP($I$24&amp;$D15,'Database-Hidden'!$C$2:$J$121,4,FALSE)-P15+AG15,"")</f>
        <v/>
      </c>
      <c r="F15" s="76" t="str">
        <f>IFERROR(VLOOKUP($I$24&amp;$D15,'Database-Hidden'!$C$2:$J$121,5,FALSE)-Q15+AH15,"")</f>
        <v/>
      </c>
      <c r="G15" s="76" t="str">
        <f>IFERROR(VLOOKUP($I$24&amp;$D15,'Database-Hidden'!$C$2:$J$121,6,FALSE)-R15+AI15,"")</f>
        <v/>
      </c>
      <c r="H15" s="77" t="str">
        <f>IFERROR(VLOOKUP($I$24&amp;$D15,'Database-Hidden'!$C$2:$J$121,7,FALSE)-S15+AJ15,"")</f>
        <v/>
      </c>
      <c r="I15" s="78" t="str">
        <f>IFERROR(VLOOKUP($I$24&amp;$D15,'Database-Hidden'!$C$2:$J$121,8,FALSE),"")</f>
        <v/>
      </c>
      <c r="J15" s="97" t="s">
        <v>109</v>
      </c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140"/>
      <c r="Y15" s="85"/>
      <c r="Z15" s="90"/>
      <c r="AA15" s="91"/>
      <c r="AB15" s="58"/>
      <c r="AC15" s="4"/>
      <c r="AD15" s="120" t="str">
        <f>IFERROR(VLOOKUP($I$24&amp;D15,'Database-Hidden'!$C$2:$E$121,3,FALSE),"")</f>
        <v/>
      </c>
      <c r="AE15" s="93"/>
      <c r="AF15" s="107"/>
      <c r="AG15" s="107"/>
      <c r="AH15" s="107"/>
      <c r="AI15" s="107"/>
      <c r="AJ15" s="107"/>
      <c r="AK15" s="63"/>
      <c r="AL15" s="64" t="str">
        <f>IF(LEFT($D15,6)&lt;&gt;"Star: ","",VLOOKUP(RIGHT($D15,LEN($D15)-6),'Star Players-Hidden'!$A$3:$AK$69,37,FALSE))</f>
        <v/>
      </c>
      <c r="AM15" s="4"/>
      <c r="AN15" s="121" t="s">
        <v>102</v>
      </c>
      <c r="AO15" s="131">
        <v>60000</v>
      </c>
      <c r="AP15" s="132">
        <v>0</v>
      </c>
      <c r="AQ15" s="138">
        <v>0</v>
      </c>
      <c r="AR15" s="133" t="s">
        <v>110</v>
      </c>
      <c r="AS15" s="134" t="s">
        <v>74</v>
      </c>
      <c r="AT15" s="135">
        <v>1</v>
      </c>
      <c r="AU15" s="136">
        <v>3</v>
      </c>
      <c r="AV15" s="137">
        <v>0</v>
      </c>
      <c r="AW15" s="130"/>
    </row>
    <row r="16" spans="1:49" ht="12.75">
      <c r="A16" s="2"/>
      <c r="B16" s="71">
        <v>13</v>
      </c>
      <c r="C16" s="148"/>
      <c r="D16" s="151"/>
      <c r="E16" s="75" t="str">
        <f>IFERROR(VLOOKUP($I$24&amp;$D16,'Database-Hidden'!$C$2:$J$121,4,FALSE)-P16+AG16,"")</f>
        <v/>
      </c>
      <c r="F16" s="76" t="str">
        <f>IFERROR(VLOOKUP($I$24&amp;$D16,'Database-Hidden'!$C$2:$J$121,5,FALSE)-Q16+AH16,"")</f>
        <v/>
      </c>
      <c r="G16" s="76" t="str">
        <f>IFERROR(VLOOKUP($I$24&amp;$D16,'Database-Hidden'!$C$2:$J$121,6,FALSE)-R16+AI16,"")</f>
        <v/>
      </c>
      <c r="H16" s="77" t="str">
        <f>IFERROR(VLOOKUP($I$24&amp;$D16,'Database-Hidden'!$C$2:$J$121,7,FALSE)-S16+AJ16,"")</f>
        <v/>
      </c>
      <c r="I16" s="152" t="str">
        <f>IFERROR(VLOOKUP($I$24&amp;$D16,'Database-Hidden'!$C$2:$J$121,8,FALSE),"")</f>
        <v/>
      </c>
      <c r="J16" s="153"/>
      <c r="K16" s="154">
        <f t="shared" si="0"/>
        <v>0</v>
      </c>
      <c r="L16" s="155"/>
      <c r="M16" s="156"/>
      <c r="N16" s="158"/>
      <c r="O16" s="159"/>
      <c r="P16" s="161"/>
      <c r="Q16" s="163"/>
      <c r="R16" s="163"/>
      <c r="S16" s="165"/>
      <c r="T16" s="167"/>
      <c r="U16" s="169"/>
      <c r="V16" s="169"/>
      <c r="W16" s="171"/>
      <c r="X16" s="163"/>
      <c r="Y16" s="163"/>
      <c r="Z16" s="173"/>
      <c r="AA16" s="175">
        <f t="shared" ref="AA16:AA19" si="3">2*T16+U16+3*V16+2*W16+5*Z16</f>
        <v>0</v>
      </c>
      <c r="AB16" s="58"/>
      <c r="AC16" s="4"/>
      <c r="AD16" s="120" t="str">
        <f>IFERROR(VLOOKUP($I$24&amp;D16,'Database-Hidden'!$C$2:$E$121,3,FALSE),"")</f>
        <v/>
      </c>
      <c r="AE16" s="93"/>
      <c r="AF16" s="107"/>
      <c r="AG16" s="107"/>
      <c r="AH16" s="107"/>
      <c r="AI16" s="107"/>
      <c r="AJ16" s="107"/>
      <c r="AK16" s="63"/>
      <c r="AL16" s="64" t="str">
        <f>IF(LEFT($D16,6)&lt;&gt;"Star: ","",VLOOKUP(RIGHT($D16,LEN($D16)-6),'Star Players-Hidden'!$A$3:$AK$69,37,FALSE))</f>
        <v/>
      </c>
      <c r="AM16" s="4"/>
      <c r="AN16" s="121" t="s">
        <v>105</v>
      </c>
      <c r="AO16" s="122"/>
      <c r="AP16" s="123"/>
      <c r="AQ16" s="124"/>
      <c r="AR16" s="125"/>
      <c r="AS16" s="126"/>
      <c r="AT16" s="127"/>
      <c r="AU16" s="128"/>
      <c r="AV16" s="129"/>
      <c r="AW16" s="130"/>
    </row>
    <row r="17" spans="1:49" ht="12.75">
      <c r="A17" s="2"/>
      <c r="B17" s="71">
        <v>14</v>
      </c>
      <c r="C17" s="72" t="s">
        <v>116</v>
      </c>
      <c r="D17" s="73" t="s">
        <v>92</v>
      </c>
      <c r="E17" s="179">
        <v>6</v>
      </c>
      <c r="F17" s="181">
        <v>3</v>
      </c>
      <c r="G17" s="181">
        <v>3</v>
      </c>
      <c r="H17" s="183">
        <v>7</v>
      </c>
      <c r="I17" s="185" t="s">
        <v>55</v>
      </c>
      <c r="J17" s="97" t="s">
        <v>117</v>
      </c>
      <c r="K17" s="80">
        <f t="shared" si="0"/>
        <v>1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>
        <v>1</v>
      </c>
      <c r="X17" s="140">
        <v>1</v>
      </c>
      <c r="Y17" s="85"/>
      <c r="Z17" s="90">
        <v>2</v>
      </c>
      <c r="AA17" s="91">
        <f t="shared" si="3"/>
        <v>12</v>
      </c>
      <c r="AB17" s="58">
        <f t="shared" ref="AB16:AB19" si="4">IF(L17=1,0,AD17+(20000*O17)+(20000*AE17)+(30000*AF17)+(30000*AG17)+(50000*AH17)+(40000*AI17)+(50000*AJ17)+AK17)</f>
        <v>70000</v>
      </c>
      <c r="AC17" s="4"/>
      <c r="AD17" s="120">
        <f>IFERROR(VLOOKUP($I$24&amp;D17,'Database-Hidden'!$C$2:$E$121,3,FALSE),"")</f>
        <v>50000</v>
      </c>
      <c r="AE17" s="93">
        <v>1</v>
      </c>
      <c r="AF17" s="107"/>
      <c r="AG17" s="107"/>
      <c r="AH17" s="107"/>
      <c r="AI17" s="107"/>
      <c r="AJ17" s="107"/>
      <c r="AK17" s="63"/>
      <c r="AL17" s="64" t="str">
        <f>IF(LEFT($D17,6)&lt;&gt;"Star: ","",VLOOKUP(RIGHT($D17,LEN($D17)-6),'Star Players-Hidden'!$A$3:$AK$69,37,FALSE))</f>
        <v/>
      </c>
      <c r="AM17" s="4"/>
      <c r="AN17" s="141" t="s">
        <v>108</v>
      </c>
      <c r="AO17" s="142"/>
      <c r="AP17" s="143"/>
      <c r="AQ17" s="144"/>
      <c r="AR17" s="145"/>
      <c r="AS17" s="146"/>
      <c r="AT17" s="147"/>
      <c r="AU17" s="149"/>
      <c r="AV17" s="150"/>
      <c r="AW17" s="130"/>
    </row>
    <row r="18" spans="1:49" ht="12.75">
      <c r="A18" s="2"/>
      <c r="B18" s="71">
        <v>15</v>
      </c>
      <c r="C18" s="72"/>
      <c r="D18" s="73"/>
      <c r="E18" s="75" t="str">
        <f>IFERROR(VLOOKUP($I$24&amp;$D18,'Database-Hidden'!$C$2:$J$121,4,FALSE)-P18+AG18,"")</f>
        <v/>
      </c>
      <c r="F18" s="76" t="str">
        <f>IFERROR(VLOOKUP($I$24&amp;$D18,'Database-Hidden'!$C$2:$J$121,5,FALSE)-Q18+AH18,"")</f>
        <v/>
      </c>
      <c r="G18" s="76" t="str">
        <f>IFERROR(VLOOKUP($I$24&amp;$D18,'Database-Hidden'!$C$2:$J$121,6,FALSE)-R18+AI18,"")</f>
        <v/>
      </c>
      <c r="H18" s="77" t="str">
        <f>IFERROR(VLOOKUP($I$24&amp;$D18,'Database-Hidden'!$C$2:$J$121,7,FALSE)-S18+AJ18,"")</f>
        <v/>
      </c>
      <c r="I18" s="78" t="str">
        <f>IFERROR(VLOOKUP($I$24&amp;$D18,'Database-Hidden'!$C$2:$J$121,8,FALSE),"")</f>
        <v/>
      </c>
      <c r="J18" s="97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85"/>
      <c r="Z18" s="90"/>
      <c r="AA18" s="91">
        <f t="shared" si="3"/>
        <v>0</v>
      </c>
      <c r="AB18" s="58"/>
      <c r="AC18" s="4"/>
      <c r="AD18" s="120" t="str">
        <f>IFERROR(VLOOKUP($I$24&amp;D18,'Database-Hidden'!$C$2:$E$121,3,FALSE),"")</f>
        <v/>
      </c>
      <c r="AE18" s="93"/>
      <c r="AF18" s="94"/>
      <c r="AG18" s="107"/>
      <c r="AH18" s="107"/>
      <c r="AI18" s="107"/>
      <c r="AJ18" s="107"/>
      <c r="AK18" s="63"/>
      <c r="AL18" s="64" t="str">
        <f>IF(LEFT($D18,6)&lt;&gt;"Star: ","",VLOOKUP(RIGHT($D18,LEN($D18)-6),'Star Players-Hidden'!$A$3:$AK$69,37,FALSE))</f>
        <v/>
      </c>
      <c r="AM18" s="4"/>
      <c r="AN18" s="157" t="s">
        <v>35</v>
      </c>
      <c r="AO18" s="160">
        <f>AO4+SUM(AO6:AO17)-SUM(AP6:AP17)-SUM(AQ6:AQ17)</f>
        <v>150000</v>
      </c>
      <c r="AP18" s="4"/>
      <c r="AQ18" s="4"/>
      <c r="AR18" s="68"/>
      <c r="AS18" s="157" t="s">
        <v>35</v>
      </c>
      <c r="AT18" s="162">
        <f t="shared" ref="AT18:AU18" si="5">SUM(AT6:AT17)</f>
        <v>6</v>
      </c>
      <c r="AU18" s="164">
        <f t="shared" si="5"/>
        <v>20</v>
      </c>
      <c r="AV18" s="168">
        <f>AV4+SUM(AV6:AV17)</f>
        <v>3</v>
      </c>
      <c r="AW18" s="5"/>
    </row>
    <row r="19" spans="1:49" ht="12.75">
      <c r="A19" s="2"/>
      <c r="B19" s="170">
        <v>16</v>
      </c>
      <c r="C19" s="172"/>
      <c r="D19" s="174"/>
      <c r="E19" s="176" t="str">
        <f>IFERROR(VLOOKUP($I$24&amp;$D19,'Database-Hidden'!$C$2:$J$121,4,FALSE)-P19+AG19,"")</f>
        <v/>
      </c>
      <c r="F19" s="177" t="str">
        <f>IFERROR(VLOOKUP($I$24&amp;$D19,'Database-Hidden'!$C$2:$J$121,5,FALSE)-Q19+AH19,"")</f>
        <v/>
      </c>
      <c r="G19" s="177" t="str">
        <f>IFERROR(VLOOKUP($I$24&amp;$D19,'Database-Hidden'!$C$2:$J$121,6,FALSE)-R19+AI19,"")</f>
        <v/>
      </c>
      <c r="H19" s="178" t="str">
        <f>IFERROR(VLOOKUP($I$24&amp;$D19,'Database-Hidden'!$C$2:$J$121,7,FALSE)-S19+AJ19,"")</f>
        <v/>
      </c>
      <c r="I19" s="180" t="str">
        <f>IFERROR(VLOOKUP($I$24&amp;$D19,'Database-Hidden'!$C$2:$J$121,8,FALSE),"")</f>
        <v/>
      </c>
      <c r="J19" s="184"/>
      <c r="K19" s="186">
        <f t="shared" si="0"/>
        <v>0</v>
      </c>
      <c r="L19" s="188"/>
      <c r="M19" s="188"/>
      <c r="N19" s="187"/>
      <c r="O19" s="189"/>
      <c r="P19" s="190"/>
      <c r="Q19" s="191"/>
      <c r="R19" s="191"/>
      <c r="S19" s="192"/>
      <c r="T19" s="193"/>
      <c r="U19" s="194"/>
      <c r="V19" s="194"/>
      <c r="W19" s="195"/>
      <c r="X19" s="191"/>
      <c r="Y19" s="191"/>
      <c r="Z19" s="196"/>
      <c r="AA19" s="197">
        <f t="shared" si="3"/>
        <v>0</v>
      </c>
      <c r="AB19" s="58"/>
      <c r="AC19" s="4"/>
      <c r="AD19" s="198" t="str">
        <f>IFERROR(VLOOKUP($I$24&amp;D19,'Database-Hidden'!$C$2:$E$121,3,FALSE),"")</f>
        <v/>
      </c>
      <c r="AE19" s="199"/>
      <c r="AF19" s="200"/>
      <c r="AG19" s="200"/>
      <c r="AH19" s="200"/>
      <c r="AI19" s="200"/>
      <c r="AJ19" s="200"/>
      <c r="AK19" s="201"/>
      <c r="AL19" s="202" t="str">
        <f>IF(LEFT($D19,6)&lt;&gt;"Star: ","",VLOOKUP(RIGHT($D19,LEN($D19)-6),'Star Players-Hidden'!$A$3:$AK$69,37,FALSE))</f>
        <v/>
      </c>
      <c r="AM19" s="4"/>
      <c r="AV19" s="203"/>
    </row>
    <row r="20" spans="1:49" ht="12.75">
      <c r="B20" s="328"/>
      <c r="C20" s="329"/>
      <c r="D20" s="330"/>
      <c r="E20" s="311" t="s">
        <v>118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3"/>
      <c r="AB20" s="204">
        <f>SUM(AB4:AB19)</f>
        <v>640000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8"/>
      <c r="AO20" s="68"/>
      <c r="AP20" s="68"/>
      <c r="AQ20" s="68"/>
      <c r="AR20" s="68"/>
      <c r="AS20" s="68"/>
      <c r="AT20" s="68"/>
      <c r="AU20" s="68"/>
      <c r="AV20" s="205"/>
      <c r="AW20" s="68"/>
    </row>
    <row r="21" spans="1:49" ht="12.75">
      <c r="A21" s="2"/>
      <c r="B21" s="317"/>
      <c r="C21" s="315"/>
      <c r="D21" s="316"/>
      <c r="E21" s="333" t="s">
        <v>119</v>
      </c>
      <c r="F21" s="315"/>
      <c r="G21" s="315"/>
      <c r="H21" s="334"/>
      <c r="I21" s="314" t="s">
        <v>125</v>
      </c>
      <c r="J21" s="315"/>
      <c r="K21" s="316"/>
      <c r="L21" s="322" t="s">
        <v>121</v>
      </c>
      <c r="M21" s="319"/>
      <c r="N21" s="319"/>
      <c r="O21" s="319"/>
      <c r="P21" s="319"/>
      <c r="Q21" s="319"/>
      <c r="R21" s="319"/>
      <c r="S21" s="323"/>
      <c r="T21" s="206">
        <v>2</v>
      </c>
      <c r="U21" s="207" t="s">
        <v>36</v>
      </c>
      <c r="V21" s="321">
        <f>IFERROR(VLOOKUP(I24,'Database-Hidden'!N2:O28,2,FALSE),"")</f>
        <v>60000</v>
      </c>
      <c r="W21" s="319"/>
      <c r="X21" s="319"/>
      <c r="Y21" s="319"/>
      <c r="Z21" s="319"/>
      <c r="AA21" s="320"/>
      <c r="AB21" s="208">
        <f t="shared" ref="AB21:AB25" si="6">T21*V21</f>
        <v>120000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27" t="s">
        <v>122</v>
      </c>
      <c r="AO21" s="313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317"/>
      <c r="C22" s="315"/>
      <c r="D22" s="316"/>
      <c r="E22" s="315"/>
      <c r="F22" s="315"/>
      <c r="G22" s="315"/>
      <c r="H22" s="334"/>
      <c r="I22" s="317"/>
      <c r="J22" s="315"/>
      <c r="K22" s="316"/>
      <c r="L22" s="309" t="s">
        <v>123</v>
      </c>
      <c r="M22" s="304"/>
      <c r="N22" s="304"/>
      <c r="O22" s="304"/>
      <c r="P22" s="304"/>
      <c r="Q22" s="304"/>
      <c r="R22" s="304"/>
      <c r="S22" s="310"/>
      <c r="T22" s="211">
        <f>AV18</f>
        <v>3</v>
      </c>
      <c r="U22" s="210" t="s">
        <v>36</v>
      </c>
      <c r="V22" s="306">
        <v>10000</v>
      </c>
      <c r="W22" s="304"/>
      <c r="X22" s="304"/>
      <c r="Y22" s="304"/>
      <c r="Z22" s="304"/>
      <c r="AA22" s="307"/>
      <c r="AB22" s="212">
        <f t="shared" si="6"/>
        <v>30000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213" t="s">
        <v>124</v>
      </c>
      <c r="AO22" s="214">
        <f>AO18</f>
        <v>150000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317"/>
      <c r="C23" s="315"/>
      <c r="D23" s="316"/>
      <c r="E23" s="319"/>
      <c r="F23" s="319"/>
      <c r="G23" s="319"/>
      <c r="H23" s="335"/>
      <c r="I23" s="318"/>
      <c r="J23" s="319"/>
      <c r="K23" s="320"/>
      <c r="L23" s="347" t="s">
        <v>126</v>
      </c>
      <c r="M23" s="304"/>
      <c r="N23" s="304"/>
      <c r="O23" s="304"/>
      <c r="P23" s="304"/>
      <c r="Q23" s="304"/>
      <c r="R23" s="304"/>
      <c r="S23" s="310"/>
      <c r="T23" s="215">
        <v>2</v>
      </c>
      <c r="U23" s="216" t="s">
        <v>36</v>
      </c>
      <c r="V23" s="306">
        <v>10000</v>
      </c>
      <c r="W23" s="304"/>
      <c r="X23" s="304"/>
      <c r="Y23" s="304"/>
      <c r="Z23" s="304"/>
      <c r="AA23" s="307"/>
      <c r="AB23" s="212">
        <f t="shared" si="6"/>
        <v>20000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217" t="s">
        <v>127</v>
      </c>
      <c r="AO23" s="218">
        <f>COUNTA(AR6:AR17)*10000</f>
        <v>70000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317"/>
      <c r="C24" s="315"/>
      <c r="D24" s="316"/>
      <c r="E24" s="340" t="s">
        <v>128</v>
      </c>
      <c r="F24" s="304"/>
      <c r="G24" s="304"/>
      <c r="H24" s="341"/>
      <c r="I24" s="308" t="s">
        <v>131</v>
      </c>
      <c r="J24" s="304"/>
      <c r="K24" s="307"/>
      <c r="L24" s="309" t="s">
        <v>130</v>
      </c>
      <c r="M24" s="304"/>
      <c r="N24" s="304"/>
      <c r="O24" s="304"/>
      <c r="P24" s="304"/>
      <c r="Q24" s="304"/>
      <c r="R24" s="304"/>
      <c r="S24" s="310"/>
      <c r="T24" s="215">
        <v>2</v>
      </c>
      <c r="U24" s="216" t="s">
        <v>36</v>
      </c>
      <c r="V24" s="306">
        <v>10000</v>
      </c>
      <c r="W24" s="304"/>
      <c r="X24" s="304"/>
      <c r="Y24" s="304"/>
      <c r="Z24" s="304"/>
      <c r="AA24" s="307"/>
      <c r="AB24" s="212">
        <f t="shared" si="6"/>
        <v>20000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217" t="s">
        <v>53</v>
      </c>
      <c r="AO24" s="218">
        <f>AT18*5000</f>
        <v>30000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317"/>
      <c r="C25" s="315"/>
      <c r="D25" s="316"/>
      <c r="E25" s="340" t="str">
        <f>IFERROR(IF(VLOOKUP(I24,'Database-Hidden'!X2:Y28,2,FALSE)="Yes","NECROMANCER","HEAD COACH"),"HEAD COACH")</f>
        <v>HEAD COACH</v>
      </c>
      <c r="F25" s="304"/>
      <c r="G25" s="304"/>
      <c r="H25" s="341"/>
      <c r="I25" s="308" t="s">
        <v>133</v>
      </c>
      <c r="J25" s="304"/>
      <c r="K25" s="307"/>
      <c r="L25" s="346" t="str">
        <f>IFERROR(IF(VLOOKUP(I24,'Database-Hidden'!X2:Y28,1,FALSE)&lt;&gt;"","",""),"APOTHECARY")</f>
        <v>APOTHECARY</v>
      </c>
      <c r="M25" s="304"/>
      <c r="N25" s="304"/>
      <c r="O25" s="304"/>
      <c r="P25" s="304"/>
      <c r="Q25" s="304"/>
      <c r="R25" s="304"/>
      <c r="S25" s="341"/>
      <c r="T25" s="215">
        <v>1</v>
      </c>
      <c r="U25" s="210" t="str">
        <f>IF(L25&lt;&gt;"","x","")</f>
        <v>x</v>
      </c>
      <c r="V25" s="306">
        <f>IF(L25&lt;&gt;"",50000,"")</f>
        <v>50000</v>
      </c>
      <c r="W25" s="304"/>
      <c r="X25" s="304"/>
      <c r="Y25" s="304"/>
      <c r="Z25" s="304"/>
      <c r="AA25" s="307"/>
      <c r="AB25" s="212">
        <f t="shared" si="6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219" t="s">
        <v>134</v>
      </c>
      <c r="AO25" s="220">
        <f>AU18*5000</f>
        <v>100000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317"/>
      <c r="C26" s="315"/>
      <c r="D26" s="316"/>
      <c r="E26" s="340" t="s">
        <v>135</v>
      </c>
      <c r="F26" s="304"/>
      <c r="G26" s="304"/>
      <c r="H26" s="304"/>
      <c r="I26" s="343">
        <f>AB20+AB28</f>
        <v>880000</v>
      </c>
      <c r="J26" s="304"/>
      <c r="K26" s="304"/>
      <c r="L26" s="346" t="s">
        <v>136</v>
      </c>
      <c r="M26" s="304"/>
      <c r="N26" s="304"/>
      <c r="O26" s="304"/>
      <c r="P26" s="304"/>
      <c r="Q26" s="304"/>
      <c r="R26" s="304"/>
      <c r="S26" s="341"/>
      <c r="T26" s="215">
        <v>0</v>
      </c>
      <c r="U26" s="210" t="s">
        <v>36</v>
      </c>
      <c r="V26" s="306">
        <f>IF(I24="Halfling",200000,600000)</f>
        <v>600000</v>
      </c>
      <c r="W26" s="304"/>
      <c r="X26" s="304"/>
      <c r="Y26" s="304"/>
      <c r="Z26" s="304"/>
      <c r="AA26" s="307"/>
      <c r="AB26" s="212">
        <f t="shared" ref="AB26:AB27" si="7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221" t="s">
        <v>35</v>
      </c>
      <c r="AO26" s="222">
        <v>350000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317"/>
      <c r="C27" s="315"/>
      <c r="D27" s="316"/>
      <c r="E27" s="336" t="s">
        <v>137</v>
      </c>
      <c r="F27" s="325"/>
      <c r="G27" s="325"/>
      <c r="H27" s="325"/>
      <c r="I27" s="342">
        <f>AO18</f>
        <v>150000</v>
      </c>
      <c r="J27" s="325"/>
      <c r="K27" s="325"/>
      <c r="L27" s="324" t="s">
        <v>138</v>
      </c>
      <c r="M27" s="325"/>
      <c r="N27" s="325"/>
      <c r="O27" s="325"/>
      <c r="P27" s="325"/>
      <c r="Q27" s="325"/>
      <c r="R27" s="325"/>
      <c r="S27" s="326"/>
      <c r="T27" s="223">
        <v>0</v>
      </c>
      <c r="U27" s="224" t="s">
        <v>36</v>
      </c>
      <c r="V27" s="344">
        <f>IF(I24="Goblin",100000,200000)</f>
        <v>200000</v>
      </c>
      <c r="W27" s="325"/>
      <c r="X27" s="325"/>
      <c r="Y27" s="325"/>
      <c r="Z27" s="325"/>
      <c r="AA27" s="345"/>
      <c r="AB27" s="212">
        <f t="shared" si="7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331"/>
      <c r="C28" s="305"/>
      <c r="D28" s="332"/>
      <c r="E28" s="311" t="s">
        <v>139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3"/>
      <c r="AB28" s="204">
        <f>SUM(AB21:AB27)</f>
        <v>240000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25"/>
      <c r="D29" s="225"/>
      <c r="E29" s="226"/>
      <c r="F29" s="4"/>
      <c r="G29" s="4"/>
      <c r="H29" s="4"/>
      <c r="I29" s="227"/>
      <c r="J29" s="228"/>
      <c r="K29" s="4"/>
      <c r="L29" s="229"/>
      <c r="M29" s="229"/>
      <c r="N29" s="229"/>
      <c r="O29" s="229"/>
      <c r="P29" s="229"/>
      <c r="Q29" s="229"/>
      <c r="R29" s="229"/>
      <c r="S29" s="229"/>
      <c r="T29" s="230"/>
      <c r="U29" s="231"/>
      <c r="V29" s="9"/>
      <c r="W29" s="232"/>
      <c r="X29" s="232"/>
      <c r="Y29" s="232"/>
      <c r="Z29" s="232"/>
      <c r="AA29" s="232"/>
      <c r="AB29" s="23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34">
        <f>MATCH(I24,'Database-Hidden'!A2:A121,0)</f>
        <v>72</v>
      </c>
      <c r="D30" s="234" t="str">
        <f t="shared" ref="D30:D39" si="8">I30&amp;IF(COUNTIF(D$4:D$19,I30)&gt;E30," (Too Many)","")</f>
        <v>Lineman</v>
      </c>
      <c r="E30" s="235">
        <f t="array" ref="E30">IFERROR(IF(INDEX('Database-Hidden'!$A$2:$B$121,$C30,1)=$I$24,INDEX('Database-Hidden'!$A$2:$D$121,$C30,4),""),"")</f>
        <v>16</v>
      </c>
      <c r="I30" s="234" t="str">
        <f t="array" ref="I30">IFERROR(IF(INDEX('Database-Hidden'!$A$2:$B$121,$C30,1)=$I$24,INDEX('Database-Hidden'!$A$2:$B$121,$C30,2),""),"")</f>
        <v>Lineman</v>
      </c>
      <c r="AV30" s="203"/>
    </row>
    <row r="31" spans="1:49" ht="17.25" hidden="1" customHeight="1">
      <c r="C31" s="234">
        <f t="shared" ref="C31:C39" si="9">C30+1</f>
        <v>73</v>
      </c>
      <c r="D31" s="234" t="str">
        <f t="shared" si="8"/>
        <v>Thrower</v>
      </c>
      <c r="E31" s="235">
        <f t="array" ref="E31">IFERROR(IF(INDEX('Database-Hidden'!$A$2:$B$121,$C31,1)=$I$24,INDEX('Database-Hidden'!$A$2:$D$121,$C31,4),""),"")</f>
        <v>2</v>
      </c>
      <c r="I31" s="234" t="str">
        <f t="array" ref="I31">IFERROR(IF(INDEX('Database-Hidden'!$A$2:$B$121,$C31,1)=$I$24,INDEX('Database-Hidden'!$A$2:$B$121,$C31,2),""),"")</f>
        <v>Thrower</v>
      </c>
      <c r="AV31" s="203"/>
    </row>
    <row r="32" spans="1:49" ht="17.25" hidden="1" customHeight="1">
      <c r="C32" s="234">
        <f t="shared" si="9"/>
        <v>74</v>
      </c>
      <c r="D32" s="234" t="str">
        <f t="shared" si="8"/>
        <v>Catcher</v>
      </c>
      <c r="E32" s="235">
        <f t="array" ref="E32">IFERROR(IF(INDEX('Database-Hidden'!$A$2:$B$121,$C32,1)=$I$24,INDEX('Database-Hidden'!$A$2:$D$121,$C32,4),""),"")</f>
        <v>2</v>
      </c>
      <c r="I32" s="234" t="str">
        <f t="array" ref="I32">IFERROR(IF(INDEX('Database-Hidden'!$A$2:$B$121,$C32,1)=$I$24,INDEX('Database-Hidden'!$A$2:$B$121,$C32,2),""),"")</f>
        <v>Catcher</v>
      </c>
      <c r="AV32" s="203"/>
    </row>
    <row r="33" spans="3:48" ht="17.25" hidden="1" customHeight="1">
      <c r="C33" s="234">
        <f t="shared" si="9"/>
        <v>75</v>
      </c>
      <c r="D33" s="234" t="str">
        <f t="shared" si="8"/>
        <v>Blitzer</v>
      </c>
      <c r="E33" s="235">
        <f t="array" ref="E33">IFERROR(IF(INDEX('Database-Hidden'!$A$2:$B$121,$C33,1)=$I$24,INDEX('Database-Hidden'!$A$2:$D$121,$C33,4),""),"")</f>
        <v>2</v>
      </c>
      <c r="I33" s="234" t="str">
        <f t="array" ref="I33">IFERROR(IF(INDEX('Database-Hidden'!$A$2:$B$121,$C33,1)=$I$24,INDEX('Database-Hidden'!$A$2:$B$121,$C33,2),""),"")</f>
        <v>Blitzer</v>
      </c>
      <c r="AV33" s="203"/>
    </row>
    <row r="34" spans="3:48" ht="17.25" hidden="1" customHeight="1">
      <c r="C34" s="234">
        <f t="shared" si="9"/>
        <v>76</v>
      </c>
      <c r="D34" s="234" t="str">
        <f t="shared" si="8"/>
        <v>Werewolf</v>
      </c>
      <c r="E34" s="235">
        <f t="array" ref="E34">IFERROR(IF(INDEX('Database-Hidden'!$A$2:$B$121,$C34,1)=$I$24,INDEX('Database-Hidden'!$A$2:$D$121,$C34,4),""),"")</f>
        <v>2</v>
      </c>
      <c r="I34" s="234" t="str">
        <f t="array" ref="I34">IFERROR(IF(INDEX('Database-Hidden'!$A$2:$B$121,$C34,1)=$I$24,INDEX('Database-Hidden'!$A$2:$B$121,$C34,2),""),"")</f>
        <v>Werewolf</v>
      </c>
      <c r="AV34" s="203"/>
    </row>
    <row r="35" spans="3:48" ht="17.25" hidden="1" customHeight="1">
      <c r="C35" s="234">
        <f t="shared" si="9"/>
        <v>77</v>
      </c>
      <c r="D35" s="234" t="str">
        <f t="shared" si="8"/>
        <v>Yhetee</v>
      </c>
      <c r="E35" s="235">
        <f t="array" ref="E35">IFERROR(IF(INDEX('Database-Hidden'!$A$2:$B$121,$C35,1)=$I$24,INDEX('Database-Hidden'!$A$2:$D$121,$C35,4),""),"")</f>
        <v>1</v>
      </c>
      <c r="I35" s="234" t="str">
        <f t="array" ref="I35">IFERROR(IF(INDEX('Database-Hidden'!$A$2:$B$121,$C35,1)=$I$24,INDEX('Database-Hidden'!$A$2:$B$121,$C35,2),""),"")</f>
        <v>Yhetee</v>
      </c>
      <c r="AV35" s="203"/>
    </row>
    <row r="36" spans="3:48" ht="17.25" hidden="1" customHeight="1">
      <c r="C36" s="234">
        <f t="shared" si="9"/>
        <v>78</v>
      </c>
      <c r="D36" s="234" t="str">
        <f t="shared" si="8"/>
        <v/>
      </c>
      <c r="E36" s="235" t="str">
        <f t="array" ref="E36">IFERROR(IF(INDEX('Database-Hidden'!$A$2:$B$121,$C36,1)=$I$24,INDEX('Database-Hidden'!$A$2:$D$121,$C36,4),""),"")</f>
        <v/>
      </c>
      <c r="I36" s="234" t="str">
        <f t="array" ref="I36">IFERROR(IF(INDEX('Database-Hidden'!$A$2:$B$121,$C36,1)=$I$24,INDEX('Database-Hidden'!$A$2:$B$121,$C36,2),""),"")</f>
        <v/>
      </c>
      <c r="AV36" s="203"/>
    </row>
    <row r="37" spans="3:48" ht="17.25" hidden="1" customHeight="1">
      <c r="C37" s="234">
        <f t="shared" si="9"/>
        <v>79</v>
      </c>
      <c r="D37" s="234" t="str">
        <f t="shared" si="8"/>
        <v/>
      </c>
      <c r="E37" s="235" t="str">
        <f t="array" ref="E37">IFERROR(IF(INDEX('Database-Hidden'!$A$2:$B$121,$C37,1)=$I$24,INDEX('Database-Hidden'!$A$2:$D$121,$C37,4),""),"")</f>
        <v/>
      </c>
      <c r="I37" s="234" t="str">
        <f t="array" ref="I37">IFERROR(IF(INDEX('Database-Hidden'!$A$2:$B$121,$C37,1)=$I$24,INDEX('Database-Hidden'!$A$2:$B$121,$C37,2),""),"")</f>
        <v/>
      </c>
      <c r="AV37" s="203"/>
    </row>
    <row r="38" spans="3:48" ht="17.25" hidden="1" customHeight="1">
      <c r="C38" s="234">
        <f t="shared" si="9"/>
        <v>80</v>
      </c>
      <c r="D38" s="234" t="str">
        <f t="shared" si="8"/>
        <v/>
      </c>
      <c r="E38" s="235" t="str">
        <f t="array" ref="E38">IFERROR(IF(INDEX('Database-Hidden'!$A$2:$B$121,$C38,1)=$I$24,INDEX('Database-Hidden'!$A$2:$D$121,$C38,4),""),"")</f>
        <v/>
      </c>
      <c r="I38" s="234" t="str">
        <f t="array" ref="I38">IFERROR(IF(INDEX('Database-Hidden'!$A$2:$B$121,$C38,1)=$I$24,INDEX('Database-Hidden'!$A$2:$B$121,$C38,2),""),"")</f>
        <v/>
      </c>
      <c r="AV38" s="203"/>
    </row>
    <row r="39" spans="3:48" ht="17.25" hidden="1" customHeight="1">
      <c r="C39" s="234">
        <f t="shared" si="9"/>
        <v>81</v>
      </c>
      <c r="D39" s="234" t="str">
        <f t="shared" si="8"/>
        <v/>
      </c>
      <c r="E39" s="235" t="str">
        <f t="array" ref="E39">IFERROR(IF(INDEX('Database-Hidden'!$A$2:$B$121,$C39,1)=$I$24,INDEX('Database-Hidden'!$A$2:$D$121,$C39,4),""),"")</f>
        <v/>
      </c>
      <c r="I39" s="234" t="str">
        <f t="array" ref="I39">IFERROR(IF(INDEX('Database-Hidden'!$A$2:$B$121,$C39,1)=$I$24,INDEX('Database-Hidden'!$A$2:$B$121,$C39,2),""),"")</f>
        <v/>
      </c>
      <c r="AV39" s="203"/>
    </row>
    <row r="40" spans="3:48" ht="17.25" hidden="1" customHeight="1">
      <c r="C40" s="236">
        <f>MATCH(I24,'Star Players-Hidden'!D2:AD2,0)</f>
        <v>17</v>
      </c>
      <c r="D40" s="236" t="str">
        <f t="shared" ref="D40:D51" ca="1" si="10">I40&amp;IF(COUNTIF(D$4:D$19,I40)&gt;1," (Too Many)","")</f>
        <v>Star: Boomer Eziasson</v>
      </c>
      <c r="E40" s="237"/>
      <c r="F40" s="237"/>
      <c r="G40" s="237"/>
      <c r="H40" s="237"/>
      <c r="I40" s="236" t="str">
        <f ca="1">IFERROR(__xludf.DUMMYFUNCTION("FILTER({""Star: ""&amp;'Star Players-Hidden'!A3:A69},INDEX('Star Players-Hidden'!D3:AD69,0,C40)&lt;&gt;"""",{'Star Players-Hidden'!C3:C69=""""}+{'Star Players-Hidden'!C3:C69=I21})"),"Star: Boomer Eziasson")</f>
        <v>Star: Boomer Eziasson</v>
      </c>
      <c r="AV40" s="203"/>
    </row>
    <row r="41" spans="3:48" ht="17.25" hidden="1" customHeight="1">
      <c r="C41" s="234"/>
      <c r="D41" s="234" t="str">
        <f t="shared" ca="1" si="10"/>
        <v>Star: Helmut Wulf</v>
      </c>
      <c r="I41" s="238" t="str">
        <f ca="1">IFERROR(__xludf.DUMMYFUNCTION("""COMPUTED_VALUE"""),"Star: Helmut Wulf")</f>
        <v>Star: Helmut Wulf</v>
      </c>
      <c r="AV41" s="203"/>
    </row>
    <row r="42" spans="3:48" ht="17.25" hidden="1" customHeight="1">
      <c r="C42" s="234"/>
      <c r="D42" s="234" t="str">
        <f t="shared" ca="1" si="10"/>
        <v>Star: Icepelt Hammerblow</v>
      </c>
      <c r="I42" s="234" t="str">
        <f ca="1">IFERROR(__xludf.DUMMYFUNCTION("""COMPUTED_VALUE"""),"Star: Icepelt Hammerblow")</f>
        <v>Star: Icepelt Hammerblow</v>
      </c>
      <c r="AV42" s="203"/>
    </row>
    <row r="43" spans="3:48" ht="17.25" hidden="1" customHeight="1">
      <c r="C43" s="234"/>
      <c r="D43" s="234" t="str">
        <f t="shared" ca="1" si="10"/>
        <v>Star: Karla Von Kill</v>
      </c>
      <c r="I43" s="234" t="str">
        <f ca="1">IFERROR(__xludf.DUMMYFUNCTION("""COMPUTED_VALUE"""),"Star: Karla Von Kill")</f>
        <v>Star: Karla Von Kill</v>
      </c>
      <c r="AV43" s="203"/>
    </row>
    <row r="44" spans="3:48" ht="17.25" hidden="1" customHeight="1">
      <c r="C44" s="234"/>
      <c r="D44" s="234" t="str">
        <f t="shared" ca="1" si="10"/>
        <v>Star: Morg'n'Thorg</v>
      </c>
      <c r="I44" s="234" t="str">
        <f ca="1">IFERROR(__xludf.DUMMYFUNCTION("""COMPUTED_VALUE"""),"Star: Morg'n'Thorg")</f>
        <v>Star: Morg'n'Thorg</v>
      </c>
      <c r="AV44" s="203"/>
    </row>
    <row r="45" spans="3:48" ht="17.25" hidden="1" customHeight="1">
      <c r="C45" s="234"/>
      <c r="D45" s="234" t="str">
        <f t="shared" ca="1" si="10"/>
        <v>Star: Wilhelm Chaney</v>
      </c>
      <c r="I45" s="234" t="str">
        <f ca="1">IFERROR(__xludf.DUMMYFUNCTION("""COMPUTED_VALUE"""),"Star: Wilhelm Chaney")</f>
        <v>Star: Wilhelm Chaney</v>
      </c>
      <c r="AV45" s="203"/>
    </row>
    <row r="46" spans="3:48" ht="17.25" hidden="1" customHeight="1">
      <c r="C46" s="234"/>
      <c r="D46" s="234" t="str">
        <f t="shared" ca="1" si="10"/>
        <v>Star: Zara the Slayer</v>
      </c>
      <c r="I46" s="234" t="str">
        <f ca="1">IFERROR(__xludf.DUMMYFUNCTION("""COMPUTED_VALUE"""),"Star: Zara the Slayer")</f>
        <v>Star: Zara the Slayer</v>
      </c>
      <c r="AV46" s="203"/>
    </row>
    <row r="47" spans="3:48" ht="17.25" hidden="1" customHeight="1">
      <c r="C47" s="234"/>
      <c r="D47" s="234" t="str">
        <f t="shared" si="10"/>
        <v/>
      </c>
      <c r="I47" s="234"/>
      <c r="AV47" s="203"/>
    </row>
    <row r="48" spans="3:48" ht="17.25" hidden="1" customHeight="1">
      <c r="C48" s="234"/>
      <c r="D48" s="234" t="str">
        <f t="shared" si="10"/>
        <v/>
      </c>
      <c r="I48" s="234"/>
      <c r="AV48" s="203"/>
    </row>
    <row r="49" spans="3:48" ht="17.25" hidden="1" customHeight="1">
      <c r="C49" s="234"/>
      <c r="D49" s="234" t="str">
        <f t="shared" si="10"/>
        <v/>
      </c>
      <c r="I49" s="234"/>
      <c r="AV49" s="203"/>
    </row>
    <row r="50" spans="3:48" ht="17.25" hidden="1" customHeight="1">
      <c r="C50" s="234"/>
      <c r="D50" s="234" t="str">
        <f t="shared" si="10"/>
        <v/>
      </c>
      <c r="I50" s="234"/>
      <c r="AV50" s="203"/>
    </row>
    <row r="51" spans="3:48" ht="17.25" hidden="1" customHeight="1">
      <c r="C51" s="234"/>
      <c r="D51" s="234" t="str">
        <f t="shared" si="10"/>
        <v/>
      </c>
      <c r="I51" s="234"/>
      <c r="AV51" s="203"/>
    </row>
  </sheetData>
  <mergeCells count="31">
    <mergeCell ref="B20:D28"/>
    <mergeCell ref="L24:S24"/>
    <mergeCell ref="L25:S25"/>
    <mergeCell ref="I25:K25"/>
    <mergeCell ref="E25:H25"/>
    <mergeCell ref="E24:H24"/>
    <mergeCell ref="I24:K24"/>
    <mergeCell ref="AR3:AV3"/>
    <mergeCell ref="I27:K27"/>
    <mergeCell ref="I26:K26"/>
    <mergeCell ref="I21:K23"/>
    <mergeCell ref="E21:H23"/>
    <mergeCell ref="V23:AA23"/>
    <mergeCell ref="V22:AA22"/>
    <mergeCell ref="V26:AA26"/>
    <mergeCell ref="V27:AA27"/>
    <mergeCell ref="L27:S27"/>
    <mergeCell ref="L26:S26"/>
    <mergeCell ref="E28:AA28"/>
    <mergeCell ref="E27:H27"/>
    <mergeCell ref="E26:H26"/>
    <mergeCell ref="L23:S23"/>
    <mergeCell ref="L22:S22"/>
    <mergeCell ref="V25:AA25"/>
    <mergeCell ref="V24:AA24"/>
    <mergeCell ref="P2:S2"/>
    <mergeCell ref="E20:AA20"/>
    <mergeCell ref="V21:AA21"/>
    <mergeCell ref="L21:S21"/>
    <mergeCell ref="AN3:AQ3"/>
    <mergeCell ref="AN21:AO21"/>
  </mergeCells>
  <conditionalFormatting sqref="J4">
    <cfRule type="expression" dxfId="347" priority="1">
      <formula>K4&lt;&gt;SUM(AE4:AJ4)</formula>
    </cfRule>
  </conditionalFormatting>
  <conditionalFormatting sqref="K4:K19">
    <cfRule type="cellIs" dxfId="346" priority="2" operator="equal">
      <formula>0</formula>
    </cfRule>
  </conditionalFormatting>
  <conditionalFormatting sqref="AB4:AB19">
    <cfRule type="cellIs" dxfId="345" priority="3" operator="equal">
      <formula>0</formula>
    </cfRule>
  </conditionalFormatting>
  <conditionalFormatting sqref="E4:H19">
    <cfRule type="expression" dxfId="344" priority="4">
      <formula>AG4&gt;0</formula>
    </cfRule>
  </conditionalFormatting>
  <conditionalFormatting sqref="E4:H19">
    <cfRule type="expression" dxfId="343" priority="5">
      <formula>P4&gt;0</formula>
    </cfRule>
  </conditionalFormatting>
  <conditionalFormatting sqref="T4:T19 U4:U19 V4:W19 Z4:Z19 U29">
    <cfRule type="cellIs" dxfId="342" priority="6" stopIfTrue="1" operator="equal">
      <formula>0</formula>
    </cfRule>
  </conditionalFormatting>
  <conditionalFormatting sqref="K4:K19">
    <cfRule type="cellIs" dxfId="341" priority="7" stopIfTrue="1" operator="equal">
      <formula>"n/a"</formula>
    </cfRule>
  </conditionalFormatting>
  <conditionalFormatting sqref="P4:S19">
    <cfRule type="cellIs" dxfId="340" priority="8" stopIfTrue="1" operator="lessThanOrEqual">
      <formula>-1</formula>
    </cfRule>
  </conditionalFormatting>
  <conditionalFormatting sqref="V25:W27">
    <cfRule type="cellIs" dxfId="339" priority="9" stopIfTrue="1" operator="equal">
      <formula>-500</formula>
    </cfRule>
  </conditionalFormatting>
  <conditionalFormatting sqref="T25:T27">
    <cfRule type="cellIs" dxfId="338" priority="10" stopIfTrue="1" operator="greaterThan">
      <formula>$V$25</formula>
    </cfRule>
  </conditionalFormatting>
  <conditionalFormatting sqref="AA4:AA19">
    <cfRule type="cellIs" dxfId="337" priority="11" stopIfTrue="1" operator="equal">
      <formula>"Star"</formula>
    </cfRule>
  </conditionalFormatting>
  <conditionalFormatting sqref="AA4:AA19">
    <cfRule type="cellIs" dxfId="336" priority="12" stopIfTrue="1" operator="equal">
      <formula>AB4</formula>
    </cfRule>
  </conditionalFormatting>
  <conditionalFormatting sqref="I4:I19">
    <cfRule type="cellIs" dxfId="335" priority="13" stopIfTrue="1" operator="equal">
      <formula>0</formula>
    </cfRule>
  </conditionalFormatting>
  <conditionalFormatting sqref="I4:I19">
    <cfRule type="cellIs" dxfId="334" priority="14" stopIfTrue="1" operator="equal">
      <formula>"Player type quantity surpassed"</formula>
    </cfRule>
  </conditionalFormatting>
  <conditionalFormatting sqref="J5">
    <cfRule type="expression" dxfId="333" priority="15">
      <formula>K5&lt;&gt;SUM(AE5:AJ5)</formula>
    </cfRule>
  </conditionalFormatting>
  <conditionalFormatting sqref="J6">
    <cfRule type="expression" dxfId="332" priority="16">
      <formula>K6&lt;&gt;SUM(AE6:AJ6)</formula>
    </cfRule>
  </conditionalFormatting>
  <conditionalFormatting sqref="J7">
    <cfRule type="expression" dxfId="331" priority="17">
      <formula>K7&lt;&gt;SUM(AE7:AJ7)</formula>
    </cfRule>
  </conditionalFormatting>
  <conditionalFormatting sqref="J8">
    <cfRule type="expression" dxfId="330" priority="18">
      <formula>K8&lt;&gt;SUM(AE8:AJ8)</formula>
    </cfRule>
  </conditionalFormatting>
  <conditionalFormatting sqref="J9">
    <cfRule type="expression" dxfId="329" priority="19">
      <formula>K9&lt;&gt;SUM(AE9:AJ9)</formula>
    </cfRule>
  </conditionalFormatting>
  <conditionalFormatting sqref="J10">
    <cfRule type="expression" dxfId="328" priority="20">
      <formula>K10&lt;&gt;SUM(AE10:AJ10)</formula>
    </cfRule>
  </conditionalFormatting>
  <conditionalFormatting sqref="J11">
    <cfRule type="expression" dxfId="327" priority="21">
      <formula>K11&lt;&gt;SUM(AE11:AJ11)</formula>
    </cfRule>
  </conditionalFormatting>
  <conditionalFormatting sqref="J12">
    <cfRule type="expression" dxfId="326" priority="22">
      <formula>K12&lt;&gt;SUM(AE12:AJ12)</formula>
    </cfRule>
  </conditionalFormatting>
  <conditionalFormatting sqref="J13">
    <cfRule type="expression" dxfId="325" priority="23">
      <formula>K13&lt;&gt;SUM(AE13:AJ13)</formula>
    </cfRule>
  </conditionalFormatting>
  <conditionalFormatting sqref="J14">
    <cfRule type="expression" dxfId="324" priority="24">
      <formula>K14&lt;&gt;SUM(AE14:AJ14)</formula>
    </cfRule>
  </conditionalFormatting>
  <conditionalFormatting sqref="J15">
    <cfRule type="expression" dxfId="323" priority="25">
      <formula>K15&lt;&gt;SUM(AE15:AJ15)</formula>
    </cfRule>
  </conditionalFormatting>
  <conditionalFormatting sqref="J16">
    <cfRule type="expression" dxfId="322" priority="26">
      <formula>K16&lt;&gt;SUM(AE16:AJ16)</formula>
    </cfRule>
  </conditionalFormatting>
  <conditionalFormatting sqref="J17">
    <cfRule type="expression" dxfId="321" priority="27">
      <formula>K17&lt;&gt;SUM(AE17:AJ17)</formula>
    </cfRule>
  </conditionalFormatting>
  <conditionalFormatting sqref="J18">
    <cfRule type="expression" dxfId="320" priority="28">
      <formula>K18&lt;&gt;SUM(AE18:AJ18)</formula>
    </cfRule>
  </conditionalFormatting>
  <conditionalFormatting sqref="J19">
    <cfRule type="expression" dxfId="319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DC!$D$28:$D$49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W51"/>
  <sheetViews>
    <sheetView showGridLines="0" workbookViewId="0">
      <selection activeCell="AB9" sqref="AB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10.14062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337" t="s">
        <v>3</v>
      </c>
      <c r="Q2" s="329"/>
      <c r="R2" s="329"/>
      <c r="S2" s="330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14</v>
      </c>
      <c r="J3" s="21" t="s">
        <v>16</v>
      </c>
      <c r="K3" s="22" t="s">
        <v>0</v>
      </c>
      <c r="L3" s="23" t="s">
        <v>17</v>
      </c>
      <c r="M3" s="24" t="s">
        <v>19</v>
      </c>
      <c r="N3" s="24" t="s">
        <v>20</v>
      </c>
      <c r="O3" s="25" t="s">
        <v>21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23</v>
      </c>
      <c r="U3" s="30" t="s">
        <v>24</v>
      </c>
      <c r="V3" s="30" t="s">
        <v>9</v>
      </c>
      <c r="W3" s="30" t="s">
        <v>25</v>
      </c>
      <c r="X3" s="31" t="s">
        <v>26</v>
      </c>
      <c r="Y3" s="25" t="s">
        <v>27</v>
      </c>
      <c r="Z3" s="32" t="s">
        <v>10</v>
      </c>
      <c r="AA3" s="33" t="s">
        <v>11</v>
      </c>
      <c r="AB3" s="34" t="s">
        <v>28</v>
      </c>
      <c r="AC3" s="4"/>
      <c r="AD3" s="13" t="s">
        <v>29</v>
      </c>
      <c r="AE3" s="20" t="s">
        <v>19</v>
      </c>
      <c r="AF3" s="35" t="s">
        <v>30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31</v>
      </c>
      <c r="AL3" s="39" t="s">
        <v>32</v>
      </c>
      <c r="AM3" s="4"/>
      <c r="AN3" s="338" t="s">
        <v>33</v>
      </c>
      <c r="AO3" s="315"/>
      <c r="AP3" s="315"/>
      <c r="AQ3" s="315"/>
      <c r="AR3" s="339" t="s">
        <v>34</v>
      </c>
      <c r="AS3" s="315"/>
      <c r="AT3" s="315"/>
      <c r="AU3" s="315"/>
      <c r="AV3" s="315"/>
      <c r="AW3" s="12"/>
    </row>
    <row r="4" spans="1:49" ht="12.75">
      <c r="A4" s="2"/>
      <c r="B4" s="40">
        <v>1</v>
      </c>
      <c r="C4" s="41" t="s">
        <v>140</v>
      </c>
      <c r="D4" s="42" t="s">
        <v>92</v>
      </c>
      <c r="E4" s="43">
        <f>IFERROR(VLOOKUP($I$24&amp;$D4,'Database-Hidden'!$C$2:$J$121,4,FALSE)-P4+AG4,"")</f>
        <v>6</v>
      </c>
      <c r="F4" s="44">
        <f>IFERROR(VLOOKUP($I$24&amp;$D4,'Database-Hidden'!$C$2:$J$121,5,FALSE)-Q4+AH4,"")</f>
        <v>3</v>
      </c>
      <c r="G4" s="44">
        <f>IFERROR(VLOOKUP($I$24&amp;$D4,'Database-Hidden'!$C$2:$J$121,6,FALSE)-R4+AI4,"")</f>
        <v>4</v>
      </c>
      <c r="H4" s="45">
        <f>IFERROR(VLOOKUP($I$24&amp;$D4,'Database-Hidden'!$C$2:$J$121,7,FALSE)-S4+AJ4,"")</f>
        <v>8</v>
      </c>
      <c r="I4" s="46">
        <f>IFERROR(VLOOKUP($I$24&amp;$D4,'Database-Hidden'!$C$2:$J$121,8,FALSE),"")</f>
        <v>0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>
        <v>1</v>
      </c>
      <c r="N4" s="49"/>
      <c r="O4" s="50"/>
      <c r="P4" s="51"/>
      <c r="Q4" s="52"/>
      <c r="R4" s="52"/>
      <c r="S4" s="53"/>
      <c r="T4" s="54"/>
      <c r="U4" s="55"/>
      <c r="V4" s="55"/>
      <c r="W4" s="55">
        <v>1</v>
      </c>
      <c r="X4" s="52"/>
      <c r="Y4" s="52"/>
      <c r="Z4" s="56"/>
      <c r="AA4" s="57">
        <f t="shared" ref="AA4:AA19" si="1">2*T4+U4+3*V4+2*W4+5*Z4</f>
        <v>2</v>
      </c>
      <c r="AB4" s="58">
        <f t="shared" ref="AB4:AB19" si="2">IF(L4=1,0,AD4+(20000*O4)+(20000*AE4)+(30000*AF4)+(30000*AG4)+(50000*AH4)+(40000*AI4)+(50000*AJ4)+AK4)</f>
        <v>70000</v>
      </c>
      <c r="AC4" s="4"/>
      <c r="AD4" s="59">
        <f>IFERROR(VLOOKUP($I$24&amp;D4,'Database-Hidden'!$C$2:$E$121,3,FALSE),"")</f>
        <v>70000</v>
      </c>
      <c r="AE4" s="60"/>
      <c r="AF4" s="62"/>
      <c r="AG4" s="62"/>
      <c r="AH4" s="62"/>
      <c r="AI4" s="62"/>
      <c r="AJ4" s="62"/>
      <c r="AK4" s="63"/>
      <c r="AL4" s="64" t="str">
        <f>IF(LEFT($D4,6)&lt;&gt;"Star: ","",VLOOKUP(RIGHT($D4,LEN($D4)-6),'Star Players-Hidden'!$A$3:$AK$69,37,FALSE))</f>
        <v/>
      </c>
      <c r="AM4" s="4"/>
      <c r="AN4" s="65" t="s">
        <v>39</v>
      </c>
      <c r="AO4" s="66">
        <v>0</v>
      </c>
      <c r="AP4" s="4"/>
      <c r="AQ4" s="4"/>
      <c r="AR4" s="67"/>
      <c r="AS4" s="68"/>
      <c r="AT4" s="68"/>
      <c r="AU4" s="65" t="s">
        <v>42</v>
      </c>
      <c r="AV4" s="69">
        <v>0</v>
      </c>
      <c r="AW4" s="70"/>
    </row>
    <row r="5" spans="1:49" ht="12.75">
      <c r="A5" s="2"/>
      <c r="B5" s="71">
        <v>2</v>
      </c>
      <c r="C5" s="72" t="s">
        <v>147</v>
      </c>
      <c r="D5" s="73" t="s">
        <v>92</v>
      </c>
      <c r="E5" s="75">
        <f>IFERROR(VLOOKUP($I$24&amp;$D5,'Database-Hidden'!$C$2:$J$121,4,FALSE)-P5+AG5,"")</f>
        <v>6</v>
      </c>
      <c r="F5" s="76">
        <f>IFERROR(VLOOKUP($I$24&amp;$D5,'Database-Hidden'!$C$2:$J$121,5,FALSE)-Q5+AH5,"")</f>
        <v>3</v>
      </c>
      <c r="G5" s="76">
        <f>IFERROR(VLOOKUP($I$24&amp;$D5,'Database-Hidden'!$C$2:$J$121,6,FALSE)-R5+AI5,"")</f>
        <v>4</v>
      </c>
      <c r="H5" s="77">
        <f>IFERROR(VLOOKUP($I$24&amp;$D5,'Database-Hidden'!$C$2:$J$121,7,FALSE)-S5+AJ5,"")</f>
        <v>8</v>
      </c>
      <c r="I5" s="78">
        <f>IFERROR(VLOOKUP($I$24&amp;$D5,'Database-Hidden'!$C$2:$J$121,8,FALSE),"")</f>
        <v>0</v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/>
      <c r="W5" s="89"/>
      <c r="X5" s="85"/>
      <c r="Y5" s="85"/>
      <c r="Z5" s="90"/>
      <c r="AA5" s="91">
        <f t="shared" si="1"/>
        <v>0</v>
      </c>
      <c r="AB5" s="58">
        <f t="shared" si="2"/>
        <v>70000</v>
      </c>
      <c r="AC5" s="4"/>
      <c r="AD5" s="92">
        <f>IFERROR(VLOOKUP($I$24&amp;D5,'Database-Hidden'!$C$2:$E$121,3,FALSE),"")</f>
        <v>70000</v>
      </c>
      <c r="AE5" s="93"/>
      <c r="AF5" s="94"/>
      <c r="AG5" s="94"/>
      <c r="AH5" s="94"/>
      <c r="AI5" s="94"/>
      <c r="AJ5" s="94"/>
      <c r="AK5" s="63"/>
      <c r="AL5" s="64" t="str">
        <f>IF(LEFT($D5,6)&lt;&gt;"Star: ","",VLOOKUP(RIGHT($D5,LEN($D5)-6),'Star Players-Hidden'!$A$3:$AK$69,37,FALSE))</f>
        <v/>
      </c>
      <c r="AM5" s="1"/>
      <c r="AN5" s="95" t="s">
        <v>47</v>
      </c>
      <c r="AO5" s="96" t="s">
        <v>48</v>
      </c>
      <c r="AP5" s="98" t="s">
        <v>49</v>
      </c>
      <c r="AQ5" s="99" t="s">
        <v>50</v>
      </c>
      <c r="AR5" s="100" t="s">
        <v>51</v>
      </c>
      <c r="AS5" s="98" t="s">
        <v>52</v>
      </c>
      <c r="AT5" s="101" t="s">
        <v>53</v>
      </c>
      <c r="AU5" s="101" t="s">
        <v>54</v>
      </c>
      <c r="AV5" s="103" t="s">
        <v>2</v>
      </c>
      <c r="AW5" s="104"/>
    </row>
    <row r="6" spans="1:49" ht="12.75">
      <c r="A6" s="2"/>
      <c r="B6" s="71">
        <v>3</v>
      </c>
      <c r="C6" s="72" t="s">
        <v>149</v>
      </c>
      <c r="D6" s="73" t="s">
        <v>92</v>
      </c>
      <c r="E6" s="75">
        <f>IFERROR(VLOOKUP($I$24&amp;$D6,'Database-Hidden'!$C$2:$J$121,4,FALSE)-P6+AG6,"")</f>
        <v>6</v>
      </c>
      <c r="F6" s="76">
        <f>IFERROR(VLOOKUP($I$24&amp;$D6,'Database-Hidden'!$C$2:$J$121,5,FALSE)-Q6+AH6,"")</f>
        <v>3</v>
      </c>
      <c r="G6" s="76">
        <f>IFERROR(VLOOKUP($I$24&amp;$D6,'Database-Hidden'!$C$2:$J$121,6,FALSE)-R6+AI6,"")</f>
        <v>4</v>
      </c>
      <c r="H6" s="77">
        <f>IFERROR(VLOOKUP($I$24&amp;$D6,'Database-Hidden'!$C$2:$J$121,7,FALSE)-S6+AJ6,"")</f>
        <v>8</v>
      </c>
      <c r="I6" s="78">
        <f>IFERROR(VLOOKUP($I$24&amp;$D6,'Database-Hidden'!$C$2:$J$121,8,FALSE),"")</f>
        <v>0</v>
      </c>
      <c r="J6" s="106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8"/>
      <c r="X6" s="85"/>
      <c r="Y6" s="85"/>
      <c r="Z6" s="90"/>
      <c r="AA6" s="91">
        <f t="shared" si="1"/>
        <v>0</v>
      </c>
      <c r="AB6" s="58">
        <f t="shared" si="2"/>
        <v>70000</v>
      </c>
      <c r="AC6" s="4"/>
      <c r="AD6" s="92">
        <f>IFERROR(VLOOKUP($I$24&amp;D6,'Database-Hidden'!$C$2:$E$121,3,FALSE),"")</f>
        <v>70000</v>
      </c>
      <c r="AE6" s="93"/>
      <c r="AF6" s="107"/>
      <c r="AG6" s="107"/>
      <c r="AH6" s="107"/>
      <c r="AI6" s="107"/>
      <c r="AJ6" s="107"/>
      <c r="AK6" s="63"/>
      <c r="AL6" s="64" t="str">
        <f>IF(LEFT($D6,6)&lt;&gt;"Star: ","",VLOOKUP(RIGHT($D6,LEN($D6)-6),'Star Players-Hidden'!$A$3:$AK$69,37,FALSE))</f>
        <v/>
      </c>
      <c r="AM6" s="4"/>
      <c r="AN6" s="108" t="s">
        <v>57</v>
      </c>
      <c r="AO6" s="109">
        <v>70000</v>
      </c>
      <c r="AP6" s="110">
        <v>0</v>
      </c>
      <c r="AQ6" s="112" t="s">
        <v>152</v>
      </c>
      <c r="AR6" s="114" t="s">
        <v>125</v>
      </c>
      <c r="AS6" s="115" t="s">
        <v>74</v>
      </c>
      <c r="AT6" s="118">
        <v>1</v>
      </c>
      <c r="AU6" s="116">
        <v>2</v>
      </c>
      <c r="AV6" s="119">
        <v>0</v>
      </c>
      <c r="AW6" s="117"/>
    </row>
    <row r="7" spans="1:49" ht="12.75">
      <c r="A7" s="2"/>
      <c r="B7" s="71">
        <v>4</v>
      </c>
      <c r="C7" s="72" t="s">
        <v>153</v>
      </c>
      <c r="D7" s="73" t="s">
        <v>92</v>
      </c>
      <c r="E7" s="75">
        <f>IFERROR(VLOOKUP($I$24&amp;$D7,'Database-Hidden'!$C$2:$J$121,4,FALSE)-P7+AG7,"")</f>
        <v>6</v>
      </c>
      <c r="F7" s="76">
        <f>IFERROR(VLOOKUP($I$24&amp;$D7,'Database-Hidden'!$C$2:$J$121,5,FALSE)-Q7+AH7,"")</f>
        <v>3</v>
      </c>
      <c r="G7" s="76">
        <f>IFERROR(VLOOKUP($I$24&amp;$D7,'Database-Hidden'!$C$2:$J$121,6,FALSE)-R7+AI7,"")</f>
        <v>4</v>
      </c>
      <c r="H7" s="77">
        <f>IFERROR(VLOOKUP($I$24&amp;$D7,'Database-Hidden'!$C$2:$J$121,7,FALSE)-S7+AJ7,"")</f>
        <v>8</v>
      </c>
      <c r="I7" s="78">
        <f>IFERROR(VLOOKUP($I$24&amp;$D7,'Database-Hidden'!$C$2:$J$121,8,FALSE),"")</f>
        <v>0</v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85"/>
      <c r="Z7" s="90"/>
      <c r="AA7" s="91">
        <f t="shared" si="1"/>
        <v>0</v>
      </c>
      <c r="AB7" s="58">
        <f t="shared" si="2"/>
        <v>70000</v>
      </c>
      <c r="AC7" s="4"/>
      <c r="AD7" s="120">
        <f>IFERROR(VLOOKUP($I$24&amp;D7,'Database-Hidden'!$C$2:$E$121,3,FALSE),"")</f>
        <v>70000</v>
      </c>
      <c r="AE7" s="93"/>
      <c r="AF7" s="107"/>
      <c r="AG7" s="107"/>
      <c r="AH7" s="107"/>
      <c r="AI7" s="107"/>
      <c r="AJ7" s="107"/>
      <c r="AK7" s="63"/>
      <c r="AL7" s="64" t="str">
        <f>IF(LEFT($D7,6)&lt;&gt;"Star: ","",VLOOKUP(RIGHT($D7,LEN($D7)-6),'Star Players-Hidden'!$A$3:$AK$69,37,FALSE))</f>
        <v/>
      </c>
      <c r="AM7" s="4"/>
      <c r="AN7" s="121" t="s">
        <v>63</v>
      </c>
      <c r="AO7" s="131">
        <v>50000</v>
      </c>
      <c r="AP7" s="132">
        <v>50000</v>
      </c>
      <c r="AQ7" s="138" t="s">
        <v>152</v>
      </c>
      <c r="AR7" s="133" t="s">
        <v>79</v>
      </c>
      <c r="AS7" s="134" t="s">
        <v>61</v>
      </c>
      <c r="AT7" s="135">
        <v>2</v>
      </c>
      <c r="AU7" s="136">
        <v>2</v>
      </c>
      <c r="AV7" s="137">
        <v>1</v>
      </c>
      <c r="AW7" s="130"/>
    </row>
    <row r="8" spans="1:49" ht="12.75">
      <c r="A8" s="2"/>
      <c r="B8" s="71">
        <v>5</v>
      </c>
      <c r="C8" s="72" t="s">
        <v>161</v>
      </c>
      <c r="D8" s="73" t="s">
        <v>92</v>
      </c>
      <c r="E8" s="75">
        <f>IFERROR(VLOOKUP($I$24&amp;$D8,'Database-Hidden'!$C$2:$J$121,4,FALSE)-P8+AG8,"")</f>
        <v>6</v>
      </c>
      <c r="F8" s="76">
        <f>IFERROR(VLOOKUP($I$24&amp;$D8,'Database-Hidden'!$C$2:$J$121,5,FALSE)-Q8+AH8,"")</f>
        <v>3</v>
      </c>
      <c r="G8" s="76">
        <f>IFERROR(VLOOKUP($I$24&amp;$D8,'Database-Hidden'!$C$2:$J$121,6,FALSE)-R8+AI8,"")</f>
        <v>4</v>
      </c>
      <c r="H8" s="77">
        <f>IFERROR(VLOOKUP($I$24&amp;$D8,'Database-Hidden'!$C$2:$J$121,7,FALSE)-S8+AJ8,"")</f>
        <v>8</v>
      </c>
      <c r="I8" s="78">
        <f>IFERROR(VLOOKUP($I$24&amp;$D8,'Database-Hidden'!$C$2:$J$121,8,FALSE),"")</f>
        <v>0</v>
      </c>
      <c r="J8" s="106"/>
      <c r="K8" s="80">
        <f t="shared" si="0"/>
        <v>0</v>
      </c>
      <c r="L8" s="82"/>
      <c r="M8" s="81"/>
      <c r="N8" s="81"/>
      <c r="O8" s="83"/>
      <c r="P8" s="84"/>
      <c r="Q8" s="85"/>
      <c r="R8" s="85"/>
      <c r="S8" s="86"/>
      <c r="T8" s="87"/>
      <c r="U8" s="88"/>
      <c r="V8" s="88"/>
      <c r="W8" s="88"/>
      <c r="X8" s="85"/>
      <c r="Y8" s="85"/>
      <c r="Z8" s="90"/>
      <c r="AA8" s="91">
        <f t="shared" si="1"/>
        <v>0</v>
      </c>
      <c r="AB8" s="58">
        <f t="shared" si="2"/>
        <v>70000</v>
      </c>
      <c r="AC8" s="4"/>
      <c r="AD8" s="120">
        <f>IFERROR(VLOOKUP($I$24&amp;D8,'Database-Hidden'!$C$2:$E$121,3,FALSE),"")</f>
        <v>70000</v>
      </c>
      <c r="AE8" s="93"/>
      <c r="AF8" s="107"/>
      <c r="AG8" s="107"/>
      <c r="AH8" s="107"/>
      <c r="AI8" s="107"/>
      <c r="AJ8" s="107"/>
      <c r="AK8" s="63"/>
      <c r="AL8" s="64" t="str">
        <f>IF(LEFT($D8,6)&lt;&gt;"Star: ","",VLOOKUP(RIGHT($D8,LEN($D8)-6),'Star Players-Hidden'!$A$3:$AK$69,37,FALSE))</f>
        <v/>
      </c>
      <c r="AM8" s="4"/>
      <c r="AN8" s="121" t="s">
        <v>69</v>
      </c>
      <c r="AO8" s="131">
        <v>60000</v>
      </c>
      <c r="AP8" s="132">
        <v>100000</v>
      </c>
      <c r="AQ8" s="138" t="s">
        <v>152</v>
      </c>
      <c r="AR8" s="133" t="s">
        <v>110</v>
      </c>
      <c r="AS8" s="134" t="s">
        <v>74</v>
      </c>
      <c r="AT8" s="135">
        <v>1</v>
      </c>
      <c r="AU8" s="136">
        <v>1</v>
      </c>
      <c r="AV8" s="137">
        <v>0</v>
      </c>
      <c r="AW8" s="130"/>
    </row>
    <row r="9" spans="1:49" ht="12.75">
      <c r="A9" s="2"/>
      <c r="B9" s="71">
        <v>6</v>
      </c>
      <c r="C9" s="72"/>
      <c r="D9" s="73"/>
      <c r="E9" s="75" t="str">
        <f>IFERROR(VLOOKUP($I$24&amp;$D9,'Database-Hidden'!$C$2:$J$121,4,FALSE)-P9+AG9,"")</f>
        <v/>
      </c>
      <c r="F9" s="76" t="str">
        <f>IFERROR(VLOOKUP($I$24&amp;$D9,'Database-Hidden'!$C$2:$J$121,5,FALSE)-Q9+AH9,"")</f>
        <v/>
      </c>
      <c r="G9" s="76" t="str">
        <f>IFERROR(VLOOKUP($I$24&amp;$D9,'Database-Hidden'!$C$2:$J$121,6,FALSE)-R9+AI9,"")</f>
        <v/>
      </c>
      <c r="H9" s="77" t="str">
        <f>IFERROR(VLOOKUP($I$24&amp;$D9,'Database-Hidden'!$C$2:$J$121,7,FALSE)-S9+AJ9,"")</f>
        <v/>
      </c>
      <c r="I9" s="78" t="str">
        <f>IFERROR(VLOOKUP($I$24&amp;$D9,'Database-Hidden'!$C$2:$J$121,8,FALSE),"")</f>
        <v/>
      </c>
      <c r="J9" s="79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85"/>
      <c r="Z9" s="90"/>
      <c r="AA9" s="91">
        <f t="shared" si="1"/>
        <v>0</v>
      </c>
      <c r="AB9" s="58"/>
      <c r="AC9" s="4"/>
      <c r="AD9" s="120" t="str">
        <f>IFERROR(VLOOKUP($I$24&amp;D9,'Database-Hidden'!$C$2:$E$121,3,FALSE),"")</f>
        <v/>
      </c>
      <c r="AE9" s="93"/>
      <c r="AF9" s="94"/>
      <c r="AG9" s="107"/>
      <c r="AH9" s="107"/>
      <c r="AI9" s="107"/>
      <c r="AJ9" s="107"/>
      <c r="AK9" s="63"/>
      <c r="AL9" s="64" t="str">
        <f>IF(LEFT($D9,6)&lt;&gt;"Star: ","",VLOOKUP(RIGHT($D9,LEN($D9)-6),'Star Players-Hidden'!$A$3:$AK$69,37,FALSE))</f>
        <v/>
      </c>
      <c r="AM9" s="4"/>
      <c r="AN9" s="121" t="s">
        <v>72</v>
      </c>
      <c r="AO9" s="131">
        <v>20000</v>
      </c>
      <c r="AP9" s="132">
        <v>0</v>
      </c>
      <c r="AQ9" s="138" t="s">
        <v>152</v>
      </c>
      <c r="AR9" s="133" t="s">
        <v>120</v>
      </c>
      <c r="AS9" s="134" t="s">
        <v>66</v>
      </c>
      <c r="AT9" s="135">
        <v>1</v>
      </c>
      <c r="AU9" s="136">
        <v>1</v>
      </c>
      <c r="AV9" s="137">
        <v>0</v>
      </c>
      <c r="AW9" s="130"/>
    </row>
    <row r="10" spans="1:49" ht="12.75">
      <c r="A10" s="2"/>
      <c r="B10" s="71">
        <v>7</v>
      </c>
      <c r="C10" s="72" t="s">
        <v>168</v>
      </c>
      <c r="D10" s="73" t="s">
        <v>169</v>
      </c>
      <c r="E10" s="75">
        <f>IFERROR(VLOOKUP($I$24&amp;$D10,'Database-Hidden'!$C$2:$J$121,4,FALSE)-P10+AG10,"")</f>
        <v>7</v>
      </c>
      <c r="F10" s="76">
        <f>IFERROR(VLOOKUP($I$24&amp;$D10,'Database-Hidden'!$C$2:$J$121,5,FALSE)-Q10+AH10,"")</f>
        <v>3</v>
      </c>
      <c r="G10" s="76">
        <f>IFERROR(VLOOKUP($I$24&amp;$D10,'Database-Hidden'!$C$2:$J$121,6,FALSE)-R10+AI10,"")</f>
        <v>4</v>
      </c>
      <c r="H10" s="77">
        <f>IFERROR(VLOOKUP($I$24&amp;$D10,'Database-Hidden'!$C$2:$J$121,7,FALSE)-S10+AJ10,"")</f>
        <v>7</v>
      </c>
      <c r="I10" s="78" t="str">
        <f>IFERROR(VLOOKUP($I$24&amp;$D10,'Database-Hidden'!$C$2:$J$121,8,FALSE),"")</f>
        <v>Dump-Off</v>
      </c>
      <c r="J10" s="79" t="s">
        <v>172</v>
      </c>
      <c r="K10" s="80">
        <f t="shared" si="0"/>
        <v>1</v>
      </c>
      <c r="L10" s="82"/>
      <c r="M10" s="81"/>
      <c r="N10" s="81"/>
      <c r="O10" s="83"/>
      <c r="P10" s="84"/>
      <c r="Q10" s="85"/>
      <c r="R10" s="85"/>
      <c r="S10" s="86"/>
      <c r="T10" s="87"/>
      <c r="U10" s="89">
        <v>3</v>
      </c>
      <c r="V10" s="89"/>
      <c r="W10" s="89">
        <v>1</v>
      </c>
      <c r="X10" s="85"/>
      <c r="Y10" s="85"/>
      <c r="Z10" s="90">
        <v>2</v>
      </c>
      <c r="AA10" s="91">
        <f t="shared" si="1"/>
        <v>15</v>
      </c>
      <c r="AB10" s="58">
        <f t="shared" si="2"/>
        <v>100000</v>
      </c>
      <c r="AC10" s="4"/>
      <c r="AD10" s="120">
        <f>IFERROR(VLOOKUP($I$24&amp;D10,'Database-Hidden'!$C$2:$E$121,3,FALSE),"")</f>
        <v>80000</v>
      </c>
      <c r="AE10" s="93">
        <v>1</v>
      </c>
      <c r="AF10" s="94"/>
      <c r="AG10" s="107"/>
      <c r="AH10" s="107"/>
      <c r="AI10" s="107"/>
      <c r="AJ10" s="107"/>
      <c r="AK10" s="63"/>
      <c r="AL10" s="64" t="str">
        <f>IF(LEFT($D10,6)&lt;&gt;"Star: ","",VLOOKUP(RIGHT($D10,LEN($D10)-6),'Star Players-Hidden'!$A$3:$AK$69,37,FALSE))</f>
        <v/>
      </c>
      <c r="AM10" s="4"/>
      <c r="AN10" s="121" t="s">
        <v>78</v>
      </c>
      <c r="AO10" s="131">
        <v>60000</v>
      </c>
      <c r="AP10" s="132">
        <v>100000</v>
      </c>
      <c r="AQ10" s="124"/>
      <c r="AR10" s="133" t="s">
        <v>154</v>
      </c>
      <c r="AS10" s="134" t="s">
        <v>61</v>
      </c>
      <c r="AT10" s="135">
        <v>2</v>
      </c>
      <c r="AU10" s="136">
        <v>1</v>
      </c>
      <c r="AV10" s="137">
        <v>1</v>
      </c>
      <c r="AW10" s="130"/>
    </row>
    <row r="11" spans="1:49" ht="12.75">
      <c r="A11" s="2"/>
      <c r="B11" s="71">
        <v>8</v>
      </c>
      <c r="C11" s="72" t="s">
        <v>173</v>
      </c>
      <c r="D11" s="73" t="s">
        <v>169</v>
      </c>
      <c r="E11" s="75">
        <f>IFERROR(VLOOKUP($I$24&amp;$D11,'Database-Hidden'!$C$2:$J$121,4,FALSE)-P11+AG11,"")</f>
        <v>7</v>
      </c>
      <c r="F11" s="76">
        <f>IFERROR(VLOOKUP($I$24&amp;$D11,'Database-Hidden'!$C$2:$J$121,5,FALSE)-Q11+AH11,"")</f>
        <v>3</v>
      </c>
      <c r="G11" s="76">
        <f>IFERROR(VLOOKUP($I$24&amp;$D11,'Database-Hidden'!$C$2:$J$121,6,FALSE)-R11+AI11,"")</f>
        <v>4</v>
      </c>
      <c r="H11" s="77">
        <f>IFERROR(VLOOKUP($I$24&amp;$D11,'Database-Hidden'!$C$2:$J$121,7,FALSE)-S11+AJ11,"")</f>
        <v>7</v>
      </c>
      <c r="I11" s="78" t="str">
        <f>IFERROR(VLOOKUP($I$24&amp;$D11,'Database-Hidden'!$C$2:$J$121,8,FALSE),"")</f>
        <v>Dump-Off</v>
      </c>
      <c r="J11" s="79" t="s">
        <v>55</v>
      </c>
      <c r="K11" s="80">
        <f t="shared" si="0"/>
        <v>1</v>
      </c>
      <c r="L11" s="81"/>
      <c r="M11" s="81"/>
      <c r="N11" s="81"/>
      <c r="O11" s="83"/>
      <c r="P11" s="84"/>
      <c r="Q11" s="85"/>
      <c r="R11" s="85"/>
      <c r="S11" s="86"/>
      <c r="T11" s="87"/>
      <c r="U11" s="89">
        <v>5</v>
      </c>
      <c r="V11" s="89">
        <v>1</v>
      </c>
      <c r="W11" s="88"/>
      <c r="X11" s="85"/>
      <c r="Y11" s="85"/>
      <c r="Z11" s="90"/>
      <c r="AA11" s="91">
        <f t="shared" si="1"/>
        <v>8</v>
      </c>
      <c r="AB11" s="58">
        <f t="shared" si="2"/>
        <v>100000</v>
      </c>
      <c r="AC11" s="4"/>
      <c r="AD11" s="120">
        <f>IFERROR(VLOOKUP($I$24&amp;D11,'Database-Hidden'!$C$2:$E$121,3,FALSE),"")</f>
        <v>80000</v>
      </c>
      <c r="AE11" s="93">
        <v>1</v>
      </c>
      <c r="AF11" s="107"/>
      <c r="AG11" s="107"/>
      <c r="AH11" s="107"/>
      <c r="AI11" s="107"/>
      <c r="AJ11" s="107"/>
      <c r="AK11" s="166"/>
      <c r="AL11" s="64" t="str">
        <f>IF(LEFT($D11,6)&lt;&gt;"Star: ","",VLOOKUP(RIGHT($D11,LEN($D11)-6),'Star Players-Hidden'!$A$3:$AK$69,37,FALSE))</f>
        <v/>
      </c>
      <c r="AM11" s="4"/>
      <c r="AN11" s="121" t="s">
        <v>82</v>
      </c>
      <c r="AO11" s="131">
        <v>0</v>
      </c>
      <c r="AP11" s="123"/>
      <c r="AQ11" s="124"/>
      <c r="AR11" s="133" t="s">
        <v>64</v>
      </c>
      <c r="AS11" s="134" t="s">
        <v>66</v>
      </c>
      <c r="AT11" s="135">
        <v>0</v>
      </c>
      <c r="AU11" s="136">
        <v>0</v>
      </c>
      <c r="AV11" s="137">
        <v>0</v>
      </c>
      <c r="AW11" s="130"/>
    </row>
    <row r="12" spans="1:49" ht="12.75">
      <c r="A12" s="2"/>
      <c r="B12" s="71">
        <v>9</v>
      </c>
      <c r="C12" s="72"/>
      <c r="D12" s="73"/>
      <c r="E12" s="75" t="str">
        <f>IFERROR(VLOOKUP($I$24&amp;$D12,'Database-Hidden'!$C$2:$J$121,4,FALSE)-P12+AG12,"")</f>
        <v/>
      </c>
      <c r="F12" s="76" t="str">
        <f>IFERROR(VLOOKUP($I$24&amp;$D12,'Database-Hidden'!$C$2:$J$121,5,FALSE)-Q12+AH12,"")</f>
        <v/>
      </c>
      <c r="G12" s="76" t="str">
        <f>IFERROR(VLOOKUP($I$24&amp;$D12,'Database-Hidden'!$C$2:$J$121,6,FALSE)-R12+AI12,"")</f>
        <v/>
      </c>
      <c r="H12" s="77" t="str">
        <f>IFERROR(VLOOKUP($I$24&amp;$D12,'Database-Hidden'!$C$2:$J$121,7,FALSE)-S12+AJ12,"")</f>
        <v/>
      </c>
      <c r="I12" s="78" t="str">
        <f>IFERROR(VLOOKUP($I$24&amp;$D12,'Database-Hidden'!$C$2:$J$121,8,FALSE),"")</f>
        <v/>
      </c>
      <c r="J12" s="106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9"/>
      <c r="W12" s="89"/>
      <c r="X12" s="85"/>
      <c r="Y12" s="85"/>
      <c r="Z12" s="90"/>
      <c r="AA12" s="91">
        <f t="shared" si="1"/>
        <v>0</v>
      </c>
      <c r="AB12" s="58"/>
      <c r="AC12" s="4"/>
      <c r="AD12" s="120" t="str">
        <f>IFERROR(VLOOKUP($I$24&amp;D12,'Database-Hidden'!$C$2:$E$121,3,FALSE),"")</f>
        <v/>
      </c>
      <c r="AE12" s="139"/>
      <c r="AF12" s="107"/>
      <c r="AG12" s="107"/>
      <c r="AH12" s="107"/>
      <c r="AI12" s="107"/>
      <c r="AJ12" s="107"/>
      <c r="AK12" s="63"/>
      <c r="AL12" s="64" t="str">
        <f>IF(LEFT($D12,6)&lt;&gt;"Star: ","",VLOOKUP(RIGHT($D12,LEN($D12)-6),'Star Players-Hidden'!$A$3:$AK$69,37,FALSE))</f>
        <v/>
      </c>
      <c r="AM12" s="4"/>
      <c r="AN12" s="121" t="s">
        <v>87</v>
      </c>
      <c r="AO12" s="131"/>
      <c r="AP12" s="123"/>
      <c r="AQ12" s="124"/>
      <c r="AR12" s="133"/>
      <c r="AS12" s="134"/>
      <c r="AT12" s="135"/>
      <c r="AU12" s="136"/>
      <c r="AV12" s="137"/>
      <c r="AW12" s="130"/>
    </row>
    <row r="13" spans="1:49" ht="12.75">
      <c r="A13" s="2"/>
      <c r="B13" s="71">
        <v>11</v>
      </c>
      <c r="C13" s="72"/>
      <c r="D13" s="73"/>
      <c r="E13" s="75" t="str">
        <f>IFERROR(VLOOKUP($I$24&amp;$D13,'Database-Hidden'!$C$2:$J$121,4,FALSE)-P13+AG13,"")</f>
        <v/>
      </c>
      <c r="F13" s="76" t="str">
        <f>IFERROR(VLOOKUP($I$24&amp;$D13,'Database-Hidden'!$C$2:$J$121,5,FALSE)-Q13+AH13,"")</f>
        <v/>
      </c>
      <c r="G13" s="76" t="str">
        <f>IFERROR(VLOOKUP($I$24&amp;$D13,'Database-Hidden'!$C$2:$J$121,6,FALSE)-R13+AI13,"")</f>
        <v/>
      </c>
      <c r="H13" s="77" t="str">
        <f>IFERROR(VLOOKUP($I$24&amp;$D13,'Database-Hidden'!$C$2:$J$121,7,FALSE)-S13+AJ13,"")</f>
        <v/>
      </c>
      <c r="I13" s="78" t="str">
        <f>IFERROR(VLOOKUP($I$24&amp;$D13,'Database-Hidden'!$C$2:$J$121,8,FALSE),"")</f>
        <v/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8"/>
      <c r="W13" s="89"/>
      <c r="X13" s="85"/>
      <c r="Y13" s="85"/>
      <c r="Z13" s="90"/>
      <c r="AA13" s="91">
        <f t="shared" si="1"/>
        <v>0</v>
      </c>
      <c r="AB13" s="58"/>
      <c r="AC13" s="4"/>
      <c r="AD13" s="120" t="str">
        <f>IFERROR(VLOOKUP($I$24&amp;D13,'Database-Hidden'!$C$2:$E$121,3,FALSE),"")</f>
        <v/>
      </c>
      <c r="AE13" s="93"/>
      <c r="AF13" s="107"/>
      <c r="AG13" s="107"/>
      <c r="AH13" s="107"/>
      <c r="AI13" s="107"/>
      <c r="AJ13" s="107"/>
      <c r="AK13" s="63"/>
      <c r="AL13" s="64" t="str">
        <f>IF(LEFT($D13,6)&lt;&gt;"Star: ","",VLOOKUP(RIGHT($D13,LEN($D13)-6),'Star Players-Hidden'!$A$3:$AK$69,37,FALSE))</f>
        <v/>
      </c>
      <c r="AM13" s="4"/>
      <c r="AN13" s="121" t="s">
        <v>95</v>
      </c>
      <c r="AO13" s="122"/>
      <c r="AP13" s="123"/>
      <c r="AQ13" s="124"/>
      <c r="AR13" s="125"/>
      <c r="AS13" s="126"/>
      <c r="AT13" s="127"/>
      <c r="AU13" s="128"/>
      <c r="AV13" s="129"/>
      <c r="AW13" s="130"/>
    </row>
    <row r="14" spans="1:49" ht="12.75">
      <c r="A14" s="2"/>
      <c r="B14" s="71">
        <v>10</v>
      </c>
      <c r="C14" s="72" t="s">
        <v>182</v>
      </c>
      <c r="D14" s="73" t="s">
        <v>185</v>
      </c>
      <c r="E14" s="75">
        <f>IFERROR(VLOOKUP($I$24&amp;$D14,'Database-Hidden'!$C$2:$J$121,4,FALSE)-P14+AG14,"")</f>
        <v>6</v>
      </c>
      <c r="F14" s="76">
        <f>IFERROR(VLOOKUP($I$24&amp;$D14,'Database-Hidden'!$C$2:$J$121,5,FALSE)-Q14+AH14,"")</f>
        <v>3</v>
      </c>
      <c r="G14" s="76">
        <f>IFERROR(VLOOKUP($I$24&amp;$D14,'Database-Hidden'!$C$2:$J$121,6,FALSE)-R14+AI14,"")</f>
        <v>4</v>
      </c>
      <c r="H14" s="77">
        <f>IFERROR(VLOOKUP($I$24&amp;$D14,'Database-Hidden'!$C$2:$J$121,7,FALSE)-S14+AJ14,"")</f>
        <v>7</v>
      </c>
      <c r="I14" s="78" t="str">
        <f>IFERROR(VLOOKUP($I$24&amp;$D14,'Database-Hidden'!$C$2:$J$121,8,FALSE),"")</f>
        <v>Shadowing, Stab</v>
      </c>
      <c r="J14" s="79" t="s">
        <v>188</v>
      </c>
      <c r="K14" s="80">
        <f t="shared" si="0"/>
        <v>1</v>
      </c>
      <c r="L14" s="81"/>
      <c r="M14" s="81"/>
      <c r="N14" s="82"/>
      <c r="O14" s="83"/>
      <c r="P14" s="84"/>
      <c r="Q14" s="85"/>
      <c r="R14" s="85"/>
      <c r="S14" s="86"/>
      <c r="T14" s="87"/>
      <c r="U14" s="89">
        <v>1</v>
      </c>
      <c r="V14" s="89"/>
      <c r="W14" s="89"/>
      <c r="X14" s="85"/>
      <c r="Y14" s="85"/>
      <c r="Z14" s="90">
        <v>1</v>
      </c>
      <c r="AA14" s="91">
        <f t="shared" si="1"/>
        <v>6</v>
      </c>
      <c r="AB14" s="58">
        <f t="shared" si="2"/>
        <v>120000</v>
      </c>
      <c r="AC14" s="4"/>
      <c r="AD14" s="120">
        <f>IFERROR(VLOOKUP($I$24&amp;D14,'Database-Hidden'!$C$2:$E$121,3,FALSE),"")</f>
        <v>90000</v>
      </c>
      <c r="AE14" s="139"/>
      <c r="AF14" s="94">
        <v>1</v>
      </c>
      <c r="AG14" s="107"/>
      <c r="AH14" s="107"/>
      <c r="AI14" s="107"/>
      <c r="AJ14" s="107"/>
      <c r="AK14" s="63"/>
      <c r="AL14" s="64" t="str">
        <f>IF(LEFT($D14,6)&lt;&gt;"Star: ","",VLOOKUP(RIGHT($D14,LEN($D14)-6),'Star Players-Hidden'!$A$3:$AK$69,37,FALSE))</f>
        <v/>
      </c>
      <c r="AM14" s="4"/>
      <c r="AN14" s="121" t="s">
        <v>98</v>
      </c>
      <c r="AO14" s="131">
        <v>30000</v>
      </c>
      <c r="AP14" s="123"/>
      <c r="AQ14" s="124"/>
      <c r="AR14" s="133" t="s">
        <v>120</v>
      </c>
      <c r="AS14" s="134" t="s">
        <v>61</v>
      </c>
      <c r="AT14" s="135">
        <v>2</v>
      </c>
      <c r="AU14" s="136">
        <v>0</v>
      </c>
      <c r="AV14" s="137">
        <v>1</v>
      </c>
      <c r="AW14" s="130"/>
    </row>
    <row r="15" spans="1:49" ht="12.75">
      <c r="A15" s="2"/>
      <c r="B15" s="71">
        <v>12</v>
      </c>
      <c r="C15" s="72" t="s">
        <v>190</v>
      </c>
      <c r="D15" s="73" t="s">
        <v>68</v>
      </c>
      <c r="E15" s="75">
        <f>IFERROR(VLOOKUP($I$24&amp;$D15,'Database-Hidden'!$C$2:$J$121,4,FALSE)-P15+AG15,"")</f>
        <v>7</v>
      </c>
      <c r="F15" s="76">
        <f>IFERROR(VLOOKUP($I$24&amp;$D15,'Database-Hidden'!$C$2:$J$121,5,FALSE)-Q15+AH15,"")</f>
        <v>3</v>
      </c>
      <c r="G15" s="76">
        <f>IFERROR(VLOOKUP($I$24&amp;$D15,'Database-Hidden'!$C$2:$J$121,6,FALSE)-R15+AI15,"")</f>
        <v>4</v>
      </c>
      <c r="H15" s="77">
        <f>IFERROR(VLOOKUP($I$24&amp;$D15,'Database-Hidden'!$C$2:$J$121,7,FALSE)-S15+AJ15,"")</f>
        <v>8</v>
      </c>
      <c r="I15" s="78" t="str">
        <f>IFERROR(VLOOKUP($I$24&amp;$D15,'Database-Hidden'!$C$2:$J$121,8,FALSE),"")</f>
        <v>Block</v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>
        <v>1</v>
      </c>
      <c r="W15" s="89"/>
      <c r="X15" s="85"/>
      <c r="Y15" s="85"/>
      <c r="Z15" s="90"/>
      <c r="AA15" s="91">
        <f t="shared" si="1"/>
        <v>3</v>
      </c>
      <c r="AB15" s="58">
        <f t="shared" si="2"/>
        <v>100000</v>
      </c>
      <c r="AC15" s="4"/>
      <c r="AD15" s="120">
        <f>IFERROR(VLOOKUP($I$24&amp;D15,'Database-Hidden'!$C$2:$E$121,3,FALSE),"")</f>
        <v>100000</v>
      </c>
      <c r="AE15" s="93"/>
      <c r="AF15" s="107"/>
      <c r="AG15" s="107"/>
      <c r="AH15" s="107"/>
      <c r="AI15" s="107"/>
      <c r="AJ15" s="107"/>
      <c r="AK15" s="63"/>
      <c r="AL15" s="64" t="str">
        <f>IF(LEFT($D15,6)&lt;&gt;"Star: ","",VLOOKUP(RIGHT($D15,LEN($D15)-6),'Star Players-Hidden'!$A$3:$AK$69,37,FALSE))</f>
        <v/>
      </c>
      <c r="AM15" s="4"/>
      <c r="AN15" s="121" t="s">
        <v>102</v>
      </c>
      <c r="AO15" s="131">
        <v>40000</v>
      </c>
      <c r="AP15" s="123"/>
      <c r="AQ15" s="124"/>
      <c r="AR15" s="133" t="s">
        <v>73</v>
      </c>
      <c r="AS15" s="134" t="s">
        <v>74</v>
      </c>
      <c r="AT15" s="135">
        <v>2</v>
      </c>
      <c r="AU15" s="136">
        <v>0</v>
      </c>
      <c r="AV15" s="137">
        <v>0</v>
      </c>
      <c r="AW15" s="130"/>
    </row>
    <row r="16" spans="1:49" ht="12.75">
      <c r="A16" s="2"/>
      <c r="B16" s="71">
        <v>13</v>
      </c>
      <c r="C16" s="72" t="s">
        <v>195</v>
      </c>
      <c r="D16" s="73" t="s">
        <v>68</v>
      </c>
      <c r="E16" s="75">
        <f>IFERROR(VLOOKUP($I$24&amp;$D16,'Database-Hidden'!$C$2:$J$121,4,FALSE)-P16+AG16,"")</f>
        <v>7</v>
      </c>
      <c r="F16" s="76">
        <f>IFERROR(VLOOKUP($I$24&amp;$D16,'Database-Hidden'!$C$2:$J$121,5,FALSE)-Q16+AH16,"")</f>
        <v>3</v>
      </c>
      <c r="G16" s="76">
        <f>IFERROR(VLOOKUP($I$24&amp;$D16,'Database-Hidden'!$C$2:$J$121,6,FALSE)-R16+AI16,"")</f>
        <v>4</v>
      </c>
      <c r="H16" s="77">
        <f>IFERROR(VLOOKUP($I$24&amp;$D16,'Database-Hidden'!$C$2:$J$121,7,FALSE)-S16+AJ16,"")</f>
        <v>8</v>
      </c>
      <c r="I16" s="78" t="str">
        <f>IFERROR(VLOOKUP($I$24&amp;$D16,'Database-Hidden'!$C$2:$J$121,8,FALSE),"")</f>
        <v>Block</v>
      </c>
      <c r="J16" s="79" t="s">
        <v>196</v>
      </c>
      <c r="K16" s="80">
        <f t="shared" si="0"/>
        <v>1</v>
      </c>
      <c r="L16" s="81"/>
      <c r="M16" s="81"/>
      <c r="N16" s="82"/>
      <c r="O16" s="83"/>
      <c r="P16" s="84"/>
      <c r="Q16" s="85"/>
      <c r="R16" s="85"/>
      <c r="S16" s="86"/>
      <c r="T16" s="87"/>
      <c r="U16" s="89">
        <v>1</v>
      </c>
      <c r="V16" s="89">
        <v>1</v>
      </c>
      <c r="W16" s="89">
        <v>1</v>
      </c>
      <c r="X16" s="85"/>
      <c r="Y16" s="85"/>
      <c r="Z16" s="90"/>
      <c r="AA16" s="91">
        <f t="shared" si="1"/>
        <v>6</v>
      </c>
      <c r="AB16" s="58">
        <f t="shared" si="2"/>
        <v>120000</v>
      </c>
      <c r="AC16" s="4"/>
      <c r="AD16" s="120">
        <f>IFERROR(VLOOKUP($I$24&amp;D16,'Database-Hidden'!$C$2:$E$121,3,FALSE),"")</f>
        <v>100000</v>
      </c>
      <c r="AE16" s="93">
        <v>1</v>
      </c>
      <c r="AF16" s="107"/>
      <c r="AG16" s="107"/>
      <c r="AH16" s="107"/>
      <c r="AI16" s="107"/>
      <c r="AJ16" s="107"/>
      <c r="AK16" s="63"/>
      <c r="AL16" s="64" t="str">
        <f>IF(LEFT($D16,6)&lt;&gt;"Star: ","",VLOOKUP(RIGHT($D16,LEN($D16)-6),'Star Players-Hidden'!$A$3:$AK$69,37,FALSE))</f>
        <v/>
      </c>
      <c r="AM16" s="4"/>
      <c r="AN16" s="121" t="s">
        <v>105</v>
      </c>
      <c r="AO16" s="122"/>
      <c r="AP16" s="123"/>
      <c r="AQ16" s="124"/>
      <c r="AR16" s="125"/>
      <c r="AS16" s="126"/>
      <c r="AT16" s="127"/>
      <c r="AU16" s="128"/>
      <c r="AV16" s="129"/>
      <c r="AW16" s="130"/>
    </row>
    <row r="17" spans="1:49" ht="12.75">
      <c r="A17" s="2"/>
      <c r="B17" s="71">
        <v>14</v>
      </c>
      <c r="C17" s="72" t="s">
        <v>198</v>
      </c>
      <c r="D17" s="73" t="s">
        <v>68</v>
      </c>
      <c r="E17" s="75">
        <f>IFERROR(VLOOKUP($I$24&amp;$D17,'Database-Hidden'!$C$2:$J$121,4,FALSE)-P17+AG17,"")</f>
        <v>7</v>
      </c>
      <c r="F17" s="76">
        <f>IFERROR(VLOOKUP($I$24&amp;$D17,'Database-Hidden'!$C$2:$J$121,5,FALSE)-Q17+AH17,"")</f>
        <v>3</v>
      </c>
      <c r="G17" s="76">
        <f>IFERROR(VLOOKUP($I$24&amp;$D17,'Database-Hidden'!$C$2:$J$121,6,FALSE)-R17+AI17,"")</f>
        <v>4</v>
      </c>
      <c r="H17" s="77">
        <f>IFERROR(VLOOKUP($I$24&amp;$D17,'Database-Hidden'!$C$2:$J$121,7,FALSE)-S17+AJ17,"")</f>
        <v>8</v>
      </c>
      <c r="I17" s="78" t="str">
        <f>IFERROR(VLOOKUP($I$24&amp;$D17,'Database-Hidden'!$C$2:$J$121,8,FALSE),"")</f>
        <v>Block</v>
      </c>
      <c r="J17" s="79" t="s">
        <v>200</v>
      </c>
      <c r="K17" s="80">
        <f t="shared" si="0"/>
        <v>2</v>
      </c>
      <c r="L17" s="81"/>
      <c r="M17" s="81"/>
      <c r="N17" s="82"/>
      <c r="O17" s="83"/>
      <c r="P17" s="84"/>
      <c r="Q17" s="85"/>
      <c r="R17" s="85"/>
      <c r="S17" s="86"/>
      <c r="T17" s="87"/>
      <c r="U17" s="89">
        <v>1</v>
      </c>
      <c r="V17" s="89">
        <v>3</v>
      </c>
      <c r="W17" s="89">
        <v>1</v>
      </c>
      <c r="X17" s="85"/>
      <c r="Y17" s="85"/>
      <c r="Z17" s="90">
        <v>1</v>
      </c>
      <c r="AA17" s="91">
        <f t="shared" si="1"/>
        <v>17</v>
      </c>
      <c r="AB17" s="58">
        <f t="shared" si="2"/>
        <v>140000</v>
      </c>
      <c r="AC17" s="4"/>
      <c r="AD17" s="120">
        <f>IFERROR(VLOOKUP($I$24&amp;D17,'Database-Hidden'!$C$2:$E$121,3,FALSE),"")</f>
        <v>100000</v>
      </c>
      <c r="AE17" s="93">
        <v>2</v>
      </c>
      <c r="AF17" s="107"/>
      <c r="AG17" s="107"/>
      <c r="AH17" s="107"/>
      <c r="AI17" s="107"/>
      <c r="AJ17" s="107"/>
      <c r="AK17" s="63"/>
      <c r="AL17" s="64" t="str">
        <f>IF(LEFT($D17,6)&lt;&gt;"Star: ","",VLOOKUP(RIGHT($D17,LEN($D17)-6),'Star Players-Hidden'!$A$3:$AK$69,37,FALSE))</f>
        <v/>
      </c>
      <c r="AM17" s="4"/>
      <c r="AN17" s="141" t="s">
        <v>108</v>
      </c>
      <c r="AO17" s="142"/>
      <c r="AP17" s="143"/>
      <c r="AQ17" s="144"/>
      <c r="AR17" s="145"/>
      <c r="AS17" s="146"/>
      <c r="AT17" s="147"/>
      <c r="AU17" s="149"/>
      <c r="AV17" s="150"/>
      <c r="AW17" s="130"/>
    </row>
    <row r="18" spans="1:49" ht="12.75">
      <c r="A18" s="2"/>
      <c r="B18" s="71">
        <v>15</v>
      </c>
      <c r="C18" s="72"/>
      <c r="D18" s="73"/>
      <c r="E18" s="75" t="str">
        <f>IFERROR(VLOOKUP($I$24&amp;$D18,'Database-Hidden'!$C$2:$J$121,4,FALSE)-P18+AG18,"")</f>
        <v/>
      </c>
      <c r="F18" s="76" t="str">
        <f>IFERROR(VLOOKUP($I$24&amp;$D18,'Database-Hidden'!$C$2:$J$121,5,FALSE)-Q18+AH18,"")</f>
        <v/>
      </c>
      <c r="G18" s="76" t="str">
        <f>IFERROR(VLOOKUP($I$24&amp;$D18,'Database-Hidden'!$C$2:$J$121,6,FALSE)-R18+AI18,"")</f>
        <v/>
      </c>
      <c r="H18" s="77" t="str">
        <f>IFERROR(VLOOKUP($I$24&amp;$D18,'Database-Hidden'!$C$2:$J$121,7,FALSE)-S18+AJ18,"")</f>
        <v/>
      </c>
      <c r="I18" s="78" t="str">
        <f>IFERROR(VLOOKUP($I$24&amp;$D18,'Database-Hidden'!$C$2:$J$121,8,FALSE),"")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85"/>
      <c r="Z18" s="90"/>
      <c r="AA18" s="91">
        <f t="shared" si="1"/>
        <v>0</v>
      </c>
      <c r="AB18" s="58"/>
      <c r="AC18" s="4"/>
      <c r="AD18" s="120" t="str">
        <f>IFERROR(VLOOKUP($I$24&amp;D18,'Database-Hidden'!$C$2:$E$121,3,FALSE),"")</f>
        <v/>
      </c>
      <c r="AE18" s="93"/>
      <c r="AF18" s="94"/>
      <c r="AG18" s="107"/>
      <c r="AH18" s="107"/>
      <c r="AI18" s="107"/>
      <c r="AJ18" s="107"/>
      <c r="AK18" s="63"/>
      <c r="AL18" s="64" t="str">
        <f>IF(LEFT($D18,6)&lt;&gt;"Star: ","",VLOOKUP(RIGHT($D18,LEN($D18)-6),'Star Players-Hidden'!$A$3:$AK$69,37,FALSE))</f>
        <v/>
      </c>
      <c r="AM18" s="4"/>
      <c r="AN18" s="157" t="s">
        <v>35</v>
      </c>
      <c r="AO18" s="160">
        <f>AO4+SUM(AO6:AO17)-SUM(AP6:AP17)-SUM(AQ6:AQ17)</f>
        <v>80000</v>
      </c>
      <c r="AP18" s="4"/>
      <c r="AQ18" s="4"/>
      <c r="AR18" s="68"/>
      <c r="AS18" s="157" t="s">
        <v>35</v>
      </c>
      <c r="AT18" s="162">
        <f t="shared" ref="AT18:AU18" si="3">SUM(AT6:AT17)</f>
        <v>11</v>
      </c>
      <c r="AU18" s="164">
        <f t="shared" si="3"/>
        <v>7</v>
      </c>
      <c r="AV18" s="168">
        <f>AV4+SUM(AV6:AV17)</f>
        <v>3</v>
      </c>
      <c r="AW18" s="5"/>
    </row>
    <row r="19" spans="1:49" ht="12.75">
      <c r="A19" s="2"/>
      <c r="B19" s="170">
        <v>16</v>
      </c>
      <c r="C19" s="172" t="s">
        <v>206</v>
      </c>
      <c r="D19" s="174" t="s">
        <v>207</v>
      </c>
      <c r="E19" s="176">
        <f>IFERROR(VLOOKUP($I$24&amp;$D19,'Database-Hidden'!$C$2:$J$121,4,FALSE)-P19+AG19,"")</f>
        <v>7</v>
      </c>
      <c r="F19" s="177">
        <f>IFERROR(VLOOKUP($I$24&amp;$D19,'Database-Hidden'!$C$2:$J$121,5,FALSE)-Q19+AH19,"")</f>
        <v>3</v>
      </c>
      <c r="G19" s="177">
        <f>IFERROR(VLOOKUP($I$24&amp;$D19,'Database-Hidden'!$C$2:$J$121,6,FALSE)-R19+AI19,"")</f>
        <v>4</v>
      </c>
      <c r="H19" s="178">
        <f>IFERROR(VLOOKUP($I$24&amp;$D19,'Database-Hidden'!$C$2:$J$121,7,FALSE)-S19+AJ19,"")</f>
        <v>7</v>
      </c>
      <c r="I19" s="180" t="str">
        <f>IFERROR(VLOOKUP($I$24&amp;$D19,'Database-Hidden'!$C$2:$J$121,8,FALSE),"")</f>
        <v>Frenzy, Dodge, Jump Up</v>
      </c>
      <c r="J19" s="182" t="s">
        <v>208</v>
      </c>
      <c r="K19" s="186">
        <f t="shared" si="0"/>
        <v>3</v>
      </c>
      <c r="L19" s="188"/>
      <c r="M19" s="188"/>
      <c r="N19" s="187"/>
      <c r="O19" s="189"/>
      <c r="P19" s="190"/>
      <c r="Q19" s="191"/>
      <c r="R19" s="191"/>
      <c r="S19" s="192"/>
      <c r="T19" s="193"/>
      <c r="U19" s="195">
        <v>3</v>
      </c>
      <c r="V19" s="195">
        <v>5</v>
      </c>
      <c r="W19" s="195"/>
      <c r="X19" s="191"/>
      <c r="Y19" s="191"/>
      <c r="Z19" s="196">
        <v>3</v>
      </c>
      <c r="AA19" s="197">
        <f t="shared" si="1"/>
        <v>33</v>
      </c>
      <c r="AB19" s="58">
        <f t="shared" si="2"/>
        <v>170000</v>
      </c>
      <c r="AC19" s="4"/>
      <c r="AD19" s="198">
        <f>IFERROR(VLOOKUP($I$24&amp;D19,'Database-Hidden'!$C$2:$E$121,3,FALSE),"")</f>
        <v>110000</v>
      </c>
      <c r="AE19" s="199">
        <v>3</v>
      </c>
      <c r="AF19" s="241"/>
      <c r="AG19" s="200"/>
      <c r="AH19" s="200"/>
      <c r="AI19" s="200"/>
      <c r="AJ19" s="200"/>
      <c r="AK19" s="242"/>
      <c r="AL19" s="202" t="str">
        <f>IF(LEFT($D19,6)&lt;&gt;"Star: ","",VLOOKUP(RIGHT($D19,LEN($D19)-6),'Star Players-Hidden'!$A$3:$AK$69,37,FALSE))</f>
        <v/>
      </c>
      <c r="AM19" s="4"/>
      <c r="AV19" s="203"/>
    </row>
    <row r="20" spans="1:49" ht="12.75">
      <c r="B20" s="328"/>
      <c r="C20" s="329"/>
      <c r="D20" s="330"/>
      <c r="E20" s="311" t="s">
        <v>118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3"/>
      <c r="AB20" s="204">
        <f>SUM(AB4:AB19)</f>
        <v>1200000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8"/>
      <c r="AO20" s="68"/>
      <c r="AR20" s="68"/>
      <c r="AS20" s="68"/>
      <c r="AT20" s="68"/>
      <c r="AU20" s="68"/>
      <c r="AV20" s="205"/>
      <c r="AW20" s="68"/>
    </row>
    <row r="21" spans="1:49" ht="12.75">
      <c r="A21" s="2"/>
      <c r="B21" s="317"/>
      <c r="C21" s="315"/>
      <c r="D21" s="316"/>
      <c r="E21" s="333" t="s">
        <v>119</v>
      </c>
      <c r="F21" s="315"/>
      <c r="G21" s="315"/>
      <c r="H21" s="334"/>
      <c r="I21" s="314" t="s">
        <v>65</v>
      </c>
      <c r="J21" s="315"/>
      <c r="K21" s="316"/>
      <c r="L21" s="322" t="s">
        <v>121</v>
      </c>
      <c r="M21" s="319"/>
      <c r="N21" s="319"/>
      <c r="O21" s="319"/>
      <c r="P21" s="319"/>
      <c r="Q21" s="319"/>
      <c r="R21" s="319"/>
      <c r="S21" s="323"/>
      <c r="T21" s="206">
        <v>2</v>
      </c>
      <c r="U21" s="207" t="s">
        <v>36</v>
      </c>
      <c r="V21" s="321">
        <f>IFERROR(VLOOKUP(I24,'Database-Hidden'!N2:O28,2,FALSE),"")</f>
        <v>50000</v>
      </c>
      <c r="W21" s="319"/>
      <c r="X21" s="319"/>
      <c r="Y21" s="319"/>
      <c r="Z21" s="319"/>
      <c r="AA21" s="320"/>
      <c r="AB21" s="208">
        <f t="shared" ref="AB21:AB25" si="4">T21*V21</f>
        <v>100000</v>
      </c>
      <c r="AC21" s="4"/>
      <c r="AD21" s="1" t="s">
        <v>209</v>
      </c>
      <c r="AE21" s="1">
        <v>1</v>
      </c>
      <c r="AF21" s="4"/>
      <c r="AG21" s="4"/>
      <c r="AH21" s="4"/>
      <c r="AI21" s="4"/>
      <c r="AJ21" s="4"/>
      <c r="AK21" s="4"/>
      <c r="AL21" s="4"/>
      <c r="AM21" s="4"/>
      <c r="AN21" s="327" t="s">
        <v>122</v>
      </c>
      <c r="AO21" s="313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317"/>
      <c r="C22" s="315"/>
      <c r="D22" s="316"/>
      <c r="E22" s="315"/>
      <c r="F22" s="315"/>
      <c r="G22" s="315"/>
      <c r="H22" s="334"/>
      <c r="I22" s="317"/>
      <c r="J22" s="315"/>
      <c r="K22" s="316"/>
      <c r="L22" s="309" t="s">
        <v>123</v>
      </c>
      <c r="M22" s="304"/>
      <c r="N22" s="304"/>
      <c r="O22" s="304"/>
      <c r="P22" s="304"/>
      <c r="Q22" s="304"/>
      <c r="R22" s="304"/>
      <c r="S22" s="310"/>
      <c r="T22" s="211">
        <f>AV18</f>
        <v>3</v>
      </c>
      <c r="U22" s="210" t="s">
        <v>36</v>
      </c>
      <c r="V22" s="306">
        <v>10000</v>
      </c>
      <c r="W22" s="304"/>
      <c r="X22" s="304"/>
      <c r="Y22" s="304"/>
      <c r="Z22" s="304"/>
      <c r="AA22" s="307"/>
      <c r="AB22" s="212">
        <f t="shared" si="4"/>
        <v>30000</v>
      </c>
      <c r="AC22" s="4"/>
      <c r="AD22" s="1" t="s">
        <v>210</v>
      </c>
      <c r="AE22" s="1">
        <v>1</v>
      </c>
      <c r="AF22" s="4"/>
      <c r="AG22" s="4"/>
      <c r="AH22" s="4"/>
      <c r="AI22" s="4"/>
      <c r="AJ22" s="4"/>
      <c r="AK22" s="4"/>
      <c r="AL22" s="4"/>
      <c r="AM22" s="4"/>
      <c r="AN22" s="213" t="s">
        <v>124</v>
      </c>
      <c r="AO22" s="214">
        <f>AO18</f>
        <v>80000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317"/>
      <c r="C23" s="315"/>
      <c r="D23" s="316"/>
      <c r="E23" s="319"/>
      <c r="F23" s="319"/>
      <c r="G23" s="319"/>
      <c r="H23" s="335"/>
      <c r="I23" s="318"/>
      <c r="J23" s="319"/>
      <c r="K23" s="320"/>
      <c r="L23" s="347" t="s">
        <v>126</v>
      </c>
      <c r="M23" s="304"/>
      <c r="N23" s="304"/>
      <c r="O23" s="304"/>
      <c r="P23" s="304"/>
      <c r="Q23" s="304"/>
      <c r="R23" s="304"/>
      <c r="S23" s="310"/>
      <c r="T23" s="215">
        <v>0</v>
      </c>
      <c r="U23" s="216" t="s">
        <v>36</v>
      </c>
      <c r="V23" s="306">
        <v>10000</v>
      </c>
      <c r="W23" s="304"/>
      <c r="X23" s="304"/>
      <c r="Y23" s="304"/>
      <c r="Z23" s="304"/>
      <c r="AA23" s="307"/>
      <c r="AB23" s="212">
        <f t="shared" si="4"/>
        <v>0</v>
      </c>
      <c r="AC23" s="4"/>
      <c r="AF23" s="1"/>
      <c r="AG23" s="4"/>
      <c r="AH23" s="4"/>
      <c r="AI23" s="4"/>
      <c r="AJ23" s="4"/>
      <c r="AK23" s="4"/>
      <c r="AL23" s="4"/>
      <c r="AM23" s="4"/>
      <c r="AN23" s="217" t="s">
        <v>127</v>
      </c>
      <c r="AO23" s="218">
        <f>COUNTA(AR6:AR17)*10000</f>
        <v>80000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317"/>
      <c r="C24" s="315"/>
      <c r="D24" s="316"/>
      <c r="E24" s="340" t="s">
        <v>128</v>
      </c>
      <c r="F24" s="304"/>
      <c r="G24" s="304"/>
      <c r="H24" s="341"/>
      <c r="I24" s="308" t="s">
        <v>211</v>
      </c>
      <c r="J24" s="304"/>
      <c r="K24" s="307"/>
      <c r="L24" s="309" t="s">
        <v>130</v>
      </c>
      <c r="M24" s="304"/>
      <c r="N24" s="304"/>
      <c r="O24" s="304"/>
      <c r="P24" s="304"/>
      <c r="Q24" s="304"/>
      <c r="R24" s="304"/>
      <c r="S24" s="310"/>
      <c r="T24" s="215">
        <v>0</v>
      </c>
      <c r="U24" s="216" t="s">
        <v>36</v>
      </c>
      <c r="V24" s="306">
        <v>10000</v>
      </c>
      <c r="W24" s="304"/>
      <c r="X24" s="304"/>
      <c r="Y24" s="304"/>
      <c r="Z24" s="304"/>
      <c r="AA24" s="307"/>
      <c r="AB24" s="212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217" t="s">
        <v>53</v>
      </c>
      <c r="AO24" s="218">
        <f>AT18*5000</f>
        <v>55000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317"/>
      <c r="C25" s="315"/>
      <c r="D25" s="316"/>
      <c r="E25" s="340" t="str">
        <f>IFERROR(IF(VLOOKUP(I24,'Database-Hidden'!X2:Y28,2,FALSE)="Yes","NECROMANCER","HEAD COACH"),"HEAD COACH")</f>
        <v>HEAD COACH</v>
      </c>
      <c r="F25" s="304"/>
      <c r="G25" s="304"/>
      <c r="H25" s="341"/>
      <c r="I25" s="308" t="s">
        <v>212</v>
      </c>
      <c r="J25" s="304"/>
      <c r="K25" s="307"/>
      <c r="L25" s="346" t="str">
        <f>IFERROR(IF(VLOOKUP(I24,'Database-Hidden'!X2:Y28,1,FALSE)&lt;&gt;"","",""),"APOTHECARY")</f>
        <v>APOTHECARY</v>
      </c>
      <c r="M25" s="304"/>
      <c r="N25" s="304"/>
      <c r="O25" s="304"/>
      <c r="P25" s="304"/>
      <c r="Q25" s="304"/>
      <c r="R25" s="304"/>
      <c r="S25" s="341"/>
      <c r="T25" s="215">
        <v>1</v>
      </c>
      <c r="U25" s="210" t="str">
        <f>IF(L25&lt;&gt;"","x","")</f>
        <v>x</v>
      </c>
      <c r="V25" s="306">
        <f>IF(L25&lt;&gt;"",50000,"")</f>
        <v>50000</v>
      </c>
      <c r="W25" s="304"/>
      <c r="X25" s="304"/>
      <c r="Y25" s="304"/>
      <c r="Z25" s="304"/>
      <c r="AA25" s="307"/>
      <c r="AB25" s="212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219" t="s">
        <v>134</v>
      </c>
      <c r="AO25" s="220">
        <f>AU18*5000</f>
        <v>35000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317"/>
      <c r="C26" s="315"/>
      <c r="D26" s="316"/>
      <c r="E26" s="340" t="s">
        <v>135</v>
      </c>
      <c r="F26" s="304"/>
      <c r="G26" s="304"/>
      <c r="H26" s="304"/>
      <c r="I26" s="343">
        <f>AB20+AB28</f>
        <v>1380000</v>
      </c>
      <c r="J26" s="304"/>
      <c r="K26" s="304"/>
      <c r="L26" s="346" t="s">
        <v>136</v>
      </c>
      <c r="M26" s="304"/>
      <c r="N26" s="304"/>
      <c r="O26" s="304"/>
      <c r="P26" s="304"/>
      <c r="Q26" s="304"/>
      <c r="R26" s="304"/>
      <c r="S26" s="341"/>
      <c r="T26" s="215">
        <v>0</v>
      </c>
      <c r="U26" s="210" t="s">
        <v>36</v>
      </c>
      <c r="V26" s="306">
        <f>IF(I24="Halfling",200000,600000)</f>
        <v>600000</v>
      </c>
      <c r="W26" s="304"/>
      <c r="X26" s="304"/>
      <c r="Y26" s="304"/>
      <c r="Z26" s="304"/>
      <c r="AA26" s="307"/>
      <c r="AB26" s="212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221" t="s">
        <v>35</v>
      </c>
      <c r="AO26" s="222">
        <v>250000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317"/>
      <c r="C27" s="315"/>
      <c r="D27" s="316"/>
      <c r="E27" s="336" t="s">
        <v>137</v>
      </c>
      <c r="F27" s="325"/>
      <c r="G27" s="325"/>
      <c r="H27" s="325"/>
      <c r="I27" s="342">
        <f>AO18</f>
        <v>80000</v>
      </c>
      <c r="J27" s="325"/>
      <c r="K27" s="325"/>
      <c r="L27" s="324" t="s">
        <v>138</v>
      </c>
      <c r="M27" s="325"/>
      <c r="N27" s="325"/>
      <c r="O27" s="325"/>
      <c r="P27" s="325"/>
      <c r="Q27" s="325"/>
      <c r="R27" s="325"/>
      <c r="S27" s="326"/>
      <c r="T27" s="223">
        <v>0</v>
      </c>
      <c r="U27" s="224" t="s">
        <v>36</v>
      </c>
      <c r="V27" s="344">
        <f>IF(I24="Goblin",100000,200000)</f>
        <v>200000</v>
      </c>
      <c r="W27" s="325"/>
      <c r="X27" s="325"/>
      <c r="Y27" s="325"/>
      <c r="Z27" s="325"/>
      <c r="AA27" s="345"/>
      <c r="AB27" s="212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331"/>
      <c r="C28" s="305"/>
      <c r="D28" s="332"/>
      <c r="E28" s="311" t="s">
        <v>139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3"/>
      <c r="AB28" s="204">
        <f>SUM(AB21:AB27)</f>
        <v>180000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25"/>
      <c r="D29" s="225"/>
      <c r="E29" s="226"/>
      <c r="F29" s="4"/>
      <c r="G29" s="4"/>
      <c r="H29" s="4"/>
      <c r="I29" s="227"/>
      <c r="J29" s="228"/>
      <c r="K29" s="4"/>
      <c r="L29" s="229"/>
      <c r="M29" s="229"/>
      <c r="N29" s="229"/>
      <c r="O29" s="229"/>
      <c r="P29" s="229"/>
      <c r="Q29" s="229"/>
      <c r="R29" s="229"/>
      <c r="S29" s="229"/>
      <c r="T29" s="230"/>
      <c r="U29" s="231"/>
      <c r="V29" s="9"/>
      <c r="W29" s="232"/>
      <c r="X29" s="232"/>
      <c r="Y29" s="232"/>
      <c r="Z29" s="232"/>
      <c r="AA29" s="232"/>
      <c r="AB29" s="23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34">
        <f>MATCH(I24,'Database-Hidden'!A2:A121,0)</f>
        <v>27</v>
      </c>
      <c r="D30" s="234" t="str">
        <f t="shared" ref="D30:D39" si="6">I30&amp;IF(COUNTIF(D$4:D$19,I30)&gt;E30," (Too Many)","")</f>
        <v>Lineman</v>
      </c>
      <c r="E30" s="235">
        <f t="array" ref="E30">IFERROR(IF(INDEX('Database-Hidden'!$A$2:$B$121,$C30,1)=$I$24,INDEX('Database-Hidden'!$A$2:$D$121,$C30,4),""),"")</f>
        <v>16</v>
      </c>
      <c r="I30" s="234" t="str">
        <f t="array" ref="I30">IFERROR(IF(INDEX('Database-Hidden'!$A$2:$B$121,$C30,1)=$I$24,INDEX('Database-Hidden'!$A$2:$B$121,$C30,2),""),"")</f>
        <v>Lineman</v>
      </c>
      <c r="AV30" s="203"/>
    </row>
    <row r="31" spans="1:49" ht="17.25" hidden="1" customHeight="1">
      <c r="C31" s="234">
        <f t="shared" ref="C31:C39" si="7">C30+1</f>
        <v>28</v>
      </c>
      <c r="D31" s="234" t="str">
        <f t="shared" si="6"/>
        <v>Runner</v>
      </c>
      <c r="E31" s="235">
        <f t="array" ref="E31">IFERROR(IF(INDEX('Database-Hidden'!$A$2:$B$121,$C31,1)=$I$24,INDEX('Database-Hidden'!$A$2:$D$121,$C31,4),""),"")</f>
        <v>2</v>
      </c>
      <c r="I31" s="234" t="str">
        <f t="array" ref="I31">IFERROR(IF(INDEX('Database-Hidden'!$A$2:$B$121,$C31,1)=$I$24,INDEX('Database-Hidden'!$A$2:$B$121,$C31,2),""),"")</f>
        <v>Runner</v>
      </c>
      <c r="AV31" s="203"/>
    </row>
    <row r="32" spans="1:49" ht="17.25" hidden="1" customHeight="1">
      <c r="C32" s="234">
        <f t="shared" si="7"/>
        <v>29</v>
      </c>
      <c r="D32" s="234" t="str">
        <f t="shared" si="6"/>
        <v>Assassin</v>
      </c>
      <c r="E32" s="235">
        <f t="array" ref="E32">IFERROR(IF(INDEX('Database-Hidden'!$A$2:$B$121,$C32,1)=$I$24,INDEX('Database-Hidden'!$A$2:$D$121,$C32,4),""),"")</f>
        <v>2</v>
      </c>
      <c r="I32" s="234" t="str">
        <f t="array" ref="I32">IFERROR(IF(INDEX('Database-Hidden'!$A$2:$B$121,$C32,1)=$I$24,INDEX('Database-Hidden'!$A$2:$B$121,$C32,2),""),"")</f>
        <v>Assassin</v>
      </c>
      <c r="AV32" s="203"/>
    </row>
    <row r="33" spans="3:48" ht="17.25" hidden="1" customHeight="1">
      <c r="C33" s="234">
        <f t="shared" si="7"/>
        <v>30</v>
      </c>
      <c r="D33" s="234" t="str">
        <f t="shared" si="6"/>
        <v>Blitzer</v>
      </c>
      <c r="E33" s="235">
        <f t="array" ref="E33">IFERROR(IF(INDEX('Database-Hidden'!$A$2:$B$121,$C33,1)=$I$24,INDEX('Database-Hidden'!$A$2:$D$121,$C33,4),""),"")</f>
        <v>4</v>
      </c>
      <c r="I33" s="234" t="str">
        <f t="array" ref="I33">IFERROR(IF(INDEX('Database-Hidden'!$A$2:$B$121,$C33,1)=$I$24,INDEX('Database-Hidden'!$A$2:$B$121,$C33,2),""),"")</f>
        <v>Blitzer</v>
      </c>
      <c r="AV33" s="203"/>
    </row>
    <row r="34" spans="3:48" ht="17.25" hidden="1" customHeight="1">
      <c r="C34" s="234">
        <f t="shared" si="7"/>
        <v>31</v>
      </c>
      <c r="D34" s="234" t="str">
        <f t="shared" si="6"/>
        <v>Witch Elf</v>
      </c>
      <c r="E34" s="235">
        <f t="array" ref="E34">IFERROR(IF(INDEX('Database-Hidden'!$A$2:$B$121,$C34,1)=$I$24,INDEX('Database-Hidden'!$A$2:$D$121,$C34,4),""),"")</f>
        <v>2</v>
      </c>
      <c r="I34" s="234" t="str">
        <f t="array" ref="I34">IFERROR(IF(INDEX('Database-Hidden'!$A$2:$B$121,$C34,1)=$I$24,INDEX('Database-Hidden'!$A$2:$B$121,$C34,2),""),"")</f>
        <v>Witch Elf</v>
      </c>
      <c r="AV34" s="203"/>
    </row>
    <row r="35" spans="3:48" ht="17.25" hidden="1" customHeight="1">
      <c r="C35" s="234">
        <f t="shared" si="7"/>
        <v>32</v>
      </c>
      <c r="D35" s="234" t="str">
        <f t="shared" si="6"/>
        <v/>
      </c>
      <c r="E35" s="235" t="str">
        <f t="array" ref="E35">IFERROR(IF(INDEX('Database-Hidden'!$A$2:$B$121,$C35,1)=$I$24,INDEX('Database-Hidden'!$A$2:$D$121,$C35,4),""),"")</f>
        <v/>
      </c>
      <c r="I35" s="234" t="str">
        <f t="array" ref="I35">IFERROR(IF(INDEX('Database-Hidden'!$A$2:$B$121,$C35,1)=$I$24,INDEX('Database-Hidden'!$A$2:$B$121,$C35,2),""),"")</f>
        <v/>
      </c>
      <c r="AV35" s="203"/>
    </row>
    <row r="36" spans="3:48" ht="17.25" hidden="1" customHeight="1">
      <c r="C36" s="234">
        <f t="shared" si="7"/>
        <v>33</v>
      </c>
      <c r="D36" s="234" t="str">
        <f t="shared" si="6"/>
        <v/>
      </c>
      <c r="E36" s="235" t="str">
        <f t="array" ref="E36">IFERROR(IF(INDEX('Database-Hidden'!$A$2:$B$121,$C36,1)=$I$24,INDEX('Database-Hidden'!$A$2:$D$121,$C36,4),""),"")</f>
        <v/>
      </c>
      <c r="I36" s="234" t="str">
        <f t="array" ref="I36">IFERROR(IF(INDEX('Database-Hidden'!$A$2:$B$121,$C36,1)=$I$24,INDEX('Database-Hidden'!$A$2:$B$121,$C36,2),""),"")</f>
        <v/>
      </c>
      <c r="AV36" s="203"/>
    </row>
    <row r="37" spans="3:48" ht="17.25" hidden="1" customHeight="1">
      <c r="C37" s="234">
        <f t="shared" si="7"/>
        <v>34</v>
      </c>
      <c r="D37" s="234" t="str">
        <f t="shared" si="6"/>
        <v/>
      </c>
      <c r="E37" s="235" t="str">
        <f t="array" ref="E37">IFERROR(IF(INDEX('Database-Hidden'!$A$2:$B$121,$C37,1)=$I$24,INDEX('Database-Hidden'!$A$2:$D$121,$C37,4),""),"")</f>
        <v/>
      </c>
      <c r="I37" s="234" t="str">
        <f t="array" ref="I37">IFERROR(IF(INDEX('Database-Hidden'!$A$2:$B$121,$C37,1)=$I$24,INDEX('Database-Hidden'!$A$2:$B$121,$C37,2),""),"")</f>
        <v/>
      </c>
      <c r="AV37" s="203"/>
    </row>
    <row r="38" spans="3:48" ht="17.25" hidden="1" customHeight="1">
      <c r="C38" s="234">
        <f t="shared" si="7"/>
        <v>35</v>
      </c>
      <c r="D38" s="234" t="str">
        <f t="shared" si="6"/>
        <v/>
      </c>
      <c r="E38" s="235" t="str">
        <f t="array" ref="E38">IFERROR(IF(INDEX('Database-Hidden'!$A$2:$B$121,$C38,1)=$I$24,INDEX('Database-Hidden'!$A$2:$D$121,$C38,4),""),"")</f>
        <v/>
      </c>
      <c r="I38" s="234" t="str">
        <f t="array" ref="I38">IFERROR(IF(INDEX('Database-Hidden'!$A$2:$B$121,$C38,1)=$I$24,INDEX('Database-Hidden'!$A$2:$B$121,$C38,2),""),"")</f>
        <v/>
      </c>
      <c r="AV38" s="203"/>
    </row>
    <row r="39" spans="3:48" ht="17.25" hidden="1" customHeight="1">
      <c r="C39" s="234">
        <f t="shared" si="7"/>
        <v>36</v>
      </c>
      <c r="D39" s="234" t="str">
        <f t="shared" si="6"/>
        <v/>
      </c>
      <c r="E39" s="235" t="str">
        <f t="array" ref="E39">IFERROR(IF(INDEX('Database-Hidden'!$A$2:$B$121,$C39,1)=$I$24,INDEX('Database-Hidden'!$A$2:$D$121,$C39,4),""),"")</f>
        <v/>
      </c>
      <c r="I39" s="234" t="str">
        <f t="array" ref="I39">IFERROR(IF(INDEX('Database-Hidden'!$A$2:$B$121,$C39,1)=$I$24,INDEX('Database-Hidden'!$A$2:$B$121,$C39,2),""),"")</f>
        <v/>
      </c>
      <c r="AV39" s="203"/>
    </row>
    <row r="40" spans="3:48" ht="17.25" hidden="1" customHeight="1">
      <c r="C40" s="236">
        <f>MATCH(I24,'Star Players-Hidden'!D2:AD2,0)</f>
        <v>6</v>
      </c>
      <c r="D40" s="236" t="str">
        <f t="shared" ref="D40:D51" ca="1" si="8">I40&amp;IF(COUNTIF(D$4:D$19,I40)&gt;1," (Too Many)","")</f>
        <v>Star: Eldril Sidewinder</v>
      </c>
      <c r="E40" s="237"/>
      <c r="F40" s="237"/>
      <c r="G40" s="237"/>
      <c r="H40" s="237"/>
      <c r="I40" s="236" t="str">
        <f ca="1">IFERROR(__xludf.DUMMYFUNCTION("FILTER({""Star: ""&amp;'Star Players-Hidden'!A3:A69},INDEX('Star Players-Hidden'!D3:AD69,0,C40)&lt;&gt;"""",{'Star Players-Hidden'!C3:C69=""""}+{'Star Players-Hidden'!C3:C69=I21})"),"Star: Eldril Sidewinder")</f>
        <v>Star: Eldril Sidewinder</v>
      </c>
      <c r="AV40" s="203"/>
    </row>
    <row r="41" spans="3:48" ht="17.25" hidden="1" customHeight="1">
      <c r="C41" s="234"/>
      <c r="D41" s="234" t="str">
        <f t="shared" ca="1" si="8"/>
        <v>Star: Horkon Heartripper</v>
      </c>
      <c r="I41" s="238" t="str">
        <f ca="1">IFERROR(__xludf.DUMMYFUNCTION("""COMPUTED_VALUE"""),"Star: Horkon Heartripper")</f>
        <v>Star: Horkon Heartripper</v>
      </c>
      <c r="AV41" s="203"/>
    </row>
    <row r="42" spans="3:48" ht="17.25" hidden="1" customHeight="1">
      <c r="C42" s="234"/>
      <c r="D42" s="234" t="str">
        <f t="shared" ca="1" si="8"/>
        <v>Star: Hubris Rukarth</v>
      </c>
      <c r="I42" s="234" t="str">
        <f ca="1">IFERROR(__xludf.DUMMYFUNCTION("""COMPUTED_VALUE"""),"Star: Hubris Rukarth")</f>
        <v>Star: Hubris Rukarth</v>
      </c>
      <c r="AV42" s="203"/>
    </row>
    <row r="43" spans="3:48" ht="17.25" hidden="1" customHeight="1">
      <c r="C43" s="234"/>
      <c r="D43" s="234" t="str">
        <f t="shared" ca="1" si="8"/>
        <v>Star: Ithaca Benoin</v>
      </c>
      <c r="I43" s="234" t="str">
        <f ca="1">IFERROR(__xludf.DUMMYFUNCTION("""COMPUTED_VALUE"""),"Star: Ithaca Benoin")</f>
        <v>Star: Ithaca Benoin</v>
      </c>
      <c r="AV43" s="203"/>
    </row>
    <row r="44" spans="3:48" ht="17.25" hidden="1" customHeight="1">
      <c r="C44" s="234"/>
      <c r="D44" s="234" t="str">
        <f t="shared" ca="1" si="8"/>
        <v>Star: Morg'n'Thorg</v>
      </c>
      <c r="I44" s="234" t="str">
        <f ca="1">IFERROR(__xludf.DUMMYFUNCTION("""COMPUTED_VALUE"""),"Star: Morg'n'Thorg")</f>
        <v>Star: Morg'n'Thorg</v>
      </c>
      <c r="AV44" s="203"/>
    </row>
    <row r="45" spans="3:48" ht="17.25" hidden="1" customHeight="1">
      <c r="C45" s="234"/>
      <c r="D45" s="234" t="str">
        <f t="shared" ca="1" si="8"/>
        <v>Star: Roxanna Darknall</v>
      </c>
      <c r="I45" s="234" t="str">
        <f ca="1">IFERROR(__xludf.DUMMYFUNCTION("""COMPUTED_VALUE"""),"Star: Roxanna Darknall")</f>
        <v>Star: Roxanna Darknall</v>
      </c>
      <c r="AV45" s="203"/>
    </row>
    <row r="46" spans="3:48" ht="17.25" hidden="1" customHeight="1">
      <c r="C46" s="234"/>
      <c r="D46" s="234" t="str">
        <f t="shared" ca="1" si="8"/>
        <v>Star: Zara the Slayer</v>
      </c>
      <c r="I46" s="234" t="str">
        <f ca="1">IFERROR(__xludf.DUMMYFUNCTION("""COMPUTED_VALUE"""),"Star: Zara the Slayer")</f>
        <v>Star: Zara the Slayer</v>
      </c>
      <c r="AV46" s="203"/>
    </row>
    <row r="47" spans="3:48" ht="17.25" hidden="1" customHeight="1">
      <c r="C47" s="234"/>
      <c r="D47" s="234" t="str">
        <f t="shared" si="8"/>
        <v/>
      </c>
      <c r="I47" s="234"/>
      <c r="AV47" s="203"/>
    </row>
    <row r="48" spans="3:48" ht="17.25" hidden="1" customHeight="1">
      <c r="C48" s="234"/>
      <c r="D48" s="234" t="str">
        <f t="shared" si="8"/>
        <v/>
      </c>
      <c r="I48" s="234"/>
      <c r="AV48" s="203"/>
    </row>
    <row r="49" spans="3:48" ht="17.25" hidden="1" customHeight="1">
      <c r="C49" s="234"/>
      <c r="D49" s="234" t="str">
        <f t="shared" si="8"/>
        <v/>
      </c>
      <c r="I49" s="234"/>
      <c r="AV49" s="203"/>
    </row>
    <row r="50" spans="3:48" ht="17.25" hidden="1" customHeight="1">
      <c r="C50" s="234"/>
      <c r="D50" s="234" t="str">
        <f t="shared" si="8"/>
        <v/>
      </c>
      <c r="I50" s="234"/>
      <c r="AV50" s="203"/>
    </row>
    <row r="51" spans="3:48" ht="17.25" hidden="1" customHeight="1">
      <c r="C51" s="234"/>
      <c r="D51" s="234" t="str">
        <f t="shared" si="8"/>
        <v/>
      </c>
      <c r="I51" s="234"/>
      <c r="AV51" s="203"/>
    </row>
  </sheetData>
  <mergeCells count="31">
    <mergeCell ref="B20:D28"/>
    <mergeCell ref="P2:S2"/>
    <mergeCell ref="AN3:AQ3"/>
    <mergeCell ref="AR3:AV3"/>
    <mergeCell ref="L22:S22"/>
    <mergeCell ref="L23:S23"/>
    <mergeCell ref="V22:AA22"/>
    <mergeCell ref="V23:AA23"/>
    <mergeCell ref="E20:AA20"/>
    <mergeCell ref="V25:AA25"/>
    <mergeCell ref="L25:S25"/>
    <mergeCell ref="I27:K27"/>
    <mergeCell ref="I21:K23"/>
    <mergeCell ref="E21:H23"/>
    <mergeCell ref="E25:H25"/>
    <mergeCell ref="E24:H24"/>
    <mergeCell ref="I24:K24"/>
    <mergeCell ref="I25:K25"/>
    <mergeCell ref="E26:H26"/>
    <mergeCell ref="I26:K26"/>
    <mergeCell ref="V26:AA26"/>
    <mergeCell ref="L26:S26"/>
    <mergeCell ref="V24:AA24"/>
    <mergeCell ref="L24:S24"/>
    <mergeCell ref="V21:AA21"/>
    <mergeCell ref="L21:S21"/>
    <mergeCell ref="AN21:AO21"/>
    <mergeCell ref="E28:AA28"/>
    <mergeCell ref="L27:S27"/>
    <mergeCell ref="V27:AA27"/>
    <mergeCell ref="E27:H27"/>
  </mergeCells>
  <conditionalFormatting sqref="J4">
    <cfRule type="expression" dxfId="318" priority="1">
      <formula>K4&lt;&gt;SUM(AE4:AJ4)</formula>
    </cfRule>
  </conditionalFormatting>
  <conditionalFormatting sqref="K4:K14 K15:K19">
    <cfRule type="cellIs" dxfId="317" priority="2" operator="equal">
      <formula>0</formula>
    </cfRule>
  </conditionalFormatting>
  <conditionalFormatting sqref="AB4:AB14 AB15:AB19">
    <cfRule type="cellIs" dxfId="316" priority="3" operator="equal">
      <formula>0</formula>
    </cfRule>
  </conditionalFormatting>
  <conditionalFormatting sqref="E4:H14 E15:H19">
    <cfRule type="expression" dxfId="315" priority="4">
      <formula>AG4&gt;0</formula>
    </cfRule>
  </conditionalFormatting>
  <conditionalFormatting sqref="E4:H14 E15:H19">
    <cfRule type="expression" dxfId="314" priority="5">
      <formula>P4&gt;0</formula>
    </cfRule>
  </conditionalFormatting>
  <conditionalFormatting sqref="T4:W14 Z4:Z14 T15:W19 Z15:Z19 U29">
    <cfRule type="cellIs" dxfId="313" priority="6" stopIfTrue="1" operator="equal">
      <formula>0</formula>
    </cfRule>
  </conditionalFormatting>
  <conditionalFormatting sqref="K4:K14 K15:K19">
    <cfRule type="cellIs" dxfId="312" priority="7" stopIfTrue="1" operator="equal">
      <formula>"n/a"</formula>
    </cfRule>
  </conditionalFormatting>
  <conditionalFormatting sqref="P4:S14 P15:S19">
    <cfRule type="cellIs" dxfId="311" priority="8" stopIfTrue="1" operator="lessThanOrEqual">
      <formula>-1</formula>
    </cfRule>
  </conditionalFormatting>
  <conditionalFormatting sqref="V25:W27">
    <cfRule type="cellIs" dxfId="310" priority="9" stopIfTrue="1" operator="equal">
      <formula>-500</formula>
    </cfRule>
  </conditionalFormatting>
  <conditionalFormatting sqref="T25:T27">
    <cfRule type="cellIs" dxfId="309" priority="10" stopIfTrue="1" operator="greaterThan">
      <formula>$V$25</formula>
    </cfRule>
  </conditionalFormatting>
  <conditionalFormatting sqref="AA4:AA14 AA15:AA19">
    <cfRule type="cellIs" dxfId="308" priority="11" stopIfTrue="1" operator="equal">
      <formula>"Star"</formula>
    </cfRule>
  </conditionalFormatting>
  <conditionalFormatting sqref="AA4:AA14 AA15:AA19">
    <cfRule type="cellIs" dxfId="307" priority="12" stopIfTrue="1" operator="equal">
      <formula>AB4</formula>
    </cfRule>
  </conditionalFormatting>
  <conditionalFormatting sqref="I4:I14 I15:I19">
    <cfRule type="cellIs" dxfId="306" priority="13" stopIfTrue="1" operator="equal">
      <formula>0</formula>
    </cfRule>
  </conditionalFormatting>
  <conditionalFormatting sqref="I4:I14 I15:I19">
    <cfRule type="cellIs" dxfId="305" priority="14" stopIfTrue="1" operator="equal">
      <formula>"Player type quantity surpassed"</formula>
    </cfRule>
  </conditionalFormatting>
  <conditionalFormatting sqref="J5">
    <cfRule type="expression" dxfId="304" priority="15">
      <formula>K5&lt;&gt;SUM(AE5:AJ5)</formula>
    </cfRule>
  </conditionalFormatting>
  <conditionalFormatting sqref="J6">
    <cfRule type="expression" dxfId="303" priority="16">
      <formula>K6&lt;&gt;SUM(AE6:AJ6)</formula>
    </cfRule>
  </conditionalFormatting>
  <conditionalFormatting sqref="J7">
    <cfRule type="expression" dxfId="302" priority="17">
      <formula>K7&lt;&gt;SUM(AE7:AJ7)</formula>
    </cfRule>
  </conditionalFormatting>
  <conditionalFormatting sqref="J8">
    <cfRule type="expression" dxfId="301" priority="18">
      <formula>K8&lt;&gt;SUM(AE8:AJ8)</formula>
    </cfRule>
  </conditionalFormatting>
  <conditionalFormatting sqref="J9">
    <cfRule type="expression" dxfId="300" priority="19">
      <formula>K9&lt;&gt;SUM(AE9:AJ9)</formula>
    </cfRule>
  </conditionalFormatting>
  <conditionalFormatting sqref="J10">
    <cfRule type="expression" dxfId="299" priority="20">
      <formula>K10&lt;&gt;SUM(AE10:AJ10)</formula>
    </cfRule>
  </conditionalFormatting>
  <conditionalFormatting sqref="J11">
    <cfRule type="expression" dxfId="298" priority="21">
      <formula>K11&lt;&gt;SUM(AE11:AJ11)</formula>
    </cfRule>
  </conditionalFormatting>
  <conditionalFormatting sqref="J12">
    <cfRule type="expression" dxfId="297" priority="22">
      <formula>K12&lt;&gt;SUM(AE12:AJ12)</formula>
    </cfRule>
  </conditionalFormatting>
  <conditionalFormatting sqref="J14">
    <cfRule type="expression" dxfId="296" priority="23">
      <formula>K14&lt;&gt;SUM(AE14:AJ14)</formula>
    </cfRule>
  </conditionalFormatting>
  <conditionalFormatting sqref="J13">
    <cfRule type="expression" dxfId="295" priority="24">
      <formula>K13&lt;&gt;SUM(AE13:AJ13)</formula>
    </cfRule>
  </conditionalFormatting>
  <conditionalFormatting sqref="J15">
    <cfRule type="expression" dxfId="294" priority="25">
      <formula>K15&lt;&gt;SUM(AE15:AJ15)</formula>
    </cfRule>
  </conditionalFormatting>
  <conditionalFormatting sqref="J16">
    <cfRule type="expression" dxfId="293" priority="26">
      <formula>K16&lt;&gt;SUM(AE16:AJ16)</formula>
    </cfRule>
  </conditionalFormatting>
  <conditionalFormatting sqref="J17">
    <cfRule type="expression" dxfId="292" priority="27">
      <formula>K17&lt;&gt;SUM(AE17:AJ17)</formula>
    </cfRule>
  </conditionalFormatting>
  <conditionalFormatting sqref="J18">
    <cfRule type="expression" dxfId="291" priority="28">
      <formula>K18&lt;&gt;SUM(AE18:AJ18)</formula>
    </cfRule>
  </conditionalFormatting>
  <conditionalFormatting sqref="J19">
    <cfRule type="expression" dxfId="290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CT!$D$28:$D$49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W51"/>
  <sheetViews>
    <sheetView showGridLines="0" workbookViewId="0">
      <selection activeCell="AB13" sqref="AB11:AB13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337" t="s">
        <v>3</v>
      </c>
      <c r="Q2" s="329"/>
      <c r="R2" s="329"/>
      <c r="S2" s="330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14</v>
      </c>
      <c r="J3" s="21" t="s">
        <v>16</v>
      </c>
      <c r="K3" s="22" t="s">
        <v>0</v>
      </c>
      <c r="L3" s="23" t="s">
        <v>17</v>
      </c>
      <c r="M3" s="24" t="s">
        <v>19</v>
      </c>
      <c r="N3" s="24" t="s">
        <v>20</v>
      </c>
      <c r="O3" s="25" t="s">
        <v>21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23</v>
      </c>
      <c r="U3" s="30" t="s">
        <v>24</v>
      </c>
      <c r="V3" s="30" t="s">
        <v>9</v>
      </c>
      <c r="W3" s="30" t="s">
        <v>25</v>
      </c>
      <c r="X3" s="31" t="s">
        <v>26</v>
      </c>
      <c r="Y3" s="25" t="s">
        <v>27</v>
      </c>
      <c r="Z3" s="32" t="s">
        <v>10</v>
      </c>
      <c r="AA3" s="33" t="s">
        <v>11</v>
      </c>
      <c r="AB3" s="34" t="s">
        <v>28</v>
      </c>
      <c r="AC3" s="4"/>
      <c r="AD3" s="13" t="s">
        <v>29</v>
      </c>
      <c r="AE3" s="20" t="s">
        <v>19</v>
      </c>
      <c r="AF3" s="35" t="s">
        <v>30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31</v>
      </c>
      <c r="AL3" s="39" t="s">
        <v>32</v>
      </c>
      <c r="AM3" s="4"/>
      <c r="AN3" s="338" t="s">
        <v>33</v>
      </c>
      <c r="AO3" s="315"/>
      <c r="AP3" s="315"/>
      <c r="AQ3" s="315"/>
      <c r="AR3" s="339" t="s">
        <v>34</v>
      </c>
      <c r="AS3" s="315"/>
      <c r="AT3" s="315"/>
      <c r="AU3" s="315"/>
      <c r="AV3" s="315"/>
      <c r="AW3" s="12"/>
    </row>
    <row r="4" spans="1:49" ht="12.75">
      <c r="A4" s="2"/>
      <c r="B4" s="40">
        <v>1</v>
      </c>
      <c r="C4" s="41" t="s">
        <v>141</v>
      </c>
      <c r="D4" s="42" t="s">
        <v>142</v>
      </c>
      <c r="E4" s="43">
        <f>IFERROR(VLOOKUP($I$24&amp;$D4,'Database-Hidden'!$C$2:$J$121,4,FALSE)-P4+AG4,"")</f>
        <v>6</v>
      </c>
      <c r="F4" s="44">
        <f>IFERROR(VLOOKUP($I$24&amp;$D4,'Database-Hidden'!$C$2:$J$121,5,FALSE)-Q4+AH4,"")</f>
        <v>3</v>
      </c>
      <c r="G4" s="44">
        <f>IFERROR(VLOOKUP($I$24&amp;$D4,'Database-Hidden'!$C$2:$J$121,6,FALSE)-R4+AI4,"")</f>
        <v>3</v>
      </c>
      <c r="H4" s="45">
        <f>IFERROR(VLOOKUP($I$24&amp;$D4,'Database-Hidden'!$C$2:$J$121,7,FALSE)-S4+AJ4,"")</f>
        <v>8</v>
      </c>
      <c r="I4" s="46" t="str">
        <f>IFERROR(VLOOKUP($I$24&amp;$D4,'Database-Hidden'!$C$2:$J$121,8,FALSE),"")</f>
        <v>Horns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/>
      <c r="X4" s="52"/>
      <c r="Y4" s="52"/>
      <c r="Z4" s="56"/>
      <c r="AA4" s="57">
        <f t="shared" ref="AA4:AA19" si="1">2*T4+U4+3*V4+2*W4+5*Z4</f>
        <v>0</v>
      </c>
      <c r="AB4" s="58">
        <f t="shared" ref="AB4:AB19" si="2">IF(L4=1,0,AD4+(20000*O4)+(20000*AE4)+(30000*AF4)+(30000*AG4)+(50000*AH4)+(40000*AI4)+(30000*AJ4)+AK4)</f>
        <v>60000</v>
      </c>
      <c r="AC4" s="4"/>
      <c r="AD4" s="59">
        <f>IFERROR(VLOOKUP($I$24&amp;D4,'Database-Hidden'!$C$2:$E$121,3,FALSE),"")</f>
        <v>60000</v>
      </c>
      <c r="AE4" s="60"/>
      <c r="AF4" s="62"/>
      <c r="AG4" s="62"/>
      <c r="AH4" s="62"/>
      <c r="AI4" s="62"/>
      <c r="AJ4" s="62"/>
      <c r="AK4" s="63"/>
      <c r="AL4" s="64" t="str">
        <f>IF(LEFT($D4,6)&lt;&gt;"Star: ","",VLOOKUP(RIGHT($D4,LEN($D4)-6),'Star Players-Hidden'!$A$3:$AK$69,37,FALSE))</f>
        <v/>
      </c>
      <c r="AM4" s="4"/>
      <c r="AN4" s="65" t="s">
        <v>39</v>
      </c>
      <c r="AO4" s="66">
        <v>0</v>
      </c>
      <c r="AP4" s="4"/>
      <c r="AQ4" s="4"/>
      <c r="AR4" s="67"/>
      <c r="AS4" s="68"/>
      <c r="AT4" s="68"/>
      <c r="AU4" s="65" t="s">
        <v>42</v>
      </c>
      <c r="AV4" s="69">
        <v>1</v>
      </c>
      <c r="AW4" s="70"/>
    </row>
    <row r="5" spans="1:49" ht="12.75">
      <c r="A5" s="2"/>
      <c r="B5" s="71">
        <v>2</v>
      </c>
      <c r="C5" s="72" t="s">
        <v>146</v>
      </c>
      <c r="D5" s="73" t="s">
        <v>142</v>
      </c>
      <c r="E5" s="75">
        <f>IFERROR(VLOOKUP($I$24&amp;$D5,'Database-Hidden'!$C$2:$J$121,4,FALSE)-P5+AG5,"")</f>
        <v>6</v>
      </c>
      <c r="F5" s="76">
        <f>IFERROR(VLOOKUP($I$24&amp;$D5,'Database-Hidden'!$C$2:$J$121,5,FALSE)-Q5+AH5,"")</f>
        <v>3</v>
      </c>
      <c r="G5" s="76">
        <f>IFERROR(VLOOKUP($I$24&amp;$D5,'Database-Hidden'!$C$2:$J$121,6,FALSE)-R5+AI5,"")</f>
        <v>3</v>
      </c>
      <c r="H5" s="77">
        <f>IFERROR(VLOOKUP($I$24&amp;$D5,'Database-Hidden'!$C$2:$J$121,7,FALSE)-S5+AJ5,"")</f>
        <v>8</v>
      </c>
      <c r="I5" s="78" t="str">
        <f>IFERROR(VLOOKUP($I$24&amp;$D5,'Database-Hidden'!$C$2:$J$121,8,FALSE),"")</f>
        <v>Horns</v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87"/>
      <c r="U5" s="89">
        <v>1</v>
      </c>
      <c r="V5" s="89"/>
      <c r="W5" s="89"/>
      <c r="X5" s="85"/>
      <c r="Y5" s="85"/>
      <c r="Z5" s="90"/>
      <c r="AA5" s="91">
        <f t="shared" si="1"/>
        <v>1</v>
      </c>
      <c r="AB5" s="58">
        <f t="shared" si="2"/>
        <v>60000</v>
      </c>
      <c r="AC5" s="4"/>
      <c r="AD5" s="92">
        <f>IFERROR(VLOOKUP($I$24&amp;D5,'Database-Hidden'!$C$2:$E$121,3,FALSE),"")</f>
        <v>60000</v>
      </c>
      <c r="AE5" s="93"/>
      <c r="AF5" s="94"/>
      <c r="AG5" s="94"/>
      <c r="AH5" s="94"/>
      <c r="AI5" s="94"/>
      <c r="AJ5" s="94"/>
      <c r="AK5" s="63"/>
      <c r="AL5" s="64" t="str">
        <f>IF(LEFT($D5,6)&lt;&gt;"Star: ","",VLOOKUP(RIGHT($D5,LEN($D5)-6),'Star Players-Hidden'!$A$3:$AK$69,37,FALSE))</f>
        <v/>
      </c>
      <c r="AM5" s="1"/>
      <c r="AN5" s="95" t="s">
        <v>47</v>
      </c>
      <c r="AO5" s="96" t="s">
        <v>48</v>
      </c>
      <c r="AP5" s="98" t="s">
        <v>49</v>
      </c>
      <c r="AQ5" s="99" t="s">
        <v>50</v>
      </c>
      <c r="AR5" s="100" t="s">
        <v>51</v>
      </c>
      <c r="AS5" s="98" t="s">
        <v>52</v>
      </c>
      <c r="AT5" s="101" t="s">
        <v>53</v>
      </c>
      <c r="AU5" s="101" t="s">
        <v>54</v>
      </c>
      <c r="AV5" s="103" t="s">
        <v>2</v>
      </c>
      <c r="AW5" s="104"/>
    </row>
    <row r="6" spans="1:49" ht="12.75">
      <c r="A6" s="2"/>
      <c r="B6" s="71">
        <v>3</v>
      </c>
      <c r="C6" s="72" t="s">
        <v>148</v>
      </c>
      <c r="D6" s="73" t="s">
        <v>142</v>
      </c>
      <c r="E6" s="75">
        <f>IFERROR(VLOOKUP($I$24&amp;$D6,'Database-Hidden'!$C$2:$J$121,4,FALSE)-P6+AG6,"")</f>
        <v>6</v>
      </c>
      <c r="F6" s="76">
        <f>IFERROR(VLOOKUP($I$24&amp;$D6,'Database-Hidden'!$C$2:$J$121,5,FALSE)-Q6+AH6,"")</f>
        <v>3</v>
      </c>
      <c r="G6" s="76">
        <f>IFERROR(VLOOKUP($I$24&amp;$D6,'Database-Hidden'!$C$2:$J$121,6,FALSE)-R6+AI6,"")</f>
        <v>3</v>
      </c>
      <c r="H6" s="77">
        <f>IFERROR(VLOOKUP($I$24&amp;$D6,'Database-Hidden'!$C$2:$J$121,7,FALSE)-S6+AJ6,"")</f>
        <v>8</v>
      </c>
      <c r="I6" s="78" t="str">
        <f>IFERROR(VLOOKUP($I$24&amp;$D6,'Database-Hidden'!$C$2:$J$121,8,FALSE),"")</f>
        <v>Horns</v>
      </c>
      <c r="J6" s="79" t="s">
        <v>55</v>
      </c>
      <c r="K6" s="80">
        <f t="shared" si="0"/>
        <v>1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9">
        <v>1</v>
      </c>
      <c r="W6" s="88"/>
      <c r="X6" s="85"/>
      <c r="Y6" s="85"/>
      <c r="Z6" s="90">
        <v>1</v>
      </c>
      <c r="AA6" s="91">
        <f t="shared" si="1"/>
        <v>8</v>
      </c>
      <c r="AB6" s="58">
        <f t="shared" si="2"/>
        <v>80000</v>
      </c>
      <c r="AC6" s="4"/>
      <c r="AD6" s="92">
        <f>IFERROR(VLOOKUP($I$24&amp;D6,'Database-Hidden'!$C$2:$E$121,3,FALSE),"")</f>
        <v>60000</v>
      </c>
      <c r="AE6" s="93">
        <v>1</v>
      </c>
      <c r="AF6" s="107"/>
      <c r="AG6" s="107"/>
      <c r="AH6" s="107"/>
      <c r="AI6" s="107"/>
      <c r="AJ6" s="107"/>
      <c r="AK6" s="63"/>
      <c r="AL6" s="64" t="str">
        <f>IF(LEFT($D6,6)&lt;&gt;"Star: ","",VLOOKUP(RIGHT($D6,LEN($D6)-6),'Star Players-Hidden'!$A$3:$AK$69,37,FALSE))</f>
        <v/>
      </c>
      <c r="AM6" s="4"/>
      <c r="AN6" s="108" t="s">
        <v>57</v>
      </c>
      <c r="AO6" s="109">
        <v>10000</v>
      </c>
      <c r="AP6" s="110">
        <v>0</v>
      </c>
      <c r="AQ6" s="112">
        <v>0</v>
      </c>
      <c r="AR6" s="114" t="s">
        <v>150</v>
      </c>
      <c r="AS6" s="115" t="s">
        <v>74</v>
      </c>
      <c r="AT6" s="118">
        <v>0</v>
      </c>
      <c r="AU6" s="116">
        <v>0</v>
      </c>
      <c r="AV6" s="119">
        <v>0</v>
      </c>
      <c r="AW6" s="117"/>
    </row>
    <row r="7" spans="1:49" ht="12.75">
      <c r="A7" s="2"/>
      <c r="B7" s="71">
        <v>4</v>
      </c>
      <c r="C7" s="72" t="s">
        <v>151</v>
      </c>
      <c r="D7" s="73" t="s">
        <v>142</v>
      </c>
      <c r="E7" s="75">
        <f>IFERROR(VLOOKUP($I$24&amp;$D7,'Database-Hidden'!$C$2:$J$121,4,FALSE)-P7+AG7,"")</f>
        <v>6</v>
      </c>
      <c r="F7" s="76">
        <f>IFERROR(VLOOKUP($I$24&amp;$D7,'Database-Hidden'!$C$2:$J$121,5,FALSE)-Q7+AH7,"")</f>
        <v>3</v>
      </c>
      <c r="G7" s="76">
        <f>IFERROR(VLOOKUP($I$24&amp;$D7,'Database-Hidden'!$C$2:$J$121,6,FALSE)-R7+AI7,"")</f>
        <v>3</v>
      </c>
      <c r="H7" s="77">
        <f>IFERROR(VLOOKUP($I$24&amp;$D7,'Database-Hidden'!$C$2:$J$121,7,FALSE)-S7+AJ7,"")</f>
        <v>8</v>
      </c>
      <c r="I7" s="78" t="str">
        <f>IFERROR(VLOOKUP($I$24&amp;$D7,'Database-Hidden'!$C$2:$J$121,8,FALSE),"")</f>
        <v>Horns</v>
      </c>
      <c r="J7" s="79" t="s">
        <v>55</v>
      </c>
      <c r="K7" s="80">
        <f t="shared" si="0"/>
        <v>1</v>
      </c>
      <c r="L7" s="81"/>
      <c r="M7" s="81"/>
      <c r="N7" s="82"/>
      <c r="O7" s="83"/>
      <c r="P7" s="84"/>
      <c r="Q7" s="85"/>
      <c r="R7" s="85"/>
      <c r="S7" s="86"/>
      <c r="T7" s="87"/>
      <c r="U7" s="89">
        <v>1</v>
      </c>
      <c r="V7" s="88"/>
      <c r="W7" s="89">
        <v>1</v>
      </c>
      <c r="X7" s="85"/>
      <c r="Y7" s="85"/>
      <c r="Z7" s="90">
        <v>1</v>
      </c>
      <c r="AA7" s="91">
        <f t="shared" si="1"/>
        <v>8</v>
      </c>
      <c r="AB7" s="58">
        <f t="shared" si="2"/>
        <v>80000</v>
      </c>
      <c r="AC7" s="4"/>
      <c r="AD7" s="120">
        <f>IFERROR(VLOOKUP($I$24&amp;D7,'Database-Hidden'!$C$2:$E$121,3,FALSE),"")</f>
        <v>60000</v>
      </c>
      <c r="AE7" s="93">
        <v>1</v>
      </c>
      <c r="AF7" s="107"/>
      <c r="AG7" s="107"/>
      <c r="AH7" s="107"/>
      <c r="AI7" s="107"/>
      <c r="AJ7" s="107"/>
      <c r="AK7" s="63"/>
      <c r="AL7" s="64" t="str">
        <f>IF(LEFT($D7,6)&lt;&gt;"Star: ","",VLOOKUP(RIGHT($D7,LEN($D7)-6),'Star Players-Hidden'!$A$3:$AK$69,37,FALSE))</f>
        <v/>
      </c>
      <c r="AM7" s="4"/>
      <c r="AN7" s="121" t="s">
        <v>63</v>
      </c>
      <c r="AO7" s="131">
        <v>60000</v>
      </c>
      <c r="AP7" s="132">
        <v>50000</v>
      </c>
      <c r="AQ7" s="124"/>
      <c r="AR7" s="133" t="s">
        <v>90</v>
      </c>
      <c r="AS7" s="134" t="s">
        <v>74</v>
      </c>
      <c r="AT7" s="135">
        <v>2</v>
      </c>
      <c r="AU7" s="136">
        <v>1</v>
      </c>
      <c r="AV7" s="137">
        <v>0</v>
      </c>
      <c r="AW7" s="130"/>
    </row>
    <row r="8" spans="1:49" ht="12.75">
      <c r="A8" s="2"/>
      <c r="B8" s="71">
        <v>5</v>
      </c>
      <c r="C8" s="72" t="s">
        <v>158</v>
      </c>
      <c r="D8" s="73" t="s">
        <v>142</v>
      </c>
      <c r="E8" s="75">
        <f>IFERROR(VLOOKUP($I$24&amp;$D8,'Database-Hidden'!$C$2:$J$121,4,FALSE)-P8+AG8,"")</f>
        <v>6</v>
      </c>
      <c r="F8" s="76">
        <f>IFERROR(VLOOKUP($I$24&amp;$D8,'Database-Hidden'!$C$2:$J$121,5,FALSE)-Q8+AH8,"")</f>
        <v>3</v>
      </c>
      <c r="G8" s="76">
        <f>IFERROR(VLOOKUP($I$24&amp;$D8,'Database-Hidden'!$C$2:$J$121,6,FALSE)-R8+AI8,"")</f>
        <v>3</v>
      </c>
      <c r="H8" s="77">
        <f>IFERROR(VLOOKUP($I$24&amp;$D8,'Database-Hidden'!$C$2:$J$121,7,FALSE)-S8+AJ8,"")</f>
        <v>8</v>
      </c>
      <c r="I8" s="78" t="str">
        <f>IFERROR(VLOOKUP($I$24&amp;$D8,'Database-Hidden'!$C$2:$J$121,8,FALSE),"")</f>
        <v>Horns</v>
      </c>
      <c r="J8" s="106"/>
      <c r="K8" s="80">
        <f t="shared" si="0"/>
        <v>0</v>
      </c>
      <c r="L8" s="82">
        <v>1</v>
      </c>
      <c r="M8" s="82">
        <v>1</v>
      </c>
      <c r="N8" s="81"/>
      <c r="O8" s="83"/>
      <c r="P8" s="84"/>
      <c r="Q8" s="85"/>
      <c r="R8" s="85"/>
      <c r="S8" s="86"/>
      <c r="T8" s="87"/>
      <c r="U8" s="88"/>
      <c r="V8" s="88"/>
      <c r="W8" s="88"/>
      <c r="X8" s="85"/>
      <c r="Y8" s="140">
        <v>1</v>
      </c>
      <c r="Z8" s="90"/>
      <c r="AA8" s="91">
        <f t="shared" si="1"/>
        <v>0</v>
      </c>
      <c r="AB8" s="58">
        <f t="shared" si="2"/>
        <v>0</v>
      </c>
      <c r="AC8" s="4"/>
      <c r="AD8" s="120">
        <f>IFERROR(VLOOKUP($I$24&amp;D8,'Database-Hidden'!$C$2:$E$121,3,FALSE),"")</f>
        <v>60000</v>
      </c>
      <c r="AE8" s="93"/>
      <c r="AF8" s="107"/>
      <c r="AG8" s="107"/>
      <c r="AH8" s="107"/>
      <c r="AI8" s="107"/>
      <c r="AJ8" s="107"/>
      <c r="AK8" s="63"/>
      <c r="AL8" s="64" t="str">
        <f>IF(LEFT($D8,6)&lt;&gt;"Star: ","",VLOOKUP(RIGHT($D8,LEN($D8)-6),'Star Players-Hidden'!$A$3:$AK$69,37,FALSE))</f>
        <v/>
      </c>
      <c r="AM8" s="4"/>
      <c r="AN8" s="121" t="s">
        <v>69</v>
      </c>
      <c r="AO8" s="131">
        <v>50000</v>
      </c>
      <c r="AP8" s="123"/>
      <c r="AQ8" s="124"/>
      <c r="AR8" s="133" t="s">
        <v>120</v>
      </c>
      <c r="AS8" s="134" t="s">
        <v>74</v>
      </c>
      <c r="AT8" s="135">
        <v>1</v>
      </c>
      <c r="AU8" s="136">
        <v>1</v>
      </c>
      <c r="AV8" s="137">
        <v>0</v>
      </c>
      <c r="AW8" s="130"/>
    </row>
    <row r="9" spans="1:49" ht="12.75">
      <c r="A9" s="2"/>
      <c r="B9" s="71">
        <v>6</v>
      </c>
      <c r="C9" s="72" t="s">
        <v>163</v>
      </c>
      <c r="D9" s="73" t="s">
        <v>142</v>
      </c>
      <c r="E9" s="75">
        <f>IFERROR(VLOOKUP($I$24&amp;$D9,'Database-Hidden'!$C$2:$J$121,4,FALSE)-P9+AG9,"")</f>
        <v>6</v>
      </c>
      <c r="F9" s="76">
        <f>IFERROR(VLOOKUP($I$24&amp;$D9,'Database-Hidden'!$C$2:$J$121,5,FALSE)-Q9+AH9,"")</f>
        <v>3</v>
      </c>
      <c r="G9" s="76">
        <f>IFERROR(VLOOKUP($I$24&amp;$D9,'Database-Hidden'!$C$2:$J$121,6,FALSE)-R9+AI9,"")</f>
        <v>3</v>
      </c>
      <c r="H9" s="77">
        <f>IFERROR(VLOOKUP($I$24&amp;$D9,'Database-Hidden'!$C$2:$J$121,7,FALSE)-S9+AJ9,"")</f>
        <v>8</v>
      </c>
      <c r="I9" s="78" t="str">
        <f>IFERROR(VLOOKUP($I$24&amp;$D9,'Database-Hidden'!$C$2:$J$121,8,FALSE),"")</f>
        <v>Horns</v>
      </c>
      <c r="J9" s="79" t="s">
        <v>165</v>
      </c>
      <c r="K9" s="80">
        <f t="shared" si="0"/>
        <v>1</v>
      </c>
      <c r="L9" s="82">
        <v>1</v>
      </c>
      <c r="M9" s="81"/>
      <c r="N9" s="82"/>
      <c r="O9" s="83"/>
      <c r="P9" s="84"/>
      <c r="Q9" s="85"/>
      <c r="R9" s="85"/>
      <c r="S9" s="86"/>
      <c r="T9" s="87"/>
      <c r="U9" s="89">
        <v>2</v>
      </c>
      <c r="V9" s="88"/>
      <c r="W9" s="88"/>
      <c r="X9" s="85"/>
      <c r="Y9" s="85"/>
      <c r="Z9" s="90">
        <v>1</v>
      </c>
      <c r="AA9" s="91">
        <f t="shared" si="1"/>
        <v>7</v>
      </c>
      <c r="AB9" s="58">
        <f t="shared" si="2"/>
        <v>0</v>
      </c>
      <c r="AC9" s="4"/>
      <c r="AD9" s="120">
        <f>IFERROR(VLOOKUP($I$24&amp;D9,'Database-Hidden'!$C$2:$E$121,3,FALSE),"")</f>
        <v>60000</v>
      </c>
      <c r="AE9" s="93">
        <v>1</v>
      </c>
      <c r="AF9" s="94"/>
      <c r="AG9" s="107"/>
      <c r="AH9" s="107"/>
      <c r="AI9" s="107"/>
      <c r="AJ9" s="107"/>
      <c r="AK9" s="63"/>
      <c r="AL9" s="64" t="str">
        <f>IF(LEFT($D9,6)&lt;&gt;"Star: ","",VLOOKUP(RIGHT($D9,LEN($D9)-6),'Star Players-Hidden'!$A$3:$AK$69,37,FALSE))</f>
        <v/>
      </c>
      <c r="AM9" s="4"/>
      <c r="AN9" s="121" t="s">
        <v>72</v>
      </c>
      <c r="AO9" s="131">
        <v>70000</v>
      </c>
      <c r="AP9" s="132">
        <v>100000</v>
      </c>
      <c r="AQ9" s="124"/>
      <c r="AR9" s="133" t="s">
        <v>154</v>
      </c>
      <c r="AS9" s="134" t="s">
        <v>74</v>
      </c>
      <c r="AT9" s="135">
        <v>0</v>
      </c>
      <c r="AU9" s="136">
        <v>2</v>
      </c>
      <c r="AV9" s="137">
        <v>0</v>
      </c>
      <c r="AW9" s="130"/>
    </row>
    <row r="10" spans="1:49" ht="12.75">
      <c r="A10" s="2"/>
      <c r="B10" s="71">
        <v>7</v>
      </c>
      <c r="C10" s="72" t="s">
        <v>166</v>
      </c>
      <c r="D10" s="73" t="s">
        <v>142</v>
      </c>
      <c r="E10" s="75">
        <f>IFERROR(VLOOKUP($I$24&amp;$D10,'Database-Hidden'!$C$2:$J$121,4,FALSE)-P10+AG10,"")</f>
        <v>6</v>
      </c>
      <c r="F10" s="76">
        <f>IFERROR(VLOOKUP($I$24&amp;$D10,'Database-Hidden'!$C$2:$J$121,5,FALSE)-Q10+AH10,"")</f>
        <v>3</v>
      </c>
      <c r="G10" s="76">
        <f>IFERROR(VLOOKUP($I$24&amp;$D10,'Database-Hidden'!$C$2:$J$121,6,FALSE)-R10+AI10,"")</f>
        <v>3</v>
      </c>
      <c r="H10" s="77">
        <f>IFERROR(VLOOKUP($I$24&amp;$D10,'Database-Hidden'!$C$2:$J$121,7,FALSE)-S10+AJ10,"")</f>
        <v>8</v>
      </c>
      <c r="I10" s="78" t="str">
        <f>IFERROR(VLOOKUP($I$24&amp;$D10,'Database-Hidden'!$C$2:$J$121,8,FALSE),"")</f>
        <v>Horns</v>
      </c>
      <c r="J10" s="79" t="s">
        <v>170</v>
      </c>
      <c r="K10" s="80">
        <f t="shared" si="0"/>
        <v>1</v>
      </c>
      <c r="L10" s="81"/>
      <c r="M10" s="81"/>
      <c r="N10" s="81"/>
      <c r="O10" s="83"/>
      <c r="P10" s="84"/>
      <c r="Q10" s="85"/>
      <c r="R10" s="85"/>
      <c r="S10" s="86"/>
      <c r="T10" s="87"/>
      <c r="U10" s="89">
        <v>2</v>
      </c>
      <c r="V10" s="89">
        <v>1</v>
      </c>
      <c r="W10" s="89">
        <v>1</v>
      </c>
      <c r="X10" s="140">
        <v>1</v>
      </c>
      <c r="Y10" s="85"/>
      <c r="Z10" s="90">
        <v>1</v>
      </c>
      <c r="AA10" s="91">
        <f t="shared" si="1"/>
        <v>12</v>
      </c>
      <c r="AB10" s="58">
        <f t="shared" si="2"/>
        <v>80000</v>
      </c>
      <c r="AC10" s="4"/>
      <c r="AD10" s="120">
        <f>IFERROR(VLOOKUP($I$24&amp;D10,'Database-Hidden'!$C$2:$E$121,3,FALSE),"")</f>
        <v>60000</v>
      </c>
      <c r="AE10" s="93">
        <v>1</v>
      </c>
      <c r="AF10" s="94"/>
      <c r="AG10" s="107"/>
      <c r="AH10" s="107"/>
      <c r="AI10" s="107"/>
      <c r="AJ10" s="107"/>
      <c r="AK10" s="63"/>
      <c r="AL10" s="64" t="str">
        <f>IF(LEFT($D10,6)&lt;&gt;"Star: ","",VLOOKUP(RIGHT($D10,LEN($D10)-6),'Star Players-Hidden'!$A$3:$AK$69,37,FALSE))</f>
        <v/>
      </c>
      <c r="AM10" s="4"/>
      <c r="AN10" s="121" t="s">
        <v>78</v>
      </c>
      <c r="AO10" s="131">
        <v>60000</v>
      </c>
      <c r="AP10" s="123"/>
      <c r="AQ10" s="124"/>
      <c r="AR10" s="133" t="s">
        <v>64</v>
      </c>
      <c r="AS10" s="134" t="s">
        <v>74</v>
      </c>
      <c r="AT10" s="135">
        <v>0</v>
      </c>
      <c r="AU10" s="136">
        <v>3</v>
      </c>
      <c r="AV10" s="137">
        <v>0</v>
      </c>
      <c r="AW10" s="130"/>
    </row>
    <row r="11" spans="1:49" ht="12.75">
      <c r="A11" s="2"/>
      <c r="B11" s="71">
        <v>8</v>
      </c>
      <c r="C11" s="105"/>
      <c r="D11" s="73"/>
      <c r="E11" s="75" t="str">
        <f>IFERROR(VLOOKUP($I$24&amp;$D11,'Database-Hidden'!$C$2:$J$121,4,FALSE)-P11+AG11,"")</f>
        <v/>
      </c>
      <c r="F11" s="76" t="str">
        <f>IFERROR(VLOOKUP($I$24&amp;$D11,'Database-Hidden'!$C$2:$J$121,5,FALSE)-Q11+AH11,"")</f>
        <v/>
      </c>
      <c r="G11" s="76" t="str">
        <f>IFERROR(VLOOKUP($I$24&amp;$D11,'Database-Hidden'!$C$2:$J$121,6,FALSE)-R11+AI11,"")</f>
        <v/>
      </c>
      <c r="H11" s="77" t="str">
        <f>IFERROR(VLOOKUP($I$24&amp;$D11,'Database-Hidden'!$C$2:$J$121,7,FALSE)-S11+AJ11,"")</f>
        <v/>
      </c>
      <c r="I11" s="78" t="str">
        <f>IFERROR(VLOOKUP($I$24&amp;$D11,'Database-Hidden'!$C$2:$J$121,8,FALSE),"")</f>
        <v/>
      </c>
      <c r="J11" s="106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8"/>
      <c r="X11" s="85"/>
      <c r="Y11" s="85"/>
      <c r="Z11" s="90"/>
      <c r="AA11" s="91">
        <f t="shared" si="1"/>
        <v>0</v>
      </c>
      <c r="AB11" s="58"/>
      <c r="AC11" s="4"/>
      <c r="AD11" s="120" t="str">
        <f>IFERROR(VLOOKUP($I$24&amp;D11,'Database-Hidden'!$C$2:$E$121,3,FALSE),"")</f>
        <v/>
      </c>
      <c r="AE11" s="139"/>
      <c r="AF11" s="107"/>
      <c r="AG11" s="107"/>
      <c r="AH11" s="107"/>
      <c r="AI11" s="107"/>
      <c r="AJ11" s="107"/>
      <c r="AK11" s="63"/>
      <c r="AL11" s="64" t="str">
        <f>IF(LEFT($D11,6)&lt;&gt;"Star: ","",VLOOKUP(RIGHT($D11,LEN($D11)-6),'Star Players-Hidden'!$A$3:$AK$69,37,FALSE))</f>
        <v/>
      </c>
      <c r="AM11" s="4"/>
      <c r="AN11" s="121" t="s">
        <v>82</v>
      </c>
      <c r="AO11" s="131">
        <v>70000</v>
      </c>
      <c r="AP11" s="132">
        <v>100000</v>
      </c>
      <c r="AQ11" s="124"/>
      <c r="AR11" s="133" t="s">
        <v>125</v>
      </c>
      <c r="AS11" s="134" t="s">
        <v>61</v>
      </c>
      <c r="AT11" s="135">
        <v>2</v>
      </c>
      <c r="AU11" s="136">
        <v>1</v>
      </c>
      <c r="AV11" s="137">
        <v>1</v>
      </c>
      <c r="AW11" s="130"/>
    </row>
    <row r="12" spans="1:49" ht="12.75">
      <c r="A12" s="2"/>
      <c r="B12" s="71">
        <v>9</v>
      </c>
      <c r="C12" s="72"/>
      <c r="D12" s="73"/>
      <c r="E12" s="75" t="str">
        <f>IFERROR(VLOOKUP($I$24&amp;$D12,'Database-Hidden'!$C$2:$J$121,4,FALSE)-P12+AG12,"")</f>
        <v/>
      </c>
      <c r="F12" s="76" t="str">
        <f>IFERROR(VLOOKUP($I$24&amp;$D12,'Database-Hidden'!$C$2:$J$121,5,FALSE)-Q12+AH12,"")</f>
        <v/>
      </c>
      <c r="G12" s="76" t="str">
        <f>IFERROR(VLOOKUP($I$24&amp;$D12,'Database-Hidden'!$C$2:$J$121,6,FALSE)-R12+AI12,"")</f>
        <v/>
      </c>
      <c r="H12" s="77" t="str">
        <f>IFERROR(VLOOKUP($I$24&amp;$D12,'Database-Hidden'!$C$2:$J$121,7,FALSE)-S12+AJ12,"")</f>
        <v/>
      </c>
      <c r="I12" s="78"/>
      <c r="J12" s="106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85"/>
      <c r="Z12" s="90"/>
      <c r="AA12" s="91">
        <f t="shared" si="1"/>
        <v>0</v>
      </c>
      <c r="AB12" s="58"/>
      <c r="AC12" s="4"/>
      <c r="AD12" s="120" t="str">
        <f>IFERROR(VLOOKUP($I$24&amp;D12,'Database-Hidden'!$C$2:$E$121,3,FALSE),"")</f>
        <v/>
      </c>
      <c r="AE12" s="139"/>
      <c r="AF12" s="107"/>
      <c r="AG12" s="107"/>
      <c r="AH12" s="107"/>
      <c r="AI12" s="107"/>
      <c r="AJ12" s="107"/>
      <c r="AK12" s="63"/>
      <c r="AL12" s="64" t="str">
        <f>IF(LEFT($D12,6)&lt;&gt;"Star: ","",VLOOKUP(RIGHT($D12,LEN($D12)-6),'Star Players-Hidden'!$A$3:$AK$69,37,FALSE))</f>
        <v/>
      </c>
      <c r="AM12" s="4"/>
      <c r="AN12" s="121" t="s">
        <v>87</v>
      </c>
      <c r="AO12" s="122"/>
      <c r="AP12" s="123"/>
      <c r="AQ12" s="124"/>
      <c r="AR12" s="125"/>
      <c r="AS12" s="126"/>
      <c r="AT12" s="127"/>
      <c r="AU12" s="128"/>
      <c r="AV12" s="129"/>
      <c r="AW12" s="130"/>
    </row>
    <row r="13" spans="1:49" ht="12.75">
      <c r="A13" s="2"/>
      <c r="B13" s="71">
        <v>10</v>
      </c>
      <c r="C13" s="72"/>
      <c r="D13" s="73"/>
      <c r="E13" s="75" t="str">
        <f>IFERROR(VLOOKUP($I$24&amp;$D13,'Database-Hidden'!$C$2:$J$121,4,FALSE)-P13+AG13,"")</f>
        <v/>
      </c>
      <c r="F13" s="76" t="str">
        <f>IFERROR(VLOOKUP($I$24&amp;$D13,'Database-Hidden'!$C$2:$J$121,5,FALSE)-Q13+AH13,"")</f>
        <v/>
      </c>
      <c r="G13" s="76" t="str">
        <f>IFERROR(VLOOKUP($I$24&amp;$D13,'Database-Hidden'!$C$2:$J$121,6,FALSE)-R13+AI13,"")</f>
        <v/>
      </c>
      <c r="H13" s="77" t="str">
        <f>IFERROR(VLOOKUP($I$24&amp;$D13,'Database-Hidden'!$C$2:$J$121,7,FALSE)-S13+AJ13,"")</f>
        <v/>
      </c>
      <c r="I13" s="78" t="str">
        <f>IFERROR(VLOOKUP($I$24&amp;$D13,'Database-Hidden'!$C$2:$J$121,8,FALSE),"")</f>
        <v/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/>
      <c r="X13" s="85"/>
      <c r="Y13" s="85"/>
      <c r="Z13" s="90"/>
      <c r="AA13" s="91">
        <f t="shared" si="1"/>
        <v>0</v>
      </c>
      <c r="AB13" s="58"/>
      <c r="AC13" s="4"/>
      <c r="AD13" s="120" t="str">
        <f>IFERROR(VLOOKUP($I$24&amp;D13,'Database-Hidden'!$C$2:$E$121,3,FALSE),"")</f>
        <v/>
      </c>
      <c r="AE13" s="139"/>
      <c r="AF13" s="94"/>
      <c r="AG13" s="107"/>
      <c r="AH13" s="107"/>
      <c r="AI13" s="107"/>
      <c r="AJ13" s="107"/>
      <c r="AK13" s="63"/>
      <c r="AL13" s="64" t="str">
        <f>IF(LEFT($D13,6)&lt;&gt;"Star: ","",VLOOKUP(RIGHT($D13,LEN($D13)-6),'Star Players-Hidden'!$A$3:$AK$69,37,FALSE))</f>
        <v/>
      </c>
      <c r="AM13" s="4"/>
      <c r="AN13" s="121" t="s">
        <v>95</v>
      </c>
      <c r="AO13" s="122"/>
      <c r="AP13" s="123"/>
      <c r="AQ13" s="124"/>
      <c r="AR13" s="125"/>
      <c r="AS13" s="126"/>
      <c r="AT13" s="127"/>
      <c r="AU13" s="128"/>
      <c r="AV13" s="129"/>
      <c r="AW13" s="130"/>
    </row>
    <row r="14" spans="1:49" ht="12.75">
      <c r="A14" s="2"/>
      <c r="B14" s="71">
        <v>11</v>
      </c>
      <c r="C14" s="72" t="s">
        <v>177</v>
      </c>
      <c r="D14" s="73" t="s">
        <v>178</v>
      </c>
      <c r="E14" s="75">
        <f>IFERROR(VLOOKUP($I$24&amp;$D14,'Database-Hidden'!$C$2:$J$121,4,FALSE)-P14+AG14,"")</f>
        <v>5</v>
      </c>
      <c r="F14" s="76">
        <f>IFERROR(VLOOKUP($I$24&amp;$D14,'Database-Hidden'!$C$2:$J$121,5,FALSE)-Q14+AH14,"")</f>
        <v>4</v>
      </c>
      <c r="G14" s="76">
        <f>IFERROR(VLOOKUP($I$24&amp;$D14,'Database-Hidden'!$C$2:$J$121,6,FALSE)-R14+AI14,"")</f>
        <v>3</v>
      </c>
      <c r="H14" s="77">
        <f>IFERROR(VLOOKUP($I$24&amp;$D14,'Database-Hidden'!$C$2:$J$121,7,FALSE)-S14+AJ14,"")</f>
        <v>9</v>
      </c>
      <c r="I14" s="78">
        <f>IFERROR(VLOOKUP($I$24&amp;$D14,'Database-Hidden'!$C$2:$J$121,8,FALSE),"")</f>
        <v>0</v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>
        <v>1</v>
      </c>
      <c r="X14" s="85"/>
      <c r="Y14" s="85"/>
      <c r="Z14" s="90"/>
      <c r="AA14" s="91">
        <f t="shared" si="1"/>
        <v>2</v>
      </c>
      <c r="AB14" s="58">
        <f t="shared" si="2"/>
        <v>100000</v>
      </c>
      <c r="AC14" s="4"/>
      <c r="AD14" s="120">
        <f>IFERROR(VLOOKUP($I$24&amp;D14,'Database-Hidden'!$C$2:$E$121,3,FALSE),"")</f>
        <v>100000</v>
      </c>
      <c r="AE14" s="93"/>
      <c r="AF14" s="107"/>
      <c r="AG14" s="107"/>
      <c r="AH14" s="107"/>
      <c r="AI14" s="107"/>
      <c r="AJ14" s="107"/>
      <c r="AK14" s="63"/>
      <c r="AL14" s="64" t="str">
        <f>IF(LEFT($D14,6)&lt;&gt;"Star: ","",VLOOKUP(RIGHT($D14,LEN($D14)-6),'Star Players-Hidden'!$A$3:$AK$69,37,FALSE))</f>
        <v/>
      </c>
      <c r="AM14" s="4"/>
      <c r="AN14" s="121" t="s">
        <v>98</v>
      </c>
      <c r="AO14" s="131">
        <v>10000</v>
      </c>
      <c r="AP14" s="132">
        <v>0</v>
      </c>
      <c r="AQ14" s="138">
        <v>0</v>
      </c>
      <c r="AR14" s="133" t="s">
        <v>84</v>
      </c>
      <c r="AS14" s="134" t="s">
        <v>74</v>
      </c>
      <c r="AT14" s="135">
        <v>0</v>
      </c>
      <c r="AU14" s="136">
        <v>0</v>
      </c>
      <c r="AV14" s="137">
        <v>0</v>
      </c>
      <c r="AW14" s="130"/>
    </row>
    <row r="15" spans="1:49" ht="12.75">
      <c r="A15" s="2"/>
      <c r="B15" s="71">
        <v>12</v>
      </c>
      <c r="C15" s="72" t="s">
        <v>179</v>
      </c>
      <c r="D15" s="73" t="s">
        <v>178</v>
      </c>
      <c r="E15" s="75">
        <f>IFERROR(VLOOKUP($I$24&amp;$D15,'Database-Hidden'!$C$2:$J$121,4,FALSE)-P15+AG15,"")</f>
        <v>5</v>
      </c>
      <c r="F15" s="76">
        <f>IFERROR(VLOOKUP($I$24&amp;$D15,'Database-Hidden'!$C$2:$J$121,5,FALSE)-Q15+AH15,"")</f>
        <v>4</v>
      </c>
      <c r="G15" s="76">
        <f>IFERROR(VLOOKUP($I$24&amp;$D15,'Database-Hidden'!$C$2:$J$121,6,FALSE)-R15+AI15,"")</f>
        <v>3</v>
      </c>
      <c r="H15" s="77">
        <f>IFERROR(VLOOKUP($I$24&amp;$D15,'Database-Hidden'!$C$2:$J$121,7,FALSE)-S15+AJ15,"")</f>
        <v>9</v>
      </c>
      <c r="I15" s="78">
        <f>IFERROR(VLOOKUP($I$24&amp;$D15,'Database-Hidden'!$C$2:$J$121,8,FALSE),"")</f>
        <v>0</v>
      </c>
      <c r="J15" s="79"/>
      <c r="K15" s="80">
        <f t="shared" si="0"/>
        <v>0</v>
      </c>
      <c r="L15" s="82">
        <v>1</v>
      </c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140"/>
      <c r="Y15" s="85"/>
      <c r="Z15" s="90"/>
      <c r="AA15" s="91">
        <f t="shared" si="1"/>
        <v>0</v>
      </c>
      <c r="AB15" s="58">
        <f t="shared" si="2"/>
        <v>0</v>
      </c>
      <c r="AC15" s="4"/>
      <c r="AD15" s="120">
        <f>IFERROR(VLOOKUP($I$24&amp;D15,'Database-Hidden'!$C$2:$E$121,3,FALSE),"")</f>
        <v>100000</v>
      </c>
      <c r="AE15" s="93"/>
      <c r="AF15" s="107"/>
      <c r="AG15" s="107"/>
      <c r="AH15" s="107"/>
      <c r="AI15" s="107"/>
      <c r="AJ15" s="107"/>
      <c r="AK15" s="63"/>
      <c r="AL15" s="64" t="str">
        <f>IF(LEFT($D15,6)&lt;&gt;"Star: ","",VLOOKUP(RIGHT($D15,LEN($D15)-6),'Star Players-Hidden'!$A$3:$AK$69,37,FALSE))</f>
        <v/>
      </c>
      <c r="AM15" s="4"/>
      <c r="AN15" s="121" t="s">
        <v>102</v>
      </c>
      <c r="AO15" s="122"/>
      <c r="AP15" s="123"/>
      <c r="AQ15" s="124"/>
      <c r="AR15" s="125"/>
      <c r="AS15" s="126"/>
      <c r="AT15" s="127"/>
      <c r="AU15" s="128"/>
      <c r="AV15" s="129"/>
      <c r="AW15" s="130"/>
    </row>
    <row r="16" spans="1:49" ht="12.75">
      <c r="A16" s="2"/>
      <c r="B16" s="71">
        <v>13</v>
      </c>
      <c r="C16" s="72" t="s">
        <v>180</v>
      </c>
      <c r="D16" s="73" t="s">
        <v>178</v>
      </c>
      <c r="E16" s="75">
        <f>IFERROR(VLOOKUP($I$24&amp;$D16,'Database-Hidden'!$C$2:$J$121,4,FALSE)-P16+AG16,"")</f>
        <v>5</v>
      </c>
      <c r="F16" s="76">
        <f>IFERROR(VLOOKUP($I$24&amp;$D16,'Database-Hidden'!$C$2:$J$121,5,FALSE)-Q16+AH16,"")</f>
        <v>4</v>
      </c>
      <c r="G16" s="76">
        <f>IFERROR(VLOOKUP($I$24&amp;$D16,'Database-Hidden'!$C$2:$J$121,6,FALSE)-R16+AI16,"")</f>
        <v>3</v>
      </c>
      <c r="H16" s="77">
        <f>IFERROR(VLOOKUP($I$24&amp;$D16,'Database-Hidden'!$C$2:$J$121,7,FALSE)-S16+AJ16,"")</f>
        <v>9</v>
      </c>
      <c r="I16" s="78">
        <f>IFERROR(VLOOKUP($I$24&amp;$D16,'Database-Hidden'!$C$2:$J$121,8,FALSE),"")</f>
        <v>0</v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9">
        <v>1</v>
      </c>
      <c r="W16" s="89"/>
      <c r="X16" s="85"/>
      <c r="Y16" s="85"/>
      <c r="Z16" s="90"/>
      <c r="AA16" s="91">
        <f t="shared" si="1"/>
        <v>3</v>
      </c>
      <c r="AB16" s="58">
        <f t="shared" si="2"/>
        <v>100000</v>
      </c>
      <c r="AC16" s="4"/>
      <c r="AD16" s="120">
        <f>IFERROR(VLOOKUP($I$24&amp;D16,'Database-Hidden'!$C$2:$E$121,3,FALSE),"")</f>
        <v>100000</v>
      </c>
      <c r="AE16" s="93"/>
      <c r="AF16" s="107"/>
      <c r="AG16" s="107"/>
      <c r="AH16" s="107"/>
      <c r="AI16" s="107"/>
      <c r="AJ16" s="107"/>
      <c r="AK16" s="63"/>
      <c r="AL16" s="64" t="str">
        <f>IF(LEFT($D16,6)&lt;&gt;"Star: ","",VLOOKUP(RIGHT($D16,LEN($D16)-6),'Star Players-Hidden'!$A$3:$AK$69,37,FALSE))</f>
        <v/>
      </c>
      <c r="AM16" s="4"/>
      <c r="AN16" s="121" t="s">
        <v>105</v>
      </c>
      <c r="AO16" s="122"/>
      <c r="AP16" s="123"/>
      <c r="AQ16" s="124"/>
      <c r="AR16" s="125"/>
      <c r="AS16" s="126"/>
      <c r="AT16" s="127"/>
      <c r="AU16" s="128"/>
      <c r="AV16" s="129"/>
      <c r="AW16" s="130"/>
    </row>
    <row r="17" spans="1:49" ht="12.75">
      <c r="A17" s="2"/>
      <c r="B17" s="71">
        <v>14</v>
      </c>
      <c r="C17" s="72" t="s">
        <v>181</v>
      </c>
      <c r="D17" s="73" t="s">
        <v>178</v>
      </c>
      <c r="E17" s="75">
        <f>IFERROR(VLOOKUP($I$24&amp;$D17,'Database-Hidden'!$C$2:$J$121,4,FALSE)-P17+AG17,"")</f>
        <v>5</v>
      </c>
      <c r="F17" s="76">
        <f>IFERROR(VLOOKUP($I$24&amp;$D17,'Database-Hidden'!$C$2:$J$121,5,FALSE)-Q17+AH17,"")</f>
        <v>4</v>
      </c>
      <c r="G17" s="76">
        <f>IFERROR(VLOOKUP($I$24&amp;$D17,'Database-Hidden'!$C$2:$J$121,6,FALSE)-R17+AI17,"")</f>
        <v>3</v>
      </c>
      <c r="H17" s="77">
        <f>IFERROR(VLOOKUP($I$24&amp;$D17,'Database-Hidden'!$C$2:$J$121,7,FALSE)-S17+AJ17,"")</f>
        <v>9</v>
      </c>
      <c r="I17" s="78">
        <f>IFERROR(VLOOKUP($I$24&amp;$D17,'Database-Hidden'!$C$2:$J$121,8,FALSE),"")</f>
        <v>0</v>
      </c>
      <c r="J17" s="79" t="s">
        <v>186</v>
      </c>
      <c r="K17" s="80">
        <f t="shared" si="0"/>
        <v>1</v>
      </c>
      <c r="L17" s="81"/>
      <c r="M17" s="81"/>
      <c r="N17" s="82"/>
      <c r="O17" s="83"/>
      <c r="P17" s="84"/>
      <c r="Q17" s="85"/>
      <c r="R17" s="85"/>
      <c r="S17" s="86"/>
      <c r="T17" s="87"/>
      <c r="U17" s="89">
        <v>1</v>
      </c>
      <c r="V17" s="89">
        <v>2</v>
      </c>
      <c r="W17" s="89">
        <v>1</v>
      </c>
      <c r="X17" s="85"/>
      <c r="Y17" s="85"/>
      <c r="Z17" s="90">
        <v>1</v>
      </c>
      <c r="AA17" s="91">
        <f t="shared" si="1"/>
        <v>14</v>
      </c>
      <c r="AB17" s="58">
        <f t="shared" si="2"/>
        <v>130000</v>
      </c>
      <c r="AC17" s="4"/>
      <c r="AD17" s="120">
        <f>IFERROR(VLOOKUP($I$24&amp;D17,'Database-Hidden'!$C$2:$E$121,3,FALSE),"")</f>
        <v>100000</v>
      </c>
      <c r="AE17" s="93"/>
      <c r="AF17" s="94">
        <v>1</v>
      </c>
      <c r="AG17" s="107"/>
      <c r="AH17" s="107"/>
      <c r="AI17" s="107"/>
      <c r="AJ17" s="107"/>
      <c r="AK17" s="63"/>
      <c r="AL17" s="64" t="str">
        <f>IF(LEFT($D17,6)&lt;&gt;"Star: ","",VLOOKUP(RIGHT($D17,LEN($D17)-6),'Star Players-Hidden'!$A$3:$AK$69,37,FALSE))</f>
        <v/>
      </c>
      <c r="AM17" s="4"/>
      <c r="AN17" s="141" t="s">
        <v>108</v>
      </c>
      <c r="AO17" s="142"/>
      <c r="AP17" s="143"/>
      <c r="AQ17" s="144"/>
      <c r="AR17" s="145"/>
      <c r="AS17" s="146"/>
      <c r="AT17" s="147"/>
      <c r="AU17" s="149"/>
      <c r="AV17" s="150"/>
      <c r="AW17" s="130"/>
    </row>
    <row r="18" spans="1:49" ht="12.75">
      <c r="A18" s="2"/>
      <c r="B18" s="71">
        <v>15</v>
      </c>
      <c r="C18" s="72"/>
      <c r="D18" s="73"/>
      <c r="E18" s="75" t="str">
        <f>IFERROR(VLOOKUP($I$24&amp;$D18,'Database-Hidden'!$C$2:$J$121,4,FALSE)-P18+AG18,"")</f>
        <v/>
      </c>
      <c r="F18" s="76" t="str">
        <f>IFERROR(VLOOKUP($I$24&amp;$D18,'Database-Hidden'!$C$2:$J$121,5,FALSE)-Q18+AH18,"")</f>
        <v/>
      </c>
      <c r="G18" s="76" t="str">
        <f>IFERROR(VLOOKUP($I$24&amp;$D18,'Database-Hidden'!$C$2:$J$121,6,FALSE)-R18+AI18,"")</f>
        <v/>
      </c>
      <c r="H18" s="77" t="str">
        <f>IFERROR(VLOOKUP($I$24&amp;$D18,'Database-Hidden'!$C$2:$J$121,7,FALSE)-S18+AJ18,"")</f>
        <v/>
      </c>
      <c r="I18" s="78" t="str">
        <f>IFERROR(VLOOKUP($I$24&amp;$D18,'Database-Hidden'!$C$2:$J$121,8,FALSE),"")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85"/>
      <c r="Z18" s="90"/>
      <c r="AA18" s="91">
        <f t="shared" si="1"/>
        <v>0</v>
      </c>
      <c r="AB18" s="58"/>
      <c r="AC18" s="4"/>
      <c r="AD18" s="120" t="str">
        <f>IFERROR(VLOOKUP($I$24&amp;D18,'Database-Hidden'!$C$2:$E$121,3,FALSE),"")</f>
        <v/>
      </c>
      <c r="AE18" s="93"/>
      <c r="AF18" s="94"/>
      <c r="AG18" s="107"/>
      <c r="AH18" s="107"/>
      <c r="AI18" s="107"/>
      <c r="AJ18" s="107"/>
      <c r="AK18" s="63"/>
      <c r="AL18" s="64" t="str">
        <f>IF(LEFT($D18,6)&lt;&gt;"Star: ","",VLOOKUP(RIGHT($D18,LEN($D18)-6),'Star Players-Hidden'!$A$3:$AK$69,37,FALSE))</f>
        <v/>
      </c>
      <c r="AM18" s="4"/>
      <c r="AN18" s="157" t="s">
        <v>35</v>
      </c>
      <c r="AO18" s="160">
        <f>AO4+SUM(AO6:AO17)-SUM(AP6:AP17)-SUM(AQ6:AQ17)</f>
        <v>80000</v>
      </c>
      <c r="AP18" s="4"/>
      <c r="AQ18" s="4"/>
      <c r="AR18" s="68"/>
      <c r="AS18" s="157" t="s">
        <v>35</v>
      </c>
      <c r="AT18" s="162">
        <f t="shared" ref="AT18:AU18" si="3">SUM(AT6:AT17)</f>
        <v>5</v>
      </c>
      <c r="AU18" s="164">
        <f t="shared" si="3"/>
        <v>8</v>
      </c>
      <c r="AV18" s="168">
        <f>AV4+SUM(AV6:AV17)</f>
        <v>2</v>
      </c>
      <c r="AW18" s="5"/>
    </row>
    <row r="19" spans="1:49" ht="22.5">
      <c r="A19" s="2"/>
      <c r="B19" s="170">
        <v>16</v>
      </c>
      <c r="C19" s="172" t="s">
        <v>191</v>
      </c>
      <c r="D19" s="174" t="s">
        <v>111</v>
      </c>
      <c r="E19" s="176">
        <f>IFERROR(VLOOKUP($I$24&amp;$D19,'Database-Hidden'!$C$2:$J$121,4,FALSE)-P19+AG19,"")</f>
        <v>5</v>
      </c>
      <c r="F19" s="177">
        <f>IFERROR(VLOOKUP($I$24&amp;$D19,'Database-Hidden'!$C$2:$J$121,5,FALSE)-Q19+AH19,"")</f>
        <v>5</v>
      </c>
      <c r="G19" s="177">
        <f>IFERROR(VLOOKUP($I$24&amp;$D19,'Database-Hidden'!$C$2:$J$121,6,FALSE)-R19+AI19,"")</f>
        <v>2</v>
      </c>
      <c r="H19" s="178">
        <f>IFERROR(VLOOKUP($I$24&amp;$D19,'Database-Hidden'!$C$2:$J$121,7,FALSE)-S19+AJ19,"")</f>
        <v>8</v>
      </c>
      <c r="I19" s="180" t="str">
        <f>IFERROR(VLOOKUP($I$24&amp;$D19,'Database-Hidden'!$C$2:$J$121,8,FALSE),"")</f>
        <v>Loner, Frenzy, Horns, Mighty Blow, Thick Skull, Wild Animal</v>
      </c>
      <c r="J19" s="182" t="s">
        <v>194</v>
      </c>
      <c r="K19" s="186">
        <f t="shared" si="0"/>
        <v>2</v>
      </c>
      <c r="L19" s="187"/>
      <c r="M19" s="188"/>
      <c r="N19" s="187"/>
      <c r="O19" s="189"/>
      <c r="P19" s="190"/>
      <c r="Q19" s="191"/>
      <c r="R19" s="191"/>
      <c r="S19" s="192"/>
      <c r="T19" s="193"/>
      <c r="U19" s="194"/>
      <c r="V19" s="194"/>
      <c r="W19" s="195">
        <v>3</v>
      </c>
      <c r="X19" s="240">
        <v>1</v>
      </c>
      <c r="Y19" s="191"/>
      <c r="Z19" s="196">
        <v>2</v>
      </c>
      <c r="AA19" s="197">
        <f t="shared" si="1"/>
        <v>16</v>
      </c>
      <c r="AB19" s="58">
        <f t="shared" si="2"/>
        <v>190000</v>
      </c>
      <c r="AC19" s="4"/>
      <c r="AD19" s="198">
        <f>IFERROR(VLOOKUP($I$24&amp;D19,'Database-Hidden'!$C$2:$E$121,3,FALSE),"")</f>
        <v>150000</v>
      </c>
      <c r="AE19" s="199">
        <v>2</v>
      </c>
      <c r="AF19" s="200"/>
      <c r="AG19" s="200"/>
      <c r="AH19" s="200"/>
      <c r="AI19" s="200"/>
      <c r="AJ19" s="200"/>
      <c r="AK19" s="201"/>
      <c r="AL19" s="202" t="str">
        <f>IF(LEFT($D19,6)&lt;&gt;"Star: ","",VLOOKUP(RIGHT($D19,LEN($D19)-6),'Star Players-Hidden'!$A$3:$AK$69,37,FALSE))</f>
        <v/>
      </c>
      <c r="AM19" s="4"/>
      <c r="AV19" s="203"/>
    </row>
    <row r="20" spans="1:49" ht="12.75">
      <c r="B20" s="328"/>
      <c r="C20" s="329"/>
      <c r="D20" s="330"/>
      <c r="E20" s="311" t="s">
        <v>118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3"/>
      <c r="AB20" s="204">
        <f>SUM(AB4:AB19)</f>
        <v>880000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8"/>
      <c r="AO20" s="68"/>
      <c r="AP20" s="68"/>
      <c r="AQ20" s="68"/>
      <c r="AR20" s="68"/>
      <c r="AS20" s="68"/>
      <c r="AT20" s="68"/>
      <c r="AU20" s="68"/>
      <c r="AV20" s="205"/>
      <c r="AW20" s="68"/>
    </row>
    <row r="21" spans="1:49" ht="12.75">
      <c r="A21" s="2"/>
      <c r="B21" s="317"/>
      <c r="C21" s="315"/>
      <c r="D21" s="316"/>
      <c r="E21" s="333" t="s">
        <v>119</v>
      </c>
      <c r="F21" s="315"/>
      <c r="G21" s="315"/>
      <c r="H21" s="334"/>
      <c r="I21" s="314" t="s">
        <v>76</v>
      </c>
      <c r="J21" s="315"/>
      <c r="K21" s="316"/>
      <c r="L21" s="322" t="s">
        <v>121</v>
      </c>
      <c r="M21" s="319"/>
      <c r="N21" s="319"/>
      <c r="O21" s="319"/>
      <c r="P21" s="319"/>
      <c r="Q21" s="319"/>
      <c r="R21" s="319"/>
      <c r="S21" s="323"/>
      <c r="T21" s="206">
        <v>2</v>
      </c>
      <c r="U21" s="207" t="s">
        <v>36</v>
      </c>
      <c r="V21" s="321">
        <f>IFERROR(VLOOKUP(I24,'Database-Hidden'!N2:O28,2,FALSE),"")</f>
        <v>60000</v>
      </c>
      <c r="W21" s="319"/>
      <c r="X21" s="319"/>
      <c r="Y21" s="319"/>
      <c r="Z21" s="319"/>
      <c r="AA21" s="320"/>
      <c r="AB21" s="208">
        <f t="shared" ref="AB21:AB25" si="4">T21*V21</f>
        <v>120000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27" t="s">
        <v>122</v>
      </c>
      <c r="AO21" s="313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317"/>
      <c r="C22" s="315"/>
      <c r="D22" s="316"/>
      <c r="E22" s="315"/>
      <c r="F22" s="315"/>
      <c r="G22" s="315"/>
      <c r="H22" s="334"/>
      <c r="I22" s="317"/>
      <c r="J22" s="315"/>
      <c r="K22" s="316"/>
      <c r="L22" s="309" t="s">
        <v>123</v>
      </c>
      <c r="M22" s="304"/>
      <c r="N22" s="304"/>
      <c r="O22" s="304"/>
      <c r="P22" s="304"/>
      <c r="Q22" s="304"/>
      <c r="R22" s="304"/>
      <c r="S22" s="310"/>
      <c r="T22" s="211">
        <f>AV18</f>
        <v>2</v>
      </c>
      <c r="U22" s="210" t="s">
        <v>36</v>
      </c>
      <c r="V22" s="306">
        <v>10000</v>
      </c>
      <c r="W22" s="304"/>
      <c r="X22" s="304"/>
      <c r="Y22" s="304"/>
      <c r="Z22" s="304"/>
      <c r="AA22" s="307"/>
      <c r="AB22" s="212">
        <f t="shared" si="4"/>
        <v>20000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213" t="s">
        <v>124</v>
      </c>
      <c r="AO22" s="214">
        <f>AO18</f>
        <v>80000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317"/>
      <c r="C23" s="315"/>
      <c r="D23" s="316"/>
      <c r="E23" s="319"/>
      <c r="F23" s="319"/>
      <c r="G23" s="319"/>
      <c r="H23" s="335"/>
      <c r="I23" s="318"/>
      <c r="J23" s="319"/>
      <c r="K23" s="320"/>
      <c r="L23" s="347" t="s">
        <v>126</v>
      </c>
      <c r="M23" s="304"/>
      <c r="N23" s="304"/>
      <c r="O23" s="304"/>
      <c r="P23" s="304"/>
      <c r="Q23" s="304"/>
      <c r="R23" s="304"/>
      <c r="S23" s="310"/>
      <c r="T23" s="215">
        <v>0</v>
      </c>
      <c r="U23" s="216" t="s">
        <v>36</v>
      </c>
      <c r="V23" s="306">
        <v>10000</v>
      </c>
      <c r="W23" s="304"/>
      <c r="X23" s="304"/>
      <c r="Y23" s="304"/>
      <c r="Z23" s="304"/>
      <c r="AA23" s="307"/>
      <c r="AB23" s="212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217" t="s">
        <v>127</v>
      </c>
      <c r="AO23" s="218">
        <f>COUNTA(AS6:AS17)*10000</f>
        <v>70000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317"/>
      <c r="C24" s="315"/>
      <c r="D24" s="316"/>
      <c r="E24" s="340" t="s">
        <v>128</v>
      </c>
      <c r="F24" s="304"/>
      <c r="G24" s="304"/>
      <c r="H24" s="341"/>
      <c r="I24" s="308" t="s">
        <v>202</v>
      </c>
      <c r="J24" s="304"/>
      <c r="K24" s="307"/>
      <c r="L24" s="309" t="s">
        <v>130</v>
      </c>
      <c r="M24" s="304"/>
      <c r="N24" s="304"/>
      <c r="O24" s="304"/>
      <c r="P24" s="304"/>
      <c r="Q24" s="304"/>
      <c r="R24" s="304"/>
      <c r="S24" s="310"/>
      <c r="T24" s="215">
        <v>0</v>
      </c>
      <c r="U24" s="216" t="s">
        <v>36</v>
      </c>
      <c r="V24" s="306">
        <v>10000</v>
      </c>
      <c r="W24" s="304"/>
      <c r="X24" s="304"/>
      <c r="Y24" s="304"/>
      <c r="Z24" s="304"/>
      <c r="AA24" s="307"/>
      <c r="AB24" s="212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217" t="s">
        <v>53</v>
      </c>
      <c r="AO24" s="218">
        <f>AT18*5000</f>
        <v>25000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317"/>
      <c r="C25" s="315"/>
      <c r="D25" s="316"/>
      <c r="E25" s="340" t="str">
        <f>IFERROR(IF(VLOOKUP(I24,'Database-Hidden'!X2:Y28,2,FALSE)="Yes","NECROMANCER","HEAD COACH"),"HEAD COACH")</f>
        <v>HEAD COACH</v>
      </c>
      <c r="F25" s="304"/>
      <c r="G25" s="304"/>
      <c r="H25" s="341"/>
      <c r="I25" s="308" t="s">
        <v>204</v>
      </c>
      <c r="J25" s="304"/>
      <c r="K25" s="307"/>
      <c r="L25" s="346" t="str">
        <f>IFERROR(IF(VLOOKUP(I24,'Database-Hidden'!X2:Y28,1,FALSE)&lt;&gt;"","",""),"APOTHECARY")</f>
        <v>APOTHECARY</v>
      </c>
      <c r="M25" s="304"/>
      <c r="N25" s="304"/>
      <c r="O25" s="304"/>
      <c r="P25" s="304"/>
      <c r="Q25" s="304"/>
      <c r="R25" s="304"/>
      <c r="S25" s="341"/>
      <c r="T25" s="215">
        <v>1</v>
      </c>
      <c r="U25" s="210" t="str">
        <f>IF(L25&lt;&gt;"","x","")</f>
        <v>x</v>
      </c>
      <c r="V25" s="306">
        <f>IF(L25&lt;&gt;"",50000,"")</f>
        <v>50000</v>
      </c>
      <c r="W25" s="304"/>
      <c r="X25" s="304"/>
      <c r="Y25" s="304"/>
      <c r="Z25" s="304"/>
      <c r="AA25" s="307"/>
      <c r="AB25" s="212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219" t="s">
        <v>134</v>
      </c>
      <c r="AO25" s="220">
        <f>AU18*5000</f>
        <v>40000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317"/>
      <c r="C26" s="315"/>
      <c r="D26" s="316"/>
      <c r="E26" s="340" t="s">
        <v>135</v>
      </c>
      <c r="F26" s="304"/>
      <c r="G26" s="304"/>
      <c r="H26" s="304"/>
      <c r="I26" s="343">
        <f>AB20+AB28</f>
        <v>1070000</v>
      </c>
      <c r="J26" s="304"/>
      <c r="K26" s="304"/>
      <c r="L26" s="346" t="s">
        <v>136</v>
      </c>
      <c r="M26" s="304"/>
      <c r="N26" s="304"/>
      <c r="O26" s="304"/>
      <c r="P26" s="304"/>
      <c r="Q26" s="304"/>
      <c r="R26" s="304"/>
      <c r="S26" s="341"/>
      <c r="T26" s="215">
        <v>0</v>
      </c>
      <c r="U26" s="210" t="s">
        <v>36</v>
      </c>
      <c r="V26" s="306">
        <f>IF(I24="Halfling",200000,600000)</f>
        <v>600000</v>
      </c>
      <c r="W26" s="304"/>
      <c r="X26" s="304"/>
      <c r="Y26" s="304"/>
      <c r="Z26" s="304"/>
      <c r="AA26" s="307"/>
      <c r="AB26" s="212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221" t="s">
        <v>35</v>
      </c>
      <c r="AO26" s="222">
        <v>210000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317"/>
      <c r="C27" s="315"/>
      <c r="D27" s="316"/>
      <c r="E27" s="336" t="s">
        <v>137</v>
      </c>
      <c r="F27" s="325"/>
      <c r="G27" s="325"/>
      <c r="H27" s="325"/>
      <c r="I27" s="342">
        <f>AO18</f>
        <v>80000</v>
      </c>
      <c r="J27" s="325"/>
      <c r="K27" s="325"/>
      <c r="L27" s="324" t="s">
        <v>138</v>
      </c>
      <c r="M27" s="325"/>
      <c r="N27" s="325"/>
      <c r="O27" s="325"/>
      <c r="P27" s="325"/>
      <c r="Q27" s="325"/>
      <c r="R27" s="325"/>
      <c r="S27" s="326"/>
      <c r="T27" s="223">
        <v>0</v>
      </c>
      <c r="U27" s="224" t="s">
        <v>36</v>
      </c>
      <c r="V27" s="344">
        <f>IF(I24="Goblin",100000,200000)</f>
        <v>200000</v>
      </c>
      <c r="W27" s="325"/>
      <c r="X27" s="325"/>
      <c r="Y27" s="325"/>
      <c r="Z27" s="325"/>
      <c r="AA27" s="345"/>
      <c r="AB27" s="212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331"/>
      <c r="C28" s="305"/>
      <c r="D28" s="332"/>
      <c r="E28" s="311" t="s">
        <v>139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3"/>
      <c r="AB28" s="204">
        <f>SUM(AB21:AB27)</f>
        <v>190000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25"/>
      <c r="D29" s="225"/>
      <c r="E29" s="226"/>
      <c r="F29" s="4"/>
      <c r="G29" s="4"/>
      <c r="H29" s="4"/>
      <c r="I29" s="227"/>
      <c r="J29" s="228"/>
      <c r="K29" s="4"/>
      <c r="L29" s="229"/>
      <c r="M29" s="229"/>
      <c r="N29" s="229"/>
      <c r="O29" s="229"/>
      <c r="P29" s="229"/>
      <c r="Q29" s="229"/>
      <c r="R29" s="229"/>
      <c r="S29" s="229"/>
      <c r="T29" s="230"/>
      <c r="U29" s="231"/>
      <c r="V29" s="9"/>
      <c r="W29" s="232"/>
      <c r="X29" s="232"/>
      <c r="Y29" s="232"/>
      <c r="Z29" s="232"/>
      <c r="AA29" s="232"/>
      <c r="AB29" s="23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34">
        <f>MATCH(I24,'Database-Hidden'!A2:A121,0)</f>
        <v>8</v>
      </c>
      <c r="D30" s="234" t="str">
        <f t="shared" ref="D30:D39" si="6">I30&amp;IF(COUNTIF(D$4:D$19,I30)&gt;E30," (Too Many)","")</f>
        <v>Beastman</v>
      </c>
      <c r="E30" s="235">
        <f t="array" ref="E30">IFERROR(IF(INDEX('Database-Hidden'!$A$2:$B$121,$C30,1)=$I$24,INDEX('Database-Hidden'!$A$2:$D$121,$C30,4),""),"")</f>
        <v>16</v>
      </c>
      <c r="I30" s="234" t="str">
        <f t="array" ref="I30">IFERROR(IF(INDEX('Database-Hidden'!$A$2:$B$121,$C30,1)=$I$24,INDEX('Database-Hidden'!$A$2:$B$121,$C30,2),""),"")</f>
        <v>Beastman</v>
      </c>
      <c r="AV30" s="203"/>
    </row>
    <row r="31" spans="1:49" ht="17.25" hidden="1" customHeight="1">
      <c r="C31" s="234">
        <f t="shared" ref="C31:C39" si="7">C30+1</f>
        <v>9</v>
      </c>
      <c r="D31" s="234" t="str">
        <f t="shared" si="6"/>
        <v>Chaos Warrior</v>
      </c>
      <c r="E31" s="235">
        <f t="array" ref="E31">IFERROR(IF(INDEX('Database-Hidden'!$A$2:$B$121,$C31,1)=$I$24,INDEX('Database-Hidden'!$A$2:$D$121,$C31,4),""),"")</f>
        <v>4</v>
      </c>
      <c r="I31" s="234" t="str">
        <f t="array" ref="I31">IFERROR(IF(INDEX('Database-Hidden'!$A$2:$B$121,$C31,1)=$I$24,INDEX('Database-Hidden'!$A$2:$B$121,$C31,2),""),"")</f>
        <v>Chaos Warrior</v>
      </c>
      <c r="AV31" s="203"/>
    </row>
    <row r="32" spans="1:49" ht="17.25" hidden="1" customHeight="1">
      <c r="C32" s="234">
        <f t="shared" si="7"/>
        <v>10</v>
      </c>
      <c r="D32" s="234" t="str">
        <f t="shared" si="6"/>
        <v>Minotaur</v>
      </c>
      <c r="E32" s="235">
        <f t="array" ref="E32">IFERROR(IF(INDEX('Database-Hidden'!$A$2:$B$121,$C32,1)=$I$24,INDEX('Database-Hidden'!$A$2:$D$121,$C32,4),""),"")</f>
        <v>1</v>
      </c>
      <c r="I32" s="234" t="str">
        <f t="array" ref="I32">IFERROR(IF(INDEX('Database-Hidden'!$A$2:$B$121,$C32,1)=$I$24,INDEX('Database-Hidden'!$A$2:$B$121,$C32,2),""),"")</f>
        <v>Minotaur</v>
      </c>
      <c r="AV32" s="203"/>
    </row>
    <row r="33" spans="3:48" ht="17.25" hidden="1" customHeight="1">
      <c r="C33" s="234">
        <f t="shared" si="7"/>
        <v>11</v>
      </c>
      <c r="D33" s="234" t="str">
        <f t="shared" si="6"/>
        <v/>
      </c>
      <c r="E33" s="235" t="str">
        <f t="array" ref="E33">IFERROR(IF(INDEX('Database-Hidden'!$A$2:$B$121,$C33,1)=$I$24,INDEX('Database-Hidden'!$A$2:$D$121,$C33,4),""),"")</f>
        <v/>
      </c>
      <c r="I33" s="234" t="str">
        <f t="array" ref="I33">IFERROR(IF(INDEX('Database-Hidden'!$A$2:$B$121,$C33,1)=$I$24,INDEX('Database-Hidden'!$A$2:$B$121,$C33,2),""),"")</f>
        <v/>
      </c>
      <c r="AV33" s="203"/>
    </row>
    <row r="34" spans="3:48" ht="17.25" hidden="1" customHeight="1">
      <c r="C34" s="234">
        <f t="shared" si="7"/>
        <v>12</v>
      </c>
      <c r="D34" s="234" t="str">
        <f t="shared" si="6"/>
        <v/>
      </c>
      <c r="E34" s="235" t="str">
        <f t="array" ref="E34">IFERROR(IF(INDEX('Database-Hidden'!$A$2:$B$121,$C34,1)=$I$24,INDEX('Database-Hidden'!$A$2:$D$121,$C34,4),""),"")</f>
        <v/>
      </c>
      <c r="I34" s="234" t="str">
        <f t="array" ref="I34">IFERROR(IF(INDEX('Database-Hidden'!$A$2:$B$121,$C34,1)=$I$24,INDEX('Database-Hidden'!$A$2:$B$121,$C34,2),""),"")</f>
        <v/>
      </c>
      <c r="AV34" s="203"/>
    </row>
    <row r="35" spans="3:48" ht="17.25" hidden="1" customHeight="1">
      <c r="C35" s="234">
        <f t="shared" si="7"/>
        <v>13</v>
      </c>
      <c r="D35" s="234" t="str">
        <f t="shared" si="6"/>
        <v/>
      </c>
      <c r="E35" s="235" t="str">
        <f t="array" ref="E35">IFERROR(IF(INDEX('Database-Hidden'!$A$2:$B$121,$C35,1)=$I$24,INDEX('Database-Hidden'!$A$2:$D$121,$C35,4),""),"")</f>
        <v/>
      </c>
      <c r="I35" s="234" t="str">
        <f t="array" ref="I35">IFERROR(IF(INDEX('Database-Hidden'!$A$2:$B$121,$C35,1)=$I$24,INDEX('Database-Hidden'!$A$2:$B$121,$C35,2),""),"")</f>
        <v/>
      </c>
      <c r="AV35" s="203"/>
    </row>
    <row r="36" spans="3:48" ht="17.25" hidden="1" customHeight="1">
      <c r="C36" s="234">
        <f t="shared" si="7"/>
        <v>14</v>
      </c>
      <c r="D36" s="234" t="str">
        <f t="shared" si="6"/>
        <v/>
      </c>
      <c r="E36" s="235" t="str">
        <f t="array" ref="E36">IFERROR(IF(INDEX('Database-Hidden'!$A$2:$B$121,$C36,1)=$I$24,INDEX('Database-Hidden'!$A$2:$D$121,$C36,4),""),"")</f>
        <v/>
      </c>
      <c r="I36" s="234" t="str">
        <f t="array" ref="I36">IFERROR(IF(INDEX('Database-Hidden'!$A$2:$B$121,$C36,1)=$I$24,INDEX('Database-Hidden'!$A$2:$B$121,$C36,2),""),"")</f>
        <v/>
      </c>
      <c r="AV36" s="203"/>
    </row>
    <row r="37" spans="3:48" ht="17.25" hidden="1" customHeight="1">
      <c r="C37" s="234">
        <f t="shared" si="7"/>
        <v>15</v>
      </c>
      <c r="D37" s="234" t="str">
        <f t="shared" si="6"/>
        <v/>
      </c>
      <c r="E37" s="235" t="str">
        <f t="array" ref="E37">IFERROR(IF(INDEX('Database-Hidden'!$A$2:$B$121,$C37,1)=$I$24,INDEX('Database-Hidden'!$A$2:$D$121,$C37,4),""),"")</f>
        <v/>
      </c>
      <c r="I37" s="234" t="str">
        <f t="array" ref="I37">IFERROR(IF(INDEX('Database-Hidden'!$A$2:$B$121,$C37,1)=$I$24,INDEX('Database-Hidden'!$A$2:$B$121,$C37,2),""),"")</f>
        <v/>
      </c>
      <c r="AV37" s="203"/>
    </row>
    <row r="38" spans="3:48" ht="17.25" hidden="1" customHeight="1">
      <c r="C38" s="234">
        <f t="shared" si="7"/>
        <v>16</v>
      </c>
      <c r="D38" s="234" t="str">
        <f t="shared" si="6"/>
        <v/>
      </c>
      <c r="E38" s="235" t="str">
        <f t="array" ref="E38">IFERROR(IF(INDEX('Database-Hidden'!$A$2:$B$121,$C38,1)=$I$24,INDEX('Database-Hidden'!$A$2:$D$121,$C38,4),""),"")</f>
        <v/>
      </c>
      <c r="I38" s="234" t="str">
        <f t="array" ref="I38">IFERROR(IF(INDEX('Database-Hidden'!$A$2:$B$121,$C38,1)=$I$24,INDEX('Database-Hidden'!$A$2:$B$121,$C38,2),""),"")</f>
        <v/>
      </c>
      <c r="AV38" s="203"/>
    </row>
    <row r="39" spans="3:48" ht="17.25" hidden="1" customHeight="1">
      <c r="C39" s="234">
        <f t="shared" si="7"/>
        <v>17</v>
      </c>
      <c r="D39" s="234" t="str">
        <f t="shared" si="6"/>
        <v/>
      </c>
      <c r="E39" s="235" t="str">
        <f t="array" ref="E39">IFERROR(IF(INDEX('Database-Hidden'!$A$2:$B$121,$C39,1)=$I$24,INDEX('Database-Hidden'!$A$2:$D$121,$C39,4),""),"")</f>
        <v/>
      </c>
      <c r="I39" s="234" t="str">
        <f t="array" ref="I39">IFERROR(IF(INDEX('Database-Hidden'!$A$2:$B$121,$C39,1)=$I$24,INDEX('Database-Hidden'!$A$2:$B$121,$C39,2),""),"")</f>
        <v/>
      </c>
      <c r="AV39" s="203"/>
    </row>
    <row r="40" spans="3:48" ht="17.25" hidden="1" customHeight="1">
      <c r="C40" s="236">
        <f>MATCH(I24,'Star Players-Hidden'!D2:AD2,0)</f>
        <v>3</v>
      </c>
      <c r="D40" s="236" t="str">
        <f t="shared" ref="D40:D51" ca="1" si="8">I40&amp;IF(COUNTIF(D$4:D$19,I40)&gt;1," (Too Many)","")</f>
        <v>Star: Brick Far'th</v>
      </c>
      <c r="E40" s="237"/>
      <c r="F40" s="237"/>
      <c r="G40" s="237"/>
      <c r="H40" s="237"/>
      <c r="I40" s="236" t="str">
        <f ca="1">IFERROR(__xludf.DUMMYFUNCTION("FILTER({""Star: ""&amp;'Star Players-Hidden'!A3:A69},INDEX('Star Players-Hidden'!D3:AD69,0,C40)&lt;&gt;"""",{'Star Players-Hidden'!C3:C69=""""}+{'Star Players-Hidden'!C3:C69=I21})"),"Star: Brick Far'th")</f>
        <v>Star: Brick Far'th</v>
      </c>
      <c r="AV40" s="203"/>
    </row>
    <row r="41" spans="3:48" ht="17.25" hidden="1" customHeight="1">
      <c r="C41" s="234"/>
      <c r="D41" s="234" t="str">
        <f t="shared" ca="1" si="8"/>
        <v>Star: Grashnak Blackhoof</v>
      </c>
      <c r="I41" s="238" t="str">
        <f ca="1">IFERROR(__xludf.DUMMYFUNCTION("""COMPUTED_VALUE"""),"Star: Grashnak Blackhoof")</f>
        <v>Star: Grashnak Blackhoof</v>
      </c>
      <c r="AV41" s="203"/>
    </row>
    <row r="42" spans="3:48" ht="17.25" hidden="1" customHeight="1">
      <c r="C42" s="234"/>
      <c r="D42" s="234" t="str">
        <f t="shared" ca="1" si="8"/>
        <v>Star: Grotty</v>
      </c>
      <c r="I42" s="234" t="str">
        <f ca="1">IFERROR(__xludf.DUMMYFUNCTION("""COMPUTED_VALUE"""),"Star: Grotty")</f>
        <v>Star: Grotty</v>
      </c>
      <c r="AV42" s="203"/>
    </row>
    <row r="43" spans="3:48" ht="17.25" hidden="1" customHeight="1">
      <c r="C43" s="234"/>
      <c r="D43" s="234" t="str">
        <f t="shared" ca="1" si="8"/>
        <v>Star: Guffle Pusmaw</v>
      </c>
      <c r="I43" s="234" t="str">
        <f ca="1">IFERROR(__xludf.DUMMYFUNCTION("""COMPUTED_VALUE"""),"Star: Guffle Pusmaw")</f>
        <v>Star: Guffle Pusmaw</v>
      </c>
      <c r="AV43" s="203"/>
    </row>
    <row r="44" spans="3:48" ht="17.25" hidden="1" customHeight="1">
      <c r="C44" s="234"/>
      <c r="D44" s="234" t="str">
        <f t="shared" ca="1" si="8"/>
        <v>Star: Lewdgrip Whiparm</v>
      </c>
      <c r="I44" s="234" t="str">
        <f ca="1">IFERROR(__xludf.DUMMYFUNCTION("""COMPUTED_VALUE"""),"Star: Lewdgrip Whiparm")</f>
        <v>Star: Lewdgrip Whiparm</v>
      </c>
      <c r="AV44" s="203"/>
    </row>
    <row r="45" spans="3:48" ht="17.25" hidden="1" customHeight="1">
      <c r="C45" s="234"/>
      <c r="D45" s="234" t="str">
        <f t="shared" ca="1" si="8"/>
        <v>Star: Lord Borak the Despoiler</v>
      </c>
      <c r="I45" s="234" t="str">
        <f ca="1">IFERROR(__xludf.DUMMYFUNCTION("""COMPUTED_VALUE"""),"Star: Lord Borak the Despoiler")</f>
        <v>Star: Lord Borak the Despoiler</v>
      </c>
      <c r="AV45" s="203"/>
    </row>
    <row r="46" spans="3:48" ht="17.25" hidden="1" customHeight="1">
      <c r="C46" s="234"/>
      <c r="D46" s="234" t="str">
        <f t="shared" ca="1" si="8"/>
        <v>Star: Max Spleenripper</v>
      </c>
      <c r="I46" s="234" t="str">
        <f ca="1">IFERROR(__xludf.DUMMYFUNCTION("""COMPUTED_VALUE"""),"Star: Max Spleenripper")</f>
        <v>Star: Max Spleenripper</v>
      </c>
      <c r="AV46" s="203"/>
    </row>
    <row r="47" spans="3:48" ht="17.25" hidden="1" customHeight="1">
      <c r="C47" s="234"/>
      <c r="D47" s="234" t="str">
        <f t="shared" ca="1" si="8"/>
        <v>Star: Morg'n'Thorg</v>
      </c>
      <c r="I47" s="234" t="str">
        <f ca="1">IFERROR(__xludf.DUMMYFUNCTION("""COMPUTED_VALUE"""),"Star: Morg'n'Thorg")</f>
        <v>Star: Morg'n'Thorg</v>
      </c>
      <c r="AV47" s="203"/>
    </row>
    <row r="48" spans="3:48" ht="17.25" hidden="1" customHeight="1">
      <c r="C48" s="234"/>
      <c r="D48" s="234" t="str">
        <f t="shared" si="8"/>
        <v/>
      </c>
      <c r="I48" s="234"/>
      <c r="AV48" s="203"/>
    </row>
    <row r="49" spans="3:48" ht="17.25" hidden="1" customHeight="1">
      <c r="C49" s="234"/>
      <c r="D49" s="234" t="str">
        <f t="shared" si="8"/>
        <v/>
      </c>
      <c r="I49" s="234"/>
      <c r="AV49" s="203"/>
    </row>
    <row r="50" spans="3:48" ht="17.25" hidden="1" customHeight="1">
      <c r="C50" s="234"/>
      <c r="D50" s="234" t="str">
        <f t="shared" si="8"/>
        <v/>
      </c>
      <c r="I50" s="234"/>
      <c r="AV50" s="203"/>
    </row>
    <row r="51" spans="3:48" ht="17.25" hidden="1" customHeight="1">
      <c r="C51" s="234"/>
      <c r="D51" s="234" t="str">
        <f t="shared" si="8"/>
        <v/>
      </c>
      <c r="I51" s="234"/>
      <c r="AV51" s="203"/>
    </row>
  </sheetData>
  <mergeCells count="31">
    <mergeCell ref="B20:D28"/>
    <mergeCell ref="P2:S2"/>
    <mergeCell ref="AN3:AQ3"/>
    <mergeCell ref="AR3:AV3"/>
    <mergeCell ref="L22:S22"/>
    <mergeCell ref="L23:S23"/>
    <mergeCell ref="V22:AA22"/>
    <mergeCell ref="V23:AA23"/>
    <mergeCell ref="E20:AA20"/>
    <mergeCell ref="V25:AA25"/>
    <mergeCell ref="L25:S25"/>
    <mergeCell ref="I27:K27"/>
    <mergeCell ref="I21:K23"/>
    <mergeCell ref="E21:H23"/>
    <mergeCell ref="E25:H25"/>
    <mergeCell ref="E24:H24"/>
    <mergeCell ref="I24:K24"/>
    <mergeCell ref="I25:K25"/>
    <mergeCell ref="E26:H26"/>
    <mergeCell ref="I26:K26"/>
    <mergeCell ref="V26:AA26"/>
    <mergeCell ref="L26:S26"/>
    <mergeCell ref="V24:AA24"/>
    <mergeCell ref="L24:S24"/>
    <mergeCell ref="V21:AA21"/>
    <mergeCell ref="L21:S21"/>
    <mergeCell ref="AN21:AO21"/>
    <mergeCell ref="E28:AA28"/>
    <mergeCell ref="L27:S27"/>
    <mergeCell ref="V27:AA27"/>
    <mergeCell ref="E27:H27"/>
  </mergeCells>
  <conditionalFormatting sqref="J4">
    <cfRule type="expression" dxfId="289" priority="1">
      <formula>K4&lt;&gt;SUM(AE4:AJ4)</formula>
    </cfRule>
  </conditionalFormatting>
  <conditionalFormatting sqref="K4:K19">
    <cfRule type="cellIs" dxfId="288" priority="2" operator="equal">
      <formula>0</formula>
    </cfRule>
  </conditionalFormatting>
  <conditionalFormatting sqref="AB4:AB19">
    <cfRule type="cellIs" dxfId="287" priority="3" operator="equal">
      <formula>0</formula>
    </cfRule>
  </conditionalFormatting>
  <conditionalFormatting sqref="E4:H19">
    <cfRule type="expression" dxfId="286" priority="4">
      <formula>AG4&gt;0</formula>
    </cfRule>
  </conditionalFormatting>
  <conditionalFormatting sqref="E4:H19">
    <cfRule type="expression" dxfId="285" priority="5">
      <formula>P4&gt;0</formula>
    </cfRule>
  </conditionalFormatting>
  <conditionalFormatting sqref="T4:T19 U4:U19 V4:W19 Z4:Z19 U29">
    <cfRule type="cellIs" dxfId="284" priority="6" stopIfTrue="1" operator="equal">
      <formula>0</formula>
    </cfRule>
  </conditionalFormatting>
  <conditionalFormatting sqref="K4:K19">
    <cfRule type="cellIs" dxfId="283" priority="7" stopIfTrue="1" operator="equal">
      <formula>"n/a"</formula>
    </cfRule>
  </conditionalFormatting>
  <conditionalFormatting sqref="P4:S19">
    <cfRule type="cellIs" dxfId="282" priority="8" stopIfTrue="1" operator="lessThanOrEqual">
      <formula>-1</formula>
    </cfRule>
  </conditionalFormatting>
  <conditionalFormatting sqref="V25:W27">
    <cfRule type="cellIs" dxfId="281" priority="9" stopIfTrue="1" operator="equal">
      <formula>-500</formula>
    </cfRule>
  </conditionalFormatting>
  <conditionalFormatting sqref="T25:T27">
    <cfRule type="cellIs" dxfId="280" priority="10" stopIfTrue="1" operator="greaterThan">
      <formula>$V$25</formula>
    </cfRule>
  </conditionalFormatting>
  <conditionalFormatting sqref="AA4:AA19">
    <cfRule type="cellIs" dxfId="279" priority="11" stopIfTrue="1" operator="equal">
      <formula>"Star"</formula>
    </cfRule>
  </conditionalFormatting>
  <conditionalFormatting sqref="AA4:AA19">
    <cfRule type="cellIs" dxfId="278" priority="12" stopIfTrue="1" operator="equal">
      <formula>AB4</formula>
    </cfRule>
  </conditionalFormatting>
  <conditionalFormatting sqref="I4:I19">
    <cfRule type="cellIs" dxfId="277" priority="13" stopIfTrue="1" operator="equal">
      <formula>0</formula>
    </cfRule>
  </conditionalFormatting>
  <conditionalFormatting sqref="I4:I19">
    <cfRule type="cellIs" dxfId="276" priority="14" stopIfTrue="1" operator="equal">
      <formula>"Player type quantity surpassed"</formula>
    </cfRule>
  </conditionalFormatting>
  <conditionalFormatting sqref="J5">
    <cfRule type="expression" dxfId="275" priority="15">
      <formula>K5&lt;&gt;SUM(AE5:AJ5)</formula>
    </cfRule>
  </conditionalFormatting>
  <conditionalFormatting sqref="J6">
    <cfRule type="expression" dxfId="274" priority="16">
      <formula>K6&lt;&gt;SUM(AE6:AJ6)</formula>
    </cfRule>
  </conditionalFormatting>
  <conditionalFormatting sqref="J7">
    <cfRule type="expression" dxfId="273" priority="17">
      <formula>K7&lt;&gt;SUM(AE7:AJ7)</formula>
    </cfRule>
  </conditionalFormatting>
  <conditionalFormatting sqref="J8">
    <cfRule type="expression" dxfId="272" priority="18">
      <formula>K8&lt;&gt;SUM(AE8:AJ8)</formula>
    </cfRule>
  </conditionalFormatting>
  <conditionalFormatting sqref="J9">
    <cfRule type="expression" dxfId="271" priority="19">
      <formula>K9&lt;&gt;SUM(AE9:AJ9)</formula>
    </cfRule>
  </conditionalFormatting>
  <conditionalFormatting sqref="J10">
    <cfRule type="expression" dxfId="270" priority="20">
      <formula>K10&lt;&gt;SUM(AE10:AJ10)</formula>
    </cfRule>
  </conditionalFormatting>
  <conditionalFormatting sqref="J11">
    <cfRule type="expression" dxfId="269" priority="21">
      <formula>K11&lt;&gt;SUM(AE11:AJ11)</formula>
    </cfRule>
  </conditionalFormatting>
  <conditionalFormatting sqref="J12">
    <cfRule type="expression" dxfId="268" priority="22">
      <formula>K12&lt;&gt;SUM(AE12:AJ12)</formula>
    </cfRule>
  </conditionalFormatting>
  <conditionalFormatting sqref="J13">
    <cfRule type="expression" dxfId="267" priority="23">
      <formula>K13&lt;&gt;SUM(AE13:AJ13)</formula>
    </cfRule>
  </conditionalFormatting>
  <conditionalFormatting sqref="J14">
    <cfRule type="expression" dxfId="266" priority="24">
      <formula>K14&lt;&gt;SUM(AE14:AJ14)</formula>
    </cfRule>
  </conditionalFormatting>
  <conditionalFormatting sqref="J15">
    <cfRule type="expression" dxfId="265" priority="25">
      <formula>K15&lt;&gt;SUM(AE15:AJ15)</formula>
    </cfRule>
  </conditionalFormatting>
  <conditionalFormatting sqref="J16">
    <cfRule type="expression" dxfId="264" priority="26">
      <formula>K16&lt;&gt;SUM(AE16:AJ16)</formula>
    </cfRule>
  </conditionalFormatting>
  <conditionalFormatting sqref="J17">
    <cfRule type="expression" dxfId="263" priority="27">
      <formula>K17&lt;&gt;SUM(AE17:AJ17)</formula>
    </cfRule>
  </conditionalFormatting>
  <conditionalFormatting sqref="J18">
    <cfRule type="expression" dxfId="262" priority="28">
      <formula>K18&lt;&gt;SUM(AE18:AJ18)</formula>
    </cfRule>
  </conditionalFormatting>
  <conditionalFormatting sqref="J19">
    <cfRule type="expression" dxfId="261" priority="29">
      <formula>K19&lt;&gt;SUM(AE19:AJ19)</formula>
    </cfRule>
  </conditionalFormatting>
  <dataValidations count="4">
    <dataValidation type="list" allowBlank="1" showErrorMessage="1" sqref="D4:D19">
      <formula1>DH!$D$28:$D$49</formula1>
    </dataValidation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</dataValidations>
  <printOptions horizontalCentered="1" gridLines="1"/>
  <pageMargins left="0.7" right="0.7" top="0.75" bottom="0.75" header="0" footer="0"/>
  <pageSetup pageOrder="overThenDown" orientation="landscape" cellComments="atEnd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W51"/>
  <sheetViews>
    <sheetView showGridLines="0" workbookViewId="0">
      <selection activeCell="AB6" sqref="AB5:AB6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337" t="s">
        <v>3</v>
      </c>
      <c r="Q2" s="329"/>
      <c r="R2" s="329"/>
      <c r="S2" s="330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14</v>
      </c>
      <c r="J3" s="21" t="s">
        <v>16</v>
      </c>
      <c r="K3" s="22" t="s">
        <v>0</v>
      </c>
      <c r="L3" s="23" t="s">
        <v>17</v>
      </c>
      <c r="M3" s="24" t="s">
        <v>19</v>
      </c>
      <c r="N3" s="24" t="s">
        <v>20</v>
      </c>
      <c r="O3" s="25" t="s">
        <v>21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23</v>
      </c>
      <c r="U3" s="30" t="s">
        <v>24</v>
      </c>
      <c r="V3" s="30" t="s">
        <v>9</v>
      </c>
      <c r="W3" s="30" t="s">
        <v>25</v>
      </c>
      <c r="X3" s="31" t="s">
        <v>26</v>
      </c>
      <c r="Y3" s="25" t="s">
        <v>27</v>
      </c>
      <c r="Z3" s="32" t="s">
        <v>10</v>
      </c>
      <c r="AA3" s="33" t="s">
        <v>11</v>
      </c>
      <c r="AB3" s="34" t="s">
        <v>28</v>
      </c>
      <c r="AC3" s="4"/>
      <c r="AD3" s="13" t="s">
        <v>29</v>
      </c>
      <c r="AE3" s="20" t="s">
        <v>19</v>
      </c>
      <c r="AF3" s="35" t="s">
        <v>30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31</v>
      </c>
      <c r="AL3" s="39" t="s">
        <v>32</v>
      </c>
      <c r="AM3" s="4"/>
      <c r="AN3" s="338" t="s">
        <v>33</v>
      </c>
      <c r="AO3" s="315"/>
      <c r="AP3" s="315"/>
      <c r="AQ3" s="315"/>
      <c r="AR3" s="339" t="s">
        <v>34</v>
      </c>
      <c r="AS3" s="315"/>
      <c r="AT3" s="315"/>
      <c r="AU3" s="315"/>
      <c r="AV3" s="315"/>
      <c r="AW3" s="12"/>
    </row>
    <row r="4" spans="1:49" ht="12.75">
      <c r="A4" s="2"/>
      <c r="B4" s="40">
        <v>1</v>
      </c>
      <c r="C4" s="41" t="s">
        <v>143</v>
      </c>
      <c r="D4" s="42" t="s">
        <v>144</v>
      </c>
      <c r="E4" s="43">
        <f>IFERROR(VLOOKUP($I$24&amp;$D4,'Database-Hidden'!$C$2:$J$121,4,FALSE)-P4+AG4,"")</f>
        <v>6</v>
      </c>
      <c r="F4" s="44">
        <f>IFERROR(VLOOKUP($I$24&amp;$D4,'Database-Hidden'!$C$2:$J$121,5,FALSE)-Q4+AH4,"")</f>
        <v>3</v>
      </c>
      <c r="G4" s="44">
        <f>IFERROR(VLOOKUP($I$24&amp;$D4,'Database-Hidden'!$C$2:$J$121,6,FALSE)-R4+AI4,"")</f>
        <v>4</v>
      </c>
      <c r="H4" s="45">
        <f>IFERROR(VLOOKUP($I$24&amp;$D4,'Database-Hidden'!$C$2:$J$121,7,FALSE)-S4+AJ4,"")</f>
        <v>8</v>
      </c>
      <c r="I4" s="46" t="str">
        <f>IFERROR(VLOOKUP($I$24&amp;$D4,'Database-Hidden'!$C$2:$J$121,8,FALSE),"")</f>
        <v>Animosity</v>
      </c>
      <c r="J4" s="47" t="s">
        <v>145</v>
      </c>
      <c r="K4" s="48">
        <f t="shared" ref="K4:K19" si="0">IF(AA4&gt;175,6,IF(AA4&gt;75,5,IF(AA4&gt;50,4,IF(AA4&gt;30,3,IF(AA4&gt;15,2,IF(AA4&gt;5,1,0))))))</f>
        <v>2</v>
      </c>
      <c r="L4" s="49"/>
      <c r="M4" s="49"/>
      <c r="N4" s="49"/>
      <c r="O4" s="50"/>
      <c r="P4" s="51"/>
      <c r="Q4" s="52"/>
      <c r="R4" s="52"/>
      <c r="S4" s="53"/>
      <c r="T4" s="54"/>
      <c r="U4" s="55">
        <v>4</v>
      </c>
      <c r="V4" s="55">
        <v>3</v>
      </c>
      <c r="W4" s="55"/>
      <c r="X4" s="52"/>
      <c r="Y4" s="52"/>
      <c r="Z4" s="56">
        <v>1</v>
      </c>
      <c r="AA4" s="57">
        <f t="shared" ref="AA4:AA19" si="1">2*T4+U4+3*V4+2*W4+5*Z4</f>
        <v>18</v>
      </c>
      <c r="AB4" s="58">
        <f t="shared" ref="AB4:AB19" si="2">IF(L4=1,0,AD4+(20000*O4)+(20000*AE4)+(30000*AF4)+(30000*AG4)+(50000*AH4)+(40000*AI4)+(50000*AJ4)+AK4)</f>
        <v>110000</v>
      </c>
      <c r="AC4" s="4"/>
      <c r="AD4" s="59">
        <f>IFERROR(VLOOKUP($I$24&amp;D4,'Database-Hidden'!$C$2:$E$121,3,FALSE),"")</f>
        <v>70000</v>
      </c>
      <c r="AE4" s="60">
        <v>2</v>
      </c>
      <c r="AF4" s="62"/>
      <c r="AG4" s="62"/>
      <c r="AH4" s="62"/>
      <c r="AI4" s="62"/>
      <c r="AJ4" s="62"/>
      <c r="AK4" s="63"/>
      <c r="AL4" s="64" t="str">
        <f>IF(LEFT($D4,6)&lt;&gt;"Star: ","",VLOOKUP(RIGHT($D4,LEN($D4)-6),'Star Players-Hidden'!$A$3:$AK$69,37,FALSE))</f>
        <v/>
      </c>
      <c r="AM4" s="4"/>
      <c r="AN4" s="65" t="s">
        <v>39</v>
      </c>
      <c r="AO4" s="66">
        <v>30000</v>
      </c>
      <c r="AP4" s="4"/>
      <c r="AQ4" s="4"/>
      <c r="AR4" s="67"/>
      <c r="AS4" s="68"/>
      <c r="AT4" s="68"/>
      <c r="AU4" s="65" t="s">
        <v>42</v>
      </c>
      <c r="AV4" s="69">
        <v>0</v>
      </c>
      <c r="AW4" s="70"/>
    </row>
    <row r="5" spans="1:49" ht="12.75">
      <c r="A5" s="2"/>
      <c r="B5" s="71">
        <v>2</v>
      </c>
      <c r="C5" s="72"/>
      <c r="D5" s="73"/>
      <c r="E5" s="75" t="str">
        <f>IFERROR(VLOOKUP($I$24&amp;$D5,'Database-Hidden'!$C$2:$J$121,4,FALSE)-P5+AG5,"")</f>
        <v/>
      </c>
      <c r="F5" s="76" t="str">
        <f>IFERROR(VLOOKUP($I$24&amp;$D5,'Database-Hidden'!$C$2:$J$121,5,FALSE)-Q5+AH5,"")</f>
        <v/>
      </c>
      <c r="G5" s="76" t="str">
        <f>IFERROR(VLOOKUP($I$24&amp;$D5,'Database-Hidden'!$C$2:$J$121,6,FALSE)-R5+AI5,"")</f>
        <v/>
      </c>
      <c r="H5" s="77" t="str">
        <f>IFERROR(VLOOKUP($I$24&amp;$D5,'Database-Hidden'!$C$2:$J$121,7,FALSE)-S5+AJ5,"")</f>
        <v/>
      </c>
      <c r="I5" s="78" t="str">
        <f>IFERROR(VLOOKUP($I$24&amp;$D5,'Database-Hidden'!$C$2:$J$121,8,FALSE),"")</f>
        <v/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/>
      <c r="W5" s="89"/>
      <c r="X5" s="85"/>
      <c r="Y5" s="85"/>
      <c r="Z5" s="90"/>
      <c r="AA5" s="91">
        <f t="shared" si="1"/>
        <v>0</v>
      </c>
      <c r="AB5" s="58"/>
      <c r="AC5" s="4"/>
      <c r="AD5" s="92" t="str">
        <f>IFERROR(VLOOKUP($I$24&amp;D5,'Database-Hidden'!$C$2:$E$121,3,FALSE),"")</f>
        <v/>
      </c>
      <c r="AE5" s="93"/>
      <c r="AF5" s="94"/>
      <c r="AG5" s="94"/>
      <c r="AH5" s="94"/>
      <c r="AI5" s="94"/>
      <c r="AJ5" s="94"/>
      <c r="AK5" s="63"/>
      <c r="AL5" s="64" t="str">
        <f>IF(LEFT($D5,6)&lt;&gt;"Star: ","",VLOOKUP(RIGHT($D5,LEN($D5)-6),'Star Players-Hidden'!$A$3:$AK$69,37,FALSE))</f>
        <v/>
      </c>
      <c r="AM5" s="1"/>
      <c r="AN5" s="95" t="s">
        <v>47</v>
      </c>
      <c r="AO5" s="96" t="s">
        <v>48</v>
      </c>
      <c r="AP5" s="98" t="s">
        <v>49</v>
      </c>
      <c r="AQ5" s="99" t="s">
        <v>50</v>
      </c>
      <c r="AR5" s="100" t="s">
        <v>51</v>
      </c>
      <c r="AS5" s="98" t="s">
        <v>52</v>
      </c>
      <c r="AT5" s="101" t="s">
        <v>53</v>
      </c>
      <c r="AU5" s="101" t="s">
        <v>54</v>
      </c>
      <c r="AV5" s="103" t="s">
        <v>2</v>
      </c>
      <c r="AW5" s="104"/>
    </row>
    <row r="6" spans="1:49" ht="12.75">
      <c r="A6" s="2"/>
      <c r="B6" s="71">
        <v>3</v>
      </c>
      <c r="C6" s="105"/>
      <c r="D6" s="73"/>
      <c r="E6" s="75" t="str">
        <f>IFERROR(VLOOKUP($I$24&amp;$D6,'Database-Hidden'!$C$2:$J$121,4,FALSE)-P6+AG6,"")</f>
        <v/>
      </c>
      <c r="F6" s="76" t="str">
        <f>IFERROR(VLOOKUP($I$24&amp;$D6,'Database-Hidden'!$C$2:$J$121,5,FALSE)-Q6+AH6,"")</f>
        <v/>
      </c>
      <c r="G6" s="76" t="str">
        <f>IFERROR(VLOOKUP($I$24&amp;$D6,'Database-Hidden'!$C$2:$J$121,6,FALSE)-R6+AI6,"")</f>
        <v/>
      </c>
      <c r="H6" s="77" t="str">
        <f>IFERROR(VLOOKUP($I$24&amp;$D6,'Database-Hidden'!$C$2:$J$121,7,FALSE)-S6+AJ6,"")</f>
        <v/>
      </c>
      <c r="I6" s="78" t="str">
        <f>IFERROR(VLOOKUP($I$24&amp;$D6,'Database-Hidden'!$C$2:$J$121,8,FALSE),"")</f>
        <v/>
      </c>
      <c r="J6" s="106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8"/>
      <c r="X6" s="85"/>
      <c r="Y6" s="85"/>
      <c r="Z6" s="90"/>
      <c r="AA6" s="91">
        <f t="shared" si="1"/>
        <v>0</v>
      </c>
      <c r="AB6" s="58"/>
      <c r="AC6" s="4"/>
      <c r="AD6" s="92" t="str">
        <f>IFERROR(VLOOKUP($I$24&amp;D6,'Database-Hidden'!$C$2:$E$121,3,FALSE),"")</f>
        <v/>
      </c>
      <c r="AE6" s="93"/>
      <c r="AF6" s="107"/>
      <c r="AG6" s="107"/>
      <c r="AH6" s="107"/>
      <c r="AI6" s="107"/>
      <c r="AJ6" s="107"/>
      <c r="AK6" s="63"/>
      <c r="AL6" s="64" t="str">
        <f>IF(LEFT($D6,6)&lt;&gt;"Star: ","",VLOOKUP(RIGHT($D6,LEN($D6)-6),'Star Players-Hidden'!$A$3:$AK$69,37,FALSE))</f>
        <v/>
      </c>
      <c r="AM6" s="4"/>
      <c r="AN6" s="108" t="s">
        <v>57</v>
      </c>
      <c r="AO6" s="109">
        <v>20000</v>
      </c>
      <c r="AP6" s="110">
        <v>0</v>
      </c>
      <c r="AQ6" s="112">
        <v>0</v>
      </c>
      <c r="AR6" s="114" t="s">
        <v>154</v>
      </c>
      <c r="AS6" s="115" t="s">
        <v>155</v>
      </c>
      <c r="AT6" s="118">
        <v>1</v>
      </c>
      <c r="AU6" s="116">
        <v>5</v>
      </c>
      <c r="AV6" s="119">
        <v>1</v>
      </c>
      <c r="AW6" s="117"/>
    </row>
    <row r="7" spans="1:49" ht="12.75">
      <c r="A7" s="2"/>
      <c r="B7" s="71">
        <v>4</v>
      </c>
      <c r="C7" s="72" t="s">
        <v>156</v>
      </c>
      <c r="D7" s="73" t="s">
        <v>157</v>
      </c>
      <c r="E7" s="75">
        <f>IFERROR(VLOOKUP($I$24&amp;$D7,'Database-Hidden'!$C$2:$J$121,4,FALSE)-P7+AG7,"")</f>
        <v>5</v>
      </c>
      <c r="F7" s="76">
        <f>IFERROR(VLOOKUP($I$24&amp;$D7,'Database-Hidden'!$C$2:$J$121,5,FALSE)-Q7+AH7,"")</f>
        <v>3</v>
      </c>
      <c r="G7" s="76">
        <f>IFERROR(VLOOKUP($I$24&amp;$D7,'Database-Hidden'!$C$2:$J$121,6,FALSE)-R7+AI7,"")</f>
        <v>3</v>
      </c>
      <c r="H7" s="77">
        <f>IFERROR(VLOOKUP($I$24&amp;$D7,'Database-Hidden'!$C$2:$J$121,7,FALSE)-S7+AJ7,"")</f>
        <v>9</v>
      </c>
      <c r="I7" s="78" t="str">
        <f>IFERROR(VLOOKUP($I$24&amp;$D7,'Database-Hidden'!$C$2:$J$121,8,FALSE),"")</f>
        <v>Animosity</v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85"/>
      <c r="Z7" s="90"/>
      <c r="AA7" s="91">
        <f t="shared" si="1"/>
        <v>0</v>
      </c>
      <c r="AB7" s="58">
        <f t="shared" si="2"/>
        <v>50000</v>
      </c>
      <c r="AC7" s="4"/>
      <c r="AD7" s="120">
        <f>IFERROR(VLOOKUP($I$24&amp;D7,'Database-Hidden'!$C$2:$E$121,3,FALSE),"")</f>
        <v>50000</v>
      </c>
      <c r="AE7" s="93"/>
      <c r="AF7" s="107"/>
      <c r="AG7" s="107"/>
      <c r="AH7" s="107"/>
      <c r="AI7" s="107"/>
      <c r="AJ7" s="107"/>
      <c r="AK7" s="63"/>
      <c r="AL7" s="64" t="str">
        <f>IF(LEFT($D7,6)&lt;&gt;"Star: ","",VLOOKUP(RIGHT($D7,LEN($D7)-6),'Star Players-Hidden'!$A$3:$AK$69,37,FALSE))</f>
        <v/>
      </c>
      <c r="AM7" s="4"/>
      <c r="AN7" s="121" t="s">
        <v>63</v>
      </c>
      <c r="AO7" s="131">
        <v>60000</v>
      </c>
      <c r="AP7" s="132">
        <v>50000</v>
      </c>
      <c r="AQ7" s="138">
        <v>0</v>
      </c>
      <c r="AR7" s="133" t="s">
        <v>120</v>
      </c>
      <c r="AS7" s="134" t="s">
        <v>159</v>
      </c>
      <c r="AT7" s="135">
        <v>1</v>
      </c>
      <c r="AU7" s="136">
        <v>2</v>
      </c>
      <c r="AV7" s="129">
        <f>1</f>
        <v>1</v>
      </c>
      <c r="AW7" s="130"/>
    </row>
    <row r="8" spans="1:49" ht="12.75">
      <c r="A8" s="2"/>
      <c r="B8" s="71">
        <v>5</v>
      </c>
      <c r="C8" s="239" t="s">
        <v>160</v>
      </c>
      <c r="D8" s="73" t="s">
        <v>162</v>
      </c>
      <c r="E8" s="75">
        <f>IFERROR(VLOOKUP($I$24&amp;$D8,'Database-Hidden'!$C$2:$J$121,4,FALSE)-P8+AG8,"")</f>
        <v>6</v>
      </c>
      <c r="F8" s="76">
        <f>IFERROR(VLOOKUP($I$24&amp;$D8,'Database-Hidden'!$C$2:$J$121,5,FALSE)-Q8+AH8,"")</f>
        <v>3</v>
      </c>
      <c r="G8" s="76">
        <f>IFERROR(VLOOKUP($I$24&amp;$D8,'Database-Hidden'!$C$2:$J$121,6,FALSE)-R8+AI8,"")</f>
        <v>3</v>
      </c>
      <c r="H8" s="77">
        <f>IFERROR(VLOOKUP($I$24&amp;$D8,'Database-Hidden'!$C$2:$J$121,7,FALSE)-S8+AJ8,"")</f>
        <v>8</v>
      </c>
      <c r="I8" s="78">
        <f>IFERROR(VLOOKUP($I$24&amp;$D8,'Database-Hidden'!$C$2:$J$121,8,FALSE),"")</f>
        <v>0</v>
      </c>
      <c r="J8" s="79"/>
      <c r="K8" s="80">
        <f t="shared" si="0"/>
        <v>0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9"/>
      <c r="X8" s="85"/>
      <c r="Y8" s="85"/>
      <c r="Z8" s="90"/>
      <c r="AA8" s="91">
        <f t="shared" si="1"/>
        <v>0</v>
      </c>
      <c r="AB8" s="58">
        <f t="shared" si="2"/>
        <v>50000</v>
      </c>
      <c r="AC8" s="4"/>
      <c r="AD8" s="120">
        <f>IFERROR(VLOOKUP($I$24&amp;D8,'Database-Hidden'!$C$2:$E$121,3,FALSE),"")</f>
        <v>50000</v>
      </c>
      <c r="AE8" s="93"/>
      <c r="AF8" s="107"/>
      <c r="AG8" s="107"/>
      <c r="AH8" s="107"/>
      <c r="AI8" s="107"/>
      <c r="AJ8" s="107"/>
      <c r="AK8" s="63"/>
      <c r="AL8" s="64" t="str">
        <f>IF(LEFT($D8,6)&lt;&gt;"Star: ","",VLOOKUP(RIGHT($D8,LEN($D8)-6),'Star Players-Hidden'!$A$3:$AK$69,37,FALSE))</f>
        <v/>
      </c>
      <c r="AM8" s="4"/>
      <c r="AN8" s="121" t="s">
        <v>69</v>
      </c>
      <c r="AO8" s="131">
        <v>40000</v>
      </c>
      <c r="AP8" s="132">
        <v>0</v>
      </c>
      <c r="AQ8" s="138">
        <v>0</v>
      </c>
      <c r="AR8" s="133" t="s">
        <v>60</v>
      </c>
      <c r="AS8" s="134" t="s">
        <v>159</v>
      </c>
      <c r="AT8" s="135">
        <v>0</v>
      </c>
      <c r="AU8" s="136">
        <v>0</v>
      </c>
      <c r="AV8" s="137">
        <v>1</v>
      </c>
      <c r="AW8" s="130"/>
    </row>
    <row r="9" spans="1:49" ht="12.75">
      <c r="A9" s="2"/>
      <c r="B9" s="71">
        <v>6</v>
      </c>
      <c r="C9" s="239" t="s">
        <v>164</v>
      </c>
      <c r="D9" s="73" t="s">
        <v>162</v>
      </c>
      <c r="E9" s="75">
        <f>IFERROR(VLOOKUP($I$24&amp;$D9,'Database-Hidden'!$C$2:$J$121,4,FALSE)-P9+AG9,"")</f>
        <v>6</v>
      </c>
      <c r="F9" s="76">
        <f>IFERROR(VLOOKUP($I$24&amp;$D9,'Database-Hidden'!$C$2:$J$121,5,FALSE)-Q9+AH9,"")</f>
        <v>3</v>
      </c>
      <c r="G9" s="76">
        <f>IFERROR(VLOOKUP($I$24&amp;$D9,'Database-Hidden'!$C$2:$J$121,6,FALSE)-R9+AI9,"")</f>
        <v>3</v>
      </c>
      <c r="H9" s="77">
        <f>IFERROR(VLOOKUP($I$24&amp;$D9,'Database-Hidden'!$C$2:$J$121,7,FALSE)-S9+AJ9,"")</f>
        <v>8</v>
      </c>
      <c r="I9" s="78">
        <f>IFERROR(VLOOKUP($I$24&amp;$D9,'Database-Hidden'!$C$2:$J$121,8,FALSE),"")</f>
        <v>0</v>
      </c>
      <c r="J9" s="79" t="s">
        <v>55</v>
      </c>
      <c r="K9" s="80">
        <f t="shared" si="0"/>
        <v>1</v>
      </c>
      <c r="L9" s="81"/>
      <c r="M9" s="81"/>
      <c r="N9" s="81"/>
      <c r="O9" s="83"/>
      <c r="P9" s="84"/>
      <c r="Q9" s="85"/>
      <c r="R9" s="85"/>
      <c r="S9" s="86"/>
      <c r="T9" s="87"/>
      <c r="U9" s="88"/>
      <c r="V9" s="88"/>
      <c r="W9" s="89">
        <v>3</v>
      </c>
      <c r="X9" s="85"/>
      <c r="Y9" s="85"/>
      <c r="Z9" s="90"/>
      <c r="AA9" s="91">
        <f t="shared" si="1"/>
        <v>6</v>
      </c>
      <c r="AB9" s="58">
        <f t="shared" si="2"/>
        <v>70000</v>
      </c>
      <c r="AC9" s="4"/>
      <c r="AD9" s="120">
        <f>IFERROR(VLOOKUP($I$24&amp;D9,'Database-Hidden'!$C$2:$E$121,3,FALSE),"")</f>
        <v>50000</v>
      </c>
      <c r="AE9" s="93">
        <v>1</v>
      </c>
      <c r="AF9" s="94"/>
      <c r="AG9" s="107"/>
      <c r="AH9" s="107"/>
      <c r="AI9" s="107"/>
      <c r="AJ9" s="107"/>
      <c r="AK9" s="63"/>
      <c r="AL9" s="64" t="str">
        <f>IF(LEFT($D9,6)&lt;&gt;"Star: ","",VLOOKUP(RIGHT($D9,LEN($D9)-6),'Star Players-Hidden'!$A$3:$AK$69,37,FALSE))</f>
        <v/>
      </c>
      <c r="AM9" s="4"/>
      <c r="AN9" s="121" t="s">
        <v>72</v>
      </c>
      <c r="AO9" s="131">
        <v>30000</v>
      </c>
      <c r="AP9" s="132">
        <v>110000</v>
      </c>
      <c r="AQ9" s="138">
        <v>0</v>
      </c>
      <c r="AR9" s="133" t="s">
        <v>150</v>
      </c>
      <c r="AS9" s="134" t="s">
        <v>159</v>
      </c>
      <c r="AT9" s="135">
        <v>1</v>
      </c>
      <c r="AU9" s="136">
        <v>0</v>
      </c>
      <c r="AV9" s="129">
        <f t="shared" ref="AV9:AV10" si="3">1</f>
        <v>1</v>
      </c>
      <c r="AW9" s="130"/>
    </row>
    <row r="10" spans="1:49" ht="12.75">
      <c r="A10" s="2"/>
      <c r="B10" s="71">
        <v>7</v>
      </c>
      <c r="C10" s="72" t="s">
        <v>167</v>
      </c>
      <c r="D10" s="73" t="s">
        <v>162</v>
      </c>
      <c r="E10" s="75">
        <f>IFERROR(VLOOKUP($I$24&amp;$D10,'Database-Hidden'!$C$2:$J$121,4,FALSE)-P10+AG10,"")</f>
        <v>6</v>
      </c>
      <c r="F10" s="76">
        <f>IFERROR(VLOOKUP($I$24&amp;$D10,'Database-Hidden'!$C$2:$J$121,5,FALSE)-Q10+AH10,"")</f>
        <v>3</v>
      </c>
      <c r="G10" s="76">
        <f>IFERROR(VLOOKUP($I$24&amp;$D10,'Database-Hidden'!$C$2:$J$121,6,FALSE)-R10+AI10,"")</f>
        <v>3</v>
      </c>
      <c r="H10" s="77">
        <f>IFERROR(VLOOKUP($I$24&amp;$D10,'Database-Hidden'!$C$2:$J$121,7,FALSE)-S10+AJ10,"")</f>
        <v>8</v>
      </c>
      <c r="I10" s="78">
        <f>IFERROR(VLOOKUP($I$24&amp;$D10,'Database-Hidden'!$C$2:$J$121,8,FALSE),"")</f>
        <v>0</v>
      </c>
      <c r="J10" s="79" t="s">
        <v>55</v>
      </c>
      <c r="K10" s="80">
        <f t="shared" si="0"/>
        <v>1</v>
      </c>
      <c r="L10" s="81"/>
      <c r="M10" s="81"/>
      <c r="N10" s="82"/>
      <c r="O10" s="83"/>
      <c r="P10" s="84"/>
      <c r="Q10" s="85"/>
      <c r="R10" s="85"/>
      <c r="S10" s="86"/>
      <c r="T10" s="87"/>
      <c r="U10" s="88"/>
      <c r="V10" s="88"/>
      <c r="W10" s="89">
        <v>1</v>
      </c>
      <c r="X10" s="85"/>
      <c r="Y10" s="85"/>
      <c r="Z10" s="90">
        <v>1</v>
      </c>
      <c r="AA10" s="91">
        <f t="shared" si="1"/>
        <v>7</v>
      </c>
      <c r="AB10" s="58">
        <f t="shared" si="2"/>
        <v>70000</v>
      </c>
      <c r="AC10" s="4"/>
      <c r="AD10" s="120">
        <f>IFERROR(VLOOKUP($I$24&amp;D10,'Database-Hidden'!$C$2:$E$121,3,FALSE),"")</f>
        <v>50000</v>
      </c>
      <c r="AE10" s="93">
        <v>1</v>
      </c>
      <c r="AF10" s="94"/>
      <c r="AG10" s="107"/>
      <c r="AH10" s="107"/>
      <c r="AI10" s="107"/>
      <c r="AJ10" s="107"/>
      <c r="AK10" s="63"/>
      <c r="AL10" s="64" t="str">
        <f>IF(LEFT($D10,6)&lt;&gt;"Star: ","",VLOOKUP(RIGHT($D10,LEN($D10)-6),'Star Players-Hidden'!$A$3:$AK$69,37,FALSE))</f>
        <v/>
      </c>
      <c r="AM10" s="4"/>
      <c r="AN10" s="121" t="s">
        <v>78</v>
      </c>
      <c r="AO10" s="131">
        <v>60000</v>
      </c>
      <c r="AP10" s="132">
        <v>50000</v>
      </c>
      <c r="AQ10" s="138">
        <v>0</v>
      </c>
      <c r="AR10" s="133" t="s">
        <v>76</v>
      </c>
      <c r="AS10" s="134" t="s">
        <v>155</v>
      </c>
      <c r="AT10" s="135">
        <v>2</v>
      </c>
      <c r="AU10" s="136">
        <v>2</v>
      </c>
      <c r="AV10" s="129">
        <f t="shared" si="3"/>
        <v>1</v>
      </c>
      <c r="AW10" s="130"/>
    </row>
    <row r="11" spans="1:49" ht="12.75">
      <c r="A11" s="2"/>
      <c r="B11" s="71">
        <v>8</v>
      </c>
      <c r="C11" s="72" t="s">
        <v>171</v>
      </c>
      <c r="D11" s="73" t="s">
        <v>162</v>
      </c>
      <c r="E11" s="75">
        <f>IFERROR(VLOOKUP($I$24&amp;$D11,'Database-Hidden'!$C$2:$J$121,4,FALSE)-P11+AG11,"")</f>
        <v>6</v>
      </c>
      <c r="F11" s="76">
        <f>IFERROR(VLOOKUP($I$24&amp;$D11,'Database-Hidden'!$C$2:$J$121,5,FALSE)-Q11+AH11,"")</f>
        <v>3</v>
      </c>
      <c r="G11" s="76">
        <f>IFERROR(VLOOKUP($I$24&amp;$D11,'Database-Hidden'!$C$2:$J$121,6,FALSE)-R11+AI11,"")</f>
        <v>3</v>
      </c>
      <c r="H11" s="77">
        <f>IFERROR(VLOOKUP($I$24&amp;$D11,'Database-Hidden'!$C$2:$J$121,7,FALSE)-S11+AJ11,"")</f>
        <v>8</v>
      </c>
      <c r="I11" s="78">
        <f>IFERROR(VLOOKUP($I$24&amp;$D11,'Database-Hidden'!$C$2:$J$121,8,FALSE),"")</f>
        <v>0</v>
      </c>
      <c r="J11" s="79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9"/>
      <c r="V11" s="89"/>
      <c r="W11" s="89"/>
      <c r="X11" s="85"/>
      <c r="Y11" s="85"/>
      <c r="Z11" s="90"/>
      <c r="AA11" s="91">
        <f t="shared" si="1"/>
        <v>0</v>
      </c>
      <c r="AB11" s="58">
        <f t="shared" si="2"/>
        <v>50000</v>
      </c>
      <c r="AC11" s="4"/>
      <c r="AD11" s="120">
        <f>IFERROR(VLOOKUP($I$24&amp;D11,'Database-Hidden'!$C$2:$E$121,3,FALSE),"")</f>
        <v>50000</v>
      </c>
      <c r="AE11" s="139"/>
      <c r="AF11" s="107"/>
      <c r="AG11" s="107"/>
      <c r="AH11" s="107"/>
      <c r="AI11" s="107"/>
      <c r="AJ11" s="107"/>
      <c r="AK11" s="63"/>
      <c r="AL11" s="64" t="str">
        <f>IF(LEFT($D11,6)&lt;&gt;"Star: ","",VLOOKUP(RIGHT($D11,LEN($D11)-6),'Star Players-Hidden'!$A$3:$AK$69,37,FALSE))</f>
        <v/>
      </c>
      <c r="AM11" s="4"/>
      <c r="AN11" s="121" t="s">
        <v>82</v>
      </c>
      <c r="AO11" s="122"/>
      <c r="AP11" s="123"/>
      <c r="AQ11" s="124"/>
      <c r="AR11" s="125"/>
      <c r="AS11" s="126"/>
      <c r="AT11" s="127"/>
      <c r="AU11" s="128"/>
      <c r="AV11" s="129"/>
      <c r="AW11" s="130"/>
    </row>
    <row r="12" spans="1:49" ht="12.75">
      <c r="A12" s="2"/>
      <c r="B12" s="71">
        <v>9</v>
      </c>
      <c r="C12" s="105" t="s">
        <v>174</v>
      </c>
      <c r="D12" s="73" t="s">
        <v>162</v>
      </c>
      <c r="E12" s="75">
        <f>IFERROR(VLOOKUP($I$24&amp;$D12,'Database-Hidden'!$C$2:$J$121,4,FALSE)-P12+AG12,"")</f>
        <v>6</v>
      </c>
      <c r="F12" s="76">
        <f>IFERROR(VLOOKUP($I$24&amp;$D12,'Database-Hidden'!$C$2:$J$121,5,FALSE)-Q12+AH12,"")</f>
        <v>3</v>
      </c>
      <c r="G12" s="76">
        <f>IFERROR(VLOOKUP($I$24&amp;$D12,'Database-Hidden'!$C$2:$J$121,6,FALSE)-R12+AI12,"")</f>
        <v>3</v>
      </c>
      <c r="H12" s="77">
        <f>IFERROR(VLOOKUP($I$24&amp;$D12,'Database-Hidden'!$C$2:$J$121,7,FALSE)-S12+AJ12,"")</f>
        <v>8</v>
      </c>
      <c r="I12" s="78">
        <f>IFERROR(VLOOKUP($I$24&amp;$D12,'Database-Hidden'!$C$2:$J$121,8,FALSE),"")</f>
        <v>0</v>
      </c>
      <c r="J12" s="106"/>
      <c r="K12" s="80">
        <f t="shared" si="0"/>
        <v>0</v>
      </c>
      <c r="L12" s="81"/>
      <c r="M12" s="81"/>
      <c r="N12" s="81"/>
      <c r="O12" s="83"/>
      <c r="P12" s="84"/>
      <c r="Q12" s="85"/>
      <c r="R12" s="85"/>
      <c r="S12" s="86"/>
      <c r="T12" s="87"/>
      <c r="U12" s="88"/>
      <c r="V12" s="88"/>
      <c r="W12" s="88"/>
      <c r="X12" s="85"/>
      <c r="Y12" s="85"/>
      <c r="Z12" s="90"/>
      <c r="AA12" s="91">
        <f t="shared" si="1"/>
        <v>0</v>
      </c>
      <c r="AB12" s="58">
        <f t="shared" si="2"/>
        <v>50000</v>
      </c>
      <c r="AC12" s="4"/>
      <c r="AD12" s="120">
        <f>IFERROR(VLOOKUP($I$24&amp;D12,'Database-Hidden'!$C$2:$E$121,3,FALSE),"")</f>
        <v>50000</v>
      </c>
      <c r="AE12" s="139"/>
      <c r="AF12" s="107"/>
      <c r="AG12" s="107"/>
      <c r="AH12" s="107"/>
      <c r="AI12" s="107"/>
      <c r="AJ12" s="107"/>
      <c r="AK12" s="63"/>
      <c r="AL12" s="64" t="str">
        <f>IF(LEFT($D12,6)&lt;&gt;"Star: ","",VLOOKUP(RIGHT($D12,LEN($D12)-6),'Star Players-Hidden'!$A$3:$AK$69,37,FALSE))</f>
        <v/>
      </c>
      <c r="AM12" s="4"/>
      <c r="AN12" s="121" t="s">
        <v>87</v>
      </c>
      <c r="AO12" s="122"/>
      <c r="AP12" s="123"/>
      <c r="AQ12" s="124"/>
      <c r="AR12" s="125"/>
      <c r="AS12" s="126"/>
      <c r="AT12" s="127"/>
      <c r="AU12" s="128"/>
      <c r="AV12" s="129"/>
      <c r="AW12" s="130"/>
    </row>
    <row r="13" spans="1:49" ht="12.75">
      <c r="A13" s="2"/>
      <c r="B13" s="71">
        <v>10</v>
      </c>
      <c r="C13" s="239" t="s">
        <v>175</v>
      </c>
      <c r="D13" s="73" t="s">
        <v>162</v>
      </c>
      <c r="E13" s="75">
        <f>IFERROR(VLOOKUP($I$24&amp;$D13,'Database-Hidden'!$C$2:$J$121,4,FALSE)-P13+AG13,"")</f>
        <v>6</v>
      </c>
      <c r="F13" s="76">
        <f>IFERROR(VLOOKUP($I$24&amp;$D13,'Database-Hidden'!$C$2:$J$121,5,FALSE)-Q13+AH13,"")</f>
        <v>3</v>
      </c>
      <c r="G13" s="76">
        <f>IFERROR(VLOOKUP($I$24&amp;$D13,'Database-Hidden'!$C$2:$J$121,6,FALSE)-R13+AI13,"")</f>
        <v>3</v>
      </c>
      <c r="H13" s="77">
        <f>IFERROR(VLOOKUP($I$24&amp;$D13,'Database-Hidden'!$C$2:$J$121,7,FALSE)-S13+AJ13,"")</f>
        <v>8</v>
      </c>
      <c r="I13" s="78">
        <f>IFERROR(VLOOKUP($I$24&amp;$D13,'Database-Hidden'!$C$2:$J$121,8,FALSE),"")</f>
        <v>0</v>
      </c>
      <c r="J13" s="106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9"/>
      <c r="V13" s="88"/>
      <c r="W13" s="89"/>
      <c r="X13" s="85"/>
      <c r="Y13" s="85"/>
      <c r="Z13" s="90"/>
      <c r="AA13" s="91">
        <f t="shared" si="1"/>
        <v>0</v>
      </c>
      <c r="AB13" s="58">
        <f t="shared" si="2"/>
        <v>50000</v>
      </c>
      <c r="AC13" s="4"/>
      <c r="AD13" s="120">
        <f>IFERROR(VLOOKUP($I$24&amp;D13,'Database-Hidden'!$C$2:$E$121,3,FALSE),"")</f>
        <v>50000</v>
      </c>
      <c r="AE13" s="139"/>
      <c r="AF13" s="94"/>
      <c r="AG13" s="107"/>
      <c r="AH13" s="107"/>
      <c r="AI13" s="107"/>
      <c r="AJ13" s="107"/>
      <c r="AK13" s="63"/>
      <c r="AL13" s="64" t="str">
        <f>IF(LEFT($D13,6)&lt;&gt;"Star: ","",VLOOKUP(RIGHT($D13,LEN($D13)-6),'Star Players-Hidden'!$A$3:$AK$69,37,FALSE))</f>
        <v/>
      </c>
      <c r="AM13" s="4"/>
      <c r="AN13" s="121" t="s">
        <v>95</v>
      </c>
      <c r="AO13" s="122"/>
      <c r="AP13" s="123"/>
      <c r="AQ13" s="124"/>
      <c r="AR13" s="125"/>
      <c r="AS13" s="126"/>
      <c r="AT13" s="127"/>
      <c r="AU13" s="128"/>
      <c r="AV13" s="129"/>
      <c r="AW13" s="130"/>
    </row>
    <row r="14" spans="1:49" ht="12.75">
      <c r="A14" s="2"/>
      <c r="B14" s="71">
        <v>11</v>
      </c>
      <c r="C14" s="239" t="s">
        <v>176</v>
      </c>
      <c r="D14" s="73" t="s">
        <v>162</v>
      </c>
      <c r="E14" s="75">
        <f>IFERROR(VLOOKUP($I$24&amp;$D14,'Database-Hidden'!$C$2:$J$121,4,FALSE)-P14+AG14,"")</f>
        <v>6</v>
      </c>
      <c r="F14" s="76">
        <f>IFERROR(VLOOKUP($I$24&amp;$D14,'Database-Hidden'!$C$2:$J$121,5,FALSE)-Q14+AH14,"")</f>
        <v>3</v>
      </c>
      <c r="G14" s="76">
        <f>IFERROR(VLOOKUP($I$24&amp;$D14,'Database-Hidden'!$C$2:$J$121,6,FALSE)-R14+AI14,"")</f>
        <v>3</v>
      </c>
      <c r="H14" s="77">
        <f>IFERROR(VLOOKUP($I$24&amp;$D14,'Database-Hidden'!$C$2:$J$121,7,FALSE)-S14+AJ14,"")</f>
        <v>8</v>
      </c>
      <c r="I14" s="78">
        <f>IFERROR(VLOOKUP($I$24&amp;$D14,'Database-Hidden'!$C$2:$J$121,8,FALSE),"")</f>
        <v>0</v>
      </c>
      <c r="J14" s="79" t="s">
        <v>165</v>
      </c>
      <c r="K14" s="80">
        <f t="shared" si="0"/>
        <v>1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9"/>
      <c r="W14" s="89">
        <v>1</v>
      </c>
      <c r="X14" s="85"/>
      <c r="Y14" s="85"/>
      <c r="Z14" s="90">
        <v>1</v>
      </c>
      <c r="AA14" s="91">
        <f t="shared" si="1"/>
        <v>7</v>
      </c>
      <c r="AB14" s="58">
        <f t="shared" si="2"/>
        <v>70000</v>
      </c>
      <c r="AC14" s="4"/>
      <c r="AD14" s="120">
        <f>IFERROR(VLOOKUP($I$24&amp;D14,'Database-Hidden'!$C$2:$E$121,3,FALSE),"")</f>
        <v>50000</v>
      </c>
      <c r="AE14" s="93">
        <v>1</v>
      </c>
      <c r="AF14" s="107"/>
      <c r="AG14" s="107"/>
      <c r="AH14" s="107"/>
      <c r="AI14" s="107"/>
      <c r="AJ14" s="107"/>
      <c r="AK14" s="63"/>
      <c r="AL14" s="64" t="str">
        <f>IF(LEFT($D14,6)&lt;&gt;"Star: ","",VLOOKUP(RIGHT($D14,LEN($D14)-6),'Star Players-Hidden'!$A$3:$AK$69,37,FALSE))</f>
        <v/>
      </c>
      <c r="AM14" s="4"/>
      <c r="AN14" s="121" t="s">
        <v>98</v>
      </c>
      <c r="AO14" s="122"/>
      <c r="AP14" s="123"/>
      <c r="AQ14" s="124"/>
      <c r="AR14" s="125"/>
      <c r="AS14" s="126"/>
      <c r="AT14" s="127"/>
      <c r="AU14" s="128"/>
      <c r="AV14" s="129"/>
      <c r="AW14" s="130"/>
    </row>
    <row r="15" spans="1:49" ht="12.75">
      <c r="A15" s="2"/>
      <c r="B15" s="71">
        <v>12</v>
      </c>
      <c r="C15" s="239"/>
      <c r="D15" s="73"/>
      <c r="E15" s="75" t="str">
        <f>IFERROR(VLOOKUP($I$24&amp;$D15,'Database-Hidden'!$C$2:$J$121,4,FALSE)-P15+AG15,"")</f>
        <v/>
      </c>
      <c r="F15" s="76" t="str">
        <f>IFERROR(VLOOKUP($I$24&amp;$D15,'Database-Hidden'!$C$2:$J$121,5,FALSE)-Q15+AH15,"")</f>
        <v/>
      </c>
      <c r="G15" s="76" t="str">
        <f>IFERROR(VLOOKUP($I$24&amp;$D15,'Database-Hidden'!$C$2:$J$121,6,FALSE)-R15+AI15,"")</f>
        <v/>
      </c>
      <c r="H15" s="77" t="str">
        <f>IFERROR(VLOOKUP($I$24&amp;$D15,'Database-Hidden'!$C$2:$J$121,7,FALSE)-S15+AJ15,"")</f>
        <v/>
      </c>
      <c r="I15" s="78" t="str">
        <f>IFERROR(VLOOKUP($I$24&amp;$D15,'Database-Hidden'!$C$2:$J$121,8,FALSE),"")</f>
        <v/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8"/>
      <c r="V15" s="89"/>
      <c r="W15" s="89"/>
      <c r="X15" s="85"/>
      <c r="Y15" s="85"/>
      <c r="Z15" s="90"/>
      <c r="AA15" s="91">
        <f t="shared" si="1"/>
        <v>0</v>
      </c>
      <c r="AB15" s="58"/>
      <c r="AC15" s="4"/>
      <c r="AD15" s="120" t="str">
        <f>IFERROR(VLOOKUP($I$24&amp;D15,'Database-Hidden'!$C$2:$E$121,3,FALSE),"")</f>
        <v/>
      </c>
      <c r="AE15" s="93"/>
      <c r="AF15" s="107"/>
      <c r="AG15" s="107"/>
      <c r="AH15" s="107"/>
      <c r="AI15" s="107"/>
      <c r="AJ15" s="107"/>
      <c r="AK15" s="63"/>
      <c r="AL15" s="64" t="str">
        <f>IF(LEFT($D15,6)&lt;&gt;"Star: ","",VLOOKUP(RIGHT($D15,LEN($D15)-6),'Star Players-Hidden'!$A$3:$AK$69,37,FALSE))</f>
        <v/>
      </c>
      <c r="AM15" s="4"/>
      <c r="AN15" s="121" t="s">
        <v>102</v>
      </c>
      <c r="AO15" s="122"/>
      <c r="AP15" s="123"/>
      <c r="AQ15" s="124"/>
      <c r="AR15" s="125"/>
      <c r="AS15" s="126"/>
      <c r="AT15" s="127"/>
      <c r="AU15" s="128"/>
      <c r="AV15" s="129"/>
      <c r="AW15" s="130"/>
    </row>
    <row r="16" spans="1:49" ht="12.75">
      <c r="A16" s="2"/>
      <c r="B16" s="71">
        <v>13</v>
      </c>
      <c r="C16" s="239"/>
      <c r="D16" s="73"/>
      <c r="E16" s="75" t="str">
        <f>IFERROR(VLOOKUP($I$24&amp;$D16,'Database-Hidden'!$C$2:$J$121,4,FALSE)-P16+AG16,"")</f>
        <v/>
      </c>
      <c r="F16" s="76" t="str">
        <f>IFERROR(VLOOKUP($I$24&amp;$D16,'Database-Hidden'!$C$2:$J$121,5,FALSE)-Q16+AH16,"")</f>
        <v/>
      </c>
      <c r="G16" s="76" t="str">
        <f>IFERROR(VLOOKUP($I$24&amp;$D16,'Database-Hidden'!$C$2:$J$121,6,FALSE)-R16+AI16,"")</f>
        <v/>
      </c>
      <c r="H16" s="77" t="str">
        <f>IFERROR(VLOOKUP($I$24&amp;$D16,'Database-Hidden'!$C$2:$J$121,7,FALSE)-S16+AJ16,"")</f>
        <v/>
      </c>
      <c r="I16" s="78" t="str">
        <f>IFERROR(VLOOKUP($I$24&amp;$D16,'Database-Hidden'!$C$2:$J$121,8,FALSE),"")</f>
        <v/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85"/>
      <c r="Z16" s="90"/>
      <c r="AA16" s="91">
        <f t="shared" si="1"/>
        <v>0</v>
      </c>
      <c r="AB16" s="58"/>
      <c r="AC16" s="4"/>
      <c r="AD16" s="120" t="str">
        <f>IFERROR(VLOOKUP($I$24&amp;D16,'Database-Hidden'!$C$2:$E$121,3,FALSE),"")</f>
        <v/>
      </c>
      <c r="AE16" s="93"/>
      <c r="AF16" s="107"/>
      <c r="AG16" s="107"/>
      <c r="AH16" s="107"/>
      <c r="AI16" s="107"/>
      <c r="AJ16" s="107"/>
      <c r="AK16" s="63"/>
      <c r="AL16" s="64" t="str">
        <f>IF(LEFT($D16,6)&lt;&gt;"Star: ","",VLOOKUP(RIGHT($D16,LEN($D16)-6),'Star Players-Hidden'!$A$3:$AK$69,37,FALSE))</f>
        <v/>
      </c>
      <c r="AM16" s="4"/>
      <c r="AN16" s="121" t="s">
        <v>105</v>
      </c>
      <c r="AO16" s="122"/>
      <c r="AP16" s="123"/>
      <c r="AQ16" s="124"/>
      <c r="AR16" s="125"/>
      <c r="AS16" s="126"/>
      <c r="AT16" s="127"/>
      <c r="AU16" s="128"/>
      <c r="AV16" s="129"/>
      <c r="AW16" s="130"/>
    </row>
    <row r="17" spans="1:49" ht="22.5">
      <c r="A17" s="2"/>
      <c r="B17" s="71">
        <v>14</v>
      </c>
      <c r="C17" s="239" t="s">
        <v>183</v>
      </c>
      <c r="D17" s="73" t="s">
        <v>184</v>
      </c>
      <c r="E17" s="75">
        <f>IFERROR(VLOOKUP($I$24&amp;$D17,'Database-Hidden'!$C$2:$J$121,4,FALSE)-P17+AG17,"")</f>
        <v>5</v>
      </c>
      <c r="F17" s="76">
        <f>IFERROR(VLOOKUP($I$24&amp;$D17,'Database-Hidden'!$C$2:$J$121,5,FALSE)-Q17+AH17,"")</f>
        <v>5</v>
      </c>
      <c r="G17" s="76">
        <f>IFERROR(VLOOKUP($I$24&amp;$D17,'Database-Hidden'!$C$2:$J$121,6,FALSE)-R17+AI17,"")</f>
        <v>2</v>
      </c>
      <c r="H17" s="77">
        <f>IFERROR(VLOOKUP($I$24&amp;$D17,'Database-Hidden'!$C$2:$J$121,7,FALSE)-S17+AJ17,"")</f>
        <v>9</v>
      </c>
      <c r="I17" s="78" t="str">
        <f>IFERROR(VLOOKUP($I$24&amp;$D17,'Database-Hidden'!$C$2:$J$121,8,FALSE),"")</f>
        <v>Loner, Bone-head, Mighty Blow, Thick Skull, Throw Team-mate</v>
      </c>
      <c r="J17" s="79" t="s">
        <v>43</v>
      </c>
      <c r="K17" s="80">
        <f t="shared" si="0"/>
        <v>1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>
        <v>1</v>
      </c>
      <c r="X17" s="85"/>
      <c r="Y17" s="85"/>
      <c r="Z17" s="90">
        <v>1</v>
      </c>
      <c r="AA17" s="91">
        <f t="shared" si="1"/>
        <v>7</v>
      </c>
      <c r="AB17" s="58">
        <f t="shared" si="2"/>
        <v>160000</v>
      </c>
      <c r="AC17" s="4"/>
      <c r="AD17" s="120">
        <f>IFERROR(VLOOKUP($I$24&amp;D17,'Database-Hidden'!$C$2:$E$121,3,FALSE),"")</f>
        <v>140000</v>
      </c>
      <c r="AE17" s="93">
        <v>1</v>
      </c>
      <c r="AF17" s="107"/>
      <c r="AG17" s="107"/>
      <c r="AH17" s="107"/>
      <c r="AI17" s="107"/>
      <c r="AJ17" s="107"/>
      <c r="AK17" s="63"/>
      <c r="AL17" s="64" t="str">
        <f>IF(LEFT($D17,6)&lt;&gt;"Star: ","",VLOOKUP(RIGHT($D17,LEN($D17)-6),'Star Players-Hidden'!$A$3:$AK$69,37,FALSE))</f>
        <v/>
      </c>
      <c r="AM17" s="4"/>
      <c r="AN17" s="141" t="s">
        <v>108</v>
      </c>
      <c r="AO17" s="142"/>
      <c r="AP17" s="143"/>
      <c r="AQ17" s="144"/>
      <c r="AR17" s="145"/>
      <c r="AS17" s="146"/>
      <c r="AT17" s="147"/>
      <c r="AU17" s="149"/>
      <c r="AV17" s="150"/>
      <c r="AW17" s="130"/>
    </row>
    <row r="18" spans="1:49" ht="22.5">
      <c r="A18" s="2"/>
      <c r="B18" s="71">
        <v>15</v>
      </c>
      <c r="C18" s="72" t="s">
        <v>187</v>
      </c>
      <c r="D18" s="73" t="s">
        <v>111</v>
      </c>
      <c r="E18" s="75">
        <f>IFERROR(VLOOKUP($I$24&amp;$D18,'Database-Hidden'!$C$2:$J$121,4,FALSE)-P18+AG18,"")</f>
        <v>5</v>
      </c>
      <c r="F18" s="76">
        <f>IFERROR(VLOOKUP($I$24&amp;$D18,'Database-Hidden'!$C$2:$J$121,5,FALSE)-Q18+AH18,"")</f>
        <v>5</v>
      </c>
      <c r="G18" s="76">
        <f>IFERROR(VLOOKUP($I$24&amp;$D18,'Database-Hidden'!$C$2:$J$121,6,FALSE)-R18+AI18,"")</f>
        <v>2</v>
      </c>
      <c r="H18" s="77">
        <f>IFERROR(VLOOKUP($I$24&amp;$D18,'Database-Hidden'!$C$2:$J$121,7,FALSE)-S18+AJ18,"")</f>
        <v>8</v>
      </c>
      <c r="I18" s="78" t="str">
        <f>IFERROR(VLOOKUP($I$24&amp;$D18,'Database-Hidden'!$C$2:$J$121,8,FALSE),"")</f>
        <v>Loner, Frenzy, Wild Animal, Horns, Mighty Blow, Thick Skull</v>
      </c>
      <c r="J18" s="79" t="s">
        <v>189</v>
      </c>
      <c r="K18" s="80">
        <f t="shared" si="0"/>
        <v>1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>
        <v>3</v>
      </c>
      <c r="X18" s="140">
        <v>1</v>
      </c>
      <c r="Y18" s="85"/>
      <c r="Z18" s="90">
        <v>1</v>
      </c>
      <c r="AA18" s="91">
        <f t="shared" si="1"/>
        <v>11</v>
      </c>
      <c r="AB18" s="58">
        <f t="shared" si="2"/>
        <v>170000</v>
      </c>
      <c r="AC18" s="4"/>
      <c r="AD18" s="120">
        <f>IFERROR(VLOOKUP($I$24&amp;D18,'Database-Hidden'!$C$2:$E$121,3,FALSE),"")</f>
        <v>150000</v>
      </c>
      <c r="AE18" s="93">
        <v>1</v>
      </c>
      <c r="AF18" s="94"/>
      <c r="AG18" s="107"/>
      <c r="AH18" s="107"/>
      <c r="AI18" s="107"/>
      <c r="AJ18" s="107"/>
      <c r="AK18" s="63"/>
      <c r="AL18" s="64" t="str">
        <f>IF(LEFT($D18,6)&lt;&gt;"Star: ","",VLOOKUP(RIGHT($D18,LEN($D18)-6),'Star Players-Hidden'!$A$3:$AK$69,37,FALSE))</f>
        <v/>
      </c>
      <c r="AM18" s="4"/>
      <c r="AN18" s="157" t="s">
        <v>35</v>
      </c>
      <c r="AO18" s="160">
        <f>AO4+SUM(AO6:AO17)-SUM(AP6:AP17)-SUM(AQ6:AQ17)</f>
        <v>30000</v>
      </c>
      <c r="AP18" s="4"/>
      <c r="AQ18" s="4"/>
      <c r="AR18" s="68"/>
      <c r="AS18" s="157" t="s">
        <v>35</v>
      </c>
      <c r="AT18" s="162">
        <f t="shared" ref="AT18:AU18" si="4">SUM(AT6:AT17)</f>
        <v>5</v>
      </c>
      <c r="AU18" s="164">
        <f t="shared" si="4"/>
        <v>9</v>
      </c>
      <c r="AV18" s="168">
        <f>AV4+SUM(AV6:AV17)</f>
        <v>5</v>
      </c>
      <c r="AW18" s="5"/>
    </row>
    <row r="19" spans="1:49" ht="33.75">
      <c r="A19" s="2"/>
      <c r="B19" s="170">
        <v>16</v>
      </c>
      <c r="C19" s="172" t="s">
        <v>192</v>
      </c>
      <c r="D19" s="174" t="s">
        <v>193</v>
      </c>
      <c r="E19" s="176">
        <f>IFERROR(VLOOKUP($I$24&amp;$D19,'Database-Hidden'!$C$2:$J$121,4,FALSE)-P19+AG19,"")</f>
        <v>4</v>
      </c>
      <c r="F19" s="177">
        <f>IFERROR(VLOOKUP($I$24&amp;$D19,'Database-Hidden'!$C$2:$J$121,5,FALSE)-Q19+AH19,"")</f>
        <v>5</v>
      </c>
      <c r="G19" s="177">
        <f>IFERROR(VLOOKUP($I$24&amp;$D19,'Database-Hidden'!$C$2:$J$121,6,FALSE)-R19+AI19,"")</f>
        <v>1</v>
      </c>
      <c r="H19" s="178">
        <f>IFERROR(VLOOKUP($I$24&amp;$D19,'Database-Hidden'!$C$2:$J$121,7,FALSE)-S19+AJ19,"")</f>
        <v>9</v>
      </c>
      <c r="I19" s="180" t="str">
        <f>IFERROR(VLOOKUP($I$24&amp;$D19,'Database-Hidden'!$C$2:$J$121,8,FALSE),"")</f>
        <v>Loner, Always Hungry, Mighty Blow, Really Stupid, Regeneration, Throw Team-mate</v>
      </c>
      <c r="J19" s="182"/>
      <c r="K19" s="186">
        <f t="shared" si="0"/>
        <v>0</v>
      </c>
      <c r="L19" s="188"/>
      <c r="M19" s="188"/>
      <c r="N19" s="187"/>
      <c r="O19" s="189"/>
      <c r="P19" s="190"/>
      <c r="Q19" s="191"/>
      <c r="R19" s="191"/>
      <c r="S19" s="192"/>
      <c r="T19" s="193"/>
      <c r="U19" s="194"/>
      <c r="V19" s="194"/>
      <c r="W19" s="195"/>
      <c r="X19" s="191"/>
      <c r="Y19" s="191"/>
      <c r="Z19" s="196"/>
      <c r="AA19" s="197">
        <f t="shared" si="1"/>
        <v>0</v>
      </c>
      <c r="AB19" s="58">
        <f t="shared" si="2"/>
        <v>110000</v>
      </c>
      <c r="AC19" s="4"/>
      <c r="AD19" s="198">
        <f>IFERROR(VLOOKUP($I$24&amp;D19,'Database-Hidden'!$C$2:$E$121,3,FALSE),"")</f>
        <v>110000</v>
      </c>
      <c r="AE19" s="199"/>
      <c r="AF19" s="200"/>
      <c r="AG19" s="200"/>
      <c r="AH19" s="200"/>
      <c r="AI19" s="200"/>
      <c r="AJ19" s="200"/>
      <c r="AK19" s="201"/>
      <c r="AL19" s="202" t="str">
        <f>IF(LEFT($D19,6)&lt;&gt;"Star: ","",VLOOKUP(RIGHT($D19,LEN($D19)-6),'Star Players-Hidden'!$A$3:$AK$69,37,FALSE))</f>
        <v/>
      </c>
      <c r="AM19" s="4"/>
      <c r="AV19" s="203"/>
    </row>
    <row r="20" spans="1:49" ht="12.75">
      <c r="B20" s="328"/>
      <c r="C20" s="329"/>
      <c r="D20" s="330"/>
      <c r="E20" s="311" t="s">
        <v>118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3"/>
      <c r="AB20" s="204">
        <f>SUM(AB4:AB19)</f>
        <v>1010000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8"/>
      <c r="AO20" s="68"/>
      <c r="AP20" s="68"/>
      <c r="AQ20" s="68"/>
      <c r="AR20" s="68"/>
      <c r="AS20" s="68"/>
      <c r="AT20" s="68"/>
      <c r="AU20" s="68"/>
      <c r="AV20" s="205"/>
      <c r="AW20" s="68"/>
    </row>
    <row r="21" spans="1:49" ht="12.75">
      <c r="A21" s="2"/>
      <c r="B21" s="317"/>
      <c r="C21" s="315"/>
      <c r="D21" s="316"/>
      <c r="E21" s="333" t="s">
        <v>119</v>
      </c>
      <c r="F21" s="315"/>
      <c r="G21" s="315"/>
      <c r="H21" s="334"/>
      <c r="I21" s="314" t="s">
        <v>197</v>
      </c>
      <c r="J21" s="315"/>
      <c r="K21" s="316"/>
      <c r="L21" s="322" t="s">
        <v>121</v>
      </c>
      <c r="M21" s="319"/>
      <c r="N21" s="319"/>
      <c r="O21" s="319"/>
      <c r="P21" s="319"/>
      <c r="Q21" s="319"/>
      <c r="R21" s="319"/>
      <c r="S21" s="323"/>
      <c r="T21" s="206">
        <v>3</v>
      </c>
      <c r="U21" s="207" t="s">
        <v>36</v>
      </c>
      <c r="V21" s="321">
        <f>IFERROR(VLOOKUP(I24,'Database-Hidden'!N2:O28,2,FALSE),"")</f>
        <v>70000</v>
      </c>
      <c r="W21" s="319"/>
      <c r="X21" s="319"/>
      <c r="Y21" s="319"/>
      <c r="Z21" s="319"/>
      <c r="AA21" s="320"/>
      <c r="AB21" s="208">
        <f t="shared" ref="AB21:AB25" si="5">T21*V21</f>
        <v>210000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27" t="s">
        <v>122</v>
      </c>
      <c r="AO21" s="313"/>
      <c r="AP21" s="4"/>
      <c r="AQ21" s="1" t="s">
        <v>199</v>
      </c>
      <c r="AR21" s="4"/>
      <c r="AS21" s="4"/>
      <c r="AT21" s="4"/>
      <c r="AU21" s="4"/>
      <c r="AV21" s="5"/>
      <c r="AW21" s="4"/>
    </row>
    <row r="22" spans="1:49" ht="12.75">
      <c r="A22" s="2"/>
      <c r="B22" s="317"/>
      <c r="C22" s="315"/>
      <c r="D22" s="316"/>
      <c r="E22" s="315"/>
      <c r="F22" s="315"/>
      <c r="G22" s="315"/>
      <c r="H22" s="334"/>
      <c r="I22" s="317"/>
      <c r="J22" s="315"/>
      <c r="K22" s="316"/>
      <c r="L22" s="309" t="s">
        <v>123</v>
      </c>
      <c r="M22" s="304"/>
      <c r="N22" s="304"/>
      <c r="O22" s="304"/>
      <c r="P22" s="304"/>
      <c r="Q22" s="304"/>
      <c r="R22" s="304"/>
      <c r="S22" s="310"/>
      <c r="T22" s="211">
        <f>AV18</f>
        <v>5</v>
      </c>
      <c r="U22" s="210" t="s">
        <v>36</v>
      </c>
      <c r="V22" s="306">
        <v>10000</v>
      </c>
      <c r="W22" s="304"/>
      <c r="X22" s="304"/>
      <c r="Y22" s="304"/>
      <c r="Z22" s="304"/>
      <c r="AA22" s="307"/>
      <c r="AB22" s="212">
        <f t="shared" si="5"/>
        <v>50000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213" t="s">
        <v>124</v>
      </c>
      <c r="AO22" s="214">
        <f>AO18</f>
        <v>30000</v>
      </c>
      <c r="AP22" s="4"/>
      <c r="AQ22" s="1" t="s">
        <v>201</v>
      </c>
      <c r="AR22" s="4"/>
      <c r="AS22" s="4"/>
      <c r="AT22" s="4"/>
      <c r="AU22" s="4"/>
      <c r="AV22" s="5"/>
      <c r="AW22" s="4"/>
    </row>
    <row r="23" spans="1:49" ht="12.75">
      <c r="A23" s="2"/>
      <c r="B23" s="317"/>
      <c r="C23" s="315"/>
      <c r="D23" s="316"/>
      <c r="E23" s="319"/>
      <c r="F23" s="319"/>
      <c r="G23" s="319"/>
      <c r="H23" s="335"/>
      <c r="I23" s="318"/>
      <c r="J23" s="319"/>
      <c r="K23" s="320"/>
      <c r="L23" s="347" t="s">
        <v>126</v>
      </c>
      <c r="M23" s="304"/>
      <c r="N23" s="304"/>
      <c r="O23" s="304"/>
      <c r="P23" s="304"/>
      <c r="Q23" s="304"/>
      <c r="R23" s="304"/>
      <c r="S23" s="310"/>
      <c r="T23" s="215">
        <v>0</v>
      </c>
      <c r="U23" s="216" t="s">
        <v>36</v>
      </c>
      <c r="V23" s="306">
        <v>10000</v>
      </c>
      <c r="W23" s="304"/>
      <c r="X23" s="304"/>
      <c r="Y23" s="304"/>
      <c r="Z23" s="304"/>
      <c r="AA23" s="307"/>
      <c r="AB23" s="212">
        <f t="shared" si="5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217" t="s">
        <v>127</v>
      </c>
      <c r="AO23" s="218">
        <f>COUNTA(AR6:AR17)*10000</f>
        <v>50000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317"/>
      <c r="C24" s="315"/>
      <c r="D24" s="316"/>
      <c r="E24" s="340" t="s">
        <v>128</v>
      </c>
      <c r="F24" s="304"/>
      <c r="G24" s="304"/>
      <c r="H24" s="341"/>
      <c r="I24" s="308" t="s">
        <v>203</v>
      </c>
      <c r="J24" s="304"/>
      <c r="K24" s="307"/>
      <c r="L24" s="309" t="s">
        <v>130</v>
      </c>
      <c r="M24" s="304"/>
      <c r="N24" s="304"/>
      <c r="O24" s="304"/>
      <c r="P24" s="304"/>
      <c r="Q24" s="304"/>
      <c r="R24" s="304"/>
      <c r="S24" s="310"/>
      <c r="T24" s="215">
        <v>0</v>
      </c>
      <c r="U24" s="216" t="s">
        <v>36</v>
      </c>
      <c r="V24" s="306">
        <v>10000</v>
      </c>
      <c r="W24" s="304"/>
      <c r="X24" s="304"/>
      <c r="Y24" s="304"/>
      <c r="Z24" s="304"/>
      <c r="AA24" s="307"/>
      <c r="AB24" s="212">
        <f t="shared" si="5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217" t="s">
        <v>53</v>
      </c>
      <c r="AO24" s="218">
        <f>AT18*5000</f>
        <v>25000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317"/>
      <c r="C25" s="315"/>
      <c r="D25" s="316"/>
      <c r="E25" s="340" t="str">
        <f>IFERROR(IF(VLOOKUP(I24,'Database-Hidden'!X2:Y28,2,FALSE)="Yes","NECROMANCER","HEAD COACH"),"HEAD COACH")</f>
        <v>HEAD COACH</v>
      </c>
      <c r="F25" s="304"/>
      <c r="G25" s="304"/>
      <c r="H25" s="341"/>
      <c r="I25" s="308" t="s">
        <v>205</v>
      </c>
      <c r="J25" s="304"/>
      <c r="K25" s="307"/>
      <c r="L25" s="346" t="str">
        <f>IFERROR(IF(VLOOKUP(I24,'Database-Hidden'!X2:Y28,1,FALSE)&lt;&gt;"","",""),"APOTHECARY")</f>
        <v>APOTHECARY</v>
      </c>
      <c r="M25" s="304"/>
      <c r="N25" s="304"/>
      <c r="O25" s="304"/>
      <c r="P25" s="304"/>
      <c r="Q25" s="304"/>
      <c r="R25" s="304"/>
      <c r="S25" s="341"/>
      <c r="T25" s="215">
        <v>1</v>
      </c>
      <c r="U25" s="210" t="str">
        <f>IF(L25&lt;&gt;"","x","")</f>
        <v>x</v>
      </c>
      <c r="V25" s="306">
        <f>IF(L25&lt;&gt;"",50000,"")</f>
        <v>50000</v>
      </c>
      <c r="W25" s="304"/>
      <c r="X25" s="304"/>
      <c r="Y25" s="304"/>
      <c r="Z25" s="304"/>
      <c r="AA25" s="307"/>
      <c r="AB25" s="212">
        <f t="shared" si="5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219" t="s">
        <v>134</v>
      </c>
      <c r="AO25" s="220">
        <f>AU18*5000</f>
        <v>45000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317"/>
      <c r="C26" s="315"/>
      <c r="D26" s="316"/>
      <c r="E26" s="340" t="s">
        <v>135</v>
      </c>
      <c r="F26" s="304"/>
      <c r="G26" s="304"/>
      <c r="H26" s="304"/>
      <c r="I26" s="343">
        <f>AB20+AB28</f>
        <v>1320000</v>
      </c>
      <c r="J26" s="304"/>
      <c r="K26" s="304"/>
      <c r="L26" s="346" t="s">
        <v>136</v>
      </c>
      <c r="M26" s="304"/>
      <c r="N26" s="304"/>
      <c r="O26" s="304"/>
      <c r="P26" s="304"/>
      <c r="Q26" s="304"/>
      <c r="R26" s="304"/>
      <c r="S26" s="341"/>
      <c r="T26" s="215">
        <v>0</v>
      </c>
      <c r="U26" s="210" t="s">
        <v>36</v>
      </c>
      <c r="V26" s="306">
        <f>IF(I24="Halfling",200000,600000)</f>
        <v>600000</v>
      </c>
      <c r="W26" s="304"/>
      <c r="X26" s="304"/>
      <c r="Y26" s="304"/>
      <c r="Z26" s="304"/>
      <c r="AA26" s="307"/>
      <c r="AB26" s="212">
        <f t="shared" ref="AB26:AB27" si="6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221" t="s">
        <v>35</v>
      </c>
      <c r="AO26" s="222">
        <v>150000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317"/>
      <c r="C27" s="315"/>
      <c r="D27" s="316"/>
      <c r="E27" s="336" t="s">
        <v>137</v>
      </c>
      <c r="F27" s="325"/>
      <c r="G27" s="325"/>
      <c r="H27" s="325"/>
      <c r="I27" s="342">
        <f>AO18</f>
        <v>30000</v>
      </c>
      <c r="J27" s="325"/>
      <c r="K27" s="325"/>
      <c r="L27" s="324" t="s">
        <v>138</v>
      </c>
      <c r="M27" s="325"/>
      <c r="N27" s="325"/>
      <c r="O27" s="325"/>
      <c r="P27" s="325"/>
      <c r="Q27" s="325"/>
      <c r="R27" s="325"/>
      <c r="S27" s="326"/>
      <c r="T27" s="223">
        <v>0</v>
      </c>
      <c r="U27" s="224" t="s">
        <v>36</v>
      </c>
      <c r="V27" s="344">
        <f>IF(I24="Goblin",100000,200000)</f>
        <v>200000</v>
      </c>
      <c r="W27" s="325"/>
      <c r="X27" s="325"/>
      <c r="Y27" s="325"/>
      <c r="Z27" s="325"/>
      <c r="AA27" s="345"/>
      <c r="AB27" s="212">
        <f t="shared" si="6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331"/>
      <c r="C28" s="305"/>
      <c r="D28" s="332"/>
      <c r="E28" s="311" t="s">
        <v>139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3"/>
      <c r="AB28" s="204">
        <f>SUM(AB21:AB27)</f>
        <v>310000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25"/>
      <c r="D29" s="225"/>
      <c r="E29" s="226"/>
      <c r="F29" s="4"/>
      <c r="G29" s="4"/>
      <c r="H29" s="4"/>
      <c r="I29" s="227"/>
      <c r="J29" s="228"/>
      <c r="K29" s="4"/>
      <c r="L29" s="229"/>
      <c r="M29" s="229"/>
      <c r="N29" s="229"/>
      <c r="O29" s="229"/>
      <c r="P29" s="229"/>
      <c r="Q29" s="229"/>
      <c r="R29" s="229"/>
      <c r="S29" s="229"/>
      <c r="T29" s="230"/>
      <c r="U29" s="231"/>
      <c r="V29" s="9"/>
      <c r="W29" s="232"/>
      <c r="X29" s="232"/>
      <c r="Y29" s="232"/>
      <c r="Z29" s="232"/>
      <c r="AA29" s="232"/>
      <c r="AB29" s="23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34">
        <f>MATCH(I24,'Database-Hidden'!A2:A121,0)</f>
        <v>15</v>
      </c>
      <c r="D30" s="234" t="str">
        <f t="shared" ref="D30:D39" si="7">I30&amp;IF(COUNTIF(D$4:D$19,I30)&gt;E30," (Too Many)","")</f>
        <v>Marauder</v>
      </c>
      <c r="E30" s="235">
        <f t="array" ref="E30">IFERROR(IF(INDEX('Database-Hidden'!$A$2:$B$121,$C30,1)=$I$24,INDEX('Database-Hidden'!$A$2:$D$121,$C30,4),""),"")</f>
        <v>12</v>
      </c>
      <c r="I30" s="234" t="str">
        <f t="array" ref="I30">IFERROR(IF(INDEX('Database-Hidden'!$A$2:$B$121,$C30,1)=$I$24,INDEX('Database-Hidden'!$A$2:$B$121,$C30,2),""),"")</f>
        <v>Marauder</v>
      </c>
      <c r="AV30" s="203"/>
    </row>
    <row r="31" spans="1:49" ht="17.25" hidden="1" customHeight="1">
      <c r="C31" s="234">
        <f t="shared" ref="C31:C39" si="8">C30+1</f>
        <v>16</v>
      </c>
      <c r="D31" s="234" t="str">
        <f t="shared" si="7"/>
        <v>Goblin Renegade</v>
      </c>
      <c r="E31" s="235">
        <f t="array" ref="E31">IFERROR(IF(INDEX('Database-Hidden'!$A$2:$B$121,$C31,1)=$I$24,INDEX('Database-Hidden'!$A$2:$D$121,$C31,4),""),"")</f>
        <v>1</v>
      </c>
      <c r="I31" s="234" t="str">
        <f t="array" ref="I31">IFERROR(IF(INDEX('Database-Hidden'!$A$2:$B$121,$C31,1)=$I$24,INDEX('Database-Hidden'!$A$2:$B$121,$C31,2),""),"")</f>
        <v>Goblin Renegade</v>
      </c>
      <c r="AV31" s="203"/>
    </row>
    <row r="32" spans="1:49" ht="17.25" hidden="1" customHeight="1">
      <c r="C32" s="234">
        <f t="shared" si="8"/>
        <v>17</v>
      </c>
      <c r="D32" s="234" t="str">
        <f t="shared" si="7"/>
        <v>Skaven Renegade</v>
      </c>
      <c r="E32" s="235">
        <f t="array" ref="E32">IFERROR(IF(INDEX('Database-Hidden'!$A$2:$B$121,$C32,1)=$I$24,INDEX('Database-Hidden'!$A$2:$D$121,$C32,4),""),"")</f>
        <v>1</v>
      </c>
      <c r="I32" s="234" t="str">
        <f t="array" ref="I32">IFERROR(IF(INDEX('Database-Hidden'!$A$2:$B$121,$C32,1)=$I$24,INDEX('Database-Hidden'!$A$2:$B$121,$C32,2),""),"")</f>
        <v>Skaven Renegade</v>
      </c>
      <c r="AV32" s="203"/>
    </row>
    <row r="33" spans="3:48" ht="17.25" hidden="1" customHeight="1">
      <c r="C33" s="234">
        <f t="shared" si="8"/>
        <v>18</v>
      </c>
      <c r="D33" s="234" t="str">
        <f t="shared" si="7"/>
        <v>Dark Elf Renegade</v>
      </c>
      <c r="E33" s="235">
        <f t="array" ref="E33">IFERROR(IF(INDEX('Database-Hidden'!$A$2:$B$121,$C33,1)=$I$24,INDEX('Database-Hidden'!$A$2:$D$121,$C33,4),""),"")</f>
        <v>1</v>
      </c>
      <c r="I33" s="234" t="str">
        <f t="array" ref="I33">IFERROR(IF(INDEX('Database-Hidden'!$A$2:$B$121,$C33,1)=$I$24,INDEX('Database-Hidden'!$A$2:$B$121,$C33,2),""),"")</f>
        <v>Dark Elf Renegade</v>
      </c>
      <c r="AV33" s="203"/>
    </row>
    <row r="34" spans="3:48" ht="17.25" hidden="1" customHeight="1">
      <c r="C34" s="234">
        <f t="shared" si="8"/>
        <v>19</v>
      </c>
      <c r="D34" s="234" t="str">
        <f t="shared" si="7"/>
        <v>Orc Renegade</v>
      </c>
      <c r="E34" s="235">
        <f t="array" ref="E34">IFERROR(IF(INDEX('Database-Hidden'!$A$2:$B$121,$C34,1)=$I$24,INDEX('Database-Hidden'!$A$2:$D$121,$C34,4),""),"")</f>
        <v>1</v>
      </c>
      <c r="I34" s="234" t="str">
        <f t="array" ref="I34">IFERROR(IF(INDEX('Database-Hidden'!$A$2:$B$121,$C34,1)=$I$24,INDEX('Database-Hidden'!$A$2:$B$121,$C34,2),""),"")</f>
        <v>Orc Renegade</v>
      </c>
      <c r="AV34" s="203"/>
    </row>
    <row r="35" spans="3:48" ht="17.25" hidden="1" customHeight="1">
      <c r="C35" s="234">
        <f t="shared" si="8"/>
        <v>20</v>
      </c>
      <c r="D35" s="234" t="str">
        <f t="shared" si="7"/>
        <v>Troll</v>
      </c>
      <c r="E35" s="235">
        <f t="array" ref="E35">IFERROR(IF(INDEX('Database-Hidden'!$A$2:$B$121,$C35,1)=$I$24,INDEX('Database-Hidden'!$A$2:$D$121,$C35,4),""),"")</f>
        <v>1</v>
      </c>
      <c r="I35" s="234" t="str">
        <f t="array" ref="I35">IFERROR(IF(INDEX('Database-Hidden'!$A$2:$B$121,$C35,1)=$I$24,INDEX('Database-Hidden'!$A$2:$B$121,$C35,2),""),"")</f>
        <v>Troll</v>
      </c>
      <c r="AV35" s="203"/>
    </row>
    <row r="36" spans="3:48" ht="17.25" hidden="1" customHeight="1">
      <c r="C36" s="234">
        <f t="shared" si="8"/>
        <v>21</v>
      </c>
      <c r="D36" s="234" t="str">
        <f t="shared" si="7"/>
        <v>Ogre</v>
      </c>
      <c r="E36" s="235">
        <f t="array" ref="E36">IFERROR(IF(INDEX('Database-Hidden'!$A$2:$B$121,$C36,1)=$I$24,INDEX('Database-Hidden'!$A$2:$D$121,$C36,4),""),"")</f>
        <v>1</v>
      </c>
      <c r="I36" s="234" t="str">
        <f t="array" ref="I36">IFERROR(IF(INDEX('Database-Hidden'!$A$2:$B$121,$C36,1)=$I$24,INDEX('Database-Hidden'!$A$2:$B$121,$C36,2),""),"")</f>
        <v>Ogre</v>
      </c>
      <c r="AV36" s="203"/>
    </row>
    <row r="37" spans="3:48" ht="17.25" hidden="1" customHeight="1">
      <c r="C37" s="234">
        <f t="shared" si="8"/>
        <v>22</v>
      </c>
      <c r="D37" s="234" t="str">
        <f t="shared" si="7"/>
        <v>Minotaur</v>
      </c>
      <c r="E37" s="235">
        <f t="array" ref="E37">IFERROR(IF(INDEX('Database-Hidden'!$A$2:$B$121,$C37,1)=$I$24,INDEX('Database-Hidden'!$A$2:$D$121,$C37,4),""),"")</f>
        <v>1</v>
      </c>
      <c r="I37" s="234" t="str">
        <f t="array" ref="I37">IFERROR(IF(INDEX('Database-Hidden'!$A$2:$B$121,$C37,1)=$I$24,INDEX('Database-Hidden'!$A$2:$B$121,$C37,2),""),"")</f>
        <v>Minotaur</v>
      </c>
      <c r="AV37" s="203"/>
    </row>
    <row r="38" spans="3:48" ht="17.25" hidden="1" customHeight="1">
      <c r="C38" s="234">
        <f t="shared" si="8"/>
        <v>23</v>
      </c>
      <c r="D38" s="234" t="str">
        <f t="shared" si="7"/>
        <v/>
      </c>
      <c r="E38" s="235" t="str">
        <f t="array" ref="E38">IFERROR(IF(INDEX('Database-Hidden'!$A$2:$B$121,$C38,1)=$I$24,INDEX('Database-Hidden'!$A$2:$D$121,$C38,4),""),"")</f>
        <v/>
      </c>
      <c r="I38" s="234" t="str">
        <f t="array" ref="I38">IFERROR(IF(INDEX('Database-Hidden'!$A$2:$B$121,$C38,1)=$I$24,INDEX('Database-Hidden'!$A$2:$B$121,$C38,2),""),"")</f>
        <v/>
      </c>
      <c r="AV38" s="203"/>
    </row>
    <row r="39" spans="3:48" ht="17.25" hidden="1" customHeight="1">
      <c r="C39" s="234">
        <f t="shared" si="8"/>
        <v>24</v>
      </c>
      <c r="D39" s="234" t="str">
        <f t="shared" si="7"/>
        <v/>
      </c>
      <c r="E39" s="235" t="str">
        <f t="array" ref="E39">IFERROR(IF(INDEX('Database-Hidden'!$A$2:$B$121,$C39,1)=$I$24,INDEX('Database-Hidden'!$A$2:$D$121,$C39,4),""),"")</f>
        <v/>
      </c>
      <c r="I39" s="234" t="str">
        <f t="array" ref="I39">IFERROR(IF(INDEX('Database-Hidden'!$A$2:$B$121,$C39,1)=$I$24,INDEX('Database-Hidden'!$A$2:$B$121,$C39,2),""),"")</f>
        <v/>
      </c>
      <c r="AV39" s="203"/>
    </row>
    <row r="40" spans="3:48" ht="17.25" hidden="1" customHeight="1">
      <c r="C40" s="236">
        <f>MATCH(I24,'Star Players-Hidden'!D2:AD2,0)</f>
        <v>5</v>
      </c>
      <c r="D40" s="236" t="str">
        <f t="shared" ref="D40:D51" ca="1" si="9">I40&amp;IF(COUNTIF(D$4:D$19,I40)&gt;1," (Too Many)","")</f>
        <v>Star: Bomber Dribblesnot</v>
      </c>
      <c r="E40" s="237"/>
      <c r="F40" s="237"/>
      <c r="G40" s="237"/>
      <c r="H40" s="237"/>
      <c r="I40" s="236" t="str">
        <f ca="1">IFERROR(__xludf.DUMMYFUNCTION("FILTER({""Star: ""&amp;'Star Players-Hidden'!A3:A69},INDEX('Star Players-Hidden'!D3:AD69,0,C40)&lt;&gt;"""",{'Star Players-Hidden'!C3:C69=""""}+{'Star Players-Hidden'!C3:C69=I21})"),"Star: Bomber Dribblesnot")</f>
        <v>Star: Bomber Dribblesnot</v>
      </c>
      <c r="AV40" s="203"/>
    </row>
    <row r="41" spans="3:48" ht="17.25" hidden="1" customHeight="1">
      <c r="C41" s="234"/>
      <c r="D41" s="234" t="str">
        <f t="shared" ca="1" si="9"/>
        <v>Star: Crazy Igor</v>
      </c>
      <c r="I41" s="238" t="str">
        <f ca="1">IFERROR(__xludf.DUMMYFUNCTION("""COMPUTED_VALUE"""),"Star: Crazy Igor")</f>
        <v>Star: Crazy Igor</v>
      </c>
      <c r="AV41" s="203"/>
    </row>
    <row r="42" spans="3:48" ht="17.25" hidden="1" customHeight="1">
      <c r="C42" s="234"/>
      <c r="D42" s="234" t="str">
        <f t="shared" ca="1" si="9"/>
        <v>Star: Lewdgrip Whiparm</v>
      </c>
      <c r="I42" s="234" t="str">
        <f ca="1">IFERROR(__xludf.DUMMYFUNCTION("""COMPUTED_VALUE"""),"Star: Lewdgrip Whiparm")</f>
        <v>Star: Lewdgrip Whiparm</v>
      </c>
      <c r="AV42" s="203"/>
    </row>
    <row r="43" spans="3:48" ht="17.25" hidden="1" customHeight="1">
      <c r="C43" s="234"/>
      <c r="D43" s="234" t="str">
        <f t="shared" ca="1" si="9"/>
        <v>Star: Morg'n'Thorg</v>
      </c>
      <c r="I43" s="234" t="str">
        <f ca="1">IFERROR(__xludf.DUMMYFUNCTION("""COMPUTED_VALUE"""),"Star: Morg'n'Thorg")</f>
        <v>Star: Morg'n'Thorg</v>
      </c>
      <c r="AV43" s="203"/>
    </row>
    <row r="44" spans="3:48" ht="17.25" hidden="1" customHeight="1">
      <c r="C44" s="234"/>
      <c r="D44" s="234" t="str">
        <f t="shared" ca="1" si="9"/>
        <v>Star: Ugroth Bolgrot</v>
      </c>
      <c r="I44" s="234" t="str">
        <f ca="1">IFERROR(__xludf.DUMMYFUNCTION("""COMPUTED_VALUE"""),"Star: Ugroth Bolgrot")</f>
        <v>Star: Ugroth Bolgrot</v>
      </c>
      <c r="AV44" s="203"/>
    </row>
    <row r="45" spans="3:48" ht="17.25" hidden="1" customHeight="1">
      <c r="C45" s="234"/>
      <c r="D45" s="234" t="str">
        <f t="shared" ca="1" si="9"/>
        <v>Star: Zzharg Madeye</v>
      </c>
      <c r="I45" s="234" t="str">
        <f ca="1">IFERROR(__xludf.DUMMYFUNCTION("""COMPUTED_VALUE"""),"Star: Zzharg Madeye")</f>
        <v>Star: Zzharg Madeye</v>
      </c>
      <c r="AV45" s="203"/>
    </row>
    <row r="46" spans="3:48" ht="17.25" hidden="1" customHeight="1">
      <c r="C46" s="234"/>
      <c r="D46" s="234" t="str">
        <f t="shared" si="9"/>
        <v/>
      </c>
      <c r="I46" s="234"/>
      <c r="AV46" s="203"/>
    </row>
    <row r="47" spans="3:48" ht="17.25" hidden="1" customHeight="1">
      <c r="C47" s="234"/>
      <c r="D47" s="234" t="str">
        <f t="shared" si="9"/>
        <v/>
      </c>
      <c r="I47" s="234"/>
      <c r="AV47" s="203"/>
    </row>
    <row r="48" spans="3:48" ht="17.25" hidden="1" customHeight="1">
      <c r="C48" s="234"/>
      <c r="D48" s="234" t="str">
        <f t="shared" si="9"/>
        <v/>
      </c>
      <c r="I48" s="234"/>
      <c r="AV48" s="203"/>
    </row>
    <row r="49" spans="3:48" ht="17.25" hidden="1" customHeight="1">
      <c r="C49" s="234"/>
      <c r="D49" s="234" t="str">
        <f t="shared" si="9"/>
        <v/>
      </c>
      <c r="I49" s="234"/>
      <c r="AV49" s="203"/>
    </row>
    <row r="50" spans="3:48" ht="17.25" hidden="1" customHeight="1">
      <c r="C50" s="234"/>
      <c r="D50" s="234" t="str">
        <f t="shared" si="9"/>
        <v/>
      </c>
      <c r="I50" s="234"/>
      <c r="AV50" s="203"/>
    </row>
    <row r="51" spans="3:48" ht="17.25" hidden="1" customHeight="1">
      <c r="C51" s="234"/>
      <c r="D51" s="234" t="str">
        <f t="shared" si="9"/>
        <v/>
      </c>
      <c r="I51" s="234"/>
      <c r="AV51" s="203"/>
    </row>
  </sheetData>
  <mergeCells count="31">
    <mergeCell ref="B20:D28"/>
    <mergeCell ref="P2:S2"/>
    <mergeCell ref="AN3:AQ3"/>
    <mergeCell ref="AR3:AV3"/>
    <mergeCell ref="L22:S22"/>
    <mergeCell ref="L23:S23"/>
    <mergeCell ref="V22:AA22"/>
    <mergeCell ref="V23:AA23"/>
    <mergeCell ref="E20:AA20"/>
    <mergeCell ref="V25:AA25"/>
    <mergeCell ref="L25:S25"/>
    <mergeCell ref="I27:K27"/>
    <mergeCell ref="I21:K23"/>
    <mergeCell ref="E21:H23"/>
    <mergeCell ref="E25:H25"/>
    <mergeCell ref="E24:H24"/>
    <mergeCell ref="I24:K24"/>
    <mergeCell ref="I25:K25"/>
    <mergeCell ref="E26:H26"/>
    <mergeCell ref="I26:K26"/>
    <mergeCell ref="V26:AA26"/>
    <mergeCell ref="L26:S26"/>
    <mergeCell ref="V24:AA24"/>
    <mergeCell ref="L24:S24"/>
    <mergeCell ref="V21:AA21"/>
    <mergeCell ref="L21:S21"/>
    <mergeCell ref="AN21:AO21"/>
    <mergeCell ref="E28:AA28"/>
    <mergeCell ref="L27:S27"/>
    <mergeCell ref="V27:AA27"/>
    <mergeCell ref="E27:H27"/>
  </mergeCells>
  <conditionalFormatting sqref="J4">
    <cfRule type="expression" dxfId="260" priority="1">
      <formula>K4&lt;&gt;SUM(AE4:AJ4)</formula>
    </cfRule>
  </conditionalFormatting>
  <conditionalFormatting sqref="K4:K19">
    <cfRule type="cellIs" dxfId="259" priority="2" operator="equal">
      <formula>0</formula>
    </cfRule>
  </conditionalFormatting>
  <conditionalFormatting sqref="AB4:AB19">
    <cfRule type="cellIs" dxfId="258" priority="3" operator="equal">
      <formula>0</formula>
    </cfRule>
  </conditionalFormatting>
  <conditionalFormatting sqref="E4:H19">
    <cfRule type="expression" dxfId="257" priority="4">
      <formula>AG4&gt;0</formula>
    </cfRule>
  </conditionalFormatting>
  <conditionalFormatting sqref="E4:H19">
    <cfRule type="expression" dxfId="256" priority="5">
      <formula>P4&gt;0</formula>
    </cfRule>
  </conditionalFormatting>
  <conditionalFormatting sqref="T4:W19 Z4:Z19 U29">
    <cfRule type="cellIs" dxfId="255" priority="6" stopIfTrue="1" operator="equal">
      <formula>0</formula>
    </cfRule>
  </conditionalFormatting>
  <conditionalFormatting sqref="K4:K19">
    <cfRule type="cellIs" dxfId="254" priority="7" stopIfTrue="1" operator="equal">
      <formula>"n/a"</formula>
    </cfRule>
  </conditionalFormatting>
  <conditionalFormatting sqref="P4:S19">
    <cfRule type="cellIs" dxfId="253" priority="8" stopIfTrue="1" operator="lessThanOrEqual">
      <formula>-1</formula>
    </cfRule>
  </conditionalFormatting>
  <conditionalFormatting sqref="V25:W27">
    <cfRule type="cellIs" dxfId="252" priority="9" stopIfTrue="1" operator="equal">
      <formula>-500</formula>
    </cfRule>
  </conditionalFormatting>
  <conditionalFormatting sqref="T25:T27">
    <cfRule type="cellIs" dxfId="251" priority="10" stopIfTrue="1" operator="greaterThan">
      <formula>$V$25</formula>
    </cfRule>
  </conditionalFormatting>
  <conditionalFormatting sqref="AA4:AA19">
    <cfRule type="cellIs" dxfId="250" priority="11" stopIfTrue="1" operator="equal">
      <formula>"Star"</formula>
    </cfRule>
  </conditionalFormatting>
  <conditionalFormatting sqref="AA4:AA19">
    <cfRule type="cellIs" dxfId="249" priority="12" stopIfTrue="1" operator="equal">
      <formula>AB4</formula>
    </cfRule>
  </conditionalFormatting>
  <conditionalFormatting sqref="I4:I19">
    <cfRule type="cellIs" dxfId="248" priority="13" stopIfTrue="1" operator="equal">
      <formula>0</formula>
    </cfRule>
  </conditionalFormatting>
  <conditionalFormatting sqref="I4:I19">
    <cfRule type="cellIs" dxfId="247" priority="14" stopIfTrue="1" operator="equal">
      <formula>"Player type quantity surpassed"</formula>
    </cfRule>
  </conditionalFormatting>
  <conditionalFormatting sqref="J5">
    <cfRule type="expression" dxfId="246" priority="15">
      <formula>K5&lt;&gt;SUM(AE5:AJ5)</formula>
    </cfRule>
  </conditionalFormatting>
  <conditionalFormatting sqref="J6">
    <cfRule type="expression" dxfId="245" priority="16">
      <formula>K6&lt;&gt;SUM(AE6:AJ6)</formula>
    </cfRule>
  </conditionalFormatting>
  <conditionalFormatting sqref="J7">
    <cfRule type="expression" dxfId="244" priority="17">
      <formula>K7&lt;&gt;SUM(AE7:AJ7)</formula>
    </cfRule>
  </conditionalFormatting>
  <conditionalFormatting sqref="J8:J9">
    <cfRule type="expression" dxfId="243" priority="18">
      <formula>K8&lt;&gt;SUM(AE8:AJ8)</formula>
    </cfRule>
  </conditionalFormatting>
  <conditionalFormatting sqref="J9:J10">
    <cfRule type="expression" dxfId="242" priority="19">
      <formula>K9&lt;&gt;SUM(AE9:AJ9)</formula>
    </cfRule>
  </conditionalFormatting>
  <conditionalFormatting sqref="J10:J11">
    <cfRule type="expression" dxfId="241" priority="20">
      <formula>K10&lt;&gt;SUM(AE10:AJ10)</formula>
    </cfRule>
  </conditionalFormatting>
  <conditionalFormatting sqref="J11:J12">
    <cfRule type="expression" dxfId="240" priority="21">
      <formula>K11&lt;&gt;SUM(AE11:AJ11)</formula>
    </cfRule>
  </conditionalFormatting>
  <conditionalFormatting sqref="J12:J13">
    <cfRule type="expression" dxfId="239" priority="22">
      <formula>K12&lt;&gt;SUM(AE12:AJ12)</formula>
    </cfRule>
  </conditionalFormatting>
  <conditionalFormatting sqref="J13:J14">
    <cfRule type="expression" dxfId="238" priority="23">
      <formula>K13&lt;&gt;SUM(AE13:AJ13)</formula>
    </cfRule>
  </conditionalFormatting>
  <conditionalFormatting sqref="J14:J15">
    <cfRule type="expression" dxfId="237" priority="24">
      <formula>K14&lt;&gt;SUM(AE14:AJ14)</formula>
    </cfRule>
  </conditionalFormatting>
  <conditionalFormatting sqref="J15">
    <cfRule type="expression" dxfId="236" priority="25">
      <formula>K15&lt;&gt;SUM(AE15:AJ15)</formula>
    </cfRule>
  </conditionalFormatting>
  <conditionalFormatting sqref="J16">
    <cfRule type="expression" dxfId="235" priority="26">
      <formula>K16&lt;&gt;SUM(AE16:AJ16)</formula>
    </cfRule>
  </conditionalFormatting>
  <conditionalFormatting sqref="J17">
    <cfRule type="expression" dxfId="234" priority="27">
      <formula>K17&lt;&gt;SUM(AE17:AJ17)</formula>
    </cfRule>
  </conditionalFormatting>
  <conditionalFormatting sqref="J18">
    <cfRule type="expression" dxfId="233" priority="28">
      <formula>K18&lt;&gt;SUM(AE18:AJ18)</formula>
    </cfRule>
  </conditionalFormatting>
  <conditionalFormatting sqref="J19">
    <cfRule type="expression" dxfId="232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JR!$D$28:$D$49</formula1>
    </dataValidation>
  </dataValidations>
  <printOptions horizontalCentered="1" gridLines="1"/>
  <pageMargins left="0.7" right="0.7" top="0.75" bottom="0.75" header="0" footer="0"/>
  <pageSetup pageOrder="overThenDown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W51"/>
  <sheetViews>
    <sheetView showGridLines="0" workbookViewId="0">
      <selection activeCell="AB15" sqref="AB15: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337" t="s">
        <v>3</v>
      </c>
      <c r="Q2" s="329"/>
      <c r="R2" s="329"/>
      <c r="S2" s="330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14</v>
      </c>
      <c r="J3" s="21" t="s">
        <v>16</v>
      </c>
      <c r="K3" s="22" t="s">
        <v>0</v>
      </c>
      <c r="L3" s="23" t="s">
        <v>17</v>
      </c>
      <c r="M3" s="24" t="s">
        <v>19</v>
      </c>
      <c r="N3" s="24" t="s">
        <v>20</v>
      </c>
      <c r="O3" s="25" t="s">
        <v>21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23</v>
      </c>
      <c r="U3" s="30" t="s">
        <v>24</v>
      </c>
      <c r="V3" s="30" t="s">
        <v>9</v>
      </c>
      <c r="W3" s="30" t="s">
        <v>25</v>
      </c>
      <c r="X3" s="31" t="s">
        <v>26</v>
      </c>
      <c r="Y3" s="25" t="s">
        <v>27</v>
      </c>
      <c r="Z3" s="32" t="s">
        <v>10</v>
      </c>
      <c r="AA3" s="33" t="s">
        <v>11</v>
      </c>
      <c r="AB3" s="34" t="s">
        <v>28</v>
      </c>
      <c r="AC3" s="4"/>
      <c r="AD3" s="13" t="s">
        <v>29</v>
      </c>
      <c r="AE3" s="20" t="s">
        <v>19</v>
      </c>
      <c r="AF3" s="35" t="s">
        <v>30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31</v>
      </c>
      <c r="AL3" s="39" t="s">
        <v>32</v>
      </c>
      <c r="AM3" s="4"/>
      <c r="AN3" s="338" t="s">
        <v>33</v>
      </c>
      <c r="AO3" s="315"/>
      <c r="AP3" s="315"/>
      <c r="AQ3" s="315"/>
      <c r="AR3" s="339" t="s">
        <v>34</v>
      </c>
      <c r="AS3" s="315"/>
      <c r="AT3" s="315"/>
      <c r="AU3" s="315"/>
      <c r="AV3" s="315"/>
      <c r="AW3" s="12"/>
    </row>
    <row r="4" spans="1:49" ht="22.5">
      <c r="A4" s="2"/>
      <c r="B4" s="40">
        <v>1</v>
      </c>
      <c r="C4" s="41" t="s">
        <v>213</v>
      </c>
      <c r="D4" s="42" t="s">
        <v>214</v>
      </c>
      <c r="E4" s="43">
        <f>IFERROR(VLOOKUP($I$24&amp;$D4,'Database-Hidden'!$C$2:$J$121,4,FALSE)-P4+AG4,"")</f>
        <v>7</v>
      </c>
      <c r="F4" s="44">
        <f>IFERROR(VLOOKUP($I$24&amp;$D4,'Database-Hidden'!$C$2:$J$121,5,FALSE)-Q4+AH4,"")</f>
        <v>5</v>
      </c>
      <c r="G4" s="44">
        <f>IFERROR(VLOOKUP($I$24&amp;$D4,'Database-Hidden'!$C$2:$J$121,6,FALSE)-R4+AI4,"")</f>
        <v>2</v>
      </c>
      <c r="H4" s="45">
        <f>IFERROR(VLOOKUP($I$24&amp;$D4,'Database-Hidden'!$C$2:$J$121,7,FALSE)-S4+AJ4,"")</f>
        <v>8</v>
      </c>
      <c r="I4" s="46" t="str">
        <f>IFERROR(VLOOKUP($I$24&amp;$D4,'Database-Hidden'!$C$2:$J$121,8,FALSE),"")</f>
        <v>Loner, Frenzy, Mighty Blow, Prehensile Tail, Wild Animal</v>
      </c>
      <c r="J4" s="47" t="s">
        <v>217</v>
      </c>
      <c r="K4" s="48">
        <f t="shared" ref="K4:K19" si="0">IF(AA4&gt;175,6,IF(AA4&gt;75,5,IF(AA4&gt;50,4,IF(AA4&gt;30,3,IF(AA4&gt;15,2,IF(AA4&gt;5,1,0))))))</f>
        <v>2</v>
      </c>
      <c r="L4" s="49"/>
      <c r="M4" s="49"/>
      <c r="N4" s="49"/>
      <c r="O4" s="50"/>
      <c r="P4" s="51">
        <v>0</v>
      </c>
      <c r="Q4" s="52"/>
      <c r="R4" s="52"/>
      <c r="S4" s="53"/>
      <c r="T4" s="54"/>
      <c r="U4" s="55"/>
      <c r="V4" s="55"/>
      <c r="W4" s="55">
        <v>6</v>
      </c>
      <c r="X4" s="52"/>
      <c r="Y4" s="52"/>
      <c r="Z4" s="56">
        <v>1</v>
      </c>
      <c r="AA4" s="57">
        <f t="shared" ref="AA4:AA19" si="1">2*T4+U4+3*V4+2*W4+5*Z4</f>
        <v>17</v>
      </c>
      <c r="AB4" s="58">
        <f t="shared" ref="AB4:AB19" si="2">IF(L4=1,0,AD4+(20000*O4)+(20000*AE4)+(30000*AF4)+(30000*AG4)+(50000*AH4)+(40000*AI4)+(50000*AJ4)+AK4)</f>
        <v>200000</v>
      </c>
      <c r="AC4" s="4"/>
      <c r="AD4" s="59">
        <f>IFERROR(VLOOKUP($I$24&amp;D4,'Database-Hidden'!$C$2:$E$121,3,FALSE),"")</f>
        <v>150000</v>
      </c>
      <c r="AE4" s="60">
        <v>1</v>
      </c>
      <c r="AF4" s="62"/>
      <c r="AG4" s="62">
        <v>1</v>
      </c>
      <c r="AH4" s="62"/>
      <c r="AI4" s="62"/>
      <c r="AJ4" s="62"/>
      <c r="AK4" s="63"/>
      <c r="AL4" s="64" t="str">
        <f>IF(LEFT($D4,6)&lt;&gt;"Star: ","",VLOOKUP(RIGHT($D4,LEN($D4)-6),'Star Players-Hidden'!$A$3:$AK$69,37,FALSE))</f>
        <v/>
      </c>
      <c r="AM4" s="4"/>
      <c r="AN4" s="65" t="s">
        <v>39</v>
      </c>
      <c r="AO4" s="66">
        <v>10000</v>
      </c>
      <c r="AP4" s="4"/>
      <c r="AQ4" s="4"/>
      <c r="AR4" s="67"/>
      <c r="AS4" s="68"/>
      <c r="AT4" s="68"/>
      <c r="AU4" s="65" t="s">
        <v>42</v>
      </c>
      <c r="AV4" s="69">
        <v>0</v>
      </c>
      <c r="AW4" s="70"/>
    </row>
    <row r="5" spans="1:49" ht="12.75">
      <c r="A5" s="2"/>
      <c r="B5" s="71">
        <v>2</v>
      </c>
      <c r="C5" s="72" t="s">
        <v>220</v>
      </c>
      <c r="D5" s="73" t="s">
        <v>221</v>
      </c>
      <c r="E5" s="75">
        <f>IFERROR(VLOOKUP($I$24&amp;$D5,'Database-Hidden'!$C$2:$J$121,4,FALSE)-P5+AG5,"")</f>
        <v>7</v>
      </c>
      <c r="F5" s="76">
        <f>IFERROR(VLOOKUP($I$24&amp;$D5,'Database-Hidden'!$C$2:$J$121,5,FALSE)-Q5+AH5,"")</f>
        <v>3</v>
      </c>
      <c r="G5" s="76">
        <f>IFERROR(VLOOKUP($I$24&amp;$D5,'Database-Hidden'!$C$2:$J$121,6,FALSE)-R5+AI5,"")</f>
        <v>3</v>
      </c>
      <c r="H5" s="77">
        <f>IFERROR(VLOOKUP($I$24&amp;$D5,'Database-Hidden'!$C$2:$J$121,7,FALSE)-S5+AJ5,"")</f>
        <v>7</v>
      </c>
      <c r="I5" s="78" t="str">
        <f>IFERROR(VLOOKUP($I$24&amp;$D5,'Database-Hidden'!$C$2:$J$121,8,FALSE),"")</f>
        <v>Pass, Sure Hands</v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/>
      <c r="W5" s="89"/>
      <c r="X5" s="85"/>
      <c r="Y5" s="85"/>
      <c r="Z5" s="90"/>
      <c r="AA5" s="91">
        <f t="shared" si="1"/>
        <v>0</v>
      </c>
      <c r="AB5" s="58">
        <f t="shared" si="2"/>
        <v>70000</v>
      </c>
      <c r="AC5" s="4"/>
      <c r="AD5" s="92">
        <f>IFERROR(VLOOKUP($I$24&amp;D5,'Database-Hidden'!$C$2:$E$121,3,FALSE),"")</f>
        <v>70000</v>
      </c>
      <c r="AE5" s="93"/>
      <c r="AF5" s="94"/>
      <c r="AG5" s="94"/>
      <c r="AH5" s="94"/>
      <c r="AI5" s="94"/>
      <c r="AJ5" s="94"/>
      <c r="AK5" s="63"/>
      <c r="AL5" s="64" t="str">
        <f>IF(LEFT($D5,6)&lt;&gt;"Star: ","",VLOOKUP(RIGHT($D5,LEN($D5)-6),'Star Players-Hidden'!$A$3:$AK$69,37,FALSE))</f>
        <v/>
      </c>
      <c r="AM5" s="1"/>
      <c r="AN5" s="95" t="s">
        <v>47</v>
      </c>
      <c r="AO5" s="96" t="s">
        <v>48</v>
      </c>
      <c r="AP5" s="98" t="s">
        <v>49</v>
      </c>
      <c r="AQ5" s="99" t="s">
        <v>50</v>
      </c>
      <c r="AR5" s="100" t="s">
        <v>51</v>
      </c>
      <c r="AS5" s="98" t="s">
        <v>52</v>
      </c>
      <c r="AT5" s="101" t="s">
        <v>53</v>
      </c>
      <c r="AU5" s="101" t="s">
        <v>54</v>
      </c>
      <c r="AV5" s="103" t="s">
        <v>2</v>
      </c>
      <c r="AW5" s="104"/>
    </row>
    <row r="6" spans="1:49" ht="12.75">
      <c r="A6" s="2"/>
      <c r="B6" s="71">
        <v>3</v>
      </c>
      <c r="C6" s="72" t="s">
        <v>226</v>
      </c>
      <c r="D6" s="73" t="s">
        <v>68</v>
      </c>
      <c r="E6" s="75">
        <f>IFERROR(VLOOKUP($I$24&amp;$D6,'Database-Hidden'!$C$2:$J$121,4,FALSE)-P6+AG6,"")</f>
        <v>7</v>
      </c>
      <c r="F6" s="76">
        <f>IFERROR(VLOOKUP($I$24&amp;$D6,'Database-Hidden'!$C$2:$J$121,5,FALSE)-Q6+AH6,"")</f>
        <v>3</v>
      </c>
      <c r="G6" s="76">
        <f>IFERROR(VLOOKUP($I$24&amp;$D6,'Database-Hidden'!$C$2:$J$121,6,FALSE)-R6+AI6,"")</f>
        <v>3</v>
      </c>
      <c r="H6" s="77">
        <f>IFERROR(VLOOKUP($I$24&amp;$D6,'Database-Hidden'!$C$2:$J$121,7,FALSE)-S6+AJ6,"")</f>
        <v>8</v>
      </c>
      <c r="I6" s="78" t="str">
        <f>IFERROR(VLOOKUP($I$24&amp;$D6,'Database-Hidden'!$C$2:$J$121,8,FALSE),"")</f>
        <v>Block</v>
      </c>
      <c r="J6" s="79" t="s">
        <v>228</v>
      </c>
      <c r="K6" s="80">
        <f t="shared" si="0"/>
        <v>1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9">
        <v>1</v>
      </c>
      <c r="X6" s="85"/>
      <c r="Y6" s="85"/>
      <c r="Z6" s="90">
        <v>1</v>
      </c>
      <c r="AA6" s="91">
        <f t="shared" si="1"/>
        <v>7</v>
      </c>
      <c r="AB6" s="58">
        <f t="shared" si="2"/>
        <v>110000</v>
      </c>
      <c r="AC6" s="4"/>
      <c r="AD6" s="92">
        <f>IFERROR(VLOOKUP($I$24&amp;D6,'Database-Hidden'!$C$2:$E$121,3,FALSE),"")</f>
        <v>90000</v>
      </c>
      <c r="AE6" s="93">
        <v>1</v>
      </c>
      <c r="AF6" s="107"/>
      <c r="AG6" s="107"/>
      <c r="AH6" s="107"/>
      <c r="AI6" s="107"/>
      <c r="AJ6" s="107"/>
      <c r="AK6" s="63"/>
      <c r="AL6" s="64" t="str">
        <f>IF(LEFT($D6,6)&lt;&gt;"Star: ","",VLOOKUP(RIGHT($D6,LEN($D6)-6),'Star Players-Hidden'!$A$3:$AK$69,37,FALSE))</f>
        <v/>
      </c>
      <c r="AM6" s="4"/>
      <c r="AN6" s="108" t="s">
        <v>57</v>
      </c>
      <c r="AO6" s="109">
        <v>70000</v>
      </c>
      <c r="AP6" s="110"/>
      <c r="AQ6" s="112"/>
      <c r="AR6" s="114" t="s">
        <v>110</v>
      </c>
      <c r="AS6" s="115" t="s">
        <v>61</v>
      </c>
      <c r="AT6" s="118">
        <v>2</v>
      </c>
      <c r="AU6" s="116">
        <v>1</v>
      </c>
      <c r="AV6" s="119">
        <v>1</v>
      </c>
      <c r="AW6" s="117"/>
    </row>
    <row r="7" spans="1:49" ht="12.75">
      <c r="A7" s="2"/>
      <c r="B7" s="71">
        <v>4</v>
      </c>
      <c r="C7" s="72" t="s">
        <v>231</v>
      </c>
      <c r="D7" s="73" t="s">
        <v>68</v>
      </c>
      <c r="E7" s="75">
        <f>IFERROR(VLOOKUP($I$24&amp;$D7,'Database-Hidden'!$C$2:$J$121,4,FALSE)-P7+AG7,"")</f>
        <v>7</v>
      </c>
      <c r="F7" s="76">
        <f>IFERROR(VLOOKUP($I$24&amp;$D7,'Database-Hidden'!$C$2:$J$121,5,FALSE)-Q7+AH7,"")</f>
        <v>3</v>
      </c>
      <c r="G7" s="76">
        <f>IFERROR(VLOOKUP($I$24&amp;$D7,'Database-Hidden'!$C$2:$J$121,6,FALSE)-R7+AI7,"")</f>
        <v>3</v>
      </c>
      <c r="H7" s="77">
        <f>IFERROR(VLOOKUP($I$24&amp;$D7,'Database-Hidden'!$C$2:$J$121,7,FALSE)-S7+AJ7,"")</f>
        <v>8</v>
      </c>
      <c r="I7" s="78" t="str">
        <f>IFERROR(VLOOKUP($I$24&amp;$D7,'Database-Hidden'!$C$2:$J$121,8,FALSE),"")</f>
        <v>Block</v>
      </c>
      <c r="J7" s="79" t="s">
        <v>71</v>
      </c>
      <c r="K7" s="80">
        <f t="shared" si="0"/>
        <v>1</v>
      </c>
      <c r="L7" s="82"/>
      <c r="M7" s="81"/>
      <c r="N7" s="82"/>
      <c r="O7" s="83"/>
      <c r="P7" s="84"/>
      <c r="Q7" s="85"/>
      <c r="R7" s="85"/>
      <c r="S7" s="86"/>
      <c r="T7" s="87"/>
      <c r="U7" s="89"/>
      <c r="V7" s="89"/>
      <c r="W7" s="89">
        <v>2</v>
      </c>
      <c r="X7" s="85"/>
      <c r="Y7" s="85"/>
      <c r="Z7" s="90">
        <v>1</v>
      </c>
      <c r="AA7" s="91">
        <f t="shared" si="1"/>
        <v>9</v>
      </c>
      <c r="AB7" s="58">
        <f t="shared" si="2"/>
        <v>110000</v>
      </c>
      <c r="AC7" s="4"/>
      <c r="AD7" s="120">
        <f>IFERROR(VLOOKUP($I$24&amp;D7,'Database-Hidden'!$C$2:$E$121,3,FALSE),"")</f>
        <v>90000</v>
      </c>
      <c r="AE7" s="93">
        <v>1</v>
      </c>
      <c r="AF7" s="107"/>
      <c r="AG7" s="107"/>
      <c r="AH7" s="107"/>
      <c r="AI7" s="107"/>
      <c r="AJ7" s="107"/>
      <c r="AK7" s="63"/>
      <c r="AL7" s="64" t="str">
        <f>IF(LEFT($D7,6)&lt;&gt;"Star: ","",VLOOKUP(RIGHT($D7,LEN($D7)-6),'Star Players-Hidden'!$A$3:$AK$69,37,FALSE))</f>
        <v/>
      </c>
      <c r="AM7" s="4"/>
      <c r="AN7" s="121" t="s">
        <v>63</v>
      </c>
      <c r="AO7" s="131">
        <v>50000</v>
      </c>
      <c r="AP7" s="132">
        <v>50000</v>
      </c>
      <c r="AQ7" s="124"/>
      <c r="AR7" s="133" t="s">
        <v>76</v>
      </c>
      <c r="AS7" s="134" t="s">
        <v>61</v>
      </c>
      <c r="AT7" s="135">
        <v>3</v>
      </c>
      <c r="AU7" s="136">
        <v>1</v>
      </c>
      <c r="AV7" s="129">
        <f>1</f>
        <v>1</v>
      </c>
      <c r="AW7" s="130"/>
    </row>
    <row r="8" spans="1:49" ht="12.75">
      <c r="A8" s="2"/>
      <c r="B8" s="71">
        <v>5</v>
      </c>
      <c r="C8" s="72" t="s">
        <v>232</v>
      </c>
      <c r="D8" s="73" t="s">
        <v>233</v>
      </c>
      <c r="E8" s="75">
        <f>IFERROR(VLOOKUP($I$24&amp;$D8,'Database-Hidden'!$C$2:$J$121,4,FALSE)-P8+AG8,"")</f>
        <v>9</v>
      </c>
      <c r="F8" s="76">
        <f>IFERROR(VLOOKUP($I$24&amp;$D8,'Database-Hidden'!$C$2:$J$121,5,FALSE)-Q8+AH8,"")</f>
        <v>2</v>
      </c>
      <c r="G8" s="76">
        <f>IFERROR(VLOOKUP($I$24&amp;$D8,'Database-Hidden'!$C$2:$J$121,6,FALSE)-R8+AI8,"")</f>
        <v>4</v>
      </c>
      <c r="H8" s="77">
        <f>IFERROR(VLOOKUP($I$24&amp;$D8,'Database-Hidden'!$C$2:$J$121,7,FALSE)-S8+AJ8,"")</f>
        <v>7</v>
      </c>
      <c r="I8" s="78" t="str">
        <f>IFERROR(VLOOKUP($I$24&amp;$D8,'Database-Hidden'!$C$2:$J$121,8,FALSE),"")</f>
        <v>Dodge, Weeping Dagger</v>
      </c>
      <c r="J8" s="79" t="s">
        <v>165</v>
      </c>
      <c r="K8" s="80">
        <f t="shared" si="0"/>
        <v>1</v>
      </c>
      <c r="L8" s="82"/>
      <c r="M8" s="81"/>
      <c r="N8" s="81"/>
      <c r="O8" s="83"/>
      <c r="P8" s="84"/>
      <c r="Q8" s="85"/>
      <c r="R8" s="85"/>
      <c r="S8" s="86"/>
      <c r="T8" s="87"/>
      <c r="U8" s="89">
        <v>2</v>
      </c>
      <c r="V8" s="89">
        <v>2</v>
      </c>
      <c r="W8" s="88"/>
      <c r="X8" s="85"/>
      <c r="Y8" s="140">
        <v>1</v>
      </c>
      <c r="Z8" s="90">
        <v>1</v>
      </c>
      <c r="AA8" s="91">
        <f t="shared" si="1"/>
        <v>13</v>
      </c>
      <c r="AB8" s="58">
        <f t="shared" si="2"/>
        <v>100000</v>
      </c>
      <c r="AC8" s="4"/>
      <c r="AD8" s="120">
        <f>IFERROR(VLOOKUP($I$24&amp;D8,'Database-Hidden'!$C$2:$E$121,3,FALSE),"")</f>
        <v>80000</v>
      </c>
      <c r="AE8" s="93">
        <v>1</v>
      </c>
      <c r="AF8" s="107"/>
      <c r="AG8" s="107"/>
      <c r="AH8" s="107"/>
      <c r="AI8" s="107"/>
      <c r="AJ8" s="107"/>
      <c r="AK8" s="63"/>
      <c r="AL8" s="64" t="str">
        <f>IF(LEFT($D8,6)&lt;&gt;"Star: ","",VLOOKUP(RIGHT($D8,LEN($D8)-6),'Star Players-Hidden'!$A$3:$AK$69,37,FALSE))</f>
        <v/>
      </c>
      <c r="AM8" s="4"/>
      <c r="AN8" s="121" t="s">
        <v>69</v>
      </c>
      <c r="AO8" s="131">
        <v>50000</v>
      </c>
      <c r="AP8" s="132">
        <v>120000</v>
      </c>
      <c r="AQ8" s="124"/>
      <c r="AR8" s="133" t="s">
        <v>73</v>
      </c>
      <c r="AS8" s="134" t="s">
        <v>61</v>
      </c>
      <c r="AT8" s="135">
        <v>4</v>
      </c>
      <c r="AU8" s="136">
        <v>1</v>
      </c>
      <c r="AV8" s="137">
        <v>1</v>
      </c>
      <c r="AW8" s="130"/>
    </row>
    <row r="9" spans="1:49" ht="12.75">
      <c r="A9" s="2"/>
      <c r="B9" s="71">
        <v>6</v>
      </c>
      <c r="C9" s="72" t="s">
        <v>236</v>
      </c>
      <c r="D9" s="73" t="s">
        <v>233</v>
      </c>
      <c r="E9" s="75">
        <f>IFERROR(VLOOKUP($I$24&amp;$D9,'Database-Hidden'!$C$2:$J$121,4,FALSE)-P9+AG9,"")</f>
        <v>9</v>
      </c>
      <c r="F9" s="76">
        <f>IFERROR(VLOOKUP($I$24&amp;$D9,'Database-Hidden'!$C$2:$J$121,5,FALSE)-Q9+AH9,"")</f>
        <v>2</v>
      </c>
      <c r="G9" s="76">
        <f>IFERROR(VLOOKUP($I$24&amp;$D9,'Database-Hidden'!$C$2:$J$121,6,FALSE)-R9+AI9,"")</f>
        <v>4</v>
      </c>
      <c r="H9" s="77">
        <f>IFERROR(VLOOKUP($I$24&amp;$D9,'Database-Hidden'!$C$2:$J$121,7,FALSE)-S9+AJ9,"")</f>
        <v>7</v>
      </c>
      <c r="I9" s="78" t="str">
        <f>IFERROR(VLOOKUP($I$24&amp;$D9,'Database-Hidden'!$C$2:$J$121,8,FALSE),"")</f>
        <v>Dodge, Weeping Dagger</v>
      </c>
      <c r="J9" s="79" t="s">
        <v>239</v>
      </c>
      <c r="K9" s="80">
        <f t="shared" si="0"/>
        <v>2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9">
        <v>7</v>
      </c>
      <c r="W9" s="88"/>
      <c r="X9" s="85"/>
      <c r="Y9" s="85"/>
      <c r="Z9" s="90"/>
      <c r="AA9" s="91">
        <f t="shared" si="1"/>
        <v>21</v>
      </c>
      <c r="AB9" s="58">
        <f t="shared" si="2"/>
        <v>120000</v>
      </c>
      <c r="AC9" s="4"/>
      <c r="AD9" s="120">
        <f>IFERROR(VLOOKUP($I$24&amp;D9,'Database-Hidden'!$C$2:$E$121,3,FALSE),"")</f>
        <v>80000</v>
      </c>
      <c r="AE9" s="93">
        <v>2</v>
      </c>
      <c r="AF9" s="94"/>
      <c r="AG9" s="107"/>
      <c r="AH9" s="107"/>
      <c r="AI9" s="107"/>
      <c r="AJ9" s="107"/>
      <c r="AK9" s="63"/>
      <c r="AL9" s="64" t="str">
        <f>IF(LEFT($D9,6)&lt;&gt;"Star: ","",VLOOKUP(RIGHT($D9,LEN($D9)-6),'Star Players-Hidden'!$A$3:$AK$69,37,FALSE))</f>
        <v/>
      </c>
      <c r="AM9" s="4"/>
      <c r="AN9" s="121" t="s">
        <v>72</v>
      </c>
      <c r="AO9" s="131">
        <v>70000</v>
      </c>
      <c r="AP9" s="123"/>
      <c r="AQ9" s="124"/>
      <c r="AR9" s="133" t="s">
        <v>79</v>
      </c>
      <c r="AS9" s="134" t="s">
        <v>61</v>
      </c>
      <c r="AT9" s="135">
        <v>3</v>
      </c>
      <c r="AU9" s="136">
        <v>3</v>
      </c>
      <c r="AV9" s="137">
        <v>1</v>
      </c>
      <c r="AW9" s="130"/>
    </row>
    <row r="10" spans="1:49" ht="12.75">
      <c r="A10" s="2"/>
      <c r="B10" s="71">
        <v>7</v>
      </c>
      <c r="C10" s="72" t="s">
        <v>240</v>
      </c>
      <c r="D10" s="73" t="s">
        <v>233</v>
      </c>
      <c r="E10" s="75">
        <f>IFERROR(VLOOKUP($I$24&amp;$D10,'Database-Hidden'!$C$2:$J$121,4,FALSE)-P10+AG10,"")</f>
        <v>9</v>
      </c>
      <c r="F10" s="76">
        <f>IFERROR(VLOOKUP($I$24&amp;$D10,'Database-Hidden'!$C$2:$J$121,5,FALSE)-Q10+AH10,"")</f>
        <v>2</v>
      </c>
      <c r="G10" s="76">
        <f>IFERROR(VLOOKUP($I$24&amp;$D10,'Database-Hidden'!$C$2:$J$121,6,FALSE)-R10+AI10,"")</f>
        <v>4</v>
      </c>
      <c r="H10" s="77">
        <f>IFERROR(VLOOKUP($I$24&amp;$D10,'Database-Hidden'!$C$2:$J$121,7,FALSE)-S10+AJ10,"")</f>
        <v>7</v>
      </c>
      <c r="I10" s="78" t="str">
        <f>IFERROR(VLOOKUP($I$24&amp;$D10,'Database-Hidden'!$C$2:$J$121,8,FALSE),"")</f>
        <v>Dodge, Weeping Dagger</v>
      </c>
      <c r="J10" s="79" t="s">
        <v>242</v>
      </c>
      <c r="K10" s="80">
        <f t="shared" si="0"/>
        <v>2</v>
      </c>
      <c r="L10" s="81"/>
      <c r="M10" s="81"/>
      <c r="N10" s="81"/>
      <c r="O10" s="83"/>
      <c r="P10" s="84"/>
      <c r="Q10" s="85"/>
      <c r="R10" s="85"/>
      <c r="S10" s="86"/>
      <c r="T10" s="87"/>
      <c r="U10" s="89">
        <v>2</v>
      </c>
      <c r="V10" s="89">
        <v>5</v>
      </c>
      <c r="W10" s="89"/>
      <c r="X10" s="85"/>
      <c r="Y10" s="85"/>
      <c r="Z10" s="90">
        <v>1</v>
      </c>
      <c r="AA10" s="91">
        <f t="shared" si="1"/>
        <v>22</v>
      </c>
      <c r="AB10" s="58">
        <f t="shared" si="2"/>
        <v>120000</v>
      </c>
      <c r="AC10" s="4"/>
      <c r="AD10" s="120">
        <f>IFERROR(VLOOKUP($I$24&amp;D10,'Database-Hidden'!$C$2:$E$121,3,FALSE),"")</f>
        <v>80000</v>
      </c>
      <c r="AE10" s="93">
        <v>2</v>
      </c>
      <c r="AF10" s="94"/>
      <c r="AG10" s="107"/>
      <c r="AH10" s="107"/>
      <c r="AI10" s="107"/>
      <c r="AJ10" s="107"/>
      <c r="AK10" s="63"/>
      <c r="AL10" s="64" t="str">
        <f>IF(LEFT($D10,6)&lt;&gt;"Star: ","",VLOOKUP(RIGHT($D10,LEN($D10)-6),'Star Players-Hidden'!$A$3:$AK$69,37,FALSE))</f>
        <v/>
      </c>
      <c r="AM10" s="4"/>
      <c r="AN10" s="121" t="s">
        <v>78</v>
      </c>
      <c r="AO10" s="131" t="s">
        <v>243</v>
      </c>
      <c r="AP10" s="132" t="s">
        <v>244</v>
      </c>
      <c r="AQ10" s="124"/>
      <c r="AR10" s="133" t="s">
        <v>125</v>
      </c>
      <c r="AS10" s="134" t="s">
        <v>61</v>
      </c>
      <c r="AT10" s="135">
        <v>5</v>
      </c>
      <c r="AU10" s="136">
        <v>5</v>
      </c>
      <c r="AV10" s="129">
        <f t="shared" ref="AV10:AV11" si="3">1</f>
        <v>1</v>
      </c>
      <c r="AW10" s="130"/>
    </row>
    <row r="11" spans="1:49" ht="12.75">
      <c r="A11" s="2"/>
      <c r="B11" s="71">
        <v>8</v>
      </c>
      <c r="C11" s="72" t="s">
        <v>245</v>
      </c>
      <c r="D11" s="73" t="s">
        <v>233</v>
      </c>
      <c r="E11" s="75">
        <f>IFERROR(VLOOKUP($I$24&amp;$D11,'Database-Hidden'!$C$2:$J$121,4,FALSE)-P11+AG11,"")</f>
        <v>9</v>
      </c>
      <c r="F11" s="76">
        <f>IFERROR(VLOOKUP($I$24&amp;$D11,'Database-Hidden'!$C$2:$J$121,5,FALSE)-Q11+AH11,"")</f>
        <v>2</v>
      </c>
      <c r="G11" s="76">
        <f>IFERROR(VLOOKUP($I$24&amp;$D11,'Database-Hidden'!$C$2:$J$121,6,FALSE)-R11+AI11,"")</f>
        <v>4</v>
      </c>
      <c r="H11" s="77">
        <f>IFERROR(VLOOKUP($I$24&amp;$D11,'Database-Hidden'!$C$2:$J$121,7,FALSE)-S11+AJ11,"")</f>
        <v>7</v>
      </c>
      <c r="I11" s="78" t="str">
        <f>IFERROR(VLOOKUP($I$24&amp;$D11,'Database-Hidden'!$C$2:$J$121,8,FALSE),"")</f>
        <v>Dodge, Weeping Dagger</v>
      </c>
      <c r="J11" s="79" t="s">
        <v>247</v>
      </c>
      <c r="K11" s="80">
        <f t="shared" si="0"/>
        <v>2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9">
        <v>5</v>
      </c>
      <c r="W11" s="88"/>
      <c r="X11" s="85"/>
      <c r="Y11" s="85"/>
      <c r="Z11" s="90">
        <v>1</v>
      </c>
      <c r="AA11" s="91">
        <f t="shared" si="1"/>
        <v>20</v>
      </c>
      <c r="AB11" s="58">
        <f t="shared" si="2"/>
        <v>120000</v>
      </c>
      <c r="AC11" s="4"/>
      <c r="AD11" s="120">
        <f>IFERROR(VLOOKUP($I$24&amp;D11,'Database-Hidden'!$C$2:$E$121,3,FALSE),"")</f>
        <v>80000</v>
      </c>
      <c r="AE11" s="93">
        <v>2</v>
      </c>
      <c r="AF11" s="107"/>
      <c r="AG11" s="107"/>
      <c r="AH11" s="107"/>
      <c r="AI11" s="107"/>
      <c r="AJ11" s="107"/>
      <c r="AK11" s="63"/>
      <c r="AL11" s="64" t="str">
        <f>IF(LEFT($D11,6)&lt;&gt;"Star: ","",VLOOKUP(RIGHT($D11,LEN($D11)-6),'Star Players-Hidden'!$A$3:$AK$69,37,FALSE))</f>
        <v/>
      </c>
      <c r="AM11" s="4"/>
      <c r="AN11" s="121" t="s">
        <v>82</v>
      </c>
      <c r="AO11" s="131">
        <v>70000</v>
      </c>
      <c r="AP11" s="132">
        <v>120000</v>
      </c>
      <c r="AQ11" s="124"/>
      <c r="AR11" s="133" t="s">
        <v>150</v>
      </c>
      <c r="AS11" s="134" t="s">
        <v>61</v>
      </c>
      <c r="AT11" s="135">
        <v>1</v>
      </c>
      <c r="AU11" s="136">
        <v>0</v>
      </c>
      <c r="AV11" s="129">
        <f t="shared" si="3"/>
        <v>1</v>
      </c>
      <c r="AW11" s="130"/>
    </row>
    <row r="12" spans="1:49" ht="12.75">
      <c r="A12" s="2"/>
      <c r="B12" s="71">
        <v>9</v>
      </c>
      <c r="C12" s="72" t="s">
        <v>249</v>
      </c>
      <c r="D12" s="73" t="s">
        <v>92</v>
      </c>
      <c r="E12" s="75">
        <f>IFERROR(VLOOKUP($I$24&amp;$D12,'Database-Hidden'!$C$2:$J$121,4,FALSE)-P12+AG12,"")</f>
        <v>7</v>
      </c>
      <c r="F12" s="76">
        <f>IFERROR(VLOOKUP($I$24&amp;$D12,'Database-Hidden'!$C$2:$J$121,5,FALSE)-Q12+AH12,"")</f>
        <v>3</v>
      </c>
      <c r="G12" s="76">
        <f>IFERROR(VLOOKUP($I$24&amp;$D12,'Database-Hidden'!$C$2:$J$121,6,FALSE)-R12+AI12,"")</f>
        <v>3</v>
      </c>
      <c r="H12" s="77">
        <f>IFERROR(VLOOKUP($I$24&amp;$D12,'Database-Hidden'!$C$2:$J$121,7,FALSE)-S12+AJ12,"")</f>
        <v>6</v>
      </c>
      <c r="I12" s="78">
        <f>IFERROR(VLOOKUP($I$24&amp;$D12,'Database-Hidden'!$C$2:$J$121,8,FALSE),"")</f>
        <v>0</v>
      </c>
      <c r="J12" s="106"/>
      <c r="K12" s="80">
        <f t="shared" si="0"/>
        <v>0</v>
      </c>
      <c r="L12" s="82">
        <v>1</v>
      </c>
      <c r="M12" s="81"/>
      <c r="N12" s="82"/>
      <c r="O12" s="83"/>
      <c r="P12" s="84"/>
      <c r="Q12" s="85"/>
      <c r="R12" s="85"/>
      <c r="S12" s="244">
        <v>1</v>
      </c>
      <c r="T12" s="87"/>
      <c r="U12" s="89"/>
      <c r="V12" s="88"/>
      <c r="W12" s="89"/>
      <c r="X12" s="85"/>
      <c r="Y12" s="85"/>
      <c r="Z12" s="90"/>
      <c r="AA12" s="91">
        <f t="shared" si="1"/>
        <v>0</v>
      </c>
      <c r="AB12" s="58">
        <f t="shared" si="2"/>
        <v>0</v>
      </c>
      <c r="AC12" s="4"/>
      <c r="AD12" s="120">
        <f>IFERROR(VLOOKUP($I$24&amp;D12,'Database-Hidden'!$C$2:$E$121,3,FALSE),"")</f>
        <v>50000</v>
      </c>
      <c r="AE12" s="139"/>
      <c r="AF12" s="107"/>
      <c r="AG12" s="107"/>
      <c r="AH12" s="107"/>
      <c r="AI12" s="107"/>
      <c r="AJ12" s="107"/>
      <c r="AK12" s="63"/>
      <c r="AL12" s="64" t="str">
        <f>IF(LEFT($D12,6)&lt;&gt;"Star: ","",VLOOKUP(RIGHT($D12,LEN($D12)-6),'Star Players-Hidden'!$A$3:$AK$69,37,FALSE))</f>
        <v/>
      </c>
      <c r="AM12" s="4"/>
      <c r="AN12" s="121" t="s">
        <v>87</v>
      </c>
      <c r="AO12" s="122"/>
      <c r="AP12" s="123"/>
      <c r="AQ12" s="124"/>
      <c r="AR12" s="125"/>
      <c r="AS12" s="126"/>
      <c r="AT12" s="127"/>
      <c r="AU12" s="128"/>
      <c r="AV12" s="129"/>
      <c r="AW12" s="130"/>
    </row>
    <row r="13" spans="1:49" ht="12.75">
      <c r="A13" s="2"/>
      <c r="B13" s="71">
        <v>10</v>
      </c>
      <c r="C13" s="72" t="s">
        <v>254</v>
      </c>
      <c r="D13" s="73" t="s">
        <v>92</v>
      </c>
      <c r="E13" s="75">
        <f>IFERROR(VLOOKUP($I$24&amp;$D13,'Database-Hidden'!$C$2:$J$121,4,FALSE)-P13+AG13,"")</f>
        <v>7</v>
      </c>
      <c r="F13" s="76">
        <f>IFERROR(VLOOKUP($I$24&amp;$D13,'Database-Hidden'!$C$2:$J$121,5,FALSE)-Q13+AH13,"")</f>
        <v>3</v>
      </c>
      <c r="G13" s="76">
        <f>IFERROR(VLOOKUP($I$24&amp;$D13,'Database-Hidden'!$C$2:$J$121,6,FALSE)-R13+AI13,"")</f>
        <v>3</v>
      </c>
      <c r="H13" s="77">
        <f>IFERROR(VLOOKUP($I$24&amp;$D13,'Database-Hidden'!$C$2:$J$121,7,FALSE)-S13+AJ13,"")</f>
        <v>7</v>
      </c>
      <c r="I13" s="78">
        <f>IFERROR(VLOOKUP($I$24&amp;$D13,'Database-Hidden'!$C$2:$J$121,8,FALSE),"")</f>
        <v>0</v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>
        <v>2</v>
      </c>
      <c r="X13" s="85"/>
      <c r="Y13" s="85"/>
      <c r="Z13" s="90"/>
      <c r="AA13" s="91">
        <f t="shared" si="1"/>
        <v>4</v>
      </c>
      <c r="AB13" s="58">
        <f t="shared" si="2"/>
        <v>50000</v>
      </c>
      <c r="AC13" s="4"/>
      <c r="AD13" s="120">
        <f>IFERROR(VLOOKUP($I$24&amp;D13,'Database-Hidden'!$C$2:$E$121,3,FALSE),"")</f>
        <v>50000</v>
      </c>
      <c r="AE13" s="139"/>
      <c r="AF13" s="94"/>
      <c r="AG13" s="107"/>
      <c r="AH13" s="107"/>
      <c r="AI13" s="107"/>
      <c r="AJ13" s="107"/>
      <c r="AK13" s="63"/>
      <c r="AL13" s="64" t="str">
        <f>IF(LEFT($D13,6)&lt;&gt;"Star: ","",VLOOKUP(RIGHT($D13,LEN($D13)-6),'Star Players-Hidden'!$A$3:$AK$69,37,FALSE))</f>
        <v/>
      </c>
      <c r="AM13" s="4"/>
      <c r="AN13" s="121" t="s">
        <v>95</v>
      </c>
      <c r="AO13" s="122"/>
      <c r="AP13" s="123"/>
      <c r="AQ13" s="124"/>
      <c r="AR13" s="125"/>
      <c r="AS13" s="126"/>
      <c r="AT13" s="127"/>
      <c r="AU13" s="128"/>
      <c r="AV13" s="129"/>
      <c r="AW13" s="130"/>
    </row>
    <row r="14" spans="1:49" ht="12.75">
      <c r="A14" s="2"/>
      <c r="B14" s="71">
        <v>11</v>
      </c>
      <c r="C14" s="72" t="s">
        <v>256</v>
      </c>
      <c r="D14" s="73" t="s">
        <v>92</v>
      </c>
      <c r="E14" s="75">
        <f>IFERROR(VLOOKUP($I$24&amp;$D14,'Database-Hidden'!$C$2:$J$121,4,FALSE)-P14+AG14,"")</f>
        <v>7</v>
      </c>
      <c r="F14" s="76">
        <f>IFERROR(VLOOKUP($I$24&amp;$D14,'Database-Hidden'!$C$2:$J$121,5,FALSE)-Q14+AH14,"")</f>
        <v>3</v>
      </c>
      <c r="G14" s="76">
        <f>IFERROR(VLOOKUP($I$24&amp;$D14,'Database-Hidden'!$C$2:$J$121,6,FALSE)-R14+AI14,"")</f>
        <v>3</v>
      </c>
      <c r="H14" s="77">
        <f>IFERROR(VLOOKUP($I$24&amp;$D14,'Database-Hidden'!$C$2:$J$121,7,FALSE)-S14+AJ14,"")</f>
        <v>7</v>
      </c>
      <c r="I14" s="78">
        <f>IFERROR(VLOOKUP($I$24&amp;$D14,'Database-Hidden'!$C$2:$J$121,8,FALSE),"")</f>
        <v>0</v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>
        <v>0</v>
      </c>
      <c r="X14" s="85"/>
      <c r="Y14" s="85"/>
      <c r="Z14" s="90"/>
      <c r="AA14" s="91">
        <f t="shared" si="1"/>
        <v>0</v>
      </c>
      <c r="AB14" s="58">
        <f t="shared" si="2"/>
        <v>50000</v>
      </c>
      <c r="AC14" s="4"/>
      <c r="AD14" s="120">
        <f>IFERROR(VLOOKUP($I$24&amp;D14,'Database-Hidden'!$C$2:$E$121,3,FALSE),"")</f>
        <v>50000</v>
      </c>
      <c r="AE14" s="93"/>
      <c r="AF14" s="107"/>
      <c r="AG14" s="107"/>
      <c r="AH14" s="107"/>
      <c r="AI14" s="107"/>
      <c r="AJ14" s="107"/>
      <c r="AK14" s="63"/>
      <c r="AL14" s="64" t="str">
        <f>IF(LEFT($D14,6)&lt;&gt;"Star: ","",VLOOKUP(RIGHT($D14,LEN($D14)-6),'Star Players-Hidden'!$A$3:$AK$69,37,FALSE))</f>
        <v/>
      </c>
      <c r="AM14" s="4"/>
      <c r="AN14" s="121" t="s">
        <v>98</v>
      </c>
      <c r="AO14" s="131" t="s">
        <v>258</v>
      </c>
      <c r="AP14" s="123"/>
      <c r="AQ14" s="124"/>
      <c r="AR14" s="133" t="s">
        <v>110</v>
      </c>
      <c r="AS14" s="134" t="s">
        <v>74</v>
      </c>
      <c r="AT14" s="135">
        <v>1</v>
      </c>
      <c r="AU14" s="136">
        <v>1</v>
      </c>
      <c r="AV14" s="137">
        <v>0</v>
      </c>
      <c r="AW14" s="130"/>
    </row>
    <row r="15" spans="1:49" ht="12.75">
      <c r="A15" s="2"/>
      <c r="B15" s="71">
        <v>12</v>
      </c>
      <c r="C15" s="72"/>
      <c r="D15" s="73"/>
      <c r="E15" s="75" t="str">
        <f>IFERROR(VLOOKUP($I$24&amp;$D15,'Database-Hidden'!$C$2:$J$121,4,FALSE)-P15+AG15,"")</f>
        <v/>
      </c>
      <c r="F15" s="76" t="str">
        <f>IFERROR(VLOOKUP($I$24&amp;$D15,'Database-Hidden'!$C$2:$J$121,5,FALSE)-Q15+AH15,"")</f>
        <v/>
      </c>
      <c r="G15" s="76" t="str">
        <f>IFERROR(VLOOKUP($I$24&amp;$D15,'Database-Hidden'!$C$2:$J$121,6,FALSE)-R15+AI15,"")</f>
        <v/>
      </c>
      <c r="H15" s="77" t="str">
        <f>IFERROR(VLOOKUP($I$24&amp;$D15,'Database-Hidden'!$C$2:$J$121,7,FALSE)-S15+AJ15,"")</f>
        <v/>
      </c>
      <c r="I15" s="78" t="str">
        <f>IFERROR(VLOOKUP($I$24&amp;$D15,'Database-Hidden'!$C$2:$J$121,8,FALSE),"")</f>
        <v/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85"/>
      <c r="Y15" s="85"/>
      <c r="Z15" s="90"/>
      <c r="AA15" s="91">
        <f t="shared" si="1"/>
        <v>0</v>
      </c>
      <c r="AB15" s="58"/>
      <c r="AC15" s="4"/>
      <c r="AD15" s="120" t="str">
        <f>IFERROR(VLOOKUP($I$24&amp;D15,'Database-Hidden'!$C$2:$E$121,3,FALSE),"")</f>
        <v/>
      </c>
      <c r="AE15" s="93"/>
      <c r="AF15" s="107"/>
      <c r="AG15" s="107"/>
      <c r="AH15" s="107"/>
      <c r="AI15" s="107"/>
      <c r="AJ15" s="107"/>
      <c r="AK15" s="63"/>
      <c r="AL15" s="64" t="str">
        <f>IF(LEFT($D15,6)&lt;&gt;"Star: ","",VLOOKUP(RIGHT($D15,LEN($D15)-6),'Star Players-Hidden'!$A$3:$AK$69,37,FALSE))</f>
        <v/>
      </c>
      <c r="AM15" s="4"/>
      <c r="AN15" s="121" t="s">
        <v>102</v>
      </c>
      <c r="AO15" s="122"/>
      <c r="AP15" s="123"/>
      <c r="AQ15" s="124"/>
      <c r="AR15" s="125"/>
      <c r="AS15" s="126"/>
      <c r="AT15" s="127"/>
      <c r="AU15" s="128"/>
      <c r="AV15" s="129"/>
      <c r="AW15" s="130"/>
    </row>
    <row r="16" spans="1:49" ht="12.75">
      <c r="A16" s="2"/>
      <c r="B16" s="71">
        <v>13</v>
      </c>
      <c r="C16" s="72"/>
      <c r="D16" s="73"/>
      <c r="E16" s="75" t="str">
        <f>IFERROR(VLOOKUP($I$24&amp;$D16,'Database-Hidden'!$C$2:$J$121,4,FALSE)-P16+AG16,"")</f>
        <v/>
      </c>
      <c r="F16" s="76" t="str">
        <f>IFERROR(VLOOKUP($I$24&amp;$D16,'Database-Hidden'!$C$2:$J$121,5,FALSE)-Q16+AH16,"")</f>
        <v/>
      </c>
      <c r="G16" s="76" t="str">
        <f>IFERROR(VLOOKUP($I$24&amp;$D16,'Database-Hidden'!$C$2:$J$121,6,FALSE)-R16+AI16,"")</f>
        <v/>
      </c>
      <c r="H16" s="77" t="str">
        <f>IFERROR(VLOOKUP($I$24&amp;$D16,'Database-Hidden'!$C$2:$J$121,7,FALSE)-S16+AJ16,"")</f>
        <v/>
      </c>
      <c r="I16" s="78" t="str">
        <f>IFERROR(VLOOKUP($I$24&amp;$D16,'Database-Hidden'!$C$2:$J$121,8,FALSE),"")</f>
        <v/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85"/>
      <c r="Z16" s="90"/>
      <c r="AA16" s="91">
        <f t="shared" si="1"/>
        <v>0</v>
      </c>
      <c r="AB16" s="58"/>
      <c r="AC16" s="4"/>
      <c r="AD16" s="120" t="str">
        <f>IFERROR(VLOOKUP($I$24&amp;D16,'Database-Hidden'!$C$2:$E$121,3,FALSE),"")</f>
        <v/>
      </c>
      <c r="AE16" s="93"/>
      <c r="AF16" s="107"/>
      <c r="AG16" s="107"/>
      <c r="AH16" s="107"/>
      <c r="AI16" s="107"/>
      <c r="AJ16" s="107"/>
      <c r="AK16" s="63"/>
      <c r="AL16" s="64" t="str">
        <f>IF(LEFT($D16,6)&lt;&gt;"Star: ","",VLOOKUP(RIGHT($D16,LEN($D16)-6),'Star Players-Hidden'!$A$3:$AK$69,37,FALSE))</f>
        <v/>
      </c>
      <c r="AM16" s="4"/>
      <c r="AN16" s="121" t="s">
        <v>105</v>
      </c>
      <c r="AO16" s="122"/>
      <c r="AP16" s="123"/>
      <c r="AQ16" s="124"/>
      <c r="AR16" s="125"/>
      <c r="AS16" s="126"/>
      <c r="AT16" s="127"/>
      <c r="AU16" s="128"/>
      <c r="AV16" s="129"/>
      <c r="AW16" s="130"/>
    </row>
    <row r="17" spans="1:49" ht="12.75">
      <c r="A17" s="2"/>
      <c r="B17" s="71">
        <v>14</v>
      </c>
      <c r="C17" s="72"/>
      <c r="D17" s="73"/>
      <c r="E17" s="75" t="str">
        <f>IFERROR(VLOOKUP($I$24&amp;$D17,'Database-Hidden'!$C$2:$J$121,4,FALSE)-P17+AG17,"")</f>
        <v/>
      </c>
      <c r="F17" s="76" t="str">
        <f>IFERROR(VLOOKUP($I$24&amp;$D17,'Database-Hidden'!$C$2:$J$121,5,FALSE)-Q17+AH17,"")</f>
        <v/>
      </c>
      <c r="G17" s="76" t="str">
        <f>IFERROR(VLOOKUP($I$24&amp;$D17,'Database-Hidden'!$C$2:$J$121,6,FALSE)-R17+AI17,"")</f>
        <v/>
      </c>
      <c r="H17" s="77" t="str">
        <f>IFERROR(VLOOKUP($I$24&amp;$D17,'Database-Hidden'!$C$2:$J$121,7,FALSE)-S17+AJ17,"")</f>
        <v/>
      </c>
      <c r="I17" s="78" t="str">
        <f>IFERROR(VLOOKUP($I$24&amp;$D17,'Database-Hidden'!$C$2:$J$121,8,FALSE),"")</f>
        <v/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85"/>
      <c r="Z17" s="90"/>
      <c r="AA17" s="91">
        <f t="shared" si="1"/>
        <v>0</v>
      </c>
      <c r="AB17" s="58"/>
      <c r="AC17" s="4"/>
      <c r="AD17" s="120" t="str">
        <f>IFERROR(VLOOKUP($I$24&amp;D17,'Database-Hidden'!$C$2:$E$121,3,FALSE),"")</f>
        <v/>
      </c>
      <c r="AE17" s="93"/>
      <c r="AF17" s="107"/>
      <c r="AG17" s="107"/>
      <c r="AH17" s="107"/>
      <c r="AI17" s="107"/>
      <c r="AJ17" s="107"/>
      <c r="AK17" s="63"/>
      <c r="AL17" s="64" t="str">
        <f>IF(LEFT($D17,6)&lt;&gt;"Star: ","",VLOOKUP(RIGHT($D17,LEN($D17)-6),'Star Players-Hidden'!$A$3:$AK$69,37,FALSE))</f>
        <v/>
      </c>
      <c r="AM17" s="4"/>
      <c r="AN17" s="141" t="s">
        <v>108</v>
      </c>
      <c r="AO17" s="142"/>
      <c r="AP17" s="143"/>
      <c r="AQ17" s="144"/>
      <c r="AR17" s="145"/>
      <c r="AS17" s="146"/>
      <c r="AT17" s="147"/>
      <c r="AU17" s="149"/>
      <c r="AV17" s="150"/>
      <c r="AW17" s="130"/>
    </row>
    <row r="18" spans="1:49" ht="12.75">
      <c r="A18" s="2"/>
      <c r="B18" s="71">
        <v>15</v>
      </c>
      <c r="C18" s="72"/>
      <c r="D18" s="73"/>
      <c r="E18" s="75" t="str">
        <f>IFERROR(VLOOKUP($I$24&amp;$D18,'Database-Hidden'!$C$2:$J$121,4,FALSE)-P18+AG18,"")</f>
        <v/>
      </c>
      <c r="F18" s="76" t="str">
        <f>IFERROR(VLOOKUP($I$24&amp;$D18,'Database-Hidden'!$C$2:$J$121,5,FALSE)-Q18+AH18,"")</f>
        <v/>
      </c>
      <c r="G18" s="76" t="str">
        <f>IFERROR(VLOOKUP($I$24&amp;$D18,'Database-Hidden'!$C$2:$J$121,6,FALSE)-R18+AI18,"")</f>
        <v/>
      </c>
      <c r="H18" s="77" t="str">
        <f>IFERROR(VLOOKUP($I$24&amp;$D18,'Database-Hidden'!$C$2:$J$121,7,FALSE)-S18+AJ18,"")</f>
        <v/>
      </c>
      <c r="I18" s="78" t="str">
        <f>IFERROR(VLOOKUP($I$24&amp;$D18,'Database-Hidden'!$C$2:$J$121,8,FALSE),"")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85"/>
      <c r="Z18" s="90"/>
      <c r="AA18" s="91">
        <f t="shared" si="1"/>
        <v>0</v>
      </c>
      <c r="AB18" s="58"/>
      <c r="AC18" s="4"/>
      <c r="AD18" s="120" t="str">
        <f>IFERROR(VLOOKUP($I$24&amp;D18,'Database-Hidden'!$C$2:$E$121,3,FALSE),"")</f>
        <v/>
      </c>
      <c r="AE18" s="93"/>
      <c r="AF18" s="94"/>
      <c r="AG18" s="107"/>
      <c r="AH18" s="107"/>
      <c r="AI18" s="107"/>
      <c r="AJ18" s="107"/>
      <c r="AK18" s="63"/>
      <c r="AL18" s="64" t="str">
        <f>IF(LEFT($D18,6)&lt;&gt;"Star: ","",VLOOKUP(RIGHT($D18,LEN($D18)-6),'Star Players-Hidden'!$A$3:$AK$69,37,FALSE))</f>
        <v/>
      </c>
      <c r="AM18" s="4"/>
      <c r="AN18" s="157" t="s">
        <v>35</v>
      </c>
      <c r="AO18" s="160">
        <f>AO4+SUM(AO6:AO17)-SUM(AP6:AP17)-SUM(AQ6:AQ17)</f>
        <v>30000</v>
      </c>
      <c r="AP18" s="4"/>
      <c r="AQ18" s="4"/>
      <c r="AR18" s="68"/>
      <c r="AS18" s="157" t="s">
        <v>35</v>
      </c>
      <c r="AT18" s="162">
        <f t="shared" ref="AT18:AU18" si="4">SUM(AT6:AT17)</f>
        <v>19</v>
      </c>
      <c r="AU18" s="164">
        <f t="shared" si="4"/>
        <v>12</v>
      </c>
      <c r="AV18" s="168">
        <f>AV4+SUM(AV6:AV17)</f>
        <v>6</v>
      </c>
      <c r="AW18" s="5"/>
    </row>
    <row r="19" spans="1:49" ht="12.75">
      <c r="A19" s="2"/>
      <c r="B19" s="170">
        <v>16</v>
      </c>
      <c r="C19" s="172"/>
      <c r="D19" s="174"/>
      <c r="E19" s="176" t="str">
        <f>IFERROR(VLOOKUP($I$24&amp;$D19,'Database-Hidden'!$C$2:$J$121,4,FALSE)-P19+AG19,"")</f>
        <v/>
      </c>
      <c r="F19" s="177" t="str">
        <f>IFERROR(VLOOKUP($I$24&amp;$D19,'Database-Hidden'!$C$2:$J$121,5,FALSE)-Q19+AH19,"")</f>
        <v/>
      </c>
      <c r="G19" s="177" t="str">
        <f>IFERROR(VLOOKUP($I$24&amp;$D19,'Database-Hidden'!$C$2:$J$121,6,FALSE)-R19+AI19,"")</f>
        <v/>
      </c>
      <c r="H19" s="178" t="str">
        <f>IFERROR(VLOOKUP($I$24&amp;$D19,'Database-Hidden'!$C$2:$J$121,7,FALSE)-S19+AJ19,"")</f>
        <v/>
      </c>
      <c r="I19" s="180" t="str">
        <f>IFERROR(VLOOKUP($I$24&amp;$D19,'Database-Hidden'!$C$2:$J$121,8,FALSE),"")</f>
        <v/>
      </c>
      <c r="J19" s="182"/>
      <c r="K19" s="186">
        <f t="shared" si="0"/>
        <v>0</v>
      </c>
      <c r="L19" s="188"/>
      <c r="M19" s="188"/>
      <c r="N19" s="187"/>
      <c r="O19" s="189"/>
      <c r="P19" s="190"/>
      <c r="Q19" s="191"/>
      <c r="R19" s="191"/>
      <c r="S19" s="192"/>
      <c r="T19" s="193"/>
      <c r="U19" s="194"/>
      <c r="V19" s="194"/>
      <c r="W19" s="195"/>
      <c r="X19" s="191"/>
      <c r="Y19" s="191"/>
      <c r="Z19" s="196"/>
      <c r="AA19" s="197">
        <f t="shared" si="1"/>
        <v>0</v>
      </c>
      <c r="AB19" s="58"/>
      <c r="AC19" s="4"/>
      <c r="AD19" s="198" t="str">
        <f>IFERROR(VLOOKUP($I$24&amp;D19,'Database-Hidden'!$C$2:$E$121,3,FALSE),"")</f>
        <v/>
      </c>
      <c r="AE19" s="199"/>
      <c r="AF19" s="200"/>
      <c r="AG19" s="200"/>
      <c r="AH19" s="200"/>
      <c r="AI19" s="200"/>
      <c r="AJ19" s="200"/>
      <c r="AK19" s="201"/>
      <c r="AL19" s="202" t="str">
        <f>IF(LEFT($D19,6)&lt;&gt;"Star: ","",VLOOKUP(RIGHT($D19,LEN($D19)-6),'Star Players-Hidden'!$A$3:$AK$69,37,FALSE))</f>
        <v/>
      </c>
      <c r="AM19" s="4"/>
      <c r="AV19" s="203"/>
    </row>
    <row r="20" spans="1:49" ht="12.75">
      <c r="B20" s="328"/>
      <c r="C20" s="329"/>
      <c r="D20" s="330"/>
      <c r="E20" s="311" t="s">
        <v>118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3"/>
      <c r="AB20" s="204">
        <f>SUM(AB4:AB19)</f>
        <v>1050000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8"/>
      <c r="AO20" s="68"/>
      <c r="AP20" s="68"/>
      <c r="AQ20" s="68"/>
      <c r="AR20" s="68"/>
      <c r="AS20" s="68"/>
      <c r="AT20" s="68"/>
      <c r="AU20" s="68"/>
      <c r="AV20" s="205"/>
      <c r="AW20" s="68"/>
    </row>
    <row r="21" spans="1:49" ht="12.75">
      <c r="A21" s="2"/>
      <c r="B21" s="317"/>
      <c r="C21" s="315"/>
      <c r="D21" s="316"/>
      <c r="E21" s="333" t="s">
        <v>119</v>
      </c>
      <c r="F21" s="315"/>
      <c r="G21" s="315"/>
      <c r="H21" s="334"/>
      <c r="I21" s="314" t="s">
        <v>90</v>
      </c>
      <c r="J21" s="315"/>
      <c r="K21" s="316"/>
      <c r="L21" s="322" t="s">
        <v>121</v>
      </c>
      <c r="M21" s="319"/>
      <c r="N21" s="319"/>
      <c r="O21" s="319"/>
      <c r="P21" s="319"/>
      <c r="Q21" s="319"/>
      <c r="R21" s="319"/>
      <c r="S21" s="323"/>
      <c r="T21" s="206">
        <v>3</v>
      </c>
      <c r="U21" s="207" t="s">
        <v>36</v>
      </c>
      <c r="V21" s="321">
        <f>IFERROR(VLOOKUP(I24,'Database-Hidden'!N2:O28,2,FALSE),"")</f>
        <v>60000</v>
      </c>
      <c r="W21" s="319"/>
      <c r="X21" s="319"/>
      <c r="Y21" s="319"/>
      <c r="Z21" s="319"/>
      <c r="AA21" s="320"/>
      <c r="AB21" s="208">
        <f t="shared" ref="AB21:AB25" si="5">T21*V21</f>
        <v>180000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27" t="s">
        <v>122</v>
      </c>
      <c r="AO21" s="313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317"/>
      <c r="C22" s="315"/>
      <c r="D22" s="316"/>
      <c r="E22" s="315"/>
      <c r="F22" s="315"/>
      <c r="G22" s="315"/>
      <c r="H22" s="334"/>
      <c r="I22" s="317"/>
      <c r="J22" s="315"/>
      <c r="K22" s="316"/>
      <c r="L22" s="309" t="s">
        <v>123</v>
      </c>
      <c r="M22" s="304"/>
      <c r="N22" s="304"/>
      <c r="O22" s="304"/>
      <c r="P22" s="304"/>
      <c r="Q22" s="304"/>
      <c r="R22" s="304"/>
      <c r="S22" s="310"/>
      <c r="T22" s="211">
        <f>AV18</f>
        <v>6</v>
      </c>
      <c r="U22" s="210" t="s">
        <v>36</v>
      </c>
      <c r="V22" s="306">
        <v>10000</v>
      </c>
      <c r="W22" s="304"/>
      <c r="X22" s="304"/>
      <c r="Y22" s="304"/>
      <c r="Z22" s="304"/>
      <c r="AA22" s="307"/>
      <c r="AB22" s="212">
        <f t="shared" si="5"/>
        <v>60000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213" t="s">
        <v>124</v>
      </c>
      <c r="AO22" s="214">
        <f>AO18</f>
        <v>30000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317"/>
      <c r="C23" s="315"/>
      <c r="D23" s="316"/>
      <c r="E23" s="319"/>
      <c r="F23" s="319"/>
      <c r="G23" s="319"/>
      <c r="H23" s="335"/>
      <c r="I23" s="318"/>
      <c r="J23" s="319"/>
      <c r="K23" s="320"/>
      <c r="L23" s="347" t="s">
        <v>126</v>
      </c>
      <c r="M23" s="304"/>
      <c r="N23" s="304"/>
      <c r="O23" s="304"/>
      <c r="P23" s="304"/>
      <c r="Q23" s="304"/>
      <c r="R23" s="304"/>
      <c r="S23" s="310"/>
      <c r="T23" s="215">
        <v>0</v>
      </c>
      <c r="U23" s="216" t="s">
        <v>36</v>
      </c>
      <c r="V23" s="306">
        <v>10000</v>
      </c>
      <c r="W23" s="304"/>
      <c r="X23" s="304"/>
      <c r="Y23" s="304"/>
      <c r="Z23" s="304"/>
      <c r="AA23" s="307"/>
      <c r="AB23" s="212">
        <f t="shared" si="5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217" t="s">
        <v>127</v>
      </c>
      <c r="AO23" s="218">
        <f>COUNTA(AR6:AR17)*10000</f>
        <v>70000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317"/>
      <c r="C24" s="315"/>
      <c r="D24" s="316"/>
      <c r="E24" s="340" t="s">
        <v>128</v>
      </c>
      <c r="F24" s="304"/>
      <c r="G24" s="304"/>
      <c r="H24" s="341"/>
      <c r="I24" s="308" t="s">
        <v>268</v>
      </c>
      <c r="J24" s="304"/>
      <c r="K24" s="307"/>
      <c r="L24" s="309" t="s">
        <v>130</v>
      </c>
      <c r="M24" s="304"/>
      <c r="N24" s="304"/>
      <c r="O24" s="304"/>
      <c r="P24" s="304"/>
      <c r="Q24" s="304"/>
      <c r="R24" s="304"/>
      <c r="S24" s="310"/>
      <c r="T24" s="215">
        <v>0</v>
      </c>
      <c r="U24" s="216" t="s">
        <v>36</v>
      </c>
      <c r="V24" s="306">
        <v>10000</v>
      </c>
      <c r="W24" s="304"/>
      <c r="X24" s="304"/>
      <c r="Y24" s="304"/>
      <c r="Z24" s="304"/>
      <c r="AA24" s="307"/>
      <c r="AB24" s="212">
        <f t="shared" si="5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217" t="s">
        <v>53</v>
      </c>
      <c r="AO24" s="218">
        <f>AT18*5000</f>
        <v>95000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317"/>
      <c r="C25" s="315"/>
      <c r="D25" s="316"/>
      <c r="E25" s="340" t="str">
        <f>IFERROR(IF(VLOOKUP(I24,'Database-Hidden'!X2:Y28,2,FALSE)="Yes","NECROMANCER","HEAD COACH"),"HEAD COACH")</f>
        <v>HEAD COACH</v>
      </c>
      <c r="F25" s="304"/>
      <c r="G25" s="304"/>
      <c r="H25" s="341"/>
      <c r="I25" s="308" t="s">
        <v>269</v>
      </c>
      <c r="J25" s="304"/>
      <c r="K25" s="307"/>
      <c r="L25" s="346" t="str">
        <f>IFERROR(IF(VLOOKUP(I24,'Database-Hidden'!X2:Y28,1,FALSE)&lt;&gt;"","",""),"APOTHECARY")</f>
        <v>APOTHECARY</v>
      </c>
      <c r="M25" s="304"/>
      <c r="N25" s="304"/>
      <c r="O25" s="304"/>
      <c r="P25" s="304"/>
      <c r="Q25" s="304"/>
      <c r="R25" s="304"/>
      <c r="S25" s="341"/>
      <c r="T25" s="215">
        <v>1</v>
      </c>
      <c r="U25" s="210" t="str">
        <f>IF(L25&lt;&gt;"","x","")</f>
        <v>x</v>
      </c>
      <c r="V25" s="306">
        <f>IF(L25&lt;&gt;"",50000,"")</f>
        <v>50000</v>
      </c>
      <c r="W25" s="304"/>
      <c r="X25" s="304"/>
      <c r="Y25" s="304"/>
      <c r="Z25" s="304"/>
      <c r="AA25" s="307"/>
      <c r="AB25" s="212">
        <f t="shared" si="5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219" t="s">
        <v>134</v>
      </c>
      <c r="AO25" s="220">
        <f>AU18*5000</f>
        <v>60000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317"/>
      <c r="C26" s="315"/>
      <c r="D26" s="316"/>
      <c r="E26" s="340" t="s">
        <v>135</v>
      </c>
      <c r="F26" s="304"/>
      <c r="G26" s="304"/>
      <c r="H26" s="304"/>
      <c r="I26" s="343">
        <f>AB20+AB28</f>
        <v>1340000</v>
      </c>
      <c r="J26" s="304"/>
      <c r="K26" s="304"/>
      <c r="L26" s="346" t="s">
        <v>136</v>
      </c>
      <c r="M26" s="304"/>
      <c r="N26" s="304"/>
      <c r="O26" s="304"/>
      <c r="P26" s="304"/>
      <c r="Q26" s="304"/>
      <c r="R26" s="304"/>
      <c r="S26" s="341"/>
      <c r="T26" s="215">
        <v>0</v>
      </c>
      <c r="U26" s="210" t="s">
        <v>36</v>
      </c>
      <c r="V26" s="306">
        <f>IF(I24="Halfling",200000,600000)</f>
        <v>600000</v>
      </c>
      <c r="W26" s="304"/>
      <c r="X26" s="304"/>
      <c r="Y26" s="304"/>
      <c r="Z26" s="304"/>
      <c r="AA26" s="307"/>
      <c r="AB26" s="212">
        <f t="shared" ref="AB26:AB27" si="6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221" t="s">
        <v>35</v>
      </c>
      <c r="AO26" s="222">
        <v>250000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317"/>
      <c r="C27" s="315"/>
      <c r="D27" s="316"/>
      <c r="E27" s="336" t="s">
        <v>137</v>
      </c>
      <c r="F27" s="325"/>
      <c r="G27" s="325"/>
      <c r="H27" s="325"/>
      <c r="I27" s="342">
        <f>AO18</f>
        <v>30000</v>
      </c>
      <c r="J27" s="325"/>
      <c r="K27" s="325"/>
      <c r="L27" s="324" t="s">
        <v>138</v>
      </c>
      <c r="M27" s="325"/>
      <c r="N27" s="325"/>
      <c r="O27" s="325"/>
      <c r="P27" s="325"/>
      <c r="Q27" s="325"/>
      <c r="R27" s="325"/>
      <c r="S27" s="326"/>
      <c r="T27" s="223">
        <v>0</v>
      </c>
      <c r="U27" s="224" t="s">
        <v>36</v>
      </c>
      <c r="V27" s="344">
        <f>IF(I24="Goblin",100000,200000)</f>
        <v>200000</v>
      </c>
      <c r="W27" s="325"/>
      <c r="X27" s="325"/>
      <c r="Y27" s="325"/>
      <c r="Z27" s="325"/>
      <c r="AA27" s="345"/>
      <c r="AB27" s="212">
        <f t="shared" si="6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331"/>
      <c r="C28" s="305"/>
      <c r="D28" s="332"/>
      <c r="E28" s="311" t="s">
        <v>139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3"/>
      <c r="AB28" s="204">
        <f>SUM(AB21:AB27)</f>
        <v>290000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25"/>
      <c r="D29" s="225"/>
      <c r="E29" s="226"/>
      <c r="F29" s="4"/>
      <c r="G29" s="4"/>
      <c r="H29" s="4"/>
      <c r="I29" s="227"/>
      <c r="J29" s="228"/>
      <c r="K29" s="4"/>
      <c r="L29" s="229"/>
      <c r="M29" s="229"/>
      <c r="N29" s="229"/>
      <c r="O29" s="229"/>
      <c r="P29" s="229"/>
      <c r="Q29" s="229"/>
      <c r="R29" s="229"/>
      <c r="S29" s="229"/>
      <c r="T29" s="230"/>
      <c r="U29" s="231"/>
      <c r="V29" s="9"/>
      <c r="W29" s="232"/>
      <c r="X29" s="232"/>
      <c r="Y29" s="232"/>
      <c r="Z29" s="232"/>
      <c r="AA29" s="232"/>
      <c r="AB29" s="23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34">
        <f>MATCH(I24,'Database-Hidden'!A2:A121,0)</f>
        <v>95</v>
      </c>
      <c r="D30" s="234" t="str">
        <f t="shared" ref="D30:D39" si="7">I30&amp;IF(COUNTIF(D$4:D$19,I30)&gt;E30," (Too Many)","")</f>
        <v>Lineman</v>
      </c>
      <c r="E30" s="235">
        <f t="array" ref="E30">IFERROR(IF(INDEX('Database-Hidden'!$A$2:$B$121,$C30,1)=$I$24,INDEX('Database-Hidden'!$A$2:$D$121,$C30,4),""),"")</f>
        <v>16</v>
      </c>
      <c r="I30" s="234" t="str">
        <f t="array" ref="I30">IFERROR(IF(INDEX('Database-Hidden'!$A$2:$B$121,$C30,1)=$I$24,INDEX('Database-Hidden'!$A$2:$B$121,$C30,2),""),"")</f>
        <v>Lineman</v>
      </c>
      <c r="AV30" s="203"/>
    </row>
    <row r="31" spans="1:49" ht="17.25" hidden="1" customHeight="1">
      <c r="C31" s="234">
        <f t="shared" ref="C31:C39" si="8">C30+1</f>
        <v>96</v>
      </c>
      <c r="D31" s="234" t="str">
        <f t="shared" si="7"/>
        <v>Thrower</v>
      </c>
      <c r="E31" s="235">
        <f t="array" ref="E31">IFERROR(IF(INDEX('Database-Hidden'!$A$2:$B$121,$C31,1)=$I$24,INDEX('Database-Hidden'!$A$2:$D$121,$C31,4),""),"")</f>
        <v>2</v>
      </c>
      <c r="I31" s="234" t="str">
        <f t="array" ref="I31">IFERROR(IF(INDEX('Database-Hidden'!$A$2:$B$121,$C31,1)=$I$24,INDEX('Database-Hidden'!$A$2:$B$121,$C31,2),""),"")</f>
        <v>Thrower</v>
      </c>
      <c r="AV31" s="203"/>
    </row>
    <row r="32" spans="1:49" ht="17.25" hidden="1" customHeight="1">
      <c r="C32" s="234">
        <f t="shared" si="8"/>
        <v>97</v>
      </c>
      <c r="D32" s="234" t="str">
        <f t="shared" si="7"/>
        <v>Gutter Runner</v>
      </c>
      <c r="E32" s="235">
        <f t="array" ref="E32">IFERROR(IF(INDEX('Database-Hidden'!$A$2:$B$121,$C32,1)=$I$24,INDEX('Database-Hidden'!$A$2:$D$121,$C32,4),""),"")</f>
        <v>4</v>
      </c>
      <c r="I32" s="234" t="str">
        <f t="array" ref="I32">IFERROR(IF(INDEX('Database-Hidden'!$A$2:$B$121,$C32,1)=$I$24,INDEX('Database-Hidden'!$A$2:$B$121,$C32,2),""),"")</f>
        <v>Gutter Runner</v>
      </c>
      <c r="AV32" s="203"/>
    </row>
    <row r="33" spans="3:48" ht="17.25" hidden="1" customHeight="1">
      <c r="C33" s="234">
        <f t="shared" si="8"/>
        <v>98</v>
      </c>
      <c r="D33" s="234" t="str">
        <f t="shared" si="7"/>
        <v>Blitzer</v>
      </c>
      <c r="E33" s="235">
        <f t="array" ref="E33">IFERROR(IF(INDEX('Database-Hidden'!$A$2:$B$121,$C33,1)=$I$24,INDEX('Database-Hidden'!$A$2:$D$121,$C33,4),""),"")</f>
        <v>2</v>
      </c>
      <c r="I33" s="234" t="str">
        <f t="array" ref="I33">IFERROR(IF(INDEX('Database-Hidden'!$A$2:$B$121,$C33,1)=$I$24,INDEX('Database-Hidden'!$A$2:$B$121,$C33,2),""),"")</f>
        <v>Blitzer</v>
      </c>
      <c r="AV33" s="203"/>
    </row>
    <row r="34" spans="3:48" ht="17.25" hidden="1" customHeight="1">
      <c r="C34" s="234">
        <f t="shared" si="8"/>
        <v>99</v>
      </c>
      <c r="D34" s="234" t="str">
        <f t="shared" si="7"/>
        <v>Rat Ogre</v>
      </c>
      <c r="E34" s="235">
        <f t="array" ref="E34">IFERROR(IF(INDEX('Database-Hidden'!$A$2:$B$121,$C34,1)=$I$24,INDEX('Database-Hidden'!$A$2:$D$121,$C34,4),""),"")</f>
        <v>1</v>
      </c>
      <c r="I34" s="234" t="str">
        <f t="array" ref="I34">IFERROR(IF(INDEX('Database-Hidden'!$A$2:$B$121,$C34,1)=$I$24,INDEX('Database-Hidden'!$A$2:$B$121,$C34,2),""),"")</f>
        <v>Rat Ogre</v>
      </c>
      <c r="AV34" s="203"/>
    </row>
    <row r="35" spans="3:48" ht="17.25" hidden="1" customHeight="1">
      <c r="C35" s="234">
        <f t="shared" si="8"/>
        <v>100</v>
      </c>
      <c r="D35" s="234" t="str">
        <f t="shared" si="7"/>
        <v/>
      </c>
      <c r="E35" s="235" t="str">
        <f t="array" ref="E35">IFERROR(IF(INDEX('Database-Hidden'!$A$2:$B$121,$C35,1)=$I$24,INDEX('Database-Hidden'!$A$2:$D$121,$C35,4),""),"")</f>
        <v/>
      </c>
      <c r="I35" s="234" t="str">
        <f t="array" ref="I35">IFERROR(IF(INDEX('Database-Hidden'!$A$2:$B$121,$C35,1)=$I$24,INDEX('Database-Hidden'!$A$2:$B$121,$C35,2),""),"")</f>
        <v/>
      </c>
      <c r="AV35" s="203"/>
    </row>
    <row r="36" spans="3:48" ht="17.25" hidden="1" customHeight="1">
      <c r="C36" s="234">
        <f t="shared" si="8"/>
        <v>101</v>
      </c>
      <c r="D36" s="234" t="str">
        <f t="shared" si="7"/>
        <v/>
      </c>
      <c r="E36" s="235" t="str">
        <f t="array" ref="E36">IFERROR(IF(INDEX('Database-Hidden'!$A$2:$B$121,$C36,1)=$I$24,INDEX('Database-Hidden'!$A$2:$D$121,$C36,4),""),"")</f>
        <v/>
      </c>
      <c r="I36" s="234" t="str">
        <f t="array" ref="I36">IFERROR(IF(INDEX('Database-Hidden'!$A$2:$B$121,$C36,1)=$I$24,INDEX('Database-Hidden'!$A$2:$B$121,$C36,2),""),"")</f>
        <v/>
      </c>
      <c r="AV36" s="203"/>
    </row>
    <row r="37" spans="3:48" ht="17.25" hidden="1" customHeight="1">
      <c r="C37" s="234">
        <f t="shared" si="8"/>
        <v>102</v>
      </c>
      <c r="D37" s="234" t="str">
        <f t="shared" si="7"/>
        <v/>
      </c>
      <c r="E37" s="235" t="str">
        <f t="array" ref="E37">IFERROR(IF(INDEX('Database-Hidden'!$A$2:$B$121,$C37,1)=$I$24,INDEX('Database-Hidden'!$A$2:$D$121,$C37,4),""),"")</f>
        <v/>
      </c>
      <c r="I37" s="234" t="str">
        <f t="array" ref="I37">IFERROR(IF(INDEX('Database-Hidden'!$A$2:$B$121,$C37,1)=$I$24,INDEX('Database-Hidden'!$A$2:$B$121,$C37,2),""),"")</f>
        <v/>
      </c>
      <c r="AV37" s="203"/>
    </row>
    <row r="38" spans="3:48" ht="17.25" hidden="1" customHeight="1">
      <c r="C38" s="234">
        <f t="shared" si="8"/>
        <v>103</v>
      </c>
      <c r="D38" s="234" t="str">
        <f t="shared" si="7"/>
        <v/>
      </c>
      <c r="E38" s="235" t="str">
        <f t="array" ref="E38">IFERROR(IF(INDEX('Database-Hidden'!$A$2:$B$121,$C38,1)=$I$24,INDEX('Database-Hidden'!$A$2:$D$121,$C38,4),""),"")</f>
        <v/>
      </c>
      <c r="I38" s="234" t="str">
        <f t="array" ref="I38">IFERROR(IF(INDEX('Database-Hidden'!$A$2:$B$121,$C38,1)=$I$24,INDEX('Database-Hidden'!$A$2:$B$121,$C38,2),""),"")</f>
        <v/>
      </c>
      <c r="AV38" s="203"/>
    </row>
    <row r="39" spans="3:48" ht="17.25" hidden="1" customHeight="1">
      <c r="C39" s="234">
        <f t="shared" si="8"/>
        <v>104</v>
      </c>
      <c r="D39" s="234" t="str">
        <f t="shared" si="7"/>
        <v/>
      </c>
      <c r="E39" s="235" t="str">
        <f t="array" ref="E39">IFERROR(IF(INDEX('Database-Hidden'!$A$2:$B$121,$C39,1)=$I$24,INDEX('Database-Hidden'!$A$2:$D$121,$C39,4),""),"")</f>
        <v/>
      </c>
      <c r="I39" s="234" t="str">
        <f t="array" ref="I39">IFERROR(IF(INDEX('Database-Hidden'!$A$2:$B$121,$C39,1)=$I$24,INDEX('Database-Hidden'!$A$2:$B$121,$C39,2),""),"")</f>
        <v/>
      </c>
      <c r="AV39" s="203"/>
    </row>
    <row r="40" spans="3:48" ht="17.25" hidden="1" customHeight="1">
      <c r="C40" s="236">
        <f>MATCH(I24,'Star Players-Hidden'!D2:AD2,0)</f>
        <v>22</v>
      </c>
      <c r="D40" s="236" t="str">
        <f t="shared" ref="D40:D51" ca="1" si="9">I40&amp;IF(COUNTIF(D$4:D$19,I40)&gt;1," (Too Many)","")</f>
        <v>Star: Fezglitch</v>
      </c>
      <c r="E40" s="237"/>
      <c r="F40" s="237"/>
      <c r="G40" s="237"/>
      <c r="H40" s="237"/>
      <c r="I40" s="236" t="str">
        <f ca="1">IFERROR(__xludf.DUMMYFUNCTION("FILTER({""Star: ""&amp;'Star Players-Hidden'!A3:A69},INDEX('Star Players-Hidden'!D3:AD69,0,C40)&lt;&gt;"""",{'Star Players-Hidden'!C3:C69=""""}+{'Star Players-Hidden'!C3:C69=I21})"),"Star: Fezglitch")</f>
        <v>Star: Fezglitch</v>
      </c>
      <c r="AV40" s="203"/>
    </row>
    <row r="41" spans="3:48" ht="17.25" hidden="1" customHeight="1">
      <c r="C41" s="234"/>
      <c r="D41" s="234" t="str">
        <f t="shared" ca="1" si="9"/>
        <v>Star: Glart Smashrip Jr.</v>
      </c>
      <c r="I41" s="238" t="str">
        <f ca="1">IFERROR(__xludf.DUMMYFUNCTION("""COMPUTED_VALUE"""),"Star: Glart Smashrip Jr.")</f>
        <v>Star: Glart Smashrip Jr.</v>
      </c>
      <c r="AV41" s="203"/>
    </row>
    <row r="42" spans="3:48" ht="17.25" hidden="1" customHeight="1">
      <c r="C42" s="234"/>
      <c r="D42" s="234" t="str">
        <f t="shared" ca="1" si="9"/>
        <v>Star: Glart Smashrip Sr.</v>
      </c>
      <c r="I42" s="234" t="str">
        <f ca="1">IFERROR(__xludf.DUMMYFUNCTION("""COMPUTED_VALUE"""),"Star: Glart Smashrip Sr.")</f>
        <v>Star: Glart Smashrip Sr.</v>
      </c>
      <c r="AV42" s="203"/>
    </row>
    <row r="43" spans="3:48" ht="17.25" hidden="1" customHeight="1">
      <c r="C43" s="234"/>
      <c r="D43" s="234" t="str">
        <f t="shared" ca="1" si="9"/>
        <v>Star: Hakflem Skuttlespike</v>
      </c>
      <c r="I43" s="234" t="str">
        <f ca="1">IFERROR(__xludf.DUMMYFUNCTION("""COMPUTED_VALUE"""),"Star: Hakflem Skuttlespike")</f>
        <v>Star: Hakflem Skuttlespike</v>
      </c>
      <c r="AV43" s="203"/>
    </row>
    <row r="44" spans="3:48" ht="17.25" hidden="1" customHeight="1">
      <c r="C44" s="234"/>
      <c r="D44" s="234" t="str">
        <f t="shared" ca="1" si="9"/>
        <v>Star: Headsplitter</v>
      </c>
      <c r="I44" s="234" t="str">
        <f ca="1">IFERROR(__xludf.DUMMYFUNCTION("""COMPUTED_VALUE"""),"Star: Headsplitter")</f>
        <v>Star: Headsplitter</v>
      </c>
      <c r="AV44" s="203"/>
    </row>
    <row r="45" spans="3:48" ht="17.25" hidden="1" customHeight="1">
      <c r="C45" s="234"/>
      <c r="D45" s="234" t="str">
        <f t="shared" ca="1" si="9"/>
        <v>Star: Kreek Rustgouger</v>
      </c>
      <c r="I45" s="234" t="str">
        <f ca="1">IFERROR(__xludf.DUMMYFUNCTION("""COMPUTED_VALUE"""),"Star: Kreek Rustgouger")</f>
        <v>Star: Kreek Rustgouger</v>
      </c>
      <c r="AV45" s="203"/>
    </row>
    <row r="46" spans="3:48" ht="17.25" hidden="1" customHeight="1">
      <c r="C46" s="234"/>
      <c r="D46" s="234" t="str">
        <f t="shared" ca="1" si="9"/>
        <v>Star: Morg'n'Thorg</v>
      </c>
      <c r="I46" s="234" t="str">
        <f ca="1">IFERROR(__xludf.DUMMYFUNCTION("""COMPUTED_VALUE"""),"Star: Morg'n'Thorg")</f>
        <v>Star: Morg'n'Thorg</v>
      </c>
      <c r="AV46" s="203"/>
    </row>
    <row r="47" spans="3:48" ht="17.25" hidden="1" customHeight="1">
      <c r="C47" s="234"/>
      <c r="D47" s="234" t="str">
        <f t="shared" ca="1" si="9"/>
        <v>Star: Skitter Stab-Stab</v>
      </c>
      <c r="I47" s="234" t="str">
        <f ca="1">IFERROR(__xludf.DUMMYFUNCTION("""COMPUTED_VALUE"""),"Star: Skitter Stab-Stab")</f>
        <v>Star: Skitter Stab-Stab</v>
      </c>
      <c r="AV47" s="203"/>
    </row>
    <row r="48" spans="3:48" ht="17.25" hidden="1" customHeight="1">
      <c r="C48" s="234"/>
      <c r="D48" s="234" t="str">
        <f t="shared" si="9"/>
        <v/>
      </c>
      <c r="I48" s="234"/>
      <c r="AV48" s="203"/>
    </row>
    <row r="49" spans="3:48" ht="17.25" hidden="1" customHeight="1">
      <c r="C49" s="234"/>
      <c r="D49" s="234" t="str">
        <f t="shared" si="9"/>
        <v/>
      </c>
      <c r="I49" s="234"/>
      <c r="AV49" s="203"/>
    </row>
    <row r="50" spans="3:48" ht="17.25" hidden="1" customHeight="1">
      <c r="C50" s="234"/>
      <c r="D50" s="234" t="str">
        <f t="shared" si="9"/>
        <v/>
      </c>
      <c r="I50" s="234"/>
      <c r="AV50" s="203"/>
    </row>
    <row r="51" spans="3:48" ht="17.25" hidden="1" customHeight="1">
      <c r="C51" s="234"/>
      <c r="D51" s="234" t="str">
        <f t="shared" si="9"/>
        <v/>
      </c>
      <c r="I51" s="234"/>
      <c r="AV51" s="203"/>
    </row>
  </sheetData>
  <mergeCells count="31">
    <mergeCell ref="B20:D28"/>
    <mergeCell ref="P2:S2"/>
    <mergeCell ref="AN3:AQ3"/>
    <mergeCell ref="AR3:AV3"/>
    <mergeCell ref="L22:S22"/>
    <mergeCell ref="L23:S23"/>
    <mergeCell ref="V22:AA22"/>
    <mergeCell ref="V23:AA23"/>
    <mergeCell ref="E20:AA20"/>
    <mergeCell ref="V25:AA25"/>
    <mergeCell ref="L25:S25"/>
    <mergeCell ref="I27:K27"/>
    <mergeCell ref="I21:K23"/>
    <mergeCell ref="E21:H23"/>
    <mergeCell ref="E25:H25"/>
    <mergeCell ref="E24:H24"/>
    <mergeCell ref="I24:K24"/>
    <mergeCell ref="I25:K25"/>
    <mergeCell ref="E26:H26"/>
    <mergeCell ref="I26:K26"/>
    <mergeCell ref="V26:AA26"/>
    <mergeCell ref="L26:S26"/>
    <mergeCell ref="V24:AA24"/>
    <mergeCell ref="L24:S24"/>
    <mergeCell ref="V21:AA21"/>
    <mergeCell ref="L21:S21"/>
    <mergeCell ref="AN21:AO21"/>
    <mergeCell ref="E28:AA28"/>
    <mergeCell ref="L27:S27"/>
    <mergeCell ref="V27:AA27"/>
    <mergeCell ref="E27:H27"/>
  </mergeCells>
  <conditionalFormatting sqref="J4">
    <cfRule type="expression" dxfId="231" priority="1">
      <formula>K4&lt;&gt;SUM(AE4:AJ4)</formula>
    </cfRule>
  </conditionalFormatting>
  <conditionalFormatting sqref="K4:K19">
    <cfRule type="cellIs" dxfId="230" priority="2" operator="equal">
      <formula>0</formula>
    </cfRule>
  </conditionalFormatting>
  <conditionalFormatting sqref="AB4:AB19">
    <cfRule type="cellIs" dxfId="229" priority="3" operator="equal">
      <formula>0</formula>
    </cfRule>
  </conditionalFormatting>
  <conditionalFormatting sqref="E4:H19">
    <cfRule type="expression" dxfId="228" priority="4">
      <formula>AG4&gt;0</formula>
    </cfRule>
  </conditionalFormatting>
  <conditionalFormatting sqref="E4:H19">
    <cfRule type="expression" dxfId="227" priority="5">
      <formula>P4&gt;0</formula>
    </cfRule>
  </conditionalFormatting>
  <conditionalFormatting sqref="T4:T19 U4:U19 V4:W19 Z4:Z19 U29">
    <cfRule type="cellIs" dxfId="226" priority="6" stopIfTrue="1" operator="equal">
      <formula>0</formula>
    </cfRule>
  </conditionalFormatting>
  <conditionalFormatting sqref="K4:K19">
    <cfRule type="cellIs" dxfId="225" priority="7" stopIfTrue="1" operator="equal">
      <formula>"n/a"</formula>
    </cfRule>
  </conditionalFormatting>
  <conditionalFormatting sqref="P4:S19">
    <cfRule type="cellIs" dxfId="224" priority="8" stopIfTrue="1" operator="lessThanOrEqual">
      <formula>-1</formula>
    </cfRule>
  </conditionalFormatting>
  <conditionalFormatting sqref="V25:W27">
    <cfRule type="cellIs" dxfId="223" priority="9" stopIfTrue="1" operator="equal">
      <formula>-500</formula>
    </cfRule>
  </conditionalFormatting>
  <conditionalFormatting sqref="T25:T27">
    <cfRule type="cellIs" dxfId="222" priority="10" stopIfTrue="1" operator="greaterThan">
      <formula>$V$25</formula>
    </cfRule>
  </conditionalFormatting>
  <conditionalFormatting sqref="AA4:AA19">
    <cfRule type="cellIs" dxfId="221" priority="11" stopIfTrue="1" operator="equal">
      <formula>"Star"</formula>
    </cfRule>
  </conditionalFormatting>
  <conditionalFormatting sqref="AA4:AA19">
    <cfRule type="cellIs" dxfId="220" priority="12" stopIfTrue="1" operator="equal">
      <formula>AB4</formula>
    </cfRule>
  </conditionalFormatting>
  <conditionalFormatting sqref="I4:I19">
    <cfRule type="cellIs" dxfId="219" priority="13" stopIfTrue="1" operator="equal">
      <formula>0</formula>
    </cfRule>
  </conditionalFormatting>
  <conditionalFormatting sqref="I4:I19">
    <cfRule type="cellIs" dxfId="218" priority="14" stopIfTrue="1" operator="equal">
      <formula>"Player type quantity surpassed"</formula>
    </cfRule>
  </conditionalFormatting>
  <conditionalFormatting sqref="J5">
    <cfRule type="expression" dxfId="217" priority="15">
      <formula>K5&lt;&gt;SUM(AE5:AJ5)</formula>
    </cfRule>
  </conditionalFormatting>
  <conditionalFormatting sqref="J6">
    <cfRule type="expression" dxfId="216" priority="16">
      <formula>K6&lt;&gt;SUM(AE6:AJ6)</formula>
    </cfRule>
  </conditionalFormatting>
  <conditionalFormatting sqref="J7">
    <cfRule type="expression" dxfId="215" priority="17">
      <formula>K7&lt;&gt;SUM(AE7:AJ7)</formula>
    </cfRule>
  </conditionalFormatting>
  <conditionalFormatting sqref="J8">
    <cfRule type="expression" dxfId="214" priority="18">
      <formula>K8&lt;&gt;SUM(AE8:AJ8)</formula>
    </cfRule>
  </conditionalFormatting>
  <conditionalFormatting sqref="J9">
    <cfRule type="expression" dxfId="213" priority="19">
      <formula>K9&lt;&gt;SUM(AE9:AJ9)</formula>
    </cfRule>
  </conditionalFormatting>
  <conditionalFormatting sqref="J10">
    <cfRule type="expression" dxfId="212" priority="20">
      <formula>K10&lt;&gt;SUM(AE10:AJ10)</formula>
    </cfRule>
  </conditionalFormatting>
  <conditionalFormatting sqref="J11">
    <cfRule type="expression" dxfId="211" priority="21">
      <formula>K11&lt;&gt;SUM(AE11:AJ11)</formula>
    </cfRule>
  </conditionalFormatting>
  <conditionalFormatting sqref="J12">
    <cfRule type="expression" dxfId="210" priority="22">
      <formula>K12&lt;&gt;SUM(AE12:AJ12)</formula>
    </cfRule>
  </conditionalFormatting>
  <conditionalFormatting sqref="J13">
    <cfRule type="expression" dxfId="209" priority="23">
      <formula>K13&lt;&gt;SUM(AE13:AJ13)</formula>
    </cfRule>
  </conditionalFormatting>
  <conditionalFormatting sqref="J14">
    <cfRule type="expression" dxfId="208" priority="24">
      <formula>K14&lt;&gt;SUM(AE14:AJ14)</formula>
    </cfRule>
  </conditionalFormatting>
  <conditionalFormatting sqref="J15">
    <cfRule type="expression" dxfId="207" priority="25">
      <formula>K15&lt;&gt;SUM(AE15:AJ15)</formula>
    </cfRule>
  </conditionalFormatting>
  <conditionalFormatting sqref="J16">
    <cfRule type="expression" dxfId="206" priority="26">
      <formula>K16&lt;&gt;SUM(AE16:AJ16)</formula>
    </cfRule>
  </conditionalFormatting>
  <conditionalFormatting sqref="J17">
    <cfRule type="expression" dxfId="205" priority="27">
      <formula>K17&lt;&gt;SUM(AE17:AJ17)</formula>
    </cfRule>
  </conditionalFormatting>
  <conditionalFormatting sqref="J18">
    <cfRule type="expression" dxfId="204" priority="28">
      <formula>K18&lt;&gt;SUM(AE18:AJ18)</formula>
    </cfRule>
  </conditionalFormatting>
  <conditionalFormatting sqref="J19">
    <cfRule type="expression" dxfId="203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JV!$D$28:$D$49</formula1>
    </dataValidation>
  </dataValidations>
  <printOptions horizontalCentered="1"/>
  <pageMargins left="0.7" right="0.7" top="0.75" bottom="0.75" header="0" footer="0"/>
  <pageSetup scale="75" pageOrder="overThenDown"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W51"/>
  <sheetViews>
    <sheetView showGridLines="0" workbookViewId="0">
      <selection activeCell="AB15" sqref="AB15: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337" t="s">
        <v>3</v>
      </c>
      <c r="Q2" s="329"/>
      <c r="R2" s="329"/>
      <c r="S2" s="330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14</v>
      </c>
      <c r="J3" s="21" t="s">
        <v>16</v>
      </c>
      <c r="K3" s="22" t="s">
        <v>0</v>
      </c>
      <c r="L3" s="23" t="s">
        <v>17</v>
      </c>
      <c r="M3" s="24" t="s">
        <v>19</v>
      </c>
      <c r="N3" s="24" t="s">
        <v>20</v>
      </c>
      <c r="O3" s="25" t="s">
        <v>21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23</v>
      </c>
      <c r="U3" s="30" t="s">
        <v>24</v>
      </c>
      <c r="V3" s="30" t="s">
        <v>9</v>
      </c>
      <c r="W3" s="30" t="s">
        <v>25</v>
      </c>
      <c r="X3" s="31" t="s">
        <v>26</v>
      </c>
      <c r="Y3" s="25" t="s">
        <v>27</v>
      </c>
      <c r="Z3" s="32" t="s">
        <v>10</v>
      </c>
      <c r="AA3" s="33" t="s">
        <v>11</v>
      </c>
      <c r="AB3" s="34" t="s">
        <v>28</v>
      </c>
      <c r="AC3" s="4"/>
      <c r="AD3" s="13" t="s">
        <v>29</v>
      </c>
      <c r="AE3" s="20" t="s">
        <v>19</v>
      </c>
      <c r="AF3" s="35" t="s">
        <v>30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31</v>
      </c>
      <c r="AL3" s="39" t="s">
        <v>32</v>
      </c>
      <c r="AM3" s="4"/>
      <c r="AN3" s="338" t="s">
        <v>33</v>
      </c>
      <c r="AO3" s="315"/>
      <c r="AP3" s="315"/>
      <c r="AQ3" s="315"/>
      <c r="AR3" s="339" t="s">
        <v>34</v>
      </c>
      <c r="AS3" s="315"/>
      <c r="AT3" s="315"/>
      <c r="AU3" s="315"/>
      <c r="AV3" s="315"/>
      <c r="AW3" s="12"/>
    </row>
    <row r="4" spans="1:49" ht="22.5">
      <c r="A4" s="2"/>
      <c r="B4" s="40">
        <v>1</v>
      </c>
      <c r="C4" s="41" t="s">
        <v>215</v>
      </c>
      <c r="D4" s="42" t="s">
        <v>216</v>
      </c>
      <c r="E4" s="43">
        <f>IFERROR(VLOOKUP($I$24&amp;$D4,'Database-Hidden'!$C$2:$J$121,4,FALSE)-P4+AG4,"")</f>
        <v>6</v>
      </c>
      <c r="F4" s="44">
        <f>IFERROR(VLOOKUP($I$24&amp;$D4,'Database-Hidden'!$C$2:$J$121,5,FALSE)-Q4+AH4,"")</f>
        <v>5</v>
      </c>
      <c r="G4" s="44">
        <f>IFERROR(VLOOKUP($I$24&amp;$D4,'Database-Hidden'!$C$2:$J$121,6,FALSE)-R4+AI4,"")</f>
        <v>1</v>
      </c>
      <c r="H4" s="45">
        <f>IFERROR(VLOOKUP($I$24&amp;$D4,'Database-Hidden'!$C$2:$J$121,7,FALSE)-S4+AJ4,"")</f>
        <v>9</v>
      </c>
      <c r="I4" s="46" t="str">
        <f>IFERROR(VLOOKUP($I$24&amp;$D4,'Database-Hidden'!$C$2:$J$121,8,FALSE),"")</f>
        <v>Loner, Bone-Head, Mighty Blow, Prehensile Tail, Thick Skull</v>
      </c>
      <c r="J4" s="47" t="s">
        <v>43</v>
      </c>
      <c r="K4" s="48">
        <f t="shared" ref="K4:K19" si="0">IF(AA4&gt;175,6,IF(AA4&gt;75,5,IF(AA4&gt;50,4,IF(AA4&gt;30,3,IF(AA4&gt;15,2,IF(AA4&gt;5,1,0))))))</f>
        <v>2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>
        <v>7</v>
      </c>
      <c r="X4" s="52"/>
      <c r="Y4" s="52"/>
      <c r="Z4" s="56">
        <v>1</v>
      </c>
      <c r="AA4" s="57">
        <f t="shared" ref="AA4:AA19" si="1">2*T4+U4+3*V4+2*W4+5*Z4</f>
        <v>19</v>
      </c>
      <c r="AB4" s="58">
        <f t="shared" ref="AB4:AB19" si="2">IF(L4=1,0,AD4+(20000*O4)+(20000*AE4)+(30000*AF4)+(30000*AG4)+(50000*AH4)+(40000*AI4)+(50000*AJ4)+AK4)</f>
        <v>160000</v>
      </c>
      <c r="AC4" s="4"/>
      <c r="AD4" s="59">
        <f>IFERROR(VLOOKUP($I$24&amp;D4,'Database-Hidden'!$C$2:$E$121,3,FALSE),"")</f>
        <v>140000</v>
      </c>
      <c r="AE4" s="60">
        <v>1</v>
      </c>
      <c r="AF4" s="62"/>
      <c r="AG4" s="62"/>
      <c r="AH4" s="62"/>
      <c r="AI4" s="62"/>
      <c r="AJ4" s="62"/>
      <c r="AK4" s="63"/>
      <c r="AL4" s="64" t="str">
        <f>IF(LEFT($D4,6)&lt;&gt;"Star: ","",VLOOKUP(RIGHT($D4,LEN($D4)-6),'Star Players-Hidden'!$A$3:$AK$69,37,FALSE))</f>
        <v/>
      </c>
      <c r="AM4" s="4"/>
      <c r="AN4" s="65" t="s">
        <v>39</v>
      </c>
      <c r="AO4" s="66">
        <v>20000</v>
      </c>
      <c r="AP4" s="4"/>
      <c r="AQ4" s="4"/>
      <c r="AR4" s="67"/>
      <c r="AS4" s="68"/>
      <c r="AT4" s="68"/>
      <c r="AU4" s="65" t="s">
        <v>42</v>
      </c>
      <c r="AV4" s="69">
        <v>0</v>
      </c>
      <c r="AW4" s="70"/>
    </row>
    <row r="5" spans="1:49" ht="12.75">
      <c r="A5" s="2"/>
      <c r="B5" s="71">
        <v>2</v>
      </c>
      <c r="C5" s="72" t="s">
        <v>218</v>
      </c>
      <c r="D5" s="73" t="s">
        <v>219</v>
      </c>
      <c r="E5" s="75">
        <f>IFERROR(VLOOKUP($I$24&amp;$D5,'Database-Hidden'!$C$2:$J$121,4,FALSE)-P5+AG5,"")</f>
        <v>6</v>
      </c>
      <c r="F5" s="76">
        <f>IFERROR(VLOOKUP($I$24&amp;$D5,'Database-Hidden'!$C$2:$J$121,5,FALSE)-Q5+AH5,"")</f>
        <v>4</v>
      </c>
      <c r="G5" s="76">
        <f>IFERROR(VLOOKUP($I$24&amp;$D5,'Database-Hidden'!$C$2:$J$121,6,FALSE)-R5+AI5,"")</f>
        <v>1</v>
      </c>
      <c r="H5" s="77">
        <f>IFERROR(VLOOKUP($I$24&amp;$D5,'Database-Hidden'!$C$2:$J$121,7,FALSE)-S5+AJ5,"")</f>
        <v>9</v>
      </c>
      <c r="I5" s="78">
        <f>IFERROR(VLOOKUP($I$24&amp;$D5,'Database-Hidden'!$C$2:$J$121,8,FALSE),"")</f>
        <v>0</v>
      </c>
      <c r="J5" s="79" t="s">
        <v>222</v>
      </c>
      <c r="K5" s="80">
        <f t="shared" si="0"/>
        <v>2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>
        <v>1</v>
      </c>
      <c r="W5" s="89">
        <v>4</v>
      </c>
      <c r="X5" s="140">
        <v>1</v>
      </c>
      <c r="Y5" s="85"/>
      <c r="Z5" s="90">
        <v>2</v>
      </c>
      <c r="AA5" s="91">
        <f t="shared" si="1"/>
        <v>21</v>
      </c>
      <c r="AB5" s="58">
        <f t="shared" si="2"/>
        <v>120000</v>
      </c>
      <c r="AC5" s="4"/>
      <c r="AD5" s="92">
        <f>IFERROR(VLOOKUP($I$24&amp;D5,'Database-Hidden'!$C$2:$E$121,3,FALSE),"")</f>
        <v>80000</v>
      </c>
      <c r="AE5" s="93">
        <v>2</v>
      </c>
      <c r="AF5" s="94"/>
      <c r="AG5" s="94"/>
      <c r="AH5" s="94"/>
      <c r="AI5" s="94"/>
      <c r="AJ5" s="94"/>
      <c r="AK5" s="63"/>
      <c r="AL5" s="64" t="str">
        <f>IF(LEFT($D5,6)&lt;&gt;"Star: ","",VLOOKUP(RIGHT($D5,LEN($D5)-6),'Star Players-Hidden'!$A$3:$AK$69,37,FALSE))</f>
        <v/>
      </c>
      <c r="AM5" s="1"/>
      <c r="AN5" s="95" t="s">
        <v>47</v>
      </c>
      <c r="AO5" s="96" t="s">
        <v>48</v>
      </c>
      <c r="AP5" s="98" t="s">
        <v>49</v>
      </c>
      <c r="AQ5" s="99" t="s">
        <v>50</v>
      </c>
      <c r="AR5" s="100" t="s">
        <v>51</v>
      </c>
      <c r="AS5" s="98" t="s">
        <v>52</v>
      </c>
      <c r="AT5" s="101" t="s">
        <v>53</v>
      </c>
      <c r="AU5" s="101" t="s">
        <v>54</v>
      </c>
      <c r="AV5" s="103" t="s">
        <v>2</v>
      </c>
      <c r="AW5" s="104"/>
    </row>
    <row r="6" spans="1:49" ht="12.75">
      <c r="A6" s="2"/>
      <c r="B6" s="71">
        <v>3</v>
      </c>
      <c r="C6" s="72" t="s">
        <v>223</v>
      </c>
      <c r="D6" s="73" t="s">
        <v>219</v>
      </c>
      <c r="E6" s="75">
        <f>IFERROR(VLOOKUP($I$24&amp;$D6,'Database-Hidden'!$C$2:$J$121,4,FALSE)-P6+AG6,"")</f>
        <v>6</v>
      </c>
      <c r="F6" s="76">
        <f>IFERROR(VLOOKUP($I$24&amp;$D6,'Database-Hidden'!$C$2:$J$121,5,FALSE)-Q6+AH6,"")</f>
        <v>4</v>
      </c>
      <c r="G6" s="76">
        <f>IFERROR(VLOOKUP($I$24&amp;$D6,'Database-Hidden'!$C$2:$J$121,6,FALSE)-R6+AI6,"")</f>
        <v>1</v>
      </c>
      <c r="H6" s="77">
        <f>IFERROR(VLOOKUP($I$24&amp;$D6,'Database-Hidden'!$C$2:$J$121,7,FALSE)-S6+AJ6,"")</f>
        <v>9</v>
      </c>
      <c r="I6" s="78">
        <f>IFERROR(VLOOKUP($I$24&amp;$D6,'Database-Hidden'!$C$2:$J$121,8,FALSE),"")</f>
        <v>0</v>
      </c>
      <c r="J6" s="79" t="s">
        <v>227</v>
      </c>
      <c r="K6" s="80">
        <f t="shared" si="0"/>
        <v>2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9">
        <v>1</v>
      </c>
      <c r="X6" s="85"/>
      <c r="Y6" s="85"/>
      <c r="Z6" s="90">
        <v>4</v>
      </c>
      <c r="AA6" s="91">
        <f t="shared" si="1"/>
        <v>22</v>
      </c>
      <c r="AB6" s="58">
        <f t="shared" si="2"/>
        <v>120000</v>
      </c>
      <c r="AC6" s="4"/>
      <c r="AD6" s="92">
        <f>IFERROR(VLOOKUP($I$24&amp;D6,'Database-Hidden'!$C$2:$E$121,3,FALSE),"")</f>
        <v>80000</v>
      </c>
      <c r="AE6" s="93">
        <v>2</v>
      </c>
      <c r="AF6" s="107"/>
      <c r="AG6" s="107"/>
      <c r="AH6" s="107"/>
      <c r="AI6" s="107"/>
      <c r="AJ6" s="107"/>
      <c r="AK6" s="63"/>
      <c r="AL6" s="64" t="str">
        <f>IF(LEFT($D6,6)&lt;&gt;"Star: ","",VLOOKUP(RIGHT($D6,LEN($D6)-6),'Star Players-Hidden'!$A$3:$AK$69,37,FALSE))</f>
        <v/>
      </c>
      <c r="AM6" s="4"/>
      <c r="AN6" s="108" t="s">
        <v>57</v>
      </c>
      <c r="AO6" s="109">
        <v>70000</v>
      </c>
      <c r="AP6" s="110"/>
      <c r="AQ6" s="112"/>
      <c r="AR6" s="114" t="s">
        <v>90</v>
      </c>
      <c r="AS6" s="115" t="s">
        <v>74</v>
      </c>
      <c r="AT6" s="118">
        <v>1</v>
      </c>
      <c r="AU6" s="116">
        <v>0</v>
      </c>
      <c r="AV6" s="119">
        <v>0</v>
      </c>
      <c r="AW6" s="117"/>
    </row>
    <row r="7" spans="1:49" ht="12.75">
      <c r="A7" s="2"/>
      <c r="B7" s="71">
        <v>4</v>
      </c>
      <c r="C7" s="72" t="s">
        <v>230</v>
      </c>
      <c r="D7" s="73" t="s">
        <v>219</v>
      </c>
      <c r="E7" s="75">
        <f>IFERROR(VLOOKUP($I$24&amp;$D7,'Database-Hidden'!$C$2:$J$121,4,FALSE)-P7+AG7,"")</f>
        <v>6</v>
      </c>
      <c r="F7" s="76">
        <f>IFERROR(VLOOKUP($I$24&amp;$D7,'Database-Hidden'!$C$2:$J$121,5,FALSE)-Q7+AH7,"")</f>
        <v>4</v>
      </c>
      <c r="G7" s="76">
        <f>IFERROR(VLOOKUP($I$24&amp;$D7,'Database-Hidden'!$C$2:$J$121,6,FALSE)-R7+AI7,"")</f>
        <v>1</v>
      </c>
      <c r="H7" s="77">
        <f>IFERROR(VLOOKUP($I$24&amp;$D7,'Database-Hidden'!$C$2:$J$121,7,FALSE)-S7+AJ7,"")</f>
        <v>9</v>
      </c>
      <c r="I7" s="78">
        <f>IFERROR(VLOOKUP($I$24&amp;$D7,'Database-Hidden'!$C$2:$J$121,8,FALSE),"")</f>
        <v>0</v>
      </c>
      <c r="J7" s="79" t="s">
        <v>55</v>
      </c>
      <c r="K7" s="80">
        <f t="shared" si="0"/>
        <v>1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9">
        <v>1</v>
      </c>
      <c r="W7" s="89"/>
      <c r="X7" s="85"/>
      <c r="Y7" s="85"/>
      <c r="Z7" s="90">
        <v>1</v>
      </c>
      <c r="AA7" s="91">
        <f t="shared" si="1"/>
        <v>8</v>
      </c>
      <c r="AB7" s="58">
        <f t="shared" si="2"/>
        <v>100000</v>
      </c>
      <c r="AC7" s="4"/>
      <c r="AD7" s="120">
        <f>IFERROR(VLOOKUP($I$24&amp;D7,'Database-Hidden'!$C$2:$E$121,3,FALSE),"")</f>
        <v>80000</v>
      </c>
      <c r="AE7" s="93">
        <v>1</v>
      </c>
      <c r="AF7" s="107"/>
      <c r="AG7" s="107"/>
      <c r="AH7" s="107"/>
      <c r="AI7" s="107"/>
      <c r="AJ7" s="107"/>
      <c r="AK7" s="63"/>
      <c r="AL7" s="64" t="str">
        <f>IF(LEFT($D7,6)&lt;&gt;"Star: ","",VLOOKUP(RIGHT($D7,LEN($D7)-6),'Star Players-Hidden'!$A$3:$AK$69,37,FALSE))</f>
        <v/>
      </c>
      <c r="AM7" s="4"/>
      <c r="AN7" s="121" t="s">
        <v>63</v>
      </c>
      <c r="AO7" s="131">
        <v>50000</v>
      </c>
      <c r="AP7" s="132">
        <v>50000</v>
      </c>
      <c r="AQ7" s="124"/>
      <c r="AR7" s="133" t="s">
        <v>150</v>
      </c>
      <c r="AS7" s="134" t="s">
        <v>61</v>
      </c>
      <c r="AT7" s="135">
        <v>1</v>
      </c>
      <c r="AU7" s="136">
        <v>0</v>
      </c>
      <c r="AV7" s="129">
        <f>1</f>
        <v>1</v>
      </c>
      <c r="AW7" s="130"/>
    </row>
    <row r="8" spans="1:49" ht="12.75">
      <c r="A8" s="2"/>
      <c r="B8" s="71">
        <v>5</v>
      </c>
      <c r="C8" s="72" t="s">
        <v>235</v>
      </c>
      <c r="D8" s="73" t="s">
        <v>219</v>
      </c>
      <c r="E8" s="75">
        <f>IFERROR(VLOOKUP($I$24&amp;$D8,'Database-Hidden'!$C$2:$J$121,4,FALSE)-P8+AG8,"")</f>
        <v>6</v>
      </c>
      <c r="F8" s="76">
        <f>IFERROR(VLOOKUP($I$24&amp;$D8,'Database-Hidden'!$C$2:$J$121,5,FALSE)-Q8+AH8,"")</f>
        <v>4</v>
      </c>
      <c r="G8" s="76">
        <f>IFERROR(VLOOKUP($I$24&amp;$D8,'Database-Hidden'!$C$2:$J$121,6,FALSE)-R8+AI8,"")</f>
        <v>1</v>
      </c>
      <c r="H8" s="77">
        <f>IFERROR(VLOOKUP($I$24&amp;$D8,'Database-Hidden'!$C$2:$J$121,7,FALSE)-S8+AJ8,"")</f>
        <v>9</v>
      </c>
      <c r="I8" s="78">
        <f>IFERROR(VLOOKUP($I$24&amp;$D8,'Database-Hidden'!$C$2:$J$121,8,FALSE),"")</f>
        <v>0</v>
      </c>
      <c r="J8" s="79" t="s">
        <v>55</v>
      </c>
      <c r="K8" s="80">
        <f t="shared" si="0"/>
        <v>1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9">
        <v>1</v>
      </c>
      <c r="W8" s="89">
        <v>1</v>
      </c>
      <c r="X8" s="85"/>
      <c r="Y8" s="85"/>
      <c r="Z8" s="90">
        <v>1</v>
      </c>
      <c r="AA8" s="91">
        <f t="shared" si="1"/>
        <v>10</v>
      </c>
      <c r="AB8" s="58">
        <f t="shared" si="2"/>
        <v>100000</v>
      </c>
      <c r="AC8" s="4"/>
      <c r="AD8" s="120">
        <f>IFERROR(VLOOKUP($I$24&amp;D8,'Database-Hidden'!$C$2:$E$121,3,FALSE),"")</f>
        <v>80000</v>
      </c>
      <c r="AE8" s="93">
        <v>1</v>
      </c>
      <c r="AF8" s="107"/>
      <c r="AG8" s="107"/>
      <c r="AH8" s="107"/>
      <c r="AI8" s="107"/>
      <c r="AJ8" s="107"/>
      <c r="AK8" s="63"/>
      <c r="AL8" s="64" t="str">
        <f>IF(LEFT($D8,6)&lt;&gt;"Star: ","",VLOOKUP(RIGHT($D8,LEN($D8)-6),'Star Players-Hidden'!$A$3:$AK$69,37,FALSE))</f>
        <v/>
      </c>
      <c r="AM8" s="4"/>
      <c r="AN8" s="121" t="s">
        <v>69</v>
      </c>
      <c r="AO8" s="131">
        <v>60000</v>
      </c>
      <c r="AP8" s="132">
        <v>120000</v>
      </c>
      <c r="AQ8" s="124"/>
      <c r="AR8" s="133" t="s">
        <v>65</v>
      </c>
      <c r="AS8" s="134" t="s">
        <v>61</v>
      </c>
      <c r="AT8" s="135">
        <v>2</v>
      </c>
      <c r="AU8" s="136">
        <v>3</v>
      </c>
      <c r="AV8" s="137">
        <v>1</v>
      </c>
      <c r="AW8" s="130"/>
    </row>
    <row r="9" spans="1:49" ht="12.75">
      <c r="A9" s="2"/>
      <c r="B9" s="71">
        <v>6</v>
      </c>
      <c r="C9" s="72" t="s">
        <v>238</v>
      </c>
      <c r="D9" s="73" t="s">
        <v>219</v>
      </c>
      <c r="E9" s="75">
        <f>IFERROR(VLOOKUP($I$24&amp;$D9,'Database-Hidden'!$C$2:$J$121,4,FALSE)-P9+AG9,"")</f>
        <v>6</v>
      </c>
      <c r="F9" s="76">
        <f>IFERROR(VLOOKUP($I$24&amp;$D9,'Database-Hidden'!$C$2:$J$121,5,FALSE)-Q9+AH9,"")</f>
        <v>5</v>
      </c>
      <c r="G9" s="76">
        <f>IFERROR(VLOOKUP($I$24&amp;$D9,'Database-Hidden'!$C$2:$J$121,6,FALSE)-R9+AI9,"")</f>
        <v>1</v>
      </c>
      <c r="H9" s="77">
        <f>IFERROR(VLOOKUP($I$24&amp;$D9,'Database-Hidden'!$C$2:$J$121,7,FALSE)-S9+AJ9,"")</f>
        <v>9</v>
      </c>
      <c r="I9" s="78">
        <f>IFERROR(VLOOKUP($I$24&amp;$D9,'Database-Hidden'!$C$2:$J$121,8,FALSE),"")</f>
        <v>0</v>
      </c>
      <c r="J9" s="243" t="s">
        <v>241</v>
      </c>
      <c r="K9" s="80">
        <f t="shared" si="0"/>
        <v>1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9">
        <v>2</v>
      </c>
      <c r="X9" s="85"/>
      <c r="Y9" s="85"/>
      <c r="Z9" s="90">
        <v>1</v>
      </c>
      <c r="AA9" s="91">
        <f t="shared" si="1"/>
        <v>9</v>
      </c>
      <c r="AB9" s="58">
        <f t="shared" si="2"/>
        <v>130000</v>
      </c>
      <c r="AC9" s="4"/>
      <c r="AD9" s="120">
        <f>IFERROR(VLOOKUP($I$24&amp;D9,'Database-Hidden'!$C$2:$E$121,3,FALSE),"")</f>
        <v>80000</v>
      </c>
      <c r="AE9" s="93"/>
      <c r="AF9" s="94"/>
      <c r="AG9" s="107"/>
      <c r="AH9" s="94">
        <v>1</v>
      </c>
      <c r="AI9" s="107"/>
      <c r="AJ9" s="107"/>
      <c r="AK9" s="63"/>
      <c r="AL9" s="64" t="str">
        <f>IF(LEFT($D9,6)&lt;&gt;"Star: ","",VLOOKUP(RIGHT($D9,LEN($D9)-6),'Star Players-Hidden'!$A$3:$AK$69,37,FALSE))</f>
        <v/>
      </c>
      <c r="AM9" s="4"/>
      <c r="AN9" s="121" t="s">
        <v>72</v>
      </c>
      <c r="AO9" s="131">
        <v>70000</v>
      </c>
      <c r="AP9" s="132">
        <v>10000</v>
      </c>
      <c r="AQ9" s="124"/>
      <c r="AR9" s="133" t="s">
        <v>73</v>
      </c>
      <c r="AS9" s="134" t="s">
        <v>61</v>
      </c>
      <c r="AT9" s="135">
        <v>1</v>
      </c>
      <c r="AU9" s="136">
        <v>0</v>
      </c>
      <c r="AV9" s="137">
        <v>1</v>
      </c>
      <c r="AW9" s="130"/>
    </row>
    <row r="10" spans="1:49" ht="12.75">
      <c r="A10" s="2"/>
      <c r="B10" s="71">
        <v>7</v>
      </c>
      <c r="C10" s="72" t="s">
        <v>248</v>
      </c>
      <c r="D10" s="73" t="s">
        <v>219</v>
      </c>
      <c r="E10" s="75">
        <f>IFERROR(VLOOKUP($I$24&amp;$D10,'Database-Hidden'!$C$2:$J$121,4,FALSE)-P10+AG10,"")</f>
        <v>6</v>
      </c>
      <c r="F10" s="76">
        <f>IFERROR(VLOOKUP($I$24&amp;$D10,'Database-Hidden'!$C$2:$J$121,5,FALSE)-Q10+AH10,"")</f>
        <v>4</v>
      </c>
      <c r="G10" s="76">
        <f>IFERROR(VLOOKUP($I$24&amp;$D10,'Database-Hidden'!$C$2:$J$121,6,FALSE)-R10+AI10,"")</f>
        <v>1</v>
      </c>
      <c r="H10" s="77">
        <f>IFERROR(VLOOKUP($I$24&amp;$D10,'Database-Hidden'!$C$2:$J$121,7,FALSE)-S10+AJ10,"")</f>
        <v>9</v>
      </c>
      <c r="I10" s="78">
        <f>IFERROR(VLOOKUP($I$24&amp;$D10,'Database-Hidden'!$C$2:$J$121,8,FALSE),"")</f>
        <v>0</v>
      </c>
      <c r="J10" s="79" t="s">
        <v>55</v>
      </c>
      <c r="K10" s="80">
        <f t="shared" si="0"/>
        <v>1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>
        <v>1</v>
      </c>
      <c r="W10" s="89">
        <v>2</v>
      </c>
      <c r="X10" s="85"/>
      <c r="Y10" s="85"/>
      <c r="Z10" s="90"/>
      <c r="AA10" s="91">
        <f t="shared" si="1"/>
        <v>7</v>
      </c>
      <c r="AB10" s="58">
        <f t="shared" si="2"/>
        <v>100000</v>
      </c>
      <c r="AC10" s="4"/>
      <c r="AD10" s="120">
        <f>IFERROR(VLOOKUP($I$24&amp;D10,'Database-Hidden'!$C$2:$E$121,3,FALSE),"")</f>
        <v>80000</v>
      </c>
      <c r="AE10" s="93">
        <v>1</v>
      </c>
      <c r="AF10" s="94"/>
      <c r="AG10" s="107"/>
      <c r="AH10" s="107"/>
      <c r="AI10" s="107"/>
      <c r="AJ10" s="107"/>
      <c r="AK10" s="63"/>
      <c r="AL10" s="64" t="str">
        <f>IF(LEFT($D10,6)&lt;&gt;"Star: ","",VLOOKUP(RIGHT($D10,LEN($D10)-6),'Star Players-Hidden'!$A$3:$AK$69,37,FALSE))</f>
        <v/>
      </c>
      <c r="AM10" s="4"/>
      <c r="AN10" s="121" t="s">
        <v>78</v>
      </c>
      <c r="AO10" s="131">
        <v>50000</v>
      </c>
      <c r="AP10" s="132"/>
      <c r="AQ10" s="138">
        <v>0</v>
      </c>
      <c r="AR10" s="133" t="s">
        <v>79</v>
      </c>
      <c r="AS10" s="134" t="s">
        <v>61</v>
      </c>
      <c r="AT10" s="135">
        <v>1</v>
      </c>
      <c r="AU10" s="136">
        <v>1</v>
      </c>
      <c r="AV10" s="137">
        <v>1</v>
      </c>
      <c r="AW10" s="130"/>
    </row>
    <row r="11" spans="1:49" ht="12.75">
      <c r="A11" s="2"/>
      <c r="B11" s="71">
        <v>8</v>
      </c>
      <c r="C11" s="72" t="s">
        <v>252</v>
      </c>
      <c r="D11" s="73" t="s">
        <v>253</v>
      </c>
      <c r="E11" s="75">
        <f>IFERROR(VLOOKUP($I$24&amp;$D11,'Database-Hidden'!$C$2:$J$121,4,FALSE)-P11+AG11,"")</f>
        <v>8</v>
      </c>
      <c r="F11" s="76">
        <f>IFERROR(VLOOKUP($I$24&amp;$D11,'Database-Hidden'!$C$2:$J$121,5,FALSE)-Q11+AH11,"")</f>
        <v>2</v>
      </c>
      <c r="G11" s="76">
        <f>IFERROR(VLOOKUP($I$24&amp;$D11,'Database-Hidden'!$C$2:$J$121,6,FALSE)-R11+AI11,"")</f>
        <v>3</v>
      </c>
      <c r="H11" s="77">
        <f>IFERROR(VLOOKUP($I$24&amp;$D11,'Database-Hidden'!$C$2:$J$121,7,FALSE)-S11+AJ11,"")</f>
        <v>7</v>
      </c>
      <c r="I11" s="78" t="str">
        <f>IFERROR(VLOOKUP($I$24&amp;$D11,'Database-Hidden'!$C$2:$J$121,8,FALSE),"")</f>
        <v>Dodge, Stunty</v>
      </c>
      <c r="J11" s="79" t="s">
        <v>229</v>
      </c>
      <c r="K11" s="80">
        <f t="shared" si="0"/>
        <v>1</v>
      </c>
      <c r="L11" s="82">
        <v>1</v>
      </c>
      <c r="M11" s="81"/>
      <c r="N11" s="81"/>
      <c r="O11" s="83"/>
      <c r="P11" s="84"/>
      <c r="Q11" s="85"/>
      <c r="R11" s="85"/>
      <c r="S11" s="86"/>
      <c r="T11" s="87"/>
      <c r="U11" s="88"/>
      <c r="V11" s="89">
        <v>3</v>
      </c>
      <c r="W11" s="88"/>
      <c r="X11" s="85"/>
      <c r="Y11" s="85"/>
      <c r="Z11" s="90"/>
      <c r="AA11" s="91">
        <f t="shared" si="1"/>
        <v>9</v>
      </c>
      <c r="AB11" s="58">
        <f t="shared" si="2"/>
        <v>0</v>
      </c>
      <c r="AC11" s="4"/>
      <c r="AD11" s="120">
        <f>IFERROR(VLOOKUP($I$24&amp;D11,'Database-Hidden'!$C$2:$E$121,3,FALSE),"")</f>
        <v>60000</v>
      </c>
      <c r="AE11" s="93">
        <v>1</v>
      </c>
      <c r="AF11" s="94"/>
      <c r="AG11" s="107"/>
      <c r="AH11" s="107"/>
      <c r="AI11" s="107"/>
      <c r="AJ11" s="107"/>
      <c r="AK11" s="63"/>
      <c r="AL11" s="64" t="str">
        <f>IF(LEFT($D11,6)&lt;&gt;"Star: ","",VLOOKUP(RIGHT($D11,LEN($D11)-6),'Star Players-Hidden'!$A$3:$AK$69,37,FALSE))</f>
        <v/>
      </c>
      <c r="AM11" s="4"/>
      <c r="AN11" s="121" t="s">
        <v>82</v>
      </c>
      <c r="AO11" s="131">
        <v>80000</v>
      </c>
      <c r="AP11" s="132"/>
      <c r="AQ11" s="138">
        <v>0</v>
      </c>
      <c r="AR11" s="133" t="s">
        <v>84</v>
      </c>
      <c r="AS11" s="134" t="s">
        <v>61</v>
      </c>
      <c r="AT11" s="135">
        <v>1</v>
      </c>
      <c r="AU11" s="136">
        <v>1</v>
      </c>
      <c r="AV11" s="137">
        <v>1</v>
      </c>
      <c r="AW11" s="130"/>
    </row>
    <row r="12" spans="1:49" ht="12.75">
      <c r="A12" s="2"/>
      <c r="B12" s="71">
        <v>9</v>
      </c>
      <c r="C12" s="72" t="s">
        <v>257</v>
      </c>
      <c r="D12" s="73" t="s">
        <v>253</v>
      </c>
      <c r="E12" s="75">
        <f>IFERROR(VLOOKUP($I$24&amp;$D12,'Database-Hidden'!$C$2:$J$121,4,FALSE)-P12+AG12,"")</f>
        <v>8</v>
      </c>
      <c r="F12" s="76">
        <f>IFERROR(VLOOKUP($I$24&amp;$D12,'Database-Hidden'!$C$2:$J$121,5,FALSE)-Q12+AH12,"")</f>
        <v>2</v>
      </c>
      <c r="G12" s="76">
        <f>IFERROR(VLOOKUP($I$24&amp;$D12,'Database-Hidden'!$C$2:$J$121,6,FALSE)-R12+AI12,"")</f>
        <v>3</v>
      </c>
      <c r="H12" s="77">
        <f>IFERROR(VLOOKUP($I$24&amp;$D12,'Database-Hidden'!$C$2:$J$121,7,FALSE)-S12+AJ12,"")</f>
        <v>7</v>
      </c>
      <c r="I12" s="78" t="str">
        <f>IFERROR(VLOOKUP($I$24&amp;$D12,'Database-Hidden'!$C$2:$J$121,8,FALSE),"")</f>
        <v>Dodge, Stunty</v>
      </c>
      <c r="J12" s="79" t="s">
        <v>229</v>
      </c>
      <c r="K12" s="80">
        <f t="shared" si="0"/>
        <v>1</v>
      </c>
      <c r="L12" s="82"/>
      <c r="M12" s="81"/>
      <c r="N12" s="82"/>
      <c r="O12" s="83"/>
      <c r="P12" s="84"/>
      <c r="Q12" s="85"/>
      <c r="R12" s="85"/>
      <c r="S12" s="86"/>
      <c r="T12" s="87"/>
      <c r="U12" s="89"/>
      <c r="V12" s="89">
        <v>2</v>
      </c>
      <c r="W12" s="89"/>
      <c r="X12" s="85"/>
      <c r="Y12" s="85"/>
      <c r="Z12" s="90"/>
      <c r="AA12" s="91">
        <f t="shared" si="1"/>
        <v>6</v>
      </c>
      <c r="AB12" s="58">
        <f t="shared" si="2"/>
        <v>80000</v>
      </c>
      <c r="AC12" s="4"/>
      <c r="AD12" s="120">
        <f>IFERROR(VLOOKUP($I$24&amp;D12,'Database-Hidden'!$C$2:$E$121,3,FALSE),"")</f>
        <v>60000</v>
      </c>
      <c r="AE12" s="93">
        <v>1</v>
      </c>
      <c r="AF12" s="107"/>
      <c r="AG12" s="107"/>
      <c r="AH12" s="107"/>
      <c r="AI12" s="107"/>
      <c r="AJ12" s="107"/>
      <c r="AK12" s="63"/>
      <c r="AL12" s="64" t="str">
        <f>IF(LEFT($D12,6)&lt;&gt;"Star: ","",VLOOKUP(RIGHT($D12,LEN($D12)-6),'Star Players-Hidden'!$A$3:$AK$69,37,FALSE))</f>
        <v/>
      </c>
      <c r="AM12" s="4"/>
      <c r="AN12" s="121" t="s">
        <v>87</v>
      </c>
      <c r="AO12" s="131"/>
      <c r="AP12" s="123"/>
      <c r="AQ12" s="124"/>
      <c r="AR12" s="125"/>
      <c r="AS12" s="126"/>
      <c r="AT12" s="127"/>
      <c r="AU12" s="128"/>
      <c r="AV12" s="129"/>
      <c r="AW12" s="130"/>
    </row>
    <row r="13" spans="1:49" ht="12.75">
      <c r="A13" s="2"/>
      <c r="B13" s="71">
        <v>10</v>
      </c>
      <c r="C13" s="72" t="s">
        <v>260</v>
      </c>
      <c r="D13" s="73" t="s">
        <v>253</v>
      </c>
      <c r="E13" s="75">
        <f>IFERROR(VLOOKUP($I$24&amp;$D13,'Database-Hidden'!$C$2:$J$121,4,FALSE)-P13+AG13,"")</f>
        <v>8</v>
      </c>
      <c r="F13" s="76">
        <f>IFERROR(VLOOKUP($I$24&amp;$D13,'Database-Hidden'!$C$2:$J$121,5,FALSE)-Q13+AH13,"")</f>
        <v>2</v>
      </c>
      <c r="G13" s="76">
        <f>IFERROR(VLOOKUP($I$24&amp;$D13,'Database-Hidden'!$C$2:$J$121,6,FALSE)-R13+AI13,"")</f>
        <v>3</v>
      </c>
      <c r="H13" s="77">
        <f>IFERROR(VLOOKUP($I$24&amp;$D13,'Database-Hidden'!$C$2:$J$121,7,FALSE)-S13+AJ13,"")</f>
        <v>7</v>
      </c>
      <c r="I13" s="78" t="str">
        <f>IFERROR(VLOOKUP($I$24&amp;$D13,'Database-Hidden'!$C$2:$J$121,8,FALSE),"")</f>
        <v>Dodge, Stunty</v>
      </c>
      <c r="J13" s="79" t="s">
        <v>229</v>
      </c>
      <c r="K13" s="80">
        <f t="shared" si="0"/>
        <v>1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>
        <v>4</v>
      </c>
      <c r="W13" s="89"/>
      <c r="X13" s="85"/>
      <c r="Y13" s="85"/>
      <c r="Z13" s="90"/>
      <c r="AA13" s="91">
        <f t="shared" si="1"/>
        <v>12</v>
      </c>
      <c r="AB13" s="58">
        <f t="shared" si="2"/>
        <v>80000</v>
      </c>
      <c r="AC13" s="4"/>
      <c r="AD13" s="120">
        <f>IFERROR(VLOOKUP($I$24&amp;D13,'Database-Hidden'!$C$2:$E$121,3,FALSE),"")</f>
        <v>60000</v>
      </c>
      <c r="AE13" s="93">
        <v>1</v>
      </c>
      <c r="AF13" s="94"/>
      <c r="AG13" s="107"/>
      <c r="AH13" s="107"/>
      <c r="AI13" s="107"/>
      <c r="AJ13" s="107"/>
      <c r="AK13" s="63"/>
      <c r="AL13" s="64" t="str">
        <f>IF(LEFT($D13,6)&lt;&gt;"Star: ","",VLOOKUP(RIGHT($D13,LEN($D13)-6),'Star Players-Hidden'!$A$3:$AK$69,37,FALSE))</f>
        <v/>
      </c>
      <c r="AM13" s="4"/>
      <c r="AN13" s="121" t="s">
        <v>95</v>
      </c>
      <c r="AO13" s="122"/>
      <c r="AP13" s="123"/>
      <c r="AQ13" s="124"/>
      <c r="AR13" s="125"/>
      <c r="AS13" s="126"/>
      <c r="AT13" s="127"/>
      <c r="AU13" s="128"/>
      <c r="AV13" s="129"/>
      <c r="AW13" s="130"/>
    </row>
    <row r="14" spans="1:49" ht="12.75">
      <c r="A14" s="2"/>
      <c r="B14" s="71">
        <v>11</v>
      </c>
      <c r="C14" s="72" t="s">
        <v>262</v>
      </c>
      <c r="D14" s="73" t="s">
        <v>253</v>
      </c>
      <c r="E14" s="75">
        <f>IFERROR(VLOOKUP($I$24&amp;$D14,'Database-Hidden'!$C$2:$J$121,4,FALSE)-P14+AG14,"")</f>
        <v>8</v>
      </c>
      <c r="F14" s="76">
        <f>IFERROR(VLOOKUP($I$24&amp;$D14,'Database-Hidden'!$C$2:$J$121,5,FALSE)-Q14+AH14,"")</f>
        <v>2</v>
      </c>
      <c r="G14" s="76">
        <f>IFERROR(VLOOKUP($I$24&amp;$D14,'Database-Hidden'!$C$2:$J$121,6,FALSE)-R14+AI14,"")</f>
        <v>3</v>
      </c>
      <c r="H14" s="77">
        <f>IFERROR(VLOOKUP($I$24&amp;$D14,'Database-Hidden'!$C$2:$J$121,7,FALSE)-S14+AJ14,"")</f>
        <v>7</v>
      </c>
      <c r="I14" s="78" t="str">
        <f>IFERROR(VLOOKUP($I$24&amp;$D14,'Database-Hidden'!$C$2:$J$121,8,FALSE),"")</f>
        <v>Dodge, Stunty</v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/>
      <c r="X14" s="85"/>
      <c r="Y14" s="85"/>
      <c r="Z14" s="90"/>
      <c r="AA14" s="91">
        <f t="shared" si="1"/>
        <v>0</v>
      </c>
      <c r="AB14" s="58">
        <f t="shared" si="2"/>
        <v>60000</v>
      </c>
      <c r="AC14" s="4"/>
      <c r="AD14" s="120">
        <f>IFERROR(VLOOKUP($I$24&amp;D14,'Database-Hidden'!$C$2:$E$121,3,FALSE),"")</f>
        <v>60000</v>
      </c>
      <c r="AE14" s="93"/>
      <c r="AF14" s="107"/>
      <c r="AG14" s="107"/>
      <c r="AH14" s="107"/>
      <c r="AI14" s="107"/>
      <c r="AJ14" s="107"/>
      <c r="AK14" s="63"/>
      <c r="AL14" s="64" t="str">
        <f>IF(LEFT($D14,6)&lt;&gt;"Star: ","",VLOOKUP(RIGHT($D14,LEN($D14)-6),'Star Players-Hidden'!$A$3:$AK$69,37,FALSE))</f>
        <v/>
      </c>
      <c r="AM14" s="4"/>
      <c r="AN14" s="121" t="s">
        <v>98</v>
      </c>
      <c r="AO14" s="131">
        <v>60000</v>
      </c>
      <c r="AP14" s="132">
        <v>220000</v>
      </c>
      <c r="AQ14" s="124"/>
      <c r="AR14" s="133" t="s">
        <v>90</v>
      </c>
      <c r="AS14" s="134" t="s">
        <v>61</v>
      </c>
      <c r="AT14" s="135">
        <v>2</v>
      </c>
      <c r="AU14" s="136">
        <v>0</v>
      </c>
      <c r="AV14" s="137">
        <v>1</v>
      </c>
      <c r="AW14" s="130"/>
    </row>
    <row r="15" spans="1:49" ht="12.75">
      <c r="A15" s="2"/>
      <c r="B15" s="71">
        <v>12</v>
      </c>
      <c r="C15" s="72"/>
      <c r="D15" s="73"/>
      <c r="E15" s="75" t="str">
        <f>IFERROR(VLOOKUP($I$24&amp;$D15,'Database-Hidden'!$C$2:$J$121,4,FALSE)-P15+AG15,"")</f>
        <v/>
      </c>
      <c r="F15" s="76" t="str">
        <f>IFERROR(VLOOKUP($I$24&amp;$D15,'Database-Hidden'!$C$2:$J$121,5,FALSE)-Q15+AH15,"")</f>
        <v/>
      </c>
      <c r="G15" s="76" t="str">
        <f>IFERROR(VLOOKUP($I$24&amp;$D15,'Database-Hidden'!$C$2:$J$121,6,FALSE)-R15+AI15,"")</f>
        <v/>
      </c>
      <c r="H15" s="77" t="str">
        <f>IFERROR(VLOOKUP($I$24&amp;$D15,'Database-Hidden'!$C$2:$J$121,7,FALSE)-S15+AJ15,"")</f>
        <v/>
      </c>
      <c r="I15" s="78" t="str">
        <f>IFERROR(VLOOKUP($I$24&amp;$D15,'Database-Hidden'!$C$2:$J$121,8,FALSE),"")</f>
        <v/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85"/>
      <c r="Y15" s="85"/>
      <c r="Z15" s="90"/>
      <c r="AA15" s="91">
        <f t="shared" si="1"/>
        <v>0</v>
      </c>
      <c r="AB15" s="58"/>
      <c r="AC15" s="4"/>
      <c r="AD15" s="120" t="str">
        <f>IFERROR(VLOOKUP($I$24&amp;D15,'Database-Hidden'!$C$2:$E$121,3,FALSE),"")</f>
        <v/>
      </c>
      <c r="AE15" s="93"/>
      <c r="AF15" s="107"/>
      <c r="AG15" s="107"/>
      <c r="AH15" s="107"/>
      <c r="AI15" s="107"/>
      <c r="AJ15" s="107"/>
      <c r="AK15" s="63"/>
      <c r="AL15" s="64" t="str">
        <f>IF(LEFT($D15,6)&lt;&gt;"Star: ","",VLOOKUP(RIGHT($D15,LEN($D15)-6),'Star Players-Hidden'!$A$3:$AK$69,37,FALSE))</f>
        <v/>
      </c>
      <c r="AM15" s="4"/>
      <c r="AN15" s="121" t="s">
        <v>102</v>
      </c>
      <c r="AO15" s="131">
        <v>30000</v>
      </c>
      <c r="AP15" s="123"/>
      <c r="AQ15" s="138">
        <v>0</v>
      </c>
      <c r="AR15" s="133" t="s">
        <v>125</v>
      </c>
      <c r="AS15" s="134" t="s">
        <v>61</v>
      </c>
      <c r="AT15" s="135">
        <v>2</v>
      </c>
      <c r="AU15" s="136">
        <v>7</v>
      </c>
      <c r="AV15" s="137">
        <v>1</v>
      </c>
      <c r="AW15" s="130"/>
    </row>
    <row r="16" spans="1:49" ht="12.75">
      <c r="A16" s="2"/>
      <c r="B16" s="71">
        <v>13</v>
      </c>
      <c r="C16" s="72"/>
      <c r="D16" s="73"/>
      <c r="E16" s="75" t="str">
        <f>IFERROR(VLOOKUP($I$24&amp;$D16,'Database-Hidden'!$C$2:$J$121,4,FALSE)-P16+AG16,"")</f>
        <v/>
      </c>
      <c r="F16" s="76" t="str">
        <f>IFERROR(VLOOKUP($I$24&amp;$D16,'Database-Hidden'!$C$2:$J$121,5,FALSE)-Q16+AH16,"")</f>
        <v/>
      </c>
      <c r="G16" s="76" t="str">
        <f>IFERROR(VLOOKUP($I$24&amp;$D16,'Database-Hidden'!$C$2:$J$121,6,FALSE)-R16+AI16,"")</f>
        <v/>
      </c>
      <c r="H16" s="77" t="str">
        <f>IFERROR(VLOOKUP($I$24&amp;$D16,'Database-Hidden'!$C$2:$J$121,7,FALSE)-S16+AJ16,"")</f>
        <v/>
      </c>
      <c r="I16" s="78" t="str">
        <f>IFERROR(VLOOKUP($I$24&amp;$D16,'Database-Hidden'!$C$2:$J$121,8,FALSE),"")</f>
        <v/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85"/>
      <c r="Z16" s="90"/>
      <c r="AA16" s="91">
        <f t="shared" si="1"/>
        <v>0</v>
      </c>
      <c r="AB16" s="58"/>
      <c r="AC16" s="4"/>
      <c r="AD16" s="120" t="str">
        <f>IFERROR(VLOOKUP($I$24&amp;D16,'Database-Hidden'!$C$2:$E$121,3,FALSE),"")</f>
        <v/>
      </c>
      <c r="AE16" s="93"/>
      <c r="AF16" s="107"/>
      <c r="AG16" s="107"/>
      <c r="AH16" s="107"/>
      <c r="AI16" s="107"/>
      <c r="AJ16" s="107"/>
      <c r="AK16" s="63"/>
      <c r="AL16" s="64" t="str">
        <f>IF(LEFT($D16,6)&lt;&gt;"Star: ","",VLOOKUP(RIGHT($D16,LEN($D16)-6),'Star Players-Hidden'!$A$3:$AK$69,37,FALSE))</f>
        <v/>
      </c>
      <c r="AM16" s="4"/>
      <c r="AN16" s="121" t="s">
        <v>105</v>
      </c>
      <c r="AO16" s="131">
        <v>20000</v>
      </c>
      <c r="AP16" s="123"/>
      <c r="AQ16" s="124"/>
      <c r="AR16" s="133" t="s">
        <v>84</v>
      </c>
      <c r="AS16" s="134" t="s">
        <v>61</v>
      </c>
      <c r="AT16" s="135">
        <v>2</v>
      </c>
      <c r="AU16" s="136">
        <v>3</v>
      </c>
      <c r="AV16" s="137">
        <v>1</v>
      </c>
      <c r="AW16" s="130"/>
    </row>
    <row r="17" spans="1:49" ht="12.75">
      <c r="A17" s="2"/>
      <c r="B17" s="71">
        <v>14</v>
      </c>
      <c r="C17" s="72"/>
      <c r="D17" s="73"/>
      <c r="E17" s="75" t="str">
        <f>IFERROR(VLOOKUP($I$24&amp;$D17,'Database-Hidden'!$C$2:$J$121,4,FALSE)-P17+AG17,"")</f>
        <v/>
      </c>
      <c r="F17" s="76" t="str">
        <f>IFERROR(VLOOKUP($I$24&amp;$D17,'Database-Hidden'!$C$2:$J$121,5,FALSE)-Q17+AH17,"")</f>
        <v/>
      </c>
      <c r="G17" s="76" t="str">
        <f>IFERROR(VLOOKUP($I$24&amp;$D17,'Database-Hidden'!$C$2:$J$121,6,FALSE)-R17+AI17,"")</f>
        <v/>
      </c>
      <c r="H17" s="77" t="str">
        <f>IFERROR(VLOOKUP($I$24&amp;$D17,'Database-Hidden'!$C$2:$J$121,7,FALSE)-S17+AJ17,"")</f>
        <v/>
      </c>
      <c r="I17" s="78" t="str">
        <f>IFERROR(VLOOKUP($I$24&amp;$D17,'Database-Hidden'!$C$2:$J$121,8,FALSE),"")</f>
        <v/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85"/>
      <c r="Z17" s="90"/>
      <c r="AA17" s="91">
        <f t="shared" si="1"/>
        <v>0</v>
      </c>
      <c r="AB17" s="58"/>
      <c r="AC17" s="4"/>
      <c r="AD17" s="120" t="str">
        <f>IFERROR(VLOOKUP($I$24&amp;D17,'Database-Hidden'!$C$2:$E$121,3,FALSE),"")</f>
        <v/>
      </c>
      <c r="AE17" s="93"/>
      <c r="AF17" s="107"/>
      <c r="AG17" s="107"/>
      <c r="AH17" s="107"/>
      <c r="AI17" s="107"/>
      <c r="AJ17" s="107"/>
      <c r="AK17" s="63"/>
      <c r="AL17" s="64" t="str">
        <f>IF(LEFT($D17,6)&lt;&gt;"Star: ","",VLOOKUP(RIGHT($D17,LEN($D17)-6),'Star Players-Hidden'!$A$3:$AK$69,37,FALSE))</f>
        <v/>
      </c>
      <c r="AM17" s="4"/>
      <c r="AN17" s="141" t="s">
        <v>108</v>
      </c>
      <c r="AO17" s="245">
        <v>60000</v>
      </c>
      <c r="AP17" s="246">
        <v>110000</v>
      </c>
      <c r="AQ17" s="144"/>
      <c r="AR17" s="247" t="s">
        <v>73</v>
      </c>
      <c r="AS17" s="248" t="s">
        <v>61</v>
      </c>
      <c r="AT17" s="249">
        <v>1</v>
      </c>
      <c r="AU17" s="250">
        <v>2</v>
      </c>
      <c r="AV17" s="251">
        <v>1</v>
      </c>
      <c r="AW17" s="130"/>
    </row>
    <row r="18" spans="1:49" ht="12.75">
      <c r="A18" s="2"/>
      <c r="B18" s="71">
        <v>15</v>
      </c>
      <c r="C18" s="72"/>
      <c r="D18" s="73"/>
      <c r="E18" s="75" t="str">
        <f>IFERROR(VLOOKUP($I$24&amp;$D18,'Database-Hidden'!$C$2:$J$121,4,FALSE)-P18+AG18,"")</f>
        <v/>
      </c>
      <c r="F18" s="76" t="str">
        <f>IFERROR(VLOOKUP($I$24&amp;$D18,'Database-Hidden'!$C$2:$J$121,5,FALSE)-Q18+AH18,"")</f>
        <v/>
      </c>
      <c r="G18" s="76" t="str">
        <f>IFERROR(VLOOKUP($I$24&amp;$D18,'Database-Hidden'!$C$2:$J$121,6,FALSE)-R18+AI18,"")</f>
        <v/>
      </c>
      <c r="H18" s="77" t="str">
        <f>IFERROR(VLOOKUP($I$24&amp;$D18,'Database-Hidden'!$C$2:$J$121,7,FALSE)-S18+AJ18,"")</f>
        <v/>
      </c>
      <c r="I18" s="78" t="str">
        <f>IFERROR(VLOOKUP($I$24&amp;$D18,'Database-Hidden'!$C$2:$J$121,8,FALSE),"")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85"/>
      <c r="Z18" s="90"/>
      <c r="AA18" s="91">
        <f t="shared" si="1"/>
        <v>0</v>
      </c>
      <c r="AB18" s="58"/>
      <c r="AC18" s="4"/>
      <c r="AD18" s="120" t="str">
        <f>IFERROR(VLOOKUP($I$24&amp;D18,'Database-Hidden'!$C$2:$E$121,3,FALSE),"")</f>
        <v/>
      </c>
      <c r="AE18" s="93"/>
      <c r="AF18" s="94"/>
      <c r="AG18" s="107"/>
      <c r="AH18" s="107"/>
      <c r="AI18" s="107"/>
      <c r="AJ18" s="107"/>
      <c r="AK18" s="63"/>
      <c r="AL18" s="64" t="str">
        <f>IF(LEFT($D18,6)&lt;&gt;"Star: ","",VLOOKUP(RIGHT($D18,LEN($D18)-6),'Star Players-Hidden'!$A$3:$AK$69,37,FALSE))</f>
        <v/>
      </c>
      <c r="AM18" s="4"/>
      <c r="AN18" s="157" t="s">
        <v>35</v>
      </c>
      <c r="AO18" s="160">
        <f>AO4+SUM(AO6:AO17)-SUM(AP6:AP17)-SUM(AQ6:AQ17)</f>
        <v>60000</v>
      </c>
      <c r="AP18" s="4"/>
      <c r="AQ18" s="4"/>
      <c r="AR18" s="68"/>
      <c r="AS18" s="157" t="s">
        <v>35</v>
      </c>
      <c r="AT18" s="162">
        <f t="shared" ref="AT18:AU18" si="3">SUM(AT6:AT17)</f>
        <v>14</v>
      </c>
      <c r="AU18" s="164">
        <f t="shared" si="3"/>
        <v>17</v>
      </c>
      <c r="AV18" s="168">
        <f>AV4+SUM(AV6:AV17)</f>
        <v>9</v>
      </c>
      <c r="AW18" s="5"/>
    </row>
    <row r="19" spans="1:49" ht="12.75">
      <c r="A19" s="2"/>
      <c r="B19" s="170">
        <v>16</v>
      </c>
      <c r="C19" s="172"/>
      <c r="D19" s="174"/>
      <c r="E19" s="176" t="str">
        <f>IFERROR(VLOOKUP($I$24&amp;$D19,'Database-Hidden'!$C$2:$J$121,4,FALSE)-P19+AG19,"")</f>
        <v/>
      </c>
      <c r="F19" s="177" t="str">
        <f>IFERROR(VLOOKUP($I$24&amp;$D19,'Database-Hidden'!$C$2:$J$121,5,FALSE)-Q19+AH19,"")</f>
        <v/>
      </c>
      <c r="G19" s="177" t="str">
        <f>IFERROR(VLOOKUP($I$24&amp;$D19,'Database-Hidden'!$C$2:$J$121,6,FALSE)-R19+AI19,"")</f>
        <v/>
      </c>
      <c r="H19" s="178" t="str">
        <f>IFERROR(VLOOKUP($I$24&amp;$D19,'Database-Hidden'!$C$2:$J$121,7,FALSE)-S19+AJ19,"")</f>
        <v/>
      </c>
      <c r="I19" s="180" t="str">
        <f>IFERROR(VLOOKUP($I$24&amp;$D19,'Database-Hidden'!$C$2:$J$121,8,FALSE),"")</f>
        <v/>
      </c>
      <c r="J19" s="182"/>
      <c r="K19" s="186">
        <f t="shared" si="0"/>
        <v>0</v>
      </c>
      <c r="L19" s="188"/>
      <c r="M19" s="188"/>
      <c r="N19" s="187"/>
      <c r="O19" s="189"/>
      <c r="P19" s="190"/>
      <c r="Q19" s="191"/>
      <c r="R19" s="191"/>
      <c r="S19" s="192"/>
      <c r="T19" s="193"/>
      <c r="U19" s="194"/>
      <c r="V19" s="194"/>
      <c r="W19" s="195"/>
      <c r="X19" s="191"/>
      <c r="Y19" s="191"/>
      <c r="Z19" s="196"/>
      <c r="AA19" s="197">
        <f t="shared" si="1"/>
        <v>0</v>
      </c>
      <c r="AB19" s="58"/>
      <c r="AC19" s="4"/>
      <c r="AD19" s="198" t="str">
        <f>IFERROR(VLOOKUP($I$24&amp;D19,'Database-Hidden'!$C$2:$E$121,3,FALSE),"")</f>
        <v/>
      </c>
      <c r="AE19" s="199"/>
      <c r="AF19" s="200"/>
      <c r="AG19" s="200"/>
      <c r="AH19" s="200"/>
      <c r="AI19" s="200"/>
      <c r="AJ19" s="200"/>
      <c r="AK19" s="201"/>
      <c r="AL19" s="202" t="str">
        <f>IF(LEFT($D19,6)&lt;&gt;"Star: ","",VLOOKUP(RIGHT($D19,LEN($D19)-6),'Star Players-Hidden'!$A$3:$AK$69,37,FALSE))</f>
        <v/>
      </c>
      <c r="AM19" s="4"/>
      <c r="AV19" s="203"/>
    </row>
    <row r="20" spans="1:49" ht="12.75">
      <c r="B20" s="328"/>
      <c r="C20" s="329"/>
      <c r="D20" s="330"/>
      <c r="E20" s="311" t="s">
        <v>118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3"/>
      <c r="AB20" s="204">
        <f>SUM(AB4:AB19)</f>
        <v>1050000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8"/>
      <c r="AO20" s="68"/>
      <c r="AP20" s="68"/>
      <c r="AQ20" s="68"/>
      <c r="AR20" s="68"/>
      <c r="AS20" s="68"/>
      <c r="AT20" s="68"/>
      <c r="AU20" s="68"/>
      <c r="AV20" s="205"/>
      <c r="AW20" s="68"/>
    </row>
    <row r="21" spans="1:49" ht="12.75">
      <c r="A21" s="2"/>
      <c r="B21" s="317"/>
      <c r="C21" s="315"/>
      <c r="D21" s="316"/>
      <c r="E21" s="333" t="s">
        <v>119</v>
      </c>
      <c r="F21" s="315"/>
      <c r="G21" s="315"/>
      <c r="H21" s="334"/>
      <c r="I21" s="314" t="s">
        <v>110</v>
      </c>
      <c r="J21" s="315"/>
      <c r="K21" s="316"/>
      <c r="L21" s="322" t="s">
        <v>121</v>
      </c>
      <c r="M21" s="319"/>
      <c r="N21" s="319"/>
      <c r="O21" s="319"/>
      <c r="P21" s="319"/>
      <c r="Q21" s="319"/>
      <c r="R21" s="319"/>
      <c r="S21" s="323"/>
      <c r="T21" s="206">
        <v>3</v>
      </c>
      <c r="U21" s="207" t="s">
        <v>36</v>
      </c>
      <c r="V21" s="321">
        <f>IFERROR(VLOOKUP(I24,'Database-Hidden'!N2:O28,2,FALSE),"")</f>
        <v>60000</v>
      </c>
      <c r="W21" s="319"/>
      <c r="X21" s="319"/>
      <c r="Y21" s="319"/>
      <c r="Z21" s="319"/>
      <c r="AA21" s="320"/>
      <c r="AB21" s="208">
        <f t="shared" ref="AB21:AB25" si="4">T21*V21</f>
        <v>180000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27" t="s">
        <v>122</v>
      </c>
      <c r="AO21" s="313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317"/>
      <c r="C22" s="315"/>
      <c r="D22" s="316"/>
      <c r="E22" s="315"/>
      <c r="F22" s="315"/>
      <c r="G22" s="315"/>
      <c r="H22" s="334"/>
      <c r="I22" s="317"/>
      <c r="J22" s="315"/>
      <c r="K22" s="316"/>
      <c r="L22" s="309" t="s">
        <v>123</v>
      </c>
      <c r="M22" s="304"/>
      <c r="N22" s="304"/>
      <c r="O22" s="304"/>
      <c r="P22" s="304"/>
      <c r="Q22" s="304"/>
      <c r="R22" s="304"/>
      <c r="S22" s="310"/>
      <c r="T22" s="211">
        <f>AV18</f>
        <v>9</v>
      </c>
      <c r="U22" s="210" t="s">
        <v>36</v>
      </c>
      <c r="V22" s="306">
        <v>10000</v>
      </c>
      <c r="W22" s="304"/>
      <c r="X22" s="304"/>
      <c r="Y22" s="304"/>
      <c r="Z22" s="304"/>
      <c r="AA22" s="307"/>
      <c r="AB22" s="212">
        <f t="shared" si="4"/>
        <v>90000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213" t="s">
        <v>124</v>
      </c>
      <c r="AO22" s="214">
        <f>AO18</f>
        <v>60000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317"/>
      <c r="C23" s="315"/>
      <c r="D23" s="316"/>
      <c r="E23" s="319"/>
      <c r="F23" s="319"/>
      <c r="G23" s="319"/>
      <c r="H23" s="335"/>
      <c r="I23" s="318"/>
      <c r="J23" s="319"/>
      <c r="K23" s="320"/>
      <c r="L23" s="347" t="s">
        <v>126</v>
      </c>
      <c r="M23" s="304"/>
      <c r="N23" s="304"/>
      <c r="O23" s="304"/>
      <c r="P23" s="304"/>
      <c r="Q23" s="304"/>
      <c r="R23" s="304"/>
      <c r="S23" s="310"/>
      <c r="T23" s="215">
        <v>0</v>
      </c>
      <c r="U23" s="216" t="s">
        <v>36</v>
      </c>
      <c r="V23" s="306">
        <v>10000</v>
      </c>
      <c r="W23" s="304"/>
      <c r="X23" s="304"/>
      <c r="Y23" s="304"/>
      <c r="Z23" s="304"/>
      <c r="AA23" s="307"/>
      <c r="AB23" s="212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217" t="s">
        <v>127</v>
      </c>
      <c r="AO23" s="218">
        <f>COUNTA(AR6:AR17)*10000</f>
        <v>100000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317"/>
      <c r="C24" s="315"/>
      <c r="D24" s="316"/>
      <c r="E24" s="340" t="s">
        <v>128</v>
      </c>
      <c r="F24" s="304"/>
      <c r="G24" s="304"/>
      <c r="H24" s="341"/>
      <c r="I24" s="308" t="s">
        <v>270</v>
      </c>
      <c r="J24" s="304"/>
      <c r="K24" s="307"/>
      <c r="L24" s="309" t="s">
        <v>130</v>
      </c>
      <c r="M24" s="304"/>
      <c r="N24" s="304"/>
      <c r="O24" s="304"/>
      <c r="P24" s="304"/>
      <c r="Q24" s="304"/>
      <c r="R24" s="304"/>
      <c r="S24" s="310"/>
      <c r="T24" s="215">
        <v>0</v>
      </c>
      <c r="U24" s="216" t="s">
        <v>36</v>
      </c>
      <c r="V24" s="306">
        <v>10000</v>
      </c>
      <c r="W24" s="304"/>
      <c r="X24" s="304"/>
      <c r="Y24" s="304"/>
      <c r="Z24" s="304"/>
      <c r="AA24" s="307"/>
      <c r="AB24" s="212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217" t="s">
        <v>53</v>
      </c>
      <c r="AO24" s="218">
        <f>AT18*5000</f>
        <v>70000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317"/>
      <c r="C25" s="315"/>
      <c r="D25" s="316"/>
      <c r="E25" s="340" t="str">
        <f>IFERROR(IF(VLOOKUP(I24,'Database-Hidden'!X2:Y28,2,FALSE)="Yes","NECROMANCER","HEAD COACH"),"HEAD COACH")</f>
        <v>HEAD COACH</v>
      </c>
      <c r="F25" s="304"/>
      <c r="G25" s="304"/>
      <c r="H25" s="341"/>
      <c r="I25" s="308" t="s">
        <v>271</v>
      </c>
      <c r="J25" s="304"/>
      <c r="K25" s="307"/>
      <c r="L25" s="346" t="str">
        <f>IFERROR(IF(VLOOKUP(I24,'Database-Hidden'!X2:Y28,1,FALSE)&lt;&gt;"","",""),"APOTHECARY")</f>
        <v>APOTHECARY</v>
      </c>
      <c r="M25" s="304"/>
      <c r="N25" s="304"/>
      <c r="O25" s="304"/>
      <c r="P25" s="304"/>
      <c r="Q25" s="304"/>
      <c r="R25" s="304"/>
      <c r="S25" s="341"/>
      <c r="T25" s="215">
        <v>1</v>
      </c>
      <c r="U25" s="210" t="str">
        <f>IF(L25&lt;&gt;"","x","")</f>
        <v>x</v>
      </c>
      <c r="V25" s="306">
        <f>IF(L25&lt;&gt;"",50000,"")</f>
        <v>50000</v>
      </c>
      <c r="W25" s="304"/>
      <c r="X25" s="304"/>
      <c r="Y25" s="304"/>
      <c r="Z25" s="304"/>
      <c r="AA25" s="307"/>
      <c r="AB25" s="212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219" t="s">
        <v>134</v>
      </c>
      <c r="AO25" s="220">
        <f>AU18*5000</f>
        <v>85000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317"/>
      <c r="C26" s="315"/>
      <c r="D26" s="316"/>
      <c r="E26" s="340" t="s">
        <v>135</v>
      </c>
      <c r="F26" s="304"/>
      <c r="G26" s="304"/>
      <c r="H26" s="304"/>
      <c r="I26" s="343">
        <f>AB20+AB28</f>
        <v>1370000</v>
      </c>
      <c r="J26" s="304"/>
      <c r="K26" s="304"/>
      <c r="L26" s="346" t="s">
        <v>136</v>
      </c>
      <c r="M26" s="304"/>
      <c r="N26" s="304"/>
      <c r="O26" s="304"/>
      <c r="P26" s="304"/>
      <c r="Q26" s="304"/>
      <c r="R26" s="304"/>
      <c r="S26" s="341"/>
      <c r="T26" s="215">
        <v>0</v>
      </c>
      <c r="U26" s="210" t="s">
        <v>36</v>
      </c>
      <c r="V26" s="306">
        <f>IF(I24="Halfling",200000,600000)</f>
        <v>600000</v>
      </c>
      <c r="W26" s="304"/>
      <c r="X26" s="304"/>
      <c r="Y26" s="304"/>
      <c r="Z26" s="304"/>
      <c r="AA26" s="307"/>
      <c r="AB26" s="212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221" t="s">
        <v>35</v>
      </c>
      <c r="AO26" s="222">
        <v>310000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317"/>
      <c r="C27" s="315"/>
      <c r="D27" s="316"/>
      <c r="E27" s="336" t="s">
        <v>137</v>
      </c>
      <c r="F27" s="325"/>
      <c r="G27" s="325"/>
      <c r="H27" s="325"/>
      <c r="I27" s="342">
        <f>AO18</f>
        <v>60000</v>
      </c>
      <c r="J27" s="325"/>
      <c r="K27" s="325"/>
      <c r="L27" s="324" t="s">
        <v>138</v>
      </c>
      <c r="M27" s="325"/>
      <c r="N27" s="325"/>
      <c r="O27" s="325"/>
      <c r="P27" s="325"/>
      <c r="Q27" s="325"/>
      <c r="R27" s="325"/>
      <c r="S27" s="326"/>
      <c r="T27" s="223">
        <v>0</v>
      </c>
      <c r="U27" s="224" t="s">
        <v>36</v>
      </c>
      <c r="V27" s="344">
        <f>IF(I24="Goblin",100000,200000)</f>
        <v>200000</v>
      </c>
      <c r="W27" s="325"/>
      <c r="X27" s="325"/>
      <c r="Y27" s="325"/>
      <c r="Z27" s="325"/>
      <c r="AA27" s="345"/>
      <c r="AB27" s="212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331"/>
      <c r="C28" s="305"/>
      <c r="D28" s="332"/>
      <c r="E28" s="311" t="s">
        <v>139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3"/>
      <c r="AB28" s="204">
        <f>SUM(AB21:AB27)</f>
        <v>320000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25"/>
      <c r="D29" s="225"/>
      <c r="E29" s="226"/>
      <c r="F29" s="4"/>
      <c r="G29" s="4"/>
      <c r="H29" s="4"/>
      <c r="I29" s="227"/>
      <c r="J29" s="228"/>
      <c r="K29" s="4"/>
      <c r="L29" s="229"/>
      <c r="M29" s="229"/>
      <c r="N29" s="229"/>
      <c r="O29" s="229"/>
      <c r="P29" s="229"/>
      <c r="Q29" s="229"/>
      <c r="R29" s="229"/>
      <c r="S29" s="229"/>
      <c r="T29" s="230"/>
      <c r="U29" s="231"/>
      <c r="V29" s="9"/>
      <c r="W29" s="232"/>
      <c r="X29" s="232"/>
      <c r="Y29" s="232"/>
      <c r="Z29" s="232"/>
      <c r="AA29" s="232"/>
      <c r="AB29" s="23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34">
        <f>MATCH(I24,'Database-Hidden'!A2:A121,0)</f>
        <v>64</v>
      </c>
      <c r="D30" s="234" t="str">
        <f t="shared" ref="D30:D39" si="6">I30&amp;IF(COUNTIF(D$4:D$19,I30)&gt;E30," (Too Many)","")</f>
        <v>Skink</v>
      </c>
      <c r="E30" s="235">
        <f t="array" ref="E30">IFERROR(IF(INDEX('Database-Hidden'!$A$2:$B$121,$C30,1)=$I$24,INDEX('Database-Hidden'!$A$2:$D$121,$C30,4),""),"")</f>
        <v>16</v>
      </c>
      <c r="I30" s="234" t="str">
        <f t="array" ref="I30">IFERROR(IF(INDEX('Database-Hidden'!$A$2:$B$121,$C30,1)=$I$24,INDEX('Database-Hidden'!$A$2:$B$121,$C30,2),""),"")</f>
        <v>Skink</v>
      </c>
      <c r="AV30" s="203"/>
    </row>
    <row r="31" spans="1:49" ht="17.25" hidden="1" customHeight="1">
      <c r="C31" s="234">
        <f t="shared" ref="C31:C39" si="7">C30+1</f>
        <v>65</v>
      </c>
      <c r="D31" s="234" t="str">
        <f t="shared" si="6"/>
        <v>Saurus</v>
      </c>
      <c r="E31" s="235">
        <f t="array" ref="E31">IFERROR(IF(INDEX('Database-Hidden'!$A$2:$B$121,$C31,1)=$I$24,INDEX('Database-Hidden'!$A$2:$D$121,$C31,4),""),"")</f>
        <v>6</v>
      </c>
      <c r="I31" s="234" t="str">
        <f t="array" ref="I31">IFERROR(IF(INDEX('Database-Hidden'!$A$2:$B$121,$C31,1)=$I$24,INDEX('Database-Hidden'!$A$2:$B$121,$C31,2),""),"")</f>
        <v>Saurus</v>
      </c>
      <c r="AV31" s="203"/>
    </row>
    <row r="32" spans="1:49" ht="17.25" hidden="1" customHeight="1">
      <c r="C32" s="234">
        <f t="shared" si="7"/>
        <v>66</v>
      </c>
      <c r="D32" s="234" t="str">
        <f t="shared" si="6"/>
        <v>Kroxigor</v>
      </c>
      <c r="E32" s="235">
        <f t="array" ref="E32">IFERROR(IF(INDEX('Database-Hidden'!$A$2:$B$121,$C32,1)=$I$24,INDEX('Database-Hidden'!$A$2:$D$121,$C32,4),""),"")</f>
        <v>1</v>
      </c>
      <c r="I32" s="234" t="str">
        <f t="array" ref="I32">IFERROR(IF(INDEX('Database-Hidden'!$A$2:$B$121,$C32,1)=$I$24,INDEX('Database-Hidden'!$A$2:$B$121,$C32,2),""),"")</f>
        <v>Kroxigor</v>
      </c>
      <c r="AV32" s="203"/>
    </row>
    <row r="33" spans="3:48" ht="17.25" hidden="1" customHeight="1">
      <c r="C33" s="234">
        <f t="shared" si="7"/>
        <v>67</v>
      </c>
      <c r="D33" s="234" t="str">
        <f t="shared" si="6"/>
        <v/>
      </c>
      <c r="E33" s="235" t="str">
        <f t="array" ref="E33">IFERROR(IF(INDEX('Database-Hidden'!$A$2:$B$121,$C33,1)=$I$24,INDEX('Database-Hidden'!$A$2:$D$121,$C33,4),""),"")</f>
        <v/>
      </c>
      <c r="I33" s="234" t="str">
        <f t="array" ref="I33">IFERROR(IF(INDEX('Database-Hidden'!$A$2:$B$121,$C33,1)=$I$24,INDEX('Database-Hidden'!$A$2:$B$121,$C33,2),""),"")</f>
        <v/>
      </c>
      <c r="AV33" s="203"/>
    </row>
    <row r="34" spans="3:48" ht="17.25" hidden="1" customHeight="1">
      <c r="C34" s="234">
        <f t="shared" si="7"/>
        <v>68</v>
      </c>
      <c r="D34" s="234" t="str">
        <f t="shared" si="6"/>
        <v/>
      </c>
      <c r="E34" s="235" t="str">
        <f t="array" ref="E34">IFERROR(IF(INDEX('Database-Hidden'!$A$2:$B$121,$C34,1)=$I$24,INDEX('Database-Hidden'!$A$2:$D$121,$C34,4),""),"")</f>
        <v/>
      </c>
      <c r="I34" s="234" t="str">
        <f t="array" ref="I34">IFERROR(IF(INDEX('Database-Hidden'!$A$2:$B$121,$C34,1)=$I$24,INDEX('Database-Hidden'!$A$2:$B$121,$C34,2),""),"")</f>
        <v/>
      </c>
      <c r="AV34" s="203"/>
    </row>
    <row r="35" spans="3:48" ht="17.25" hidden="1" customHeight="1">
      <c r="C35" s="234">
        <f t="shared" si="7"/>
        <v>69</v>
      </c>
      <c r="D35" s="234" t="str">
        <f t="shared" si="6"/>
        <v/>
      </c>
      <c r="E35" s="235" t="str">
        <f t="array" ref="E35">IFERROR(IF(INDEX('Database-Hidden'!$A$2:$B$121,$C35,1)=$I$24,INDEX('Database-Hidden'!$A$2:$D$121,$C35,4),""),"")</f>
        <v/>
      </c>
      <c r="I35" s="234" t="str">
        <f t="array" ref="I35">IFERROR(IF(INDEX('Database-Hidden'!$A$2:$B$121,$C35,1)=$I$24,INDEX('Database-Hidden'!$A$2:$B$121,$C35,2),""),"")</f>
        <v/>
      </c>
      <c r="AV35" s="203"/>
    </row>
    <row r="36" spans="3:48" ht="17.25" hidden="1" customHeight="1">
      <c r="C36" s="234">
        <f t="shared" si="7"/>
        <v>70</v>
      </c>
      <c r="D36" s="234" t="str">
        <f t="shared" si="6"/>
        <v/>
      </c>
      <c r="E36" s="235" t="str">
        <f t="array" ref="E36">IFERROR(IF(INDEX('Database-Hidden'!$A$2:$B$121,$C36,1)=$I$24,INDEX('Database-Hidden'!$A$2:$D$121,$C36,4),""),"")</f>
        <v/>
      </c>
      <c r="I36" s="234" t="str">
        <f t="array" ref="I36">IFERROR(IF(INDEX('Database-Hidden'!$A$2:$B$121,$C36,1)=$I$24,INDEX('Database-Hidden'!$A$2:$B$121,$C36,2),""),"")</f>
        <v/>
      </c>
      <c r="AV36" s="203"/>
    </row>
    <row r="37" spans="3:48" ht="17.25" hidden="1" customHeight="1">
      <c r="C37" s="234">
        <f t="shared" si="7"/>
        <v>71</v>
      </c>
      <c r="D37" s="234" t="str">
        <f t="shared" si="6"/>
        <v/>
      </c>
      <c r="E37" s="235" t="str">
        <f t="array" ref="E37">IFERROR(IF(INDEX('Database-Hidden'!$A$2:$B$121,$C37,1)=$I$24,INDEX('Database-Hidden'!$A$2:$D$121,$C37,4),""),"")</f>
        <v/>
      </c>
      <c r="I37" s="234" t="str">
        <f t="array" ref="I37">IFERROR(IF(INDEX('Database-Hidden'!$A$2:$B$121,$C37,1)=$I$24,INDEX('Database-Hidden'!$A$2:$B$121,$C37,2),""),"")</f>
        <v/>
      </c>
      <c r="AV37" s="203"/>
    </row>
    <row r="38" spans="3:48" ht="17.25" hidden="1" customHeight="1">
      <c r="C38" s="234">
        <f t="shared" si="7"/>
        <v>72</v>
      </c>
      <c r="D38" s="234" t="str">
        <f t="shared" si="6"/>
        <v/>
      </c>
      <c r="E38" s="235" t="str">
        <f t="array" ref="E38">IFERROR(IF(INDEX('Database-Hidden'!$A$2:$B$121,$C38,1)=$I$24,INDEX('Database-Hidden'!$A$2:$D$121,$C38,4),""),"")</f>
        <v/>
      </c>
      <c r="I38" s="234" t="str">
        <f t="array" ref="I38">IFERROR(IF(INDEX('Database-Hidden'!$A$2:$B$121,$C38,1)=$I$24,INDEX('Database-Hidden'!$A$2:$B$121,$C38,2),""),"")</f>
        <v/>
      </c>
      <c r="AV38" s="203"/>
    </row>
    <row r="39" spans="3:48" ht="17.25" hidden="1" customHeight="1">
      <c r="C39" s="234">
        <f t="shared" si="7"/>
        <v>73</v>
      </c>
      <c r="D39" s="234" t="str">
        <f t="shared" si="6"/>
        <v/>
      </c>
      <c r="E39" s="235" t="str">
        <f t="array" ref="E39">IFERROR(IF(INDEX('Database-Hidden'!$A$2:$B$121,$C39,1)=$I$24,INDEX('Database-Hidden'!$A$2:$D$121,$C39,4),""),"")</f>
        <v/>
      </c>
      <c r="I39" s="234" t="str">
        <f t="array" ref="I39">IFERROR(IF(INDEX('Database-Hidden'!$A$2:$B$121,$C39,1)=$I$24,INDEX('Database-Hidden'!$A$2:$B$121,$C39,2),""),"")</f>
        <v/>
      </c>
      <c r="AV39" s="203"/>
    </row>
    <row r="40" spans="3:48" ht="17.25" hidden="1" customHeight="1">
      <c r="C40" s="236">
        <f>MATCH(I24,'Star Players-Hidden'!D2:AD2,0)</f>
        <v>15</v>
      </c>
      <c r="D40" s="236" t="str">
        <f t="shared" ref="D40:D51" ca="1" si="8">I40&amp;IF(COUNTIF(D$4:D$19,I40)&gt;1," (Too Many)","")</f>
        <v>Star: Helmut Wulf</v>
      </c>
      <c r="E40" s="237"/>
      <c r="F40" s="237"/>
      <c r="G40" s="237"/>
      <c r="H40" s="237"/>
      <c r="I40" s="236" t="str">
        <f ca="1">IFERROR(__xludf.DUMMYFUNCTION("FILTER({""Star: ""&amp;'Star Players-Hidden'!A3:A69},INDEX('Star Players-Hidden'!D3:AD69,0,C40)&lt;&gt;"""",{'Star Players-Hidden'!C3:C69=""""}+{'Star Players-Hidden'!C3:C69=I21})"),"Star: Helmut Wulf")</f>
        <v>Star: Helmut Wulf</v>
      </c>
      <c r="AV40" s="203"/>
    </row>
    <row r="41" spans="3:48" ht="17.25" hidden="1" customHeight="1">
      <c r="C41" s="234"/>
      <c r="D41" s="234" t="str">
        <f t="shared" ca="1" si="8"/>
        <v>Star: Hemlock</v>
      </c>
      <c r="I41" s="238" t="str">
        <f ca="1">IFERROR(__xludf.DUMMYFUNCTION("""COMPUTED_VALUE"""),"Star: Hemlock")</f>
        <v>Star: Hemlock</v>
      </c>
      <c r="AV41" s="203"/>
    </row>
    <row r="42" spans="3:48" ht="17.25" hidden="1" customHeight="1">
      <c r="C42" s="234"/>
      <c r="D42" s="234" t="str">
        <f t="shared" ca="1" si="8"/>
        <v>Star: Lottabottol</v>
      </c>
      <c r="I42" s="234" t="str">
        <f ca="1">IFERROR(__xludf.DUMMYFUNCTION("""COMPUTED_VALUE"""),"Star: Lottabottol")</f>
        <v>Star: Lottabottol</v>
      </c>
      <c r="AV42" s="203"/>
    </row>
    <row r="43" spans="3:48" ht="17.25" hidden="1" customHeight="1">
      <c r="C43" s="234"/>
      <c r="D43" s="234" t="str">
        <f t="shared" ca="1" si="8"/>
        <v>Star: Morg'n'Thorg</v>
      </c>
      <c r="I43" s="234" t="str">
        <f ca="1">IFERROR(__xludf.DUMMYFUNCTION("""COMPUTED_VALUE"""),"Star: Morg'n'Thorg")</f>
        <v>Star: Morg'n'Thorg</v>
      </c>
      <c r="AV43" s="203"/>
    </row>
    <row r="44" spans="3:48" ht="17.25" hidden="1" customHeight="1">
      <c r="C44" s="234"/>
      <c r="D44" s="234" t="str">
        <f t="shared" ca="1" si="8"/>
        <v>Star: Quetzal Leap</v>
      </c>
      <c r="I44" s="234" t="str">
        <f ca="1">IFERROR(__xludf.DUMMYFUNCTION("""COMPUTED_VALUE"""),"Star: Quetzal Leap")</f>
        <v>Star: Quetzal Leap</v>
      </c>
      <c r="AV44" s="203"/>
    </row>
    <row r="45" spans="3:48" ht="17.25" hidden="1" customHeight="1">
      <c r="C45" s="234"/>
      <c r="D45" s="234" t="str">
        <f t="shared" ca="1" si="8"/>
        <v>Star: Slibli</v>
      </c>
      <c r="I45" s="234" t="str">
        <f ca="1">IFERROR(__xludf.DUMMYFUNCTION("""COMPUTED_VALUE"""),"Star: Slibli")</f>
        <v>Star: Slibli</v>
      </c>
      <c r="AV45" s="203"/>
    </row>
    <row r="46" spans="3:48" ht="17.25" hidden="1" customHeight="1">
      <c r="C46" s="234"/>
      <c r="D46" s="234" t="str">
        <f t="shared" si="8"/>
        <v/>
      </c>
      <c r="I46" s="234"/>
      <c r="AV46" s="203"/>
    </row>
    <row r="47" spans="3:48" ht="17.25" hidden="1" customHeight="1">
      <c r="C47" s="234"/>
      <c r="D47" s="234" t="str">
        <f t="shared" si="8"/>
        <v/>
      </c>
      <c r="I47" s="234"/>
      <c r="AV47" s="203"/>
    </row>
    <row r="48" spans="3:48" ht="17.25" hidden="1" customHeight="1">
      <c r="C48" s="234"/>
      <c r="D48" s="234" t="str">
        <f t="shared" si="8"/>
        <v/>
      </c>
      <c r="I48" s="234"/>
      <c r="AV48" s="203"/>
    </row>
    <row r="49" spans="3:48" ht="17.25" hidden="1" customHeight="1">
      <c r="C49" s="234"/>
      <c r="D49" s="234" t="str">
        <f t="shared" si="8"/>
        <v/>
      </c>
      <c r="I49" s="234"/>
      <c r="AV49" s="203"/>
    </row>
    <row r="50" spans="3:48" ht="17.25" hidden="1" customHeight="1">
      <c r="C50" s="234"/>
      <c r="D50" s="234" t="str">
        <f t="shared" si="8"/>
        <v/>
      </c>
      <c r="I50" s="234"/>
      <c r="AV50" s="203"/>
    </row>
    <row r="51" spans="3:48" ht="17.25" hidden="1" customHeight="1">
      <c r="C51" s="234"/>
      <c r="D51" s="234" t="str">
        <f t="shared" si="8"/>
        <v/>
      </c>
      <c r="I51" s="234"/>
      <c r="AV51" s="203"/>
    </row>
  </sheetData>
  <mergeCells count="31">
    <mergeCell ref="B20:D28"/>
    <mergeCell ref="P2:S2"/>
    <mergeCell ref="AN3:AQ3"/>
    <mergeCell ref="AR3:AV3"/>
    <mergeCell ref="L22:S22"/>
    <mergeCell ref="L23:S23"/>
    <mergeCell ref="V22:AA22"/>
    <mergeCell ref="V23:AA23"/>
    <mergeCell ref="E20:AA20"/>
    <mergeCell ref="V25:AA25"/>
    <mergeCell ref="L25:S25"/>
    <mergeCell ref="I27:K27"/>
    <mergeCell ref="I21:K23"/>
    <mergeCell ref="E21:H23"/>
    <mergeCell ref="E25:H25"/>
    <mergeCell ref="E24:H24"/>
    <mergeCell ref="I24:K24"/>
    <mergeCell ref="I25:K25"/>
    <mergeCell ref="E26:H26"/>
    <mergeCell ref="I26:K26"/>
    <mergeCell ref="V26:AA26"/>
    <mergeCell ref="L26:S26"/>
    <mergeCell ref="V24:AA24"/>
    <mergeCell ref="L24:S24"/>
    <mergeCell ref="V21:AA21"/>
    <mergeCell ref="L21:S21"/>
    <mergeCell ref="AN21:AO21"/>
    <mergeCell ref="E28:AA28"/>
    <mergeCell ref="L27:S27"/>
    <mergeCell ref="V27:AA27"/>
    <mergeCell ref="E27:H27"/>
  </mergeCells>
  <conditionalFormatting sqref="J4">
    <cfRule type="expression" dxfId="202" priority="1">
      <formula>K4&lt;&gt;SUM(AE4:AJ4)</formula>
    </cfRule>
  </conditionalFormatting>
  <conditionalFormatting sqref="K4:K19">
    <cfRule type="cellIs" dxfId="201" priority="2" operator="equal">
      <formula>0</formula>
    </cfRule>
  </conditionalFormatting>
  <conditionalFormatting sqref="AB4:AB19">
    <cfRule type="cellIs" dxfId="200" priority="3" operator="equal">
      <formula>0</formula>
    </cfRule>
  </conditionalFormatting>
  <conditionalFormatting sqref="E4:H19">
    <cfRule type="expression" dxfId="199" priority="4">
      <formula>AG4&gt;0</formula>
    </cfRule>
  </conditionalFormatting>
  <conditionalFormatting sqref="E4:H19">
    <cfRule type="expression" dxfId="198" priority="5">
      <formula>P4&gt;0</formula>
    </cfRule>
  </conditionalFormatting>
  <conditionalFormatting sqref="T4:T19 U4:U19 V4:W19 Z4:Z19 U29">
    <cfRule type="cellIs" dxfId="197" priority="6" stopIfTrue="1" operator="equal">
      <formula>0</formula>
    </cfRule>
  </conditionalFormatting>
  <conditionalFormatting sqref="K4:K19">
    <cfRule type="cellIs" dxfId="196" priority="7" stopIfTrue="1" operator="equal">
      <formula>"n/a"</formula>
    </cfRule>
  </conditionalFormatting>
  <conditionalFormatting sqref="P4:S19">
    <cfRule type="cellIs" dxfId="195" priority="8" stopIfTrue="1" operator="lessThanOrEqual">
      <formula>-1</formula>
    </cfRule>
  </conditionalFormatting>
  <conditionalFormatting sqref="V25:W27">
    <cfRule type="cellIs" dxfId="194" priority="9" stopIfTrue="1" operator="equal">
      <formula>-500</formula>
    </cfRule>
  </conditionalFormatting>
  <conditionalFormatting sqref="T25:T27">
    <cfRule type="cellIs" dxfId="193" priority="10" stopIfTrue="1" operator="greaterThan">
      <formula>$V$25</formula>
    </cfRule>
  </conditionalFormatting>
  <conditionalFormatting sqref="AA4:AA19">
    <cfRule type="cellIs" dxfId="192" priority="11" stopIfTrue="1" operator="equal">
      <formula>"Star"</formula>
    </cfRule>
  </conditionalFormatting>
  <conditionalFormatting sqref="AA4:AA19">
    <cfRule type="cellIs" dxfId="191" priority="12" stopIfTrue="1" operator="equal">
      <formula>AB4</formula>
    </cfRule>
  </conditionalFormatting>
  <conditionalFormatting sqref="I4:I19">
    <cfRule type="cellIs" dxfId="190" priority="13" stopIfTrue="1" operator="equal">
      <formula>0</formula>
    </cfRule>
  </conditionalFormatting>
  <conditionalFormatting sqref="I4:I19">
    <cfRule type="cellIs" dxfId="189" priority="14" stopIfTrue="1" operator="equal">
      <formula>"Player type quantity surpassed"</formula>
    </cfRule>
  </conditionalFormatting>
  <conditionalFormatting sqref="J5">
    <cfRule type="expression" dxfId="188" priority="15">
      <formula>K5&lt;&gt;SUM(AE5:AJ5)</formula>
    </cfRule>
  </conditionalFormatting>
  <conditionalFormatting sqref="J6">
    <cfRule type="expression" dxfId="187" priority="16">
      <formula>K6&lt;&gt;SUM(AE6:AJ6)</formula>
    </cfRule>
  </conditionalFormatting>
  <conditionalFormatting sqref="J7">
    <cfRule type="expression" dxfId="186" priority="17">
      <formula>K7&lt;&gt;SUM(AE7:AJ7)</formula>
    </cfRule>
  </conditionalFormatting>
  <conditionalFormatting sqref="J8">
    <cfRule type="expression" dxfId="185" priority="18">
      <formula>K8&lt;&gt;SUM(AE8:AJ8)</formula>
    </cfRule>
  </conditionalFormatting>
  <conditionalFormatting sqref="J9">
    <cfRule type="expression" dxfId="184" priority="19">
      <formula>K9&lt;&gt;SUM(AE9:AJ9)</formula>
    </cfRule>
  </conditionalFormatting>
  <conditionalFormatting sqref="J10">
    <cfRule type="expression" dxfId="183" priority="20">
      <formula>K10&lt;&gt;SUM(AE10:AJ10)</formula>
    </cfRule>
  </conditionalFormatting>
  <conditionalFormatting sqref="J11">
    <cfRule type="expression" dxfId="182" priority="21">
      <formula>K11&lt;&gt;SUM(AE11:AJ11)</formula>
    </cfRule>
  </conditionalFormatting>
  <conditionalFormatting sqref="J12">
    <cfRule type="expression" dxfId="181" priority="22">
      <formula>K12&lt;&gt;SUM(AE12:AJ12)</formula>
    </cfRule>
  </conditionalFormatting>
  <conditionalFormatting sqref="J13">
    <cfRule type="expression" dxfId="180" priority="23">
      <formula>K13&lt;&gt;SUM(AE13:AJ13)</formula>
    </cfRule>
  </conditionalFormatting>
  <conditionalFormatting sqref="J14">
    <cfRule type="expression" dxfId="179" priority="24">
      <formula>K14&lt;&gt;SUM(AE14:AJ14)</formula>
    </cfRule>
  </conditionalFormatting>
  <conditionalFormatting sqref="J15">
    <cfRule type="expression" dxfId="178" priority="25">
      <formula>K15&lt;&gt;SUM(AE15:AJ15)</formula>
    </cfRule>
  </conditionalFormatting>
  <conditionalFormatting sqref="J16">
    <cfRule type="expression" dxfId="177" priority="26">
      <formula>K16&lt;&gt;SUM(AE16:AJ16)</formula>
    </cfRule>
  </conditionalFormatting>
  <conditionalFormatting sqref="J17">
    <cfRule type="expression" dxfId="176" priority="27">
      <formula>K17&lt;&gt;SUM(AE17:AJ17)</formula>
    </cfRule>
  </conditionalFormatting>
  <conditionalFormatting sqref="J18">
    <cfRule type="expression" dxfId="175" priority="28">
      <formula>K18&lt;&gt;SUM(AE18:AJ18)</formula>
    </cfRule>
  </conditionalFormatting>
  <conditionalFormatting sqref="J19">
    <cfRule type="expression" dxfId="174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KB!$D$28:$D$49</formula1>
    </dataValidation>
  </dataValidations>
  <printOptions horizontalCentered="1"/>
  <pageMargins left="0.25" right="0.25" top="0.75" bottom="0.75" header="0" footer="0"/>
  <pageSetup fitToHeight="0" pageOrder="overThenDown"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W51"/>
  <sheetViews>
    <sheetView showGridLines="0" workbookViewId="0">
      <selection activeCell="AB16" sqref="AB16: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337" t="s">
        <v>3</v>
      </c>
      <c r="Q2" s="329"/>
      <c r="R2" s="329"/>
      <c r="S2" s="330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14</v>
      </c>
      <c r="J3" s="21" t="s">
        <v>16</v>
      </c>
      <c r="K3" s="22" t="s">
        <v>0</v>
      </c>
      <c r="L3" s="23" t="s">
        <v>17</v>
      </c>
      <c r="M3" s="24" t="s">
        <v>19</v>
      </c>
      <c r="N3" s="24" t="s">
        <v>20</v>
      </c>
      <c r="O3" s="25" t="s">
        <v>21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23</v>
      </c>
      <c r="U3" s="30" t="s">
        <v>24</v>
      </c>
      <c r="V3" s="30" t="s">
        <v>9</v>
      </c>
      <c r="W3" s="30" t="s">
        <v>25</v>
      </c>
      <c r="X3" s="31" t="s">
        <v>26</v>
      </c>
      <c r="Y3" s="25" t="s">
        <v>27</v>
      </c>
      <c r="Z3" s="32" t="s">
        <v>10</v>
      </c>
      <c r="AA3" s="33" t="s">
        <v>11</v>
      </c>
      <c r="AB3" s="34" t="s">
        <v>28</v>
      </c>
      <c r="AC3" s="4"/>
      <c r="AD3" s="13" t="s">
        <v>29</v>
      </c>
      <c r="AE3" s="20" t="s">
        <v>19</v>
      </c>
      <c r="AF3" s="35" t="s">
        <v>30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31</v>
      </c>
      <c r="AL3" s="39" t="s">
        <v>32</v>
      </c>
      <c r="AM3" s="4"/>
      <c r="AN3" s="338" t="s">
        <v>33</v>
      </c>
      <c r="AO3" s="315"/>
      <c r="AP3" s="315"/>
      <c r="AQ3" s="315"/>
      <c r="AR3" s="339" t="s">
        <v>34</v>
      </c>
      <c r="AS3" s="315"/>
      <c r="AT3" s="315"/>
      <c r="AU3" s="315"/>
      <c r="AV3" s="315"/>
      <c r="AW3" s="12"/>
    </row>
    <row r="4" spans="1:49" ht="12.75">
      <c r="A4" s="2"/>
      <c r="B4" s="40">
        <v>1</v>
      </c>
      <c r="C4" s="41" t="s">
        <v>224</v>
      </c>
      <c r="D4" s="42" t="s">
        <v>225</v>
      </c>
      <c r="E4" s="43">
        <f>IFERROR(VLOOKUP($I$24&amp;$D4,'Database-Hidden'!$C$2:$J$121,4,FALSE)-P4+AG4,"")</f>
        <v>8</v>
      </c>
      <c r="F4" s="44">
        <f>IFERROR(VLOOKUP($I$24&amp;$D4,'Database-Hidden'!$C$2:$J$121,5,FALSE)-Q4+AH4,"")</f>
        <v>2</v>
      </c>
      <c r="G4" s="44">
        <f>IFERROR(VLOOKUP($I$24&amp;$D4,'Database-Hidden'!$C$2:$J$121,6,FALSE)-R4+AI4,"")</f>
        <v>4</v>
      </c>
      <c r="H4" s="45">
        <f>IFERROR(VLOOKUP($I$24&amp;$D4,'Database-Hidden'!$C$2:$J$121,7,FALSE)-S4+AJ4,"")</f>
        <v>7</v>
      </c>
      <c r="I4" s="46" t="str">
        <f>IFERROR(VLOOKUP($I$24&amp;$D4,'Database-Hidden'!$C$2:$J$121,8,FALSE),"")</f>
        <v>Block, Dodge, Leap</v>
      </c>
      <c r="J4" s="47" t="s">
        <v>229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>
        <v>1</v>
      </c>
      <c r="R4" s="52"/>
      <c r="S4" s="53"/>
      <c r="T4" s="54"/>
      <c r="U4" s="55">
        <v>1</v>
      </c>
      <c r="V4" s="55"/>
      <c r="W4" s="55"/>
      <c r="X4" s="52"/>
      <c r="Y4" s="52"/>
      <c r="Z4" s="56">
        <v>1</v>
      </c>
      <c r="AA4" s="57">
        <f t="shared" ref="AA4:AA19" si="1">2*T4+U4+3*V4+2*W4+5*Z4</f>
        <v>6</v>
      </c>
      <c r="AB4" s="58">
        <f t="shared" ref="AB4:AB19" si="2">IF(L4=1,0,AD4+(20000*O4)+(20000*AE4)+(30000*AF4)+(30000*AG4)+(50000*AH4)+(40000*AI4)+(50000*AJ4)+AK4)</f>
        <v>140000</v>
      </c>
      <c r="AC4" s="4"/>
      <c r="AD4" s="59">
        <f>IFERROR(VLOOKUP($I$24&amp;D4,'Database-Hidden'!$C$2:$E$121,3,FALSE),"")</f>
        <v>120000</v>
      </c>
      <c r="AE4" s="60">
        <v>1</v>
      </c>
      <c r="AF4" s="62"/>
      <c r="AG4" s="62"/>
      <c r="AH4" s="62"/>
      <c r="AI4" s="62"/>
      <c r="AJ4" s="62"/>
      <c r="AK4" s="63"/>
      <c r="AL4" s="64" t="str">
        <f>IF(LEFT($D4,6)&lt;&gt;"Star: ","",VLOOKUP(RIGHT($D4,LEN($D4)-6),'Star Players-Hidden'!$A$3:$AK$69,37,FALSE))</f>
        <v/>
      </c>
      <c r="AM4" s="4"/>
      <c r="AN4" s="65" t="s">
        <v>39</v>
      </c>
      <c r="AO4" s="66">
        <v>20000</v>
      </c>
      <c r="AP4" s="4"/>
      <c r="AQ4" s="4"/>
      <c r="AR4" s="67"/>
      <c r="AS4" s="68"/>
      <c r="AT4" s="68"/>
      <c r="AU4" s="65" t="s">
        <v>42</v>
      </c>
      <c r="AV4" s="69">
        <v>0</v>
      </c>
      <c r="AW4" s="70"/>
    </row>
    <row r="5" spans="1:49" ht="12.75">
      <c r="A5" s="2"/>
      <c r="B5" s="71">
        <v>2</v>
      </c>
      <c r="C5" s="72" t="s">
        <v>234</v>
      </c>
      <c r="D5" s="73" t="s">
        <v>225</v>
      </c>
      <c r="E5" s="75">
        <f>IFERROR(VLOOKUP($I$24&amp;$D5,'Database-Hidden'!$C$2:$J$121,4,FALSE)-P5+AG5,"")</f>
        <v>8</v>
      </c>
      <c r="F5" s="76">
        <f>IFERROR(VLOOKUP($I$24&amp;$D5,'Database-Hidden'!$C$2:$J$121,5,FALSE)-Q5+AH5,"")</f>
        <v>3</v>
      </c>
      <c r="G5" s="76">
        <f>IFERROR(VLOOKUP($I$24&amp;$D5,'Database-Hidden'!$C$2:$J$121,6,FALSE)-R5+AI5,"")</f>
        <v>4</v>
      </c>
      <c r="H5" s="77">
        <f>IFERROR(VLOOKUP($I$24&amp;$D5,'Database-Hidden'!$C$2:$J$121,7,FALSE)-S5+AJ5,"")</f>
        <v>7</v>
      </c>
      <c r="I5" s="78" t="str">
        <f>IFERROR(VLOOKUP($I$24&amp;$D5,'Database-Hidden'!$C$2:$J$121,8,FALSE),"")</f>
        <v>Block, Dodge, Leap</v>
      </c>
      <c r="J5" s="79" t="s">
        <v>103</v>
      </c>
      <c r="K5" s="80">
        <f t="shared" si="0"/>
        <v>1</v>
      </c>
      <c r="L5" s="82">
        <v>1</v>
      </c>
      <c r="M5" s="81"/>
      <c r="N5" s="82"/>
      <c r="O5" s="83"/>
      <c r="P5" s="84"/>
      <c r="Q5" s="85"/>
      <c r="R5" s="85"/>
      <c r="S5" s="86"/>
      <c r="T5" s="87"/>
      <c r="U5" s="89">
        <v>1</v>
      </c>
      <c r="V5" s="89">
        <v>1</v>
      </c>
      <c r="W5" s="89">
        <v>1</v>
      </c>
      <c r="X5" s="85"/>
      <c r="Y5" s="85"/>
      <c r="Z5" s="90"/>
      <c r="AA5" s="91">
        <f t="shared" si="1"/>
        <v>6</v>
      </c>
      <c r="AB5" s="58">
        <f t="shared" si="2"/>
        <v>0</v>
      </c>
      <c r="AC5" s="4"/>
      <c r="AD5" s="92">
        <f>IFERROR(VLOOKUP($I$24&amp;D5,'Database-Hidden'!$C$2:$E$121,3,FALSE),"")</f>
        <v>120000</v>
      </c>
      <c r="AE5" s="93">
        <v>1</v>
      </c>
      <c r="AF5" s="94"/>
      <c r="AG5" s="94"/>
      <c r="AH5" s="94"/>
      <c r="AI5" s="94"/>
      <c r="AJ5" s="94"/>
      <c r="AK5" s="63"/>
      <c r="AL5" s="64" t="str">
        <f>IF(LEFT($D5,6)&lt;&gt;"Star: ","",VLOOKUP(RIGHT($D5,LEN($D5)-6),'Star Players-Hidden'!$A$3:$AK$69,37,FALSE))</f>
        <v/>
      </c>
      <c r="AM5" s="1"/>
      <c r="AN5" s="95" t="s">
        <v>47</v>
      </c>
      <c r="AO5" s="96" t="s">
        <v>48</v>
      </c>
      <c r="AP5" s="98" t="s">
        <v>49</v>
      </c>
      <c r="AQ5" s="99" t="s">
        <v>50</v>
      </c>
      <c r="AR5" s="100" t="s">
        <v>51</v>
      </c>
      <c r="AS5" s="98" t="s">
        <v>52</v>
      </c>
      <c r="AT5" s="101" t="s">
        <v>53</v>
      </c>
      <c r="AU5" s="101" t="s">
        <v>54</v>
      </c>
      <c r="AV5" s="103" t="s">
        <v>2</v>
      </c>
      <c r="AW5" s="104"/>
    </row>
    <row r="6" spans="1:49" ht="12.75">
      <c r="A6" s="2"/>
      <c r="B6" s="71">
        <v>3</v>
      </c>
      <c r="C6" s="72" t="s">
        <v>237</v>
      </c>
      <c r="D6" s="73" t="s">
        <v>92</v>
      </c>
      <c r="E6" s="75">
        <f>IFERROR(VLOOKUP($I$24&amp;$D6,'Database-Hidden'!$C$2:$J$121,4,FALSE)-P6+AG6,"")</f>
        <v>7</v>
      </c>
      <c r="F6" s="76">
        <f>IFERROR(VLOOKUP($I$24&amp;$D6,'Database-Hidden'!$C$2:$J$121,5,FALSE)-Q6+AH6,"")</f>
        <v>3</v>
      </c>
      <c r="G6" s="76">
        <f>IFERROR(VLOOKUP($I$24&amp;$D6,'Database-Hidden'!$C$2:$J$121,6,FALSE)-R6+AI6,"")</f>
        <v>4</v>
      </c>
      <c r="H6" s="77">
        <f>IFERROR(VLOOKUP($I$24&amp;$D6,'Database-Hidden'!$C$2:$J$121,7,FALSE)-S6+AJ6,"")</f>
        <v>7</v>
      </c>
      <c r="I6" s="78">
        <f>IFERROR(VLOOKUP($I$24&amp;$D6,'Database-Hidden'!$C$2:$J$121,8,FALSE),"")</f>
        <v>0</v>
      </c>
      <c r="J6" s="79" t="s">
        <v>43</v>
      </c>
      <c r="K6" s="80">
        <f t="shared" si="0"/>
        <v>1</v>
      </c>
      <c r="L6" s="81"/>
      <c r="M6" s="81"/>
      <c r="N6" s="81"/>
      <c r="O6" s="83"/>
      <c r="P6" s="84"/>
      <c r="Q6" s="85"/>
      <c r="R6" s="85"/>
      <c r="S6" s="86"/>
      <c r="T6" s="87"/>
      <c r="U6" s="89"/>
      <c r="V6" s="88"/>
      <c r="W6" s="89">
        <v>2</v>
      </c>
      <c r="X6" s="85"/>
      <c r="Y6" s="85"/>
      <c r="Z6" s="90">
        <v>1</v>
      </c>
      <c r="AA6" s="91">
        <f t="shared" si="1"/>
        <v>9</v>
      </c>
      <c r="AB6" s="58">
        <f t="shared" si="2"/>
        <v>100000</v>
      </c>
      <c r="AC6" s="4"/>
      <c r="AD6" s="92">
        <f>IFERROR(VLOOKUP($I$24&amp;D6,'Database-Hidden'!$C$2:$E$121,3,FALSE),"")</f>
        <v>70000</v>
      </c>
      <c r="AE6" s="93"/>
      <c r="AF6" s="94">
        <v>1</v>
      </c>
      <c r="AG6" s="107"/>
      <c r="AH6" s="107"/>
      <c r="AI6" s="107"/>
      <c r="AJ6" s="107"/>
      <c r="AK6" s="63"/>
      <c r="AL6" s="64" t="str">
        <f>IF(LEFT($D6,6)&lt;&gt;"Star: ","",VLOOKUP(RIGHT($D6,LEN($D6)-6),'Star Players-Hidden'!$A$3:$AK$69,37,FALSE))</f>
        <v/>
      </c>
      <c r="AM6" s="4"/>
      <c r="AN6" s="108" t="s">
        <v>57</v>
      </c>
      <c r="AO6" s="109">
        <v>60000</v>
      </c>
      <c r="AP6" s="110"/>
      <c r="AQ6" s="112"/>
      <c r="AR6" s="114" t="s">
        <v>73</v>
      </c>
      <c r="AS6" s="115" t="s">
        <v>74</v>
      </c>
      <c r="AT6" s="118">
        <v>0</v>
      </c>
      <c r="AU6" s="116">
        <v>1</v>
      </c>
      <c r="AV6" s="119">
        <v>0</v>
      </c>
      <c r="AW6" s="117"/>
    </row>
    <row r="7" spans="1:49" ht="12.75">
      <c r="A7" s="2"/>
      <c r="B7" s="71">
        <v>4</v>
      </c>
      <c r="C7" s="72"/>
      <c r="D7" s="73" t="s">
        <v>92</v>
      </c>
      <c r="E7" s="75">
        <f>IFERROR(VLOOKUP($I$24&amp;$D7,'Database-Hidden'!$C$2:$J$121,4,FALSE)-P7+AG7,"")</f>
        <v>7</v>
      </c>
      <c r="F7" s="76">
        <f>IFERROR(VLOOKUP($I$24&amp;$D7,'Database-Hidden'!$C$2:$J$121,5,FALSE)-Q7+AH7,"")</f>
        <v>3</v>
      </c>
      <c r="G7" s="76">
        <f>IFERROR(VLOOKUP($I$24&amp;$D7,'Database-Hidden'!$C$2:$J$121,6,FALSE)-R7+AI7,"")</f>
        <v>4</v>
      </c>
      <c r="H7" s="77">
        <f>IFERROR(VLOOKUP($I$24&amp;$D7,'Database-Hidden'!$C$2:$J$121,7,FALSE)-S7+AJ7,"")</f>
        <v>7</v>
      </c>
      <c r="I7" s="78">
        <f>IFERROR(VLOOKUP($I$24&amp;$D7,'Database-Hidden'!$C$2:$J$121,8,FALSE),"")</f>
        <v>0</v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85"/>
      <c r="Z7" s="90"/>
      <c r="AA7" s="91">
        <f t="shared" si="1"/>
        <v>0</v>
      </c>
      <c r="AB7" s="58">
        <f t="shared" si="2"/>
        <v>70000</v>
      </c>
      <c r="AC7" s="4"/>
      <c r="AD7" s="120">
        <f>IFERROR(VLOOKUP($I$24&amp;D7,'Database-Hidden'!$C$2:$E$121,3,FALSE),"")</f>
        <v>70000</v>
      </c>
      <c r="AE7" s="93"/>
      <c r="AF7" s="107"/>
      <c r="AG7" s="107"/>
      <c r="AH7" s="107"/>
      <c r="AI7" s="107"/>
      <c r="AJ7" s="107"/>
      <c r="AK7" s="63"/>
      <c r="AL7" s="64" t="str">
        <f>IF(LEFT($D7,6)&lt;&gt;"Star: ","",VLOOKUP(RIGHT($D7,LEN($D7)-6),'Star Players-Hidden'!$A$3:$AK$69,37,FALSE))</f>
        <v/>
      </c>
      <c r="AM7" s="4"/>
      <c r="AN7" s="121" t="s">
        <v>63</v>
      </c>
      <c r="AO7" s="131">
        <v>30000</v>
      </c>
      <c r="AP7" s="132">
        <v>50000</v>
      </c>
      <c r="AQ7" s="124"/>
      <c r="AR7" s="133" t="s">
        <v>65</v>
      </c>
      <c r="AS7" s="134" t="s">
        <v>74</v>
      </c>
      <c r="AT7" s="135">
        <v>1</v>
      </c>
      <c r="AU7" s="136">
        <v>0</v>
      </c>
      <c r="AV7" s="137">
        <v>0</v>
      </c>
      <c r="AW7" s="130"/>
    </row>
    <row r="8" spans="1:49" ht="12.75">
      <c r="A8" s="2"/>
      <c r="B8" s="71">
        <v>5</v>
      </c>
      <c r="C8" s="72" t="s">
        <v>246</v>
      </c>
      <c r="D8" s="73" t="s">
        <v>92</v>
      </c>
      <c r="E8" s="75">
        <f>IFERROR(VLOOKUP($I$24&amp;$D8,'Database-Hidden'!$C$2:$J$121,4,FALSE)-P8+AG8,"")</f>
        <v>7</v>
      </c>
      <c r="F8" s="76">
        <f>IFERROR(VLOOKUP($I$24&amp;$D8,'Database-Hidden'!$C$2:$J$121,5,FALSE)-Q8+AH8,"")</f>
        <v>3</v>
      </c>
      <c r="G8" s="76">
        <f>IFERROR(VLOOKUP($I$24&amp;$D8,'Database-Hidden'!$C$2:$J$121,6,FALSE)-R8+AI8,"")</f>
        <v>4</v>
      </c>
      <c r="H8" s="77">
        <f>IFERROR(VLOOKUP($I$24&amp;$D8,'Database-Hidden'!$C$2:$J$121,7,FALSE)-S8+AJ8,"")</f>
        <v>7</v>
      </c>
      <c r="I8" s="78">
        <f>IFERROR(VLOOKUP($I$24&amp;$D8,'Database-Hidden'!$C$2:$J$121,8,FALSE),"")</f>
        <v>0</v>
      </c>
      <c r="J8" s="79" t="s">
        <v>55</v>
      </c>
      <c r="K8" s="80">
        <f t="shared" si="0"/>
        <v>1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9">
        <v>2</v>
      </c>
      <c r="X8" s="85"/>
      <c r="Y8" s="85"/>
      <c r="Z8" s="90">
        <v>1</v>
      </c>
      <c r="AA8" s="91">
        <f t="shared" si="1"/>
        <v>9</v>
      </c>
      <c r="AB8" s="58">
        <f t="shared" si="2"/>
        <v>90000</v>
      </c>
      <c r="AC8" s="4"/>
      <c r="AD8" s="120">
        <f>IFERROR(VLOOKUP($I$24&amp;D8,'Database-Hidden'!$C$2:$E$121,3,FALSE),"")</f>
        <v>70000</v>
      </c>
      <c r="AE8" s="93">
        <v>1</v>
      </c>
      <c r="AF8" s="107"/>
      <c r="AG8" s="107"/>
      <c r="AH8" s="107"/>
      <c r="AI8" s="107"/>
      <c r="AJ8" s="107"/>
      <c r="AK8" s="63"/>
      <c r="AL8" s="64" t="str">
        <f>IF(LEFT($D8,6)&lt;&gt;"Star: ","",VLOOKUP(RIGHT($D8,LEN($D8)-6),'Star Players-Hidden'!$A$3:$AK$69,37,FALSE))</f>
        <v/>
      </c>
      <c r="AM8" s="4"/>
      <c r="AN8" s="121" t="s">
        <v>69</v>
      </c>
      <c r="AO8" s="131">
        <v>0</v>
      </c>
      <c r="AP8" s="123"/>
      <c r="AQ8" s="124"/>
      <c r="AR8" s="133" t="s">
        <v>125</v>
      </c>
      <c r="AS8" s="134" t="s">
        <v>250</v>
      </c>
      <c r="AT8" s="135">
        <v>0</v>
      </c>
      <c r="AU8" s="136">
        <v>0</v>
      </c>
      <c r="AV8" s="137">
        <v>0</v>
      </c>
      <c r="AW8" s="130"/>
    </row>
    <row r="9" spans="1:49" ht="12.75">
      <c r="A9" s="2"/>
      <c r="B9" s="71">
        <v>6</v>
      </c>
      <c r="C9" s="72" t="s">
        <v>251</v>
      </c>
      <c r="D9" s="73" t="s">
        <v>92</v>
      </c>
      <c r="E9" s="75">
        <f>IFERROR(VLOOKUP($I$24&amp;$D9,'Database-Hidden'!$C$2:$J$121,4,FALSE)-P9+AG9,"")</f>
        <v>7</v>
      </c>
      <c r="F9" s="76">
        <f>IFERROR(VLOOKUP($I$24&amp;$D9,'Database-Hidden'!$C$2:$J$121,5,FALSE)-Q9+AH9,"")</f>
        <v>3</v>
      </c>
      <c r="G9" s="76">
        <f>IFERROR(VLOOKUP($I$24&amp;$D9,'Database-Hidden'!$C$2:$J$121,6,FALSE)-R9+AI9,"")</f>
        <v>4</v>
      </c>
      <c r="H9" s="77">
        <f>IFERROR(VLOOKUP($I$24&amp;$D9,'Database-Hidden'!$C$2:$J$121,7,FALSE)-S9+AJ9,"")</f>
        <v>7</v>
      </c>
      <c r="I9" s="78">
        <f>IFERROR(VLOOKUP($I$24&amp;$D9,'Database-Hidden'!$C$2:$J$121,8,FALSE),"")</f>
        <v>0</v>
      </c>
      <c r="J9" s="106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85"/>
      <c r="Z9" s="90"/>
      <c r="AA9" s="91">
        <f t="shared" si="1"/>
        <v>0</v>
      </c>
      <c r="AB9" s="58">
        <f t="shared" si="2"/>
        <v>70000</v>
      </c>
      <c r="AC9" s="4"/>
      <c r="AD9" s="120">
        <f>IFERROR(VLOOKUP($I$24&amp;D9,'Database-Hidden'!$C$2:$E$121,3,FALSE),"")</f>
        <v>70000</v>
      </c>
      <c r="AE9" s="93"/>
      <c r="AF9" s="94"/>
      <c r="AG9" s="107"/>
      <c r="AH9" s="107"/>
      <c r="AI9" s="107"/>
      <c r="AJ9" s="107"/>
      <c r="AK9" s="63"/>
      <c r="AL9" s="64" t="str">
        <f>IF(LEFT($D9,6)&lt;&gt;"Star: ","",VLOOKUP(RIGHT($D9,LEN($D9)-6),'Star Players-Hidden'!$A$3:$AK$69,37,FALSE))</f>
        <v/>
      </c>
      <c r="AM9" s="4"/>
      <c r="AN9" s="121" t="s">
        <v>72</v>
      </c>
      <c r="AO9" s="131">
        <v>10000</v>
      </c>
      <c r="AP9" s="123"/>
      <c r="AQ9" s="124"/>
      <c r="AR9" s="133" t="s">
        <v>90</v>
      </c>
      <c r="AS9" s="134" t="s">
        <v>74</v>
      </c>
      <c r="AT9" s="135">
        <v>0</v>
      </c>
      <c r="AU9" s="136">
        <v>2</v>
      </c>
      <c r="AV9" s="137">
        <v>0</v>
      </c>
      <c r="AW9" s="130"/>
    </row>
    <row r="10" spans="1:49" ht="12.75">
      <c r="A10" s="2"/>
      <c r="B10" s="71">
        <v>7</v>
      </c>
      <c r="C10" s="72" t="s">
        <v>255</v>
      </c>
      <c r="D10" s="73" t="s">
        <v>92</v>
      </c>
      <c r="E10" s="75">
        <f>IFERROR(VLOOKUP($I$24&amp;$D10,'Database-Hidden'!$C$2:$J$121,4,FALSE)-P10+AG10,"")</f>
        <v>7</v>
      </c>
      <c r="F10" s="76">
        <f>IFERROR(VLOOKUP($I$24&amp;$D10,'Database-Hidden'!$C$2:$J$121,5,FALSE)-Q10+AH10,"")</f>
        <v>3</v>
      </c>
      <c r="G10" s="76">
        <f>IFERROR(VLOOKUP($I$24&amp;$D10,'Database-Hidden'!$C$2:$J$121,6,FALSE)-R10+AI10,"")</f>
        <v>4</v>
      </c>
      <c r="H10" s="77">
        <f>IFERROR(VLOOKUP($I$24&amp;$D10,'Database-Hidden'!$C$2:$J$121,7,FALSE)-S10+AJ10,"")</f>
        <v>7</v>
      </c>
      <c r="I10" s="78">
        <f>IFERROR(VLOOKUP($I$24&amp;$D10,'Database-Hidden'!$C$2:$J$121,8,FALSE),"")</f>
        <v>0</v>
      </c>
      <c r="J10" s="79"/>
      <c r="K10" s="80">
        <f t="shared" si="0"/>
        <v>0</v>
      </c>
      <c r="L10" s="82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85"/>
      <c r="Z10" s="90"/>
      <c r="AA10" s="91">
        <f t="shared" si="1"/>
        <v>0</v>
      </c>
      <c r="AB10" s="58">
        <f t="shared" si="2"/>
        <v>70000</v>
      </c>
      <c r="AC10" s="4"/>
      <c r="AD10" s="120">
        <f>IFERROR(VLOOKUP($I$24&amp;D10,'Database-Hidden'!$C$2:$E$121,3,FALSE),"")</f>
        <v>70000</v>
      </c>
      <c r="AE10" s="93"/>
      <c r="AF10" s="94"/>
      <c r="AG10" s="107"/>
      <c r="AH10" s="107"/>
      <c r="AI10" s="107"/>
      <c r="AJ10" s="107"/>
      <c r="AK10" s="63"/>
      <c r="AL10" s="64" t="str">
        <f>IF(LEFT($D10,6)&lt;&gt;"Star: ","",VLOOKUP(RIGHT($D10,LEN($D10)-6),'Star Players-Hidden'!$A$3:$AK$69,37,FALSE))</f>
        <v/>
      </c>
      <c r="AM10" s="4"/>
      <c r="AN10" s="121" t="s">
        <v>78</v>
      </c>
      <c r="AO10" s="131">
        <v>40000</v>
      </c>
      <c r="AP10" s="123"/>
      <c r="AQ10" s="138">
        <v>0</v>
      </c>
      <c r="AR10" s="133" t="s">
        <v>110</v>
      </c>
      <c r="AS10" s="134" t="s">
        <v>74</v>
      </c>
      <c r="AT10" s="135">
        <v>0</v>
      </c>
      <c r="AU10" s="136">
        <v>0</v>
      </c>
      <c r="AV10" s="137">
        <v>0</v>
      </c>
      <c r="AW10" s="130"/>
    </row>
    <row r="11" spans="1:49" ht="12.75">
      <c r="A11" s="2"/>
      <c r="B11" s="71">
        <v>8</v>
      </c>
      <c r="C11" s="72" t="s">
        <v>259</v>
      </c>
      <c r="D11" s="73" t="s">
        <v>81</v>
      </c>
      <c r="E11" s="75">
        <f>IFERROR(VLOOKUP($I$24&amp;$D11,'Database-Hidden'!$C$2:$J$121,4,FALSE)-P11+AG11,"")</f>
        <v>8</v>
      </c>
      <c r="F11" s="76">
        <f>IFERROR(VLOOKUP($I$24&amp;$D11,'Database-Hidden'!$C$2:$J$121,5,FALSE)-Q11+AH11,"")</f>
        <v>2</v>
      </c>
      <c r="G11" s="76">
        <f>IFERROR(VLOOKUP($I$24&amp;$D11,'Database-Hidden'!$C$2:$J$121,6,FALSE)-R11+AI11,"")</f>
        <v>4</v>
      </c>
      <c r="H11" s="77">
        <f>IFERROR(VLOOKUP($I$24&amp;$D11,'Database-Hidden'!$C$2:$J$121,7,FALSE)-S11+AJ11,"")</f>
        <v>7</v>
      </c>
      <c r="I11" s="78" t="str">
        <f>IFERROR(VLOOKUP($I$24&amp;$D11,'Database-Hidden'!$C$2:$J$121,8,FALSE),"")</f>
        <v>Catch, Dodge, Sprint</v>
      </c>
      <c r="J11" s="79" t="s">
        <v>172</v>
      </c>
      <c r="K11" s="80">
        <f t="shared" si="0"/>
        <v>1</v>
      </c>
      <c r="L11" s="81"/>
      <c r="M11" s="81"/>
      <c r="N11" s="81"/>
      <c r="O11" s="83"/>
      <c r="P11" s="84"/>
      <c r="Q11" s="85"/>
      <c r="R11" s="85"/>
      <c r="S11" s="86"/>
      <c r="T11" s="87"/>
      <c r="U11" s="89">
        <v>1</v>
      </c>
      <c r="V11" s="89">
        <v>1</v>
      </c>
      <c r="W11" s="89">
        <v>1</v>
      </c>
      <c r="X11" s="85"/>
      <c r="Y11" s="85"/>
      <c r="Z11" s="90"/>
      <c r="AA11" s="91">
        <f t="shared" si="1"/>
        <v>6</v>
      </c>
      <c r="AB11" s="58">
        <f t="shared" si="2"/>
        <v>120000</v>
      </c>
      <c r="AC11" s="4"/>
      <c r="AD11" s="120">
        <f>IFERROR(VLOOKUP($I$24&amp;D11,'Database-Hidden'!$C$2:$E$121,3,FALSE),"")</f>
        <v>90000</v>
      </c>
      <c r="AE11" s="93"/>
      <c r="AF11" s="94">
        <v>1</v>
      </c>
      <c r="AG11" s="107"/>
      <c r="AH11" s="107"/>
      <c r="AI11" s="107"/>
      <c r="AJ11" s="107"/>
      <c r="AK11" s="63"/>
      <c r="AL11" s="64" t="str">
        <f>IF(LEFT($D11,6)&lt;&gt;"Star: ","",VLOOKUP(RIGHT($D11,LEN($D11)-6),'Star Players-Hidden'!$A$3:$AK$69,37,FALSE))</f>
        <v/>
      </c>
      <c r="AM11" s="4"/>
      <c r="AN11" s="121" t="s">
        <v>82</v>
      </c>
      <c r="AO11" s="131">
        <v>20000</v>
      </c>
      <c r="AP11" s="132">
        <v>120000</v>
      </c>
      <c r="AQ11" s="124"/>
      <c r="AR11" s="133" t="s">
        <v>120</v>
      </c>
      <c r="AS11" s="134" t="s">
        <v>74</v>
      </c>
      <c r="AT11" s="135">
        <v>1</v>
      </c>
      <c r="AU11" s="136">
        <v>0</v>
      </c>
      <c r="AV11" s="137">
        <v>0</v>
      </c>
      <c r="AW11" s="130"/>
    </row>
    <row r="12" spans="1:49" ht="12.75">
      <c r="A12" s="2"/>
      <c r="B12" s="71">
        <v>9</v>
      </c>
      <c r="C12" s="72" t="s">
        <v>261</v>
      </c>
      <c r="D12" s="73" t="s">
        <v>81</v>
      </c>
      <c r="E12" s="75">
        <f>IFERROR(VLOOKUP($I$24&amp;$D12,'Database-Hidden'!$C$2:$J$121,4,FALSE)-P12+AG12,"")</f>
        <v>8</v>
      </c>
      <c r="F12" s="76">
        <f>IFERROR(VLOOKUP($I$24&amp;$D12,'Database-Hidden'!$C$2:$J$121,5,FALSE)-Q12+AH12,"")</f>
        <v>2</v>
      </c>
      <c r="G12" s="76">
        <f>IFERROR(VLOOKUP($I$24&amp;$D12,'Database-Hidden'!$C$2:$J$121,6,FALSE)-R12+AI12,"")</f>
        <v>4</v>
      </c>
      <c r="H12" s="77">
        <f>IFERROR(VLOOKUP($I$24&amp;$D12,'Database-Hidden'!$C$2:$J$121,7,FALSE)-S12+AJ12,"")</f>
        <v>7</v>
      </c>
      <c r="I12" s="78" t="str">
        <f>IFERROR(VLOOKUP($I$24&amp;$D12,'Database-Hidden'!$C$2:$J$121,8,FALSE),"")</f>
        <v>Catch, Dodge, Sprint</v>
      </c>
      <c r="J12" s="79" t="s">
        <v>55</v>
      </c>
      <c r="K12" s="80">
        <f t="shared" si="0"/>
        <v>1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9">
        <v>3</v>
      </c>
      <c r="W12" s="89"/>
      <c r="X12" s="85"/>
      <c r="Y12" s="85"/>
      <c r="Z12" s="90"/>
      <c r="AA12" s="91">
        <f t="shared" si="1"/>
        <v>9</v>
      </c>
      <c r="AB12" s="58">
        <f t="shared" si="2"/>
        <v>110000</v>
      </c>
      <c r="AC12" s="4"/>
      <c r="AD12" s="120">
        <f>IFERROR(VLOOKUP($I$24&amp;D12,'Database-Hidden'!$C$2:$E$121,3,FALSE),"")</f>
        <v>90000</v>
      </c>
      <c r="AE12" s="93">
        <v>1</v>
      </c>
      <c r="AF12" s="94"/>
      <c r="AG12" s="107"/>
      <c r="AH12" s="107"/>
      <c r="AI12" s="107"/>
      <c r="AJ12" s="107"/>
      <c r="AK12" s="63"/>
      <c r="AL12" s="64" t="str">
        <f>IF(LEFT($D12,6)&lt;&gt;"Star: ","",VLOOKUP(RIGHT($D12,LEN($D12)-6),'Star Players-Hidden'!$A$3:$AK$69,37,FALSE))</f>
        <v/>
      </c>
      <c r="AM12" s="4"/>
      <c r="AN12" s="121" t="s">
        <v>87</v>
      </c>
      <c r="AO12" s="122"/>
      <c r="AP12" s="123"/>
      <c r="AQ12" s="124"/>
      <c r="AR12" s="125"/>
      <c r="AS12" s="126"/>
      <c r="AT12" s="127"/>
      <c r="AU12" s="128"/>
      <c r="AV12" s="129"/>
      <c r="AW12" s="130"/>
    </row>
    <row r="13" spans="1:49" ht="12.75">
      <c r="A13" s="2"/>
      <c r="B13" s="71">
        <v>10</v>
      </c>
      <c r="C13" s="72" t="s">
        <v>263</v>
      </c>
      <c r="D13" s="73" t="s">
        <v>221</v>
      </c>
      <c r="E13" s="75">
        <f>IFERROR(VLOOKUP($I$24&amp;$D13,'Database-Hidden'!$C$2:$J$121,4,FALSE)-P13+AG13,"")</f>
        <v>7</v>
      </c>
      <c r="F13" s="76">
        <f>IFERROR(VLOOKUP($I$24&amp;$D13,'Database-Hidden'!$C$2:$J$121,5,FALSE)-Q13+AH13,"")</f>
        <v>4</v>
      </c>
      <c r="G13" s="76">
        <f>IFERROR(VLOOKUP($I$24&amp;$D13,'Database-Hidden'!$C$2:$J$121,6,FALSE)-R13+AI13,"")</f>
        <v>4</v>
      </c>
      <c r="H13" s="77">
        <f>IFERROR(VLOOKUP($I$24&amp;$D13,'Database-Hidden'!$C$2:$J$121,7,FALSE)-S13+AJ13,"")</f>
        <v>7</v>
      </c>
      <c r="I13" s="78" t="str">
        <f>IFERROR(VLOOKUP($I$24&amp;$D13,'Database-Hidden'!$C$2:$J$121,8,FALSE),"")</f>
        <v>Pass</v>
      </c>
      <c r="J13" s="79" t="s">
        <v>264</v>
      </c>
      <c r="K13" s="80">
        <f t="shared" si="0"/>
        <v>2</v>
      </c>
      <c r="L13" s="82">
        <v>1</v>
      </c>
      <c r="M13" s="82">
        <v>1</v>
      </c>
      <c r="N13" s="82"/>
      <c r="O13" s="83"/>
      <c r="P13" s="84"/>
      <c r="Q13" s="85"/>
      <c r="R13" s="85"/>
      <c r="S13" s="86"/>
      <c r="T13" s="87"/>
      <c r="U13" s="89">
        <v>5</v>
      </c>
      <c r="V13" s="89"/>
      <c r="W13" s="89"/>
      <c r="X13" s="85"/>
      <c r="Y13" s="85"/>
      <c r="Z13" s="90">
        <v>3</v>
      </c>
      <c r="AA13" s="91">
        <f t="shared" si="1"/>
        <v>20</v>
      </c>
      <c r="AB13" s="58">
        <f t="shared" si="2"/>
        <v>0</v>
      </c>
      <c r="AC13" s="4"/>
      <c r="AD13" s="120">
        <f>IFERROR(VLOOKUP($I$24&amp;D13,'Database-Hidden'!$C$2:$E$121,3,FALSE),"")</f>
        <v>90000</v>
      </c>
      <c r="AE13" s="93">
        <v>1</v>
      </c>
      <c r="AF13" s="94"/>
      <c r="AG13" s="107"/>
      <c r="AH13" s="94">
        <v>1</v>
      </c>
      <c r="AI13" s="107"/>
      <c r="AJ13" s="107"/>
      <c r="AK13" s="63"/>
      <c r="AL13" s="64" t="str">
        <f>IF(LEFT($D13,6)&lt;&gt;"Star: ","",VLOOKUP(RIGHT($D13,LEN($D13)-6),'Star Players-Hidden'!$A$3:$AK$69,37,FALSE))</f>
        <v/>
      </c>
      <c r="AM13" s="4"/>
      <c r="AN13" s="121" t="s">
        <v>95</v>
      </c>
      <c r="AO13" s="122"/>
      <c r="AP13" s="123"/>
      <c r="AQ13" s="124"/>
      <c r="AR13" s="125"/>
      <c r="AS13" s="126"/>
      <c r="AT13" s="127"/>
      <c r="AU13" s="128"/>
      <c r="AV13" s="129"/>
      <c r="AW13" s="130"/>
    </row>
    <row r="14" spans="1:49" ht="12.75">
      <c r="A14" s="2"/>
      <c r="B14" s="71">
        <v>11</v>
      </c>
      <c r="C14" s="72" t="s">
        <v>265</v>
      </c>
      <c r="D14" s="73" t="s">
        <v>92</v>
      </c>
      <c r="E14" s="75">
        <f>IFERROR(VLOOKUP($I$24&amp;$D14,'Database-Hidden'!$C$2:$J$121,4,FALSE)-P14+AG14,"")</f>
        <v>7</v>
      </c>
      <c r="F14" s="76">
        <f>IFERROR(VLOOKUP($I$24&amp;$D14,'Database-Hidden'!$C$2:$J$121,5,FALSE)-Q14+AH14,"")</f>
        <v>3</v>
      </c>
      <c r="G14" s="76">
        <f>IFERROR(VLOOKUP($I$24&amp;$D14,'Database-Hidden'!$C$2:$J$121,6,FALSE)-R14+AI14,"")</f>
        <v>4</v>
      </c>
      <c r="H14" s="77">
        <f>IFERROR(VLOOKUP($I$24&amp;$D14,'Database-Hidden'!$C$2:$J$121,7,FALSE)-S14+AJ14,"")</f>
        <v>7</v>
      </c>
      <c r="I14" s="78">
        <f>IFERROR(VLOOKUP($I$24&amp;$D14,'Database-Hidden'!$C$2:$J$121,8,FALSE),"")</f>
        <v>0</v>
      </c>
      <c r="J14" s="79" t="s">
        <v>170</v>
      </c>
      <c r="K14" s="80">
        <f t="shared" si="0"/>
        <v>1</v>
      </c>
      <c r="L14" s="82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>
        <v>2</v>
      </c>
      <c r="X14" s="85"/>
      <c r="Y14" s="85"/>
      <c r="Z14" s="90">
        <v>1</v>
      </c>
      <c r="AA14" s="91">
        <f t="shared" si="1"/>
        <v>9</v>
      </c>
      <c r="AB14" s="58">
        <f t="shared" si="2"/>
        <v>90000</v>
      </c>
      <c r="AC14" s="4"/>
      <c r="AD14" s="120">
        <f>IFERROR(VLOOKUP($I$24&amp;D14,'Database-Hidden'!$C$2:$E$121,3,FALSE),"")</f>
        <v>70000</v>
      </c>
      <c r="AE14" s="93">
        <v>1</v>
      </c>
      <c r="AF14" s="107"/>
      <c r="AG14" s="107"/>
      <c r="AH14" s="107"/>
      <c r="AI14" s="107"/>
      <c r="AJ14" s="107"/>
      <c r="AK14" s="63"/>
      <c r="AL14" s="64" t="str">
        <f>IF(LEFT($D14,6)&lt;&gt;"Star: ","",VLOOKUP(RIGHT($D14,LEN($D14)-6),'Star Players-Hidden'!$A$3:$AK$69,37,FALSE))</f>
        <v/>
      </c>
      <c r="AM14" s="4"/>
      <c r="AN14" s="121" t="s">
        <v>98</v>
      </c>
      <c r="AO14" s="131"/>
      <c r="AP14" s="123"/>
      <c r="AQ14" s="124"/>
      <c r="AR14" s="133"/>
      <c r="AS14" s="134"/>
      <c r="AT14" s="135"/>
      <c r="AU14" s="136"/>
      <c r="AV14" s="137"/>
      <c r="AW14" s="130"/>
    </row>
    <row r="15" spans="1:49" ht="33.75">
      <c r="A15" s="2"/>
      <c r="B15" s="71">
        <v>12</v>
      </c>
      <c r="C15" s="72" t="s">
        <v>266</v>
      </c>
      <c r="D15" s="73" t="s">
        <v>267</v>
      </c>
      <c r="E15" s="75">
        <f>IFERROR(VLOOKUP($I$24&amp;$D15,'Database-Hidden'!$C$2:$J$121,4,FALSE)-P15+AG15,"")</f>
        <v>2</v>
      </c>
      <c r="F15" s="76">
        <f>IFERROR(VLOOKUP($I$24&amp;$D15,'Database-Hidden'!$C$2:$J$121,5,FALSE)-Q15+AH15,"")</f>
        <v>6</v>
      </c>
      <c r="G15" s="76">
        <f>IFERROR(VLOOKUP($I$24&amp;$D15,'Database-Hidden'!$C$2:$J$121,6,FALSE)-R15+AI15,"")</f>
        <v>1</v>
      </c>
      <c r="H15" s="77">
        <f>IFERROR(VLOOKUP($I$24&amp;$D15,'Database-Hidden'!$C$2:$J$121,7,FALSE)-S15+AJ15,"")</f>
        <v>10</v>
      </c>
      <c r="I15" s="78" t="str">
        <f>IFERROR(VLOOKUP($I$24&amp;$D15,'Database-Hidden'!$C$2:$J$121,8,FALSE),"")</f>
        <v>Loner, Mighty Blow, Stand Firm, Strong Arm, Take Root, Thick Skull, Throw Team-mate</v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>
        <v>2</v>
      </c>
      <c r="X15" s="85"/>
      <c r="Y15" s="85"/>
      <c r="Z15" s="90"/>
      <c r="AA15" s="91">
        <f t="shared" si="1"/>
        <v>4</v>
      </c>
      <c r="AB15" s="58">
        <f t="shared" si="2"/>
        <v>120000</v>
      </c>
      <c r="AC15" s="4"/>
      <c r="AD15" s="120">
        <f>IFERROR(VLOOKUP($I$24&amp;D15,'Database-Hidden'!$C$2:$E$121,3,FALSE),"")</f>
        <v>120000</v>
      </c>
      <c r="AE15" s="93"/>
      <c r="AF15" s="107"/>
      <c r="AG15" s="107"/>
      <c r="AH15" s="107"/>
      <c r="AI15" s="107"/>
      <c r="AJ15" s="107"/>
      <c r="AK15" s="63"/>
      <c r="AL15" s="64" t="str">
        <f>IF(LEFT($D15,6)&lt;&gt;"Star: ","",VLOOKUP(RIGHT($D15,LEN($D15)-6),'Star Players-Hidden'!$A$3:$AK$69,37,FALSE))</f>
        <v/>
      </c>
      <c r="AM15" s="4"/>
      <c r="AN15" s="121" t="s">
        <v>102</v>
      </c>
      <c r="AO15" s="122">
        <v>40000</v>
      </c>
      <c r="AP15" s="123"/>
      <c r="AQ15" s="124"/>
      <c r="AR15" s="125" t="s">
        <v>154</v>
      </c>
      <c r="AS15" s="126" t="s">
        <v>61</v>
      </c>
      <c r="AT15" s="127">
        <v>3</v>
      </c>
      <c r="AU15" s="128">
        <v>3</v>
      </c>
      <c r="AV15" s="129">
        <v>1</v>
      </c>
      <c r="AW15" s="130"/>
    </row>
    <row r="16" spans="1:49" ht="12.75">
      <c r="A16" s="2"/>
      <c r="B16" s="71">
        <v>13</v>
      </c>
      <c r="C16" s="72"/>
      <c r="D16" s="73"/>
      <c r="E16" s="75" t="str">
        <f>IFERROR(VLOOKUP($I$24&amp;$D16,'Database-Hidden'!$C$2:$J$121,4,FALSE)-P16+AG16,"")</f>
        <v/>
      </c>
      <c r="F16" s="76" t="str">
        <f>IFERROR(VLOOKUP($I$24&amp;$D16,'Database-Hidden'!$C$2:$J$121,5,FALSE)-Q16+AH16,"")</f>
        <v/>
      </c>
      <c r="G16" s="76" t="str">
        <f>IFERROR(VLOOKUP($I$24&amp;$D16,'Database-Hidden'!$C$2:$J$121,6,FALSE)-R16+AI16,"")</f>
        <v/>
      </c>
      <c r="H16" s="77" t="str">
        <f>IFERROR(VLOOKUP($I$24&amp;$D16,'Database-Hidden'!$C$2:$J$121,7,FALSE)-S16+AJ16,"")</f>
        <v/>
      </c>
      <c r="I16" s="78" t="str">
        <f>IFERROR(VLOOKUP($I$24&amp;$D16,'Database-Hidden'!$C$2:$J$121,8,FALSE),"")</f>
        <v/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85"/>
      <c r="Z16" s="90"/>
      <c r="AA16" s="91">
        <f t="shared" si="1"/>
        <v>0</v>
      </c>
      <c r="AB16" s="58"/>
      <c r="AC16" s="4"/>
      <c r="AD16" s="120" t="str">
        <f>IFERROR(VLOOKUP($I$24&amp;D16,'Database-Hidden'!$C$2:$E$121,3,FALSE),"")</f>
        <v/>
      </c>
      <c r="AE16" s="93"/>
      <c r="AF16" s="107"/>
      <c r="AG16" s="107"/>
      <c r="AH16" s="107"/>
      <c r="AI16" s="107"/>
      <c r="AJ16" s="107"/>
      <c r="AK16" s="63"/>
      <c r="AL16" s="64" t="str">
        <f>IF(LEFT($D16,6)&lt;&gt;"Star: ","",VLOOKUP(RIGHT($D16,LEN($D16)-6),'Star Players-Hidden'!$A$3:$AK$69,37,FALSE))</f>
        <v/>
      </c>
      <c r="AM16" s="4"/>
      <c r="AN16" s="121" t="s">
        <v>105</v>
      </c>
      <c r="AO16" s="131">
        <v>50000</v>
      </c>
      <c r="AP16" s="123"/>
      <c r="AQ16" s="138">
        <v>0</v>
      </c>
      <c r="AR16" s="133" t="s">
        <v>73</v>
      </c>
      <c r="AS16" s="134" t="s">
        <v>74</v>
      </c>
      <c r="AT16" s="135">
        <v>0</v>
      </c>
      <c r="AU16" s="136">
        <v>3</v>
      </c>
      <c r="AV16" s="137">
        <v>0</v>
      </c>
      <c r="AW16" s="130"/>
    </row>
    <row r="17" spans="1:49" ht="12.75">
      <c r="A17" s="2"/>
      <c r="B17" s="71">
        <v>14</v>
      </c>
      <c r="C17" s="72"/>
      <c r="D17" s="73"/>
      <c r="E17" s="75" t="str">
        <f>IFERROR(VLOOKUP($I$24&amp;$D17,'Database-Hidden'!$C$2:$J$121,4,FALSE)-P17+AG17,"")</f>
        <v/>
      </c>
      <c r="F17" s="76" t="str">
        <f>IFERROR(VLOOKUP($I$24&amp;$D17,'Database-Hidden'!$C$2:$J$121,5,FALSE)-Q17+AH17,"")</f>
        <v/>
      </c>
      <c r="G17" s="76" t="str">
        <f>IFERROR(VLOOKUP($I$24&amp;$D17,'Database-Hidden'!$C$2:$J$121,6,FALSE)-R17+AI17,"")</f>
        <v/>
      </c>
      <c r="H17" s="77" t="str">
        <f>IFERROR(VLOOKUP($I$24&amp;$D17,'Database-Hidden'!$C$2:$J$121,7,FALSE)-S17+AJ17,"")</f>
        <v/>
      </c>
      <c r="I17" s="78" t="str">
        <f>IFERROR(VLOOKUP($I$24&amp;$D17,'Database-Hidden'!$C$2:$J$121,8,FALSE),"")</f>
        <v/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85"/>
      <c r="Z17" s="90"/>
      <c r="AA17" s="91">
        <f t="shared" si="1"/>
        <v>0</v>
      </c>
      <c r="AB17" s="58"/>
      <c r="AC17" s="4"/>
      <c r="AD17" s="120" t="str">
        <f>IFERROR(VLOOKUP($I$24&amp;D17,'Database-Hidden'!$C$2:$E$121,3,FALSE),"")</f>
        <v/>
      </c>
      <c r="AE17" s="93"/>
      <c r="AF17" s="107"/>
      <c r="AG17" s="107"/>
      <c r="AH17" s="107"/>
      <c r="AI17" s="107"/>
      <c r="AJ17" s="107"/>
      <c r="AK17" s="63"/>
      <c r="AL17" s="64" t="str">
        <f>IF(LEFT($D17,6)&lt;&gt;"Star: ","",VLOOKUP(RIGHT($D17,LEN($D17)-6),'Star Players-Hidden'!$A$3:$AK$69,37,FALSE))</f>
        <v/>
      </c>
      <c r="AM17" s="4"/>
      <c r="AN17" s="141" t="s">
        <v>108</v>
      </c>
      <c r="AO17" s="142"/>
      <c r="AP17" s="143"/>
      <c r="AQ17" s="144"/>
      <c r="AR17" s="247" t="s">
        <v>84</v>
      </c>
      <c r="AS17" s="146"/>
      <c r="AT17" s="147"/>
      <c r="AU17" s="149"/>
      <c r="AV17" s="150"/>
      <c r="AW17" s="130"/>
    </row>
    <row r="18" spans="1:49" ht="12.75">
      <c r="A18" s="2"/>
      <c r="B18" s="71">
        <v>15</v>
      </c>
      <c r="C18" s="72"/>
      <c r="D18" s="73"/>
      <c r="E18" s="75" t="str">
        <f>IFERROR(VLOOKUP($I$24&amp;$D18,'Database-Hidden'!$C$2:$J$121,4,FALSE)-P18+AG18,"")</f>
        <v/>
      </c>
      <c r="F18" s="76" t="str">
        <f>IFERROR(VLOOKUP($I$24&amp;$D18,'Database-Hidden'!$C$2:$J$121,5,FALSE)-Q18+AH18,"")</f>
        <v/>
      </c>
      <c r="G18" s="76" t="str">
        <f>IFERROR(VLOOKUP($I$24&amp;$D18,'Database-Hidden'!$C$2:$J$121,6,FALSE)-R18+AI18,"")</f>
        <v/>
      </c>
      <c r="H18" s="77" t="str">
        <f>IFERROR(VLOOKUP($I$24&amp;$D18,'Database-Hidden'!$C$2:$J$121,7,FALSE)-S18+AJ18,"")</f>
        <v/>
      </c>
      <c r="I18" s="78" t="str">
        <f>IFERROR(VLOOKUP($I$24&amp;$D18,'Database-Hidden'!$C$2:$J$121,8,FALSE),"")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85"/>
      <c r="Z18" s="90"/>
      <c r="AA18" s="91">
        <f t="shared" si="1"/>
        <v>0</v>
      </c>
      <c r="AB18" s="58"/>
      <c r="AC18" s="4"/>
      <c r="AD18" s="120" t="str">
        <f>IFERROR(VLOOKUP($I$24&amp;D18,'Database-Hidden'!$C$2:$E$121,3,FALSE),"")</f>
        <v/>
      </c>
      <c r="AE18" s="93"/>
      <c r="AF18" s="94"/>
      <c r="AG18" s="107"/>
      <c r="AH18" s="107"/>
      <c r="AI18" s="107"/>
      <c r="AJ18" s="107"/>
      <c r="AK18" s="63"/>
      <c r="AL18" s="64" t="str">
        <f>IF(LEFT($D18,6)&lt;&gt;"Star: ","",VLOOKUP(RIGHT($D18,LEN($D18)-6),'Star Players-Hidden'!$A$3:$AK$69,37,FALSE))</f>
        <v/>
      </c>
      <c r="AM18" s="4"/>
      <c r="AN18" s="157" t="s">
        <v>35</v>
      </c>
      <c r="AO18" s="160">
        <f>AO4+SUM(AO6:AO17)-SUM(AP6:AP17)-SUM(AQ6:AQ17)</f>
        <v>100000</v>
      </c>
      <c r="AP18" s="4"/>
      <c r="AQ18" s="4"/>
      <c r="AR18" s="68"/>
      <c r="AS18" s="157" t="s">
        <v>35</v>
      </c>
      <c r="AT18" s="162">
        <f t="shared" ref="AT18:AU18" si="3">SUM(AT6:AT17)</f>
        <v>5</v>
      </c>
      <c r="AU18" s="164">
        <f t="shared" si="3"/>
        <v>9</v>
      </c>
      <c r="AV18" s="168">
        <f>AV4+SUM(AV6:AV17)</f>
        <v>1</v>
      </c>
      <c r="AW18" s="5"/>
    </row>
    <row r="19" spans="1:49" ht="12.75">
      <c r="A19" s="2"/>
      <c r="B19" s="170">
        <v>16</v>
      </c>
      <c r="C19" s="172"/>
      <c r="D19" s="174"/>
      <c r="E19" s="176" t="str">
        <f>IFERROR(VLOOKUP($I$24&amp;$D19,'Database-Hidden'!$C$2:$J$121,4,FALSE)-P19+AG19,"")</f>
        <v/>
      </c>
      <c r="F19" s="177" t="str">
        <f>IFERROR(VLOOKUP($I$24&amp;$D19,'Database-Hidden'!$C$2:$J$121,5,FALSE)-Q19+AH19,"")</f>
        <v/>
      </c>
      <c r="G19" s="177" t="str">
        <f>IFERROR(VLOOKUP($I$24&amp;$D19,'Database-Hidden'!$C$2:$J$121,6,FALSE)-R19+AI19,"")</f>
        <v/>
      </c>
      <c r="H19" s="178" t="str">
        <f>IFERROR(VLOOKUP($I$24&amp;$D19,'Database-Hidden'!$C$2:$J$121,7,FALSE)-S19+AJ19,"")</f>
        <v/>
      </c>
      <c r="I19" s="180" t="str">
        <f>IFERROR(VLOOKUP($I$24&amp;$D19,'Database-Hidden'!$C$2:$J$121,8,FALSE),"")</f>
        <v/>
      </c>
      <c r="J19" s="182"/>
      <c r="K19" s="186">
        <f t="shared" si="0"/>
        <v>0</v>
      </c>
      <c r="L19" s="188"/>
      <c r="M19" s="188"/>
      <c r="N19" s="187"/>
      <c r="O19" s="189"/>
      <c r="P19" s="190"/>
      <c r="Q19" s="191"/>
      <c r="R19" s="191"/>
      <c r="S19" s="192"/>
      <c r="T19" s="193"/>
      <c r="U19" s="194"/>
      <c r="V19" s="194"/>
      <c r="W19" s="195"/>
      <c r="X19" s="191"/>
      <c r="Y19" s="191"/>
      <c r="Z19" s="196"/>
      <c r="AA19" s="197">
        <f t="shared" si="1"/>
        <v>0</v>
      </c>
      <c r="AB19" s="58"/>
      <c r="AC19" s="4"/>
      <c r="AD19" s="198" t="str">
        <f>IFERROR(VLOOKUP($I$24&amp;D19,'Database-Hidden'!$C$2:$E$121,3,FALSE),"")</f>
        <v/>
      </c>
      <c r="AE19" s="199"/>
      <c r="AF19" s="200"/>
      <c r="AG19" s="200"/>
      <c r="AH19" s="200"/>
      <c r="AI19" s="200"/>
      <c r="AJ19" s="200"/>
      <c r="AK19" s="201"/>
      <c r="AL19" s="202" t="str">
        <f>IF(LEFT($D19,6)&lt;&gt;"Star: ","",VLOOKUP(RIGHT($D19,LEN($D19)-6),'Star Players-Hidden'!$A$3:$AK$69,37,FALSE))</f>
        <v/>
      </c>
      <c r="AM19" s="4"/>
      <c r="AV19" s="203"/>
    </row>
    <row r="20" spans="1:49" ht="12.75">
      <c r="B20" s="328"/>
      <c r="C20" s="329"/>
      <c r="D20" s="330"/>
      <c r="E20" s="311" t="s">
        <v>118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3"/>
      <c r="AB20" s="204">
        <f>SUM(AB4:AB19)</f>
        <v>980000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8"/>
      <c r="AO20" s="68"/>
      <c r="AP20" s="68"/>
      <c r="AQ20" s="68"/>
      <c r="AR20" s="68"/>
      <c r="AS20" s="68"/>
      <c r="AT20" s="68"/>
      <c r="AU20" s="68"/>
      <c r="AV20" s="205"/>
      <c r="AW20" s="68"/>
    </row>
    <row r="21" spans="1:49" ht="12.75">
      <c r="A21" s="2"/>
      <c r="B21" s="317"/>
      <c r="C21" s="315"/>
      <c r="D21" s="316"/>
      <c r="E21" s="333" t="s">
        <v>119</v>
      </c>
      <c r="F21" s="315"/>
      <c r="G21" s="315"/>
      <c r="H21" s="334"/>
      <c r="I21" s="314" t="s">
        <v>79</v>
      </c>
      <c r="J21" s="315"/>
      <c r="K21" s="316"/>
      <c r="L21" s="322" t="s">
        <v>121</v>
      </c>
      <c r="M21" s="319"/>
      <c r="N21" s="319"/>
      <c r="O21" s="319"/>
      <c r="P21" s="319"/>
      <c r="Q21" s="319"/>
      <c r="R21" s="319"/>
      <c r="S21" s="323"/>
      <c r="T21" s="206">
        <v>1</v>
      </c>
      <c r="U21" s="207" t="s">
        <v>36</v>
      </c>
      <c r="V21" s="321">
        <f>IFERROR(VLOOKUP(I24,'Database-Hidden'!N2:O28,2,FALSE),"")</f>
        <v>50000</v>
      </c>
      <c r="W21" s="319"/>
      <c r="X21" s="319"/>
      <c r="Y21" s="319"/>
      <c r="Z21" s="319"/>
      <c r="AA21" s="320"/>
      <c r="AB21" s="208">
        <f t="shared" ref="AB21:AB25" si="4">T21*V21</f>
        <v>50000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27" t="s">
        <v>122</v>
      </c>
      <c r="AO21" s="313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317"/>
      <c r="C22" s="315"/>
      <c r="D22" s="316"/>
      <c r="E22" s="315"/>
      <c r="F22" s="315"/>
      <c r="G22" s="315"/>
      <c r="H22" s="334"/>
      <c r="I22" s="317"/>
      <c r="J22" s="315"/>
      <c r="K22" s="316"/>
      <c r="L22" s="309" t="s">
        <v>123</v>
      </c>
      <c r="M22" s="304"/>
      <c r="N22" s="304"/>
      <c r="O22" s="304"/>
      <c r="P22" s="304"/>
      <c r="Q22" s="304"/>
      <c r="R22" s="304"/>
      <c r="S22" s="310"/>
      <c r="T22" s="211">
        <f>AV18</f>
        <v>1</v>
      </c>
      <c r="U22" s="210" t="s">
        <v>36</v>
      </c>
      <c r="V22" s="306">
        <v>10000</v>
      </c>
      <c r="W22" s="304"/>
      <c r="X22" s="304"/>
      <c r="Y22" s="304"/>
      <c r="Z22" s="304"/>
      <c r="AA22" s="307"/>
      <c r="AB22" s="212">
        <f t="shared" si="4"/>
        <v>10000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213" t="s">
        <v>124</v>
      </c>
      <c r="AO22" s="214">
        <f>AO18</f>
        <v>100000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317"/>
      <c r="C23" s="315"/>
      <c r="D23" s="316"/>
      <c r="E23" s="319"/>
      <c r="F23" s="319"/>
      <c r="G23" s="319"/>
      <c r="H23" s="335"/>
      <c r="I23" s="318"/>
      <c r="J23" s="319"/>
      <c r="K23" s="320"/>
      <c r="L23" s="347" t="s">
        <v>126</v>
      </c>
      <c r="M23" s="304"/>
      <c r="N23" s="304"/>
      <c r="O23" s="304"/>
      <c r="P23" s="304"/>
      <c r="Q23" s="304"/>
      <c r="R23" s="304"/>
      <c r="S23" s="310"/>
      <c r="T23" s="215">
        <v>0</v>
      </c>
      <c r="U23" s="216" t="s">
        <v>36</v>
      </c>
      <c r="V23" s="306">
        <v>10000</v>
      </c>
      <c r="W23" s="304"/>
      <c r="X23" s="304"/>
      <c r="Y23" s="304"/>
      <c r="Z23" s="304"/>
      <c r="AA23" s="307"/>
      <c r="AB23" s="212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217" t="s">
        <v>127</v>
      </c>
      <c r="AO23" s="218">
        <f>COUNTA(AR6:AR17)*10000</f>
        <v>90000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317"/>
      <c r="C24" s="315"/>
      <c r="D24" s="316"/>
      <c r="E24" s="340" t="s">
        <v>128</v>
      </c>
      <c r="F24" s="304"/>
      <c r="G24" s="304"/>
      <c r="H24" s="341"/>
      <c r="I24" s="308" t="s">
        <v>272</v>
      </c>
      <c r="J24" s="304"/>
      <c r="K24" s="307"/>
      <c r="L24" s="309" t="s">
        <v>130</v>
      </c>
      <c r="M24" s="304"/>
      <c r="N24" s="304"/>
      <c r="O24" s="304"/>
      <c r="P24" s="304"/>
      <c r="Q24" s="304"/>
      <c r="R24" s="304"/>
      <c r="S24" s="310"/>
      <c r="T24" s="215">
        <v>0</v>
      </c>
      <c r="U24" s="216" t="s">
        <v>36</v>
      </c>
      <c r="V24" s="306">
        <v>10000</v>
      </c>
      <c r="W24" s="304"/>
      <c r="X24" s="304"/>
      <c r="Y24" s="304"/>
      <c r="Z24" s="304"/>
      <c r="AA24" s="307"/>
      <c r="AB24" s="212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217" t="s">
        <v>53</v>
      </c>
      <c r="AO24" s="218">
        <f>AT18*5000</f>
        <v>25000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317"/>
      <c r="C25" s="315"/>
      <c r="D25" s="316"/>
      <c r="E25" s="340" t="str">
        <f>IFERROR(IF(VLOOKUP(I24,'Database-Hidden'!X2:Y28,2,FALSE)="Yes","NECROMANCER","HEAD COACH"),"HEAD COACH")</f>
        <v>HEAD COACH</v>
      </c>
      <c r="F25" s="304"/>
      <c r="G25" s="304"/>
      <c r="H25" s="341"/>
      <c r="I25" s="308" t="s">
        <v>273</v>
      </c>
      <c r="J25" s="304"/>
      <c r="K25" s="307"/>
      <c r="L25" s="346" t="str">
        <f>IFERROR(IF(VLOOKUP(I24,'Database-Hidden'!X2:Y28,1,FALSE)&lt;&gt;"","",""),"APOTHECARY")</f>
        <v>APOTHECARY</v>
      </c>
      <c r="M25" s="304"/>
      <c r="N25" s="304"/>
      <c r="O25" s="304"/>
      <c r="P25" s="304"/>
      <c r="Q25" s="304"/>
      <c r="R25" s="304"/>
      <c r="S25" s="341"/>
      <c r="T25" s="215">
        <v>1</v>
      </c>
      <c r="U25" s="210" t="str">
        <f>IF(L25&lt;&gt;"","x","")</f>
        <v>x</v>
      </c>
      <c r="V25" s="306">
        <f>IF(L25&lt;&gt;"",50000,"")</f>
        <v>50000</v>
      </c>
      <c r="W25" s="304"/>
      <c r="X25" s="304"/>
      <c r="Y25" s="304"/>
      <c r="Z25" s="304"/>
      <c r="AA25" s="307"/>
      <c r="AB25" s="212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219" t="s">
        <v>134</v>
      </c>
      <c r="AO25" s="220">
        <f>AU18*5000</f>
        <v>45000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317"/>
      <c r="C26" s="315"/>
      <c r="D26" s="316"/>
      <c r="E26" s="340" t="s">
        <v>135</v>
      </c>
      <c r="F26" s="304"/>
      <c r="G26" s="304"/>
      <c r="H26" s="304"/>
      <c r="I26" s="343">
        <f>AB20+AB28</f>
        <v>1090000</v>
      </c>
      <c r="J26" s="304"/>
      <c r="K26" s="304"/>
      <c r="L26" s="346" t="s">
        <v>136</v>
      </c>
      <c r="M26" s="304"/>
      <c r="N26" s="304"/>
      <c r="O26" s="304"/>
      <c r="P26" s="304"/>
      <c r="Q26" s="304"/>
      <c r="R26" s="304"/>
      <c r="S26" s="341"/>
      <c r="T26" s="215">
        <v>0</v>
      </c>
      <c r="U26" s="210" t="s">
        <v>36</v>
      </c>
      <c r="V26" s="306">
        <f>IF(I24="Halfling",200000,600000)</f>
        <v>600000</v>
      </c>
      <c r="W26" s="304"/>
      <c r="X26" s="304"/>
      <c r="Y26" s="304"/>
      <c r="Z26" s="304"/>
      <c r="AA26" s="307"/>
      <c r="AB26" s="212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221" t="s">
        <v>35</v>
      </c>
      <c r="AO26" s="222">
        <v>260000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317"/>
      <c r="C27" s="315"/>
      <c r="D27" s="316"/>
      <c r="E27" s="336" t="s">
        <v>137</v>
      </c>
      <c r="F27" s="325"/>
      <c r="G27" s="325"/>
      <c r="H27" s="325"/>
      <c r="I27" s="342">
        <f>AO18</f>
        <v>100000</v>
      </c>
      <c r="J27" s="325"/>
      <c r="K27" s="325"/>
      <c r="L27" s="324" t="s">
        <v>138</v>
      </c>
      <c r="M27" s="325"/>
      <c r="N27" s="325"/>
      <c r="O27" s="325"/>
      <c r="P27" s="325"/>
      <c r="Q27" s="325"/>
      <c r="R27" s="325"/>
      <c r="S27" s="326"/>
      <c r="T27" s="223">
        <v>0</v>
      </c>
      <c r="U27" s="224" t="s">
        <v>36</v>
      </c>
      <c r="V27" s="344">
        <f>IF(I24="Goblin",100000,200000)</f>
        <v>200000</v>
      </c>
      <c r="W27" s="325"/>
      <c r="X27" s="325"/>
      <c r="Y27" s="325"/>
      <c r="Z27" s="325"/>
      <c r="AA27" s="345"/>
      <c r="AB27" s="212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331"/>
      <c r="C28" s="305"/>
      <c r="D28" s="332"/>
      <c r="E28" s="311" t="s">
        <v>139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3"/>
      <c r="AB28" s="204">
        <f>SUM(AB21:AB27)</f>
        <v>110000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25"/>
      <c r="D29" s="225"/>
      <c r="E29" s="226"/>
      <c r="F29" s="4"/>
      <c r="G29" s="4"/>
      <c r="H29" s="4"/>
      <c r="I29" s="227"/>
      <c r="J29" s="228"/>
      <c r="K29" s="4"/>
      <c r="L29" s="229"/>
      <c r="M29" s="229"/>
      <c r="N29" s="229"/>
      <c r="O29" s="229"/>
      <c r="P29" s="229"/>
      <c r="Q29" s="229"/>
      <c r="R29" s="229"/>
      <c r="S29" s="229"/>
      <c r="T29" s="230"/>
      <c r="U29" s="231"/>
      <c r="V29" s="9"/>
      <c r="W29" s="232"/>
      <c r="X29" s="232"/>
      <c r="Y29" s="232"/>
      <c r="Z29" s="232"/>
      <c r="AA29" s="232"/>
      <c r="AB29" s="23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34">
        <f>MATCH(I24,'Database-Hidden'!A2:A121,0)</f>
        <v>116</v>
      </c>
      <c r="D30" s="234" t="str">
        <f t="shared" ref="D30:D39" si="6">I30&amp;IF(COUNTIF(D$4:D$19,I30)&gt;E30," (Too Many)","")</f>
        <v>Lineman</v>
      </c>
      <c r="E30" s="235">
        <f t="array" ref="E30">IFERROR(IF(INDEX('Database-Hidden'!$A$2:$B$121,$C30,1)=$I$24,INDEX('Database-Hidden'!$A$2:$D$121,$C30,4),""),"")</f>
        <v>16</v>
      </c>
      <c r="I30" s="234" t="str">
        <f t="array" ref="I30">IFERROR(IF(INDEX('Database-Hidden'!$A$2:$B$121,$C30,1)=$I$24,INDEX('Database-Hidden'!$A$2:$B$121,$C30,2),""),"")</f>
        <v>Lineman</v>
      </c>
      <c r="AV30" s="203"/>
    </row>
    <row r="31" spans="1:49" ht="17.25" hidden="1" customHeight="1">
      <c r="C31" s="234">
        <f t="shared" ref="C31:C39" si="7">C30+1</f>
        <v>117</v>
      </c>
      <c r="D31" s="234" t="str">
        <f t="shared" si="6"/>
        <v>Catcher</v>
      </c>
      <c r="E31" s="235">
        <f t="array" ref="E31">IFERROR(IF(INDEX('Database-Hidden'!$A$2:$B$121,$C31,1)=$I$24,INDEX('Database-Hidden'!$A$2:$D$121,$C31,4),""),"")</f>
        <v>4</v>
      </c>
      <c r="I31" s="234" t="str">
        <f t="array" ref="I31">IFERROR(IF(INDEX('Database-Hidden'!$A$2:$B$121,$C31,1)=$I$24,INDEX('Database-Hidden'!$A$2:$B$121,$C31,2),""),"")</f>
        <v>Catcher</v>
      </c>
      <c r="AV31" s="203"/>
    </row>
    <row r="32" spans="1:49" ht="17.25" hidden="1" customHeight="1">
      <c r="C32" s="234">
        <f t="shared" si="7"/>
        <v>118</v>
      </c>
      <c r="D32" s="234" t="str">
        <f t="shared" si="6"/>
        <v>Thrower</v>
      </c>
      <c r="E32" s="235">
        <f t="array" ref="E32">IFERROR(IF(INDEX('Database-Hidden'!$A$2:$B$121,$C32,1)=$I$24,INDEX('Database-Hidden'!$A$2:$D$121,$C32,4),""),"")</f>
        <v>2</v>
      </c>
      <c r="I32" s="234" t="str">
        <f t="array" ref="I32">IFERROR(IF(INDEX('Database-Hidden'!$A$2:$B$121,$C32,1)=$I$24,INDEX('Database-Hidden'!$A$2:$B$121,$C32,2),""),"")</f>
        <v>Thrower</v>
      </c>
      <c r="AV32" s="203"/>
    </row>
    <row r="33" spans="3:48" ht="17.25" hidden="1" customHeight="1">
      <c r="C33" s="234">
        <f t="shared" si="7"/>
        <v>119</v>
      </c>
      <c r="D33" s="234" t="str">
        <f t="shared" si="6"/>
        <v>Wardancer</v>
      </c>
      <c r="E33" s="235">
        <f t="array" ref="E33">IFERROR(IF(INDEX('Database-Hidden'!$A$2:$B$121,$C33,1)=$I$24,INDEX('Database-Hidden'!$A$2:$D$121,$C33,4),""),"")</f>
        <v>2</v>
      </c>
      <c r="I33" s="234" t="str">
        <f t="array" ref="I33">IFERROR(IF(INDEX('Database-Hidden'!$A$2:$B$121,$C33,1)=$I$24,INDEX('Database-Hidden'!$A$2:$B$121,$C33,2),""),"")</f>
        <v>Wardancer</v>
      </c>
      <c r="AV33" s="203"/>
    </row>
    <row r="34" spans="3:48" ht="17.25" hidden="1" customHeight="1">
      <c r="C34" s="234">
        <f t="shared" si="7"/>
        <v>120</v>
      </c>
      <c r="D34" s="234" t="str">
        <f t="shared" si="6"/>
        <v>Treeman</v>
      </c>
      <c r="E34" s="235">
        <f t="array" ref="E34">IFERROR(IF(INDEX('Database-Hidden'!$A$2:$B$121,$C34,1)=$I$24,INDEX('Database-Hidden'!$A$2:$D$121,$C34,4),""),"")</f>
        <v>1</v>
      </c>
      <c r="I34" s="234" t="str">
        <f t="array" ref="I34">IFERROR(IF(INDEX('Database-Hidden'!$A$2:$B$121,$C34,1)=$I$24,INDEX('Database-Hidden'!$A$2:$B$121,$C34,2),""),"")</f>
        <v>Treeman</v>
      </c>
      <c r="AV34" s="203"/>
    </row>
    <row r="35" spans="3:48" ht="17.25" hidden="1" customHeight="1">
      <c r="C35" s="234">
        <f t="shared" si="7"/>
        <v>121</v>
      </c>
      <c r="D35" s="234" t="str">
        <f t="shared" si="6"/>
        <v/>
      </c>
      <c r="E35" s="235" t="str">
        <f t="array" ref="E35">IFERROR(IF(INDEX('Database-Hidden'!$A$2:$B$121,$C35,1)=$I$24,INDEX('Database-Hidden'!$A$2:$D$121,$C35,4),""),"")</f>
        <v/>
      </c>
      <c r="I35" s="234" t="str">
        <f t="array" ref="I35">IFERROR(IF(INDEX('Database-Hidden'!$A$2:$B$121,$C35,1)=$I$24,INDEX('Database-Hidden'!$A$2:$B$121,$C35,2),""),"")</f>
        <v/>
      </c>
      <c r="AV35" s="203"/>
    </row>
    <row r="36" spans="3:48" ht="17.25" hidden="1" customHeight="1">
      <c r="C36" s="234">
        <f t="shared" si="7"/>
        <v>122</v>
      </c>
      <c r="D36" s="234" t="str">
        <f t="shared" si="6"/>
        <v/>
      </c>
      <c r="E36" s="235" t="str">
        <f t="array" ref="E36">IFERROR(IF(INDEX('Database-Hidden'!$A$2:$B$121,$C36,1)=$I$24,INDEX('Database-Hidden'!$A$2:$D$121,$C36,4),""),"")</f>
        <v/>
      </c>
      <c r="I36" s="234" t="str">
        <f t="array" ref="I36">IFERROR(IF(INDEX('Database-Hidden'!$A$2:$B$121,$C36,1)=$I$24,INDEX('Database-Hidden'!$A$2:$B$121,$C36,2),""),"")</f>
        <v/>
      </c>
      <c r="AV36" s="203"/>
    </row>
    <row r="37" spans="3:48" ht="17.25" hidden="1" customHeight="1">
      <c r="C37" s="234">
        <f t="shared" si="7"/>
        <v>123</v>
      </c>
      <c r="D37" s="234" t="str">
        <f t="shared" si="6"/>
        <v/>
      </c>
      <c r="E37" s="235" t="str">
        <f t="array" ref="E37">IFERROR(IF(INDEX('Database-Hidden'!$A$2:$B$121,$C37,1)=$I$24,INDEX('Database-Hidden'!$A$2:$D$121,$C37,4),""),"")</f>
        <v/>
      </c>
      <c r="I37" s="234" t="str">
        <f t="array" ref="I37">IFERROR(IF(INDEX('Database-Hidden'!$A$2:$B$121,$C37,1)=$I$24,INDEX('Database-Hidden'!$A$2:$B$121,$C37,2),""),"")</f>
        <v/>
      </c>
      <c r="AV37" s="203"/>
    </row>
    <row r="38" spans="3:48" ht="17.25" hidden="1" customHeight="1">
      <c r="C38" s="234">
        <f t="shared" si="7"/>
        <v>124</v>
      </c>
      <c r="D38" s="234" t="str">
        <f t="shared" si="6"/>
        <v/>
      </c>
      <c r="E38" s="235" t="str">
        <f t="array" ref="E38">IFERROR(IF(INDEX('Database-Hidden'!$A$2:$B$121,$C38,1)=$I$24,INDEX('Database-Hidden'!$A$2:$D$121,$C38,4),""),"")</f>
        <v/>
      </c>
      <c r="I38" s="234" t="str">
        <f t="array" ref="I38">IFERROR(IF(INDEX('Database-Hidden'!$A$2:$B$121,$C38,1)=$I$24,INDEX('Database-Hidden'!$A$2:$B$121,$C38,2),""),"")</f>
        <v/>
      </c>
      <c r="AV38" s="203"/>
    </row>
    <row r="39" spans="3:48" ht="17.25" hidden="1" customHeight="1">
      <c r="C39" s="234">
        <f t="shared" si="7"/>
        <v>125</v>
      </c>
      <c r="D39" s="234" t="str">
        <f t="shared" si="6"/>
        <v/>
      </c>
      <c r="E39" s="235" t="str">
        <f t="array" ref="E39">IFERROR(IF(INDEX('Database-Hidden'!$A$2:$B$121,$C39,1)=$I$24,INDEX('Database-Hidden'!$A$2:$D$121,$C39,4),""),"")</f>
        <v/>
      </c>
      <c r="I39" s="234" t="str">
        <f t="array" ref="I39">IFERROR(IF(INDEX('Database-Hidden'!$A$2:$B$121,$C39,1)=$I$24,INDEX('Database-Hidden'!$A$2:$B$121,$C39,2),""),"")</f>
        <v/>
      </c>
      <c r="AV39" s="203"/>
    </row>
    <row r="40" spans="3:48" ht="17.25" hidden="1" customHeight="1">
      <c r="C40" s="236">
        <f>MATCH(I24,'Star Players-Hidden'!D2:AD2,0)</f>
        <v>27</v>
      </c>
      <c r="D40" s="236" t="str">
        <f t="shared" ref="D40:D51" ca="1" si="8">I40&amp;IF(COUNTIF(D$4:D$19,I40)&gt;1," (Too Many)","")</f>
        <v>Star: Dolfar Longstride</v>
      </c>
      <c r="E40" s="237"/>
      <c r="F40" s="237"/>
      <c r="G40" s="237"/>
      <c r="H40" s="237"/>
      <c r="I40" s="236" t="str">
        <f ca="1">IFERROR(__xludf.DUMMYFUNCTION("FILTER({""Star: ""&amp;'Star Players-Hidden'!A3:A69},INDEX('Star Players-Hidden'!D3:AD69,0,C40)&lt;&gt;"""",{'Star Players-Hidden'!C3:C69=""""}+{'Star Players-Hidden'!C3:C69=I21})"),"Star: Dolfar Longstride")</f>
        <v>Star: Dolfar Longstride</v>
      </c>
      <c r="AV40" s="203"/>
    </row>
    <row r="41" spans="3:48" ht="17.25" hidden="1" customHeight="1">
      <c r="C41" s="234"/>
      <c r="D41" s="234" t="str">
        <f t="shared" ca="1" si="8"/>
        <v>Star: Eldril Sidewinder</v>
      </c>
      <c r="I41" s="238" t="str">
        <f ca="1">IFERROR(__xludf.DUMMYFUNCTION("""COMPUTED_VALUE"""),"Star: Eldril Sidewinder")</f>
        <v>Star: Eldril Sidewinder</v>
      </c>
      <c r="AV41" s="203"/>
    </row>
    <row r="42" spans="3:48" ht="17.25" hidden="1" customHeight="1">
      <c r="C42" s="234"/>
      <c r="D42" s="234" t="str">
        <f t="shared" ca="1" si="8"/>
        <v>Star: Jordell Fleshbreeze</v>
      </c>
      <c r="I42" s="234" t="str">
        <f ca="1">IFERROR(__xludf.DUMMYFUNCTION("""COMPUTED_VALUE"""),"Star: Jordell Fleshbreeze")</f>
        <v>Star: Jordell Fleshbreeze</v>
      </c>
      <c r="AV42" s="203"/>
    </row>
    <row r="43" spans="3:48" ht="17.25" hidden="1" customHeight="1">
      <c r="C43" s="234"/>
      <c r="D43" s="234" t="str">
        <f t="shared" ca="1" si="8"/>
        <v>Star: Lucien the Swift</v>
      </c>
      <c r="I43" s="234" t="str">
        <f ca="1">IFERROR(__xludf.DUMMYFUNCTION("""COMPUTED_VALUE"""),"Star: Lucien the Swift")</f>
        <v>Star: Lucien the Swift</v>
      </c>
      <c r="AV43" s="203"/>
    </row>
    <row r="44" spans="3:48" ht="17.25" hidden="1" customHeight="1">
      <c r="C44" s="234"/>
      <c r="D44" s="234" t="str">
        <f t="shared" ca="1" si="8"/>
        <v>Star: Morg'n'Thorg</v>
      </c>
      <c r="I44" s="234" t="str">
        <f ca="1">IFERROR(__xludf.DUMMYFUNCTION("""COMPUTED_VALUE"""),"Star: Morg'n'Thorg")</f>
        <v>Star: Morg'n'Thorg</v>
      </c>
      <c r="AV44" s="203"/>
    </row>
    <row r="45" spans="3:48" ht="17.25" hidden="1" customHeight="1">
      <c r="C45" s="234"/>
      <c r="D45" s="234" t="str">
        <f t="shared" ca="1" si="8"/>
        <v>Star: Valen the Swift</v>
      </c>
      <c r="I45" s="234" t="str">
        <f ca="1">IFERROR(__xludf.DUMMYFUNCTION("""COMPUTED_VALUE"""),"Star: Valen the Swift")</f>
        <v>Star: Valen the Swift</v>
      </c>
      <c r="AV45" s="203"/>
    </row>
    <row r="46" spans="3:48" ht="17.25" hidden="1" customHeight="1">
      <c r="C46" s="234"/>
      <c r="D46" s="234" t="str">
        <f t="shared" ca="1" si="8"/>
        <v>Star: Willow Rosebark</v>
      </c>
      <c r="I46" s="234" t="str">
        <f ca="1">IFERROR(__xludf.DUMMYFUNCTION("""COMPUTED_VALUE"""),"Star: Willow Rosebark")</f>
        <v>Star: Willow Rosebark</v>
      </c>
      <c r="AV46" s="203"/>
    </row>
    <row r="47" spans="3:48" ht="17.25" hidden="1" customHeight="1">
      <c r="C47" s="234"/>
      <c r="D47" s="234" t="str">
        <f t="shared" ca="1" si="8"/>
        <v>Star: Zara the Slayer</v>
      </c>
      <c r="I47" s="234" t="str">
        <f ca="1">IFERROR(__xludf.DUMMYFUNCTION("""COMPUTED_VALUE"""),"Star: Zara the Slayer")</f>
        <v>Star: Zara the Slayer</v>
      </c>
      <c r="AV47" s="203"/>
    </row>
    <row r="48" spans="3:48" ht="17.25" hidden="1" customHeight="1">
      <c r="C48" s="234"/>
      <c r="D48" s="234" t="str">
        <f t="shared" si="8"/>
        <v/>
      </c>
      <c r="I48" s="234"/>
      <c r="AV48" s="203"/>
    </row>
    <row r="49" spans="3:48" ht="17.25" hidden="1" customHeight="1">
      <c r="C49" s="234"/>
      <c r="D49" s="234" t="str">
        <f t="shared" si="8"/>
        <v/>
      </c>
      <c r="I49" s="234"/>
      <c r="AV49" s="203"/>
    </row>
    <row r="50" spans="3:48" ht="17.25" hidden="1" customHeight="1">
      <c r="C50" s="234"/>
      <c r="D50" s="234" t="str">
        <f t="shared" si="8"/>
        <v/>
      </c>
      <c r="I50" s="234"/>
      <c r="AV50" s="203"/>
    </row>
    <row r="51" spans="3:48" ht="17.25" hidden="1" customHeight="1">
      <c r="C51" s="234"/>
      <c r="D51" s="234" t="str">
        <f t="shared" si="8"/>
        <v/>
      </c>
      <c r="I51" s="234"/>
      <c r="AV51" s="203"/>
    </row>
  </sheetData>
  <mergeCells count="31">
    <mergeCell ref="B20:D28"/>
    <mergeCell ref="P2:S2"/>
    <mergeCell ref="AN3:AQ3"/>
    <mergeCell ref="AR3:AV3"/>
    <mergeCell ref="L22:S22"/>
    <mergeCell ref="L23:S23"/>
    <mergeCell ref="V22:AA22"/>
    <mergeCell ref="V23:AA23"/>
    <mergeCell ref="E20:AA20"/>
    <mergeCell ref="V25:AA25"/>
    <mergeCell ref="L25:S25"/>
    <mergeCell ref="I27:K27"/>
    <mergeCell ref="I21:K23"/>
    <mergeCell ref="E21:H23"/>
    <mergeCell ref="E25:H25"/>
    <mergeCell ref="E24:H24"/>
    <mergeCell ref="I24:K24"/>
    <mergeCell ref="I25:K25"/>
    <mergeCell ref="E26:H26"/>
    <mergeCell ref="I26:K26"/>
    <mergeCell ref="V26:AA26"/>
    <mergeCell ref="L26:S26"/>
    <mergeCell ref="V24:AA24"/>
    <mergeCell ref="L24:S24"/>
    <mergeCell ref="V21:AA21"/>
    <mergeCell ref="L21:S21"/>
    <mergeCell ref="AN21:AO21"/>
    <mergeCell ref="E28:AA28"/>
    <mergeCell ref="L27:S27"/>
    <mergeCell ref="V27:AA27"/>
    <mergeCell ref="E27:H27"/>
  </mergeCells>
  <conditionalFormatting sqref="J4">
    <cfRule type="expression" dxfId="173" priority="1">
      <formula>K4&lt;&gt;SUM(AE4:AJ4)</formula>
    </cfRule>
  </conditionalFormatting>
  <conditionalFormatting sqref="K4:K19">
    <cfRule type="cellIs" dxfId="172" priority="2" operator="equal">
      <formula>0</formula>
    </cfRule>
  </conditionalFormatting>
  <conditionalFormatting sqref="AB4:AB19">
    <cfRule type="cellIs" dxfId="171" priority="3" operator="equal">
      <formula>0</formula>
    </cfRule>
  </conditionalFormatting>
  <conditionalFormatting sqref="E4:H19">
    <cfRule type="expression" dxfId="170" priority="4">
      <formula>AG4&gt;0</formula>
    </cfRule>
  </conditionalFormatting>
  <conditionalFormatting sqref="E4:H19">
    <cfRule type="expression" dxfId="169" priority="5">
      <formula>P4&gt;0</formula>
    </cfRule>
  </conditionalFormatting>
  <conditionalFormatting sqref="T4:T19 U4:U19 V4:W19 Z4:Z19 U29">
    <cfRule type="cellIs" dxfId="168" priority="6" stopIfTrue="1" operator="equal">
      <formula>0</formula>
    </cfRule>
  </conditionalFormatting>
  <conditionalFormatting sqref="K4:K19">
    <cfRule type="cellIs" dxfId="167" priority="7" stopIfTrue="1" operator="equal">
      <formula>"n/a"</formula>
    </cfRule>
  </conditionalFormatting>
  <conditionalFormatting sqref="P4:S19">
    <cfRule type="cellIs" dxfId="166" priority="8" stopIfTrue="1" operator="lessThanOrEqual">
      <formula>-1</formula>
    </cfRule>
  </conditionalFormatting>
  <conditionalFormatting sqref="V25:W27">
    <cfRule type="cellIs" dxfId="165" priority="9" stopIfTrue="1" operator="equal">
      <formula>-500</formula>
    </cfRule>
  </conditionalFormatting>
  <conditionalFormatting sqref="T25:T27">
    <cfRule type="cellIs" dxfId="164" priority="10" stopIfTrue="1" operator="greaterThan">
      <formula>$V$25</formula>
    </cfRule>
  </conditionalFormatting>
  <conditionalFormatting sqref="AA4:AA19">
    <cfRule type="cellIs" dxfId="163" priority="11" stopIfTrue="1" operator="equal">
      <formula>"Star"</formula>
    </cfRule>
  </conditionalFormatting>
  <conditionalFormatting sqref="AA4:AA19">
    <cfRule type="cellIs" dxfId="162" priority="12" stopIfTrue="1" operator="equal">
      <formula>AB4</formula>
    </cfRule>
  </conditionalFormatting>
  <conditionalFormatting sqref="I4:I19">
    <cfRule type="cellIs" dxfId="161" priority="13" stopIfTrue="1" operator="equal">
      <formula>0</formula>
    </cfRule>
  </conditionalFormatting>
  <conditionalFormatting sqref="I4:I19">
    <cfRule type="cellIs" dxfId="160" priority="14" stopIfTrue="1" operator="equal">
      <formula>"Player type quantity surpassed"</formula>
    </cfRule>
  </conditionalFormatting>
  <conditionalFormatting sqref="J5">
    <cfRule type="expression" dxfId="159" priority="15">
      <formula>K5&lt;&gt;SUM(AE5:AJ5)</formula>
    </cfRule>
  </conditionalFormatting>
  <conditionalFormatting sqref="J6">
    <cfRule type="expression" dxfId="158" priority="16">
      <formula>K6&lt;&gt;SUM(AE6:AJ6)</formula>
    </cfRule>
  </conditionalFormatting>
  <conditionalFormatting sqref="J7">
    <cfRule type="expression" dxfId="157" priority="17">
      <formula>K7&lt;&gt;SUM(AE7:AJ7)</formula>
    </cfRule>
  </conditionalFormatting>
  <conditionalFormatting sqref="J8">
    <cfRule type="expression" dxfId="156" priority="18">
      <formula>K8&lt;&gt;SUM(AE8:AJ8)</formula>
    </cfRule>
  </conditionalFormatting>
  <conditionalFormatting sqref="J9">
    <cfRule type="expression" dxfId="155" priority="19">
      <formula>K9&lt;&gt;SUM(AE9:AJ9)</formula>
    </cfRule>
  </conditionalFormatting>
  <conditionalFormatting sqref="J10">
    <cfRule type="expression" dxfId="154" priority="20">
      <formula>K10&lt;&gt;SUM(AE10:AJ10)</formula>
    </cfRule>
  </conditionalFormatting>
  <conditionalFormatting sqref="J11">
    <cfRule type="expression" dxfId="153" priority="21">
      <formula>K11&lt;&gt;SUM(AE11:AJ11)</formula>
    </cfRule>
  </conditionalFormatting>
  <conditionalFormatting sqref="J12">
    <cfRule type="expression" dxfId="152" priority="22">
      <formula>K12&lt;&gt;SUM(AE12:AJ12)</formula>
    </cfRule>
  </conditionalFormatting>
  <conditionalFormatting sqref="J13">
    <cfRule type="expression" dxfId="151" priority="23">
      <formula>K13&lt;&gt;SUM(AE13:AJ13)</formula>
    </cfRule>
  </conditionalFormatting>
  <conditionalFormatting sqref="J14">
    <cfRule type="expression" dxfId="150" priority="24">
      <formula>K14&lt;&gt;SUM(AE14:AJ14)</formula>
    </cfRule>
  </conditionalFormatting>
  <conditionalFormatting sqref="J15">
    <cfRule type="expression" dxfId="149" priority="25">
      <formula>K15&lt;&gt;SUM(AE15:AJ15)</formula>
    </cfRule>
  </conditionalFormatting>
  <conditionalFormatting sqref="J16">
    <cfRule type="expression" dxfId="148" priority="26">
      <formula>K16&lt;&gt;SUM(AE16:AJ16)</formula>
    </cfRule>
  </conditionalFormatting>
  <conditionalFormatting sqref="J17">
    <cfRule type="expression" dxfId="147" priority="27">
      <formula>K17&lt;&gt;SUM(AE17:AJ17)</formula>
    </cfRule>
  </conditionalFormatting>
  <conditionalFormatting sqref="J18">
    <cfRule type="expression" dxfId="146" priority="28">
      <formula>K18&lt;&gt;SUM(AE18:AJ18)</formula>
    </cfRule>
  </conditionalFormatting>
  <conditionalFormatting sqref="J19">
    <cfRule type="expression" dxfId="145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MQ!$D$28:$D$49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W51"/>
  <sheetViews>
    <sheetView showGridLines="0" workbookViewId="0">
      <selection activeCell="AB14" sqref="AB14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337" t="s">
        <v>3</v>
      </c>
      <c r="Q2" s="329"/>
      <c r="R2" s="329"/>
      <c r="S2" s="330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14</v>
      </c>
      <c r="J3" s="21" t="s">
        <v>16</v>
      </c>
      <c r="K3" s="22" t="s">
        <v>0</v>
      </c>
      <c r="L3" s="23" t="s">
        <v>17</v>
      </c>
      <c r="M3" s="24" t="s">
        <v>19</v>
      </c>
      <c r="N3" s="24" t="s">
        <v>20</v>
      </c>
      <c r="O3" s="25" t="s">
        <v>21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23</v>
      </c>
      <c r="U3" s="30" t="s">
        <v>24</v>
      </c>
      <c r="V3" s="30" t="s">
        <v>9</v>
      </c>
      <c r="W3" s="30" t="s">
        <v>25</v>
      </c>
      <c r="X3" s="31" t="s">
        <v>26</v>
      </c>
      <c r="Y3" s="25" t="s">
        <v>27</v>
      </c>
      <c r="Z3" s="32" t="s">
        <v>10</v>
      </c>
      <c r="AA3" s="33" t="s">
        <v>11</v>
      </c>
      <c r="AB3" s="34" t="s">
        <v>28</v>
      </c>
      <c r="AC3" s="4"/>
      <c r="AD3" s="13" t="s">
        <v>29</v>
      </c>
      <c r="AE3" s="20" t="s">
        <v>19</v>
      </c>
      <c r="AF3" s="35" t="s">
        <v>30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31</v>
      </c>
      <c r="AL3" s="39" t="s">
        <v>32</v>
      </c>
      <c r="AM3" s="4"/>
      <c r="AN3" s="338" t="s">
        <v>33</v>
      </c>
      <c r="AO3" s="315"/>
      <c r="AP3" s="315"/>
      <c r="AQ3" s="315"/>
      <c r="AR3" s="339" t="s">
        <v>34</v>
      </c>
      <c r="AS3" s="315"/>
      <c r="AT3" s="315"/>
      <c r="AU3" s="315"/>
      <c r="AV3" s="315"/>
      <c r="AW3" s="12"/>
    </row>
    <row r="4" spans="1:49" ht="33.75">
      <c r="A4" s="2"/>
      <c r="B4" s="40">
        <v>1</v>
      </c>
      <c r="C4" s="252" t="s">
        <v>274</v>
      </c>
      <c r="D4" s="42" t="s">
        <v>193</v>
      </c>
      <c r="E4" s="43">
        <f>IFERROR(VLOOKUP($I$24&amp;$D4,'Database-Hidden'!$C$2:$J$121,4,FALSE)-P4+AG4,"")</f>
        <v>4</v>
      </c>
      <c r="F4" s="44">
        <f>IFERROR(VLOOKUP($I$24&amp;$D4,'Database-Hidden'!$C$2:$J$121,5,FALSE)-Q4+AH4,"")</f>
        <v>5</v>
      </c>
      <c r="G4" s="44">
        <f>IFERROR(VLOOKUP($I$24&amp;$D4,'Database-Hidden'!$C$2:$J$121,6,FALSE)-R4+AI4,"")</f>
        <v>1</v>
      </c>
      <c r="H4" s="45">
        <f>IFERROR(VLOOKUP($I$24&amp;$D4,'Database-Hidden'!$C$2:$J$121,7,FALSE)-S4+AJ4,"")</f>
        <v>9</v>
      </c>
      <c r="I4" s="46" t="str">
        <f>IFERROR(VLOOKUP($I$24&amp;$D4,'Database-Hidden'!$C$2:$J$121,8,FALSE),"")</f>
        <v>Loner, Always Hungry, Mighty Blow, Really Stupid, Regeneration, Throw Team-mate</v>
      </c>
      <c r="J4" s="47" t="s">
        <v>43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>
        <v>2</v>
      </c>
      <c r="X4" s="52"/>
      <c r="Y4" s="52"/>
      <c r="Z4" s="56">
        <v>1</v>
      </c>
      <c r="AA4" s="57">
        <f t="shared" ref="AA4:AA19" si="1">2*T4+U4+3*V4+2*W4+5*Z4</f>
        <v>9</v>
      </c>
      <c r="AB4" s="58">
        <f t="shared" ref="AB4:AB19" si="2">IF(L4=1,0,AD4+(20000*O4)+(20000*AE4)+(30000*AF4)+(30000*AG4)+(50000*AH4)+(40000*AI4)+(50000*AJ4)+AK4)</f>
        <v>130000</v>
      </c>
      <c r="AC4" s="4"/>
      <c r="AD4" s="59">
        <f>IFERROR(VLOOKUP($I$24&amp;D4,'Database-Hidden'!$C$2:$E$121,3,FALSE),"")</f>
        <v>110000</v>
      </c>
      <c r="AE4" s="60">
        <v>1</v>
      </c>
      <c r="AF4" s="62"/>
      <c r="AG4" s="62"/>
      <c r="AH4" s="62"/>
      <c r="AI4" s="62"/>
      <c r="AJ4" s="62"/>
      <c r="AK4" s="63"/>
      <c r="AL4" s="64" t="str">
        <f>IF(LEFT($D4,6)&lt;&gt;"Star: ","",VLOOKUP(RIGHT($D4,LEN($D4)-6),'Star Players-Hidden'!$A$3:$AK$69,37,FALSE))</f>
        <v/>
      </c>
      <c r="AM4" s="4"/>
      <c r="AN4" s="65" t="s">
        <v>39</v>
      </c>
      <c r="AO4" s="66">
        <v>10000</v>
      </c>
      <c r="AP4" s="4"/>
      <c r="AQ4" s="4"/>
      <c r="AR4" s="67"/>
      <c r="AS4" s="68"/>
      <c r="AT4" s="68"/>
      <c r="AU4" s="65" t="s">
        <v>42</v>
      </c>
      <c r="AV4" s="69">
        <v>0</v>
      </c>
      <c r="AW4" s="70"/>
    </row>
    <row r="5" spans="1:49" ht="12.75">
      <c r="A5" s="2"/>
      <c r="B5" s="71">
        <v>2</v>
      </c>
      <c r="C5" s="253" t="s">
        <v>275</v>
      </c>
      <c r="D5" s="73" t="s">
        <v>276</v>
      </c>
      <c r="E5" s="75">
        <f>IFERROR(VLOOKUP($I$24&amp;$D5,'Database-Hidden'!$C$2:$J$121,4,FALSE)-P5+AG5,"")</f>
        <v>4</v>
      </c>
      <c r="F5" s="76">
        <f>IFERROR(VLOOKUP($I$24&amp;$D5,'Database-Hidden'!$C$2:$J$121,5,FALSE)-Q5+AH5,"")</f>
        <v>4</v>
      </c>
      <c r="G5" s="76">
        <f>IFERROR(VLOOKUP($I$24&amp;$D5,'Database-Hidden'!$C$2:$J$121,6,FALSE)-R5+AI5,"")</f>
        <v>2</v>
      </c>
      <c r="H5" s="77">
        <f>IFERROR(VLOOKUP($I$24&amp;$D5,'Database-Hidden'!$C$2:$J$121,7,FALSE)-S5+AJ5,"")</f>
        <v>9</v>
      </c>
      <c r="I5" s="78">
        <f>IFERROR(VLOOKUP($I$24&amp;$D5,'Database-Hidden'!$C$2:$J$121,8,FALSE),"")</f>
        <v>0</v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/>
      <c r="W5" s="89"/>
      <c r="X5" s="85"/>
      <c r="Y5" s="85"/>
      <c r="Z5" s="90"/>
      <c r="AA5" s="91">
        <f t="shared" si="1"/>
        <v>0</v>
      </c>
      <c r="AB5" s="58">
        <f t="shared" si="2"/>
        <v>80000</v>
      </c>
      <c r="AC5" s="4"/>
      <c r="AD5" s="92">
        <f>IFERROR(VLOOKUP($I$24&amp;D5,'Database-Hidden'!$C$2:$E$121,3,FALSE),"")</f>
        <v>80000</v>
      </c>
      <c r="AE5" s="93"/>
      <c r="AF5" s="94"/>
      <c r="AG5" s="94"/>
      <c r="AH5" s="94"/>
      <c r="AI5" s="94"/>
      <c r="AJ5" s="94"/>
      <c r="AK5" s="63"/>
      <c r="AL5" s="64" t="str">
        <f>IF(LEFT($D5,6)&lt;&gt;"Star: ","",VLOOKUP(RIGHT($D5,LEN($D5)-6),'Star Players-Hidden'!$A$3:$AK$69,37,FALSE))</f>
        <v/>
      </c>
      <c r="AM5" s="1"/>
      <c r="AN5" s="95" t="s">
        <v>47</v>
      </c>
      <c r="AO5" s="96" t="s">
        <v>48</v>
      </c>
      <c r="AP5" s="98" t="s">
        <v>49</v>
      </c>
      <c r="AQ5" s="99" t="s">
        <v>50</v>
      </c>
      <c r="AR5" s="100" t="s">
        <v>51</v>
      </c>
      <c r="AS5" s="98" t="s">
        <v>52</v>
      </c>
      <c r="AT5" s="101" t="s">
        <v>53</v>
      </c>
      <c r="AU5" s="101" t="s">
        <v>54</v>
      </c>
      <c r="AV5" s="103" t="s">
        <v>2</v>
      </c>
      <c r="AW5" s="104"/>
    </row>
    <row r="6" spans="1:49" ht="12.75">
      <c r="A6" s="2"/>
      <c r="B6" s="71">
        <v>3</v>
      </c>
      <c r="C6" s="254" t="s">
        <v>277</v>
      </c>
      <c r="D6" s="73" t="s">
        <v>276</v>
      </c>
      <c r="E6" s="75">
        <f>IFERROR(VLOOKUP($I$24&amp;$D6,'Database-Hidden'!$C$2:$J$121,4,FALSE)-P6+AG6,"")</f>
        <v>4</v>
      </c>
      <c r="F6" s="76">
        <f>IFERROR(VLOOKUP($I$24&amp;$D6,'Database-Hidden'!$C$2:$J$121,5,FALSE)-Q6+AH6,"")</f>
        <v>4</v>
      </c>
      <c r="G6" s="76">
        <f>IFERROR(VLOOKUP($I$24&amp;$D6,'Database-Hidden'!$C$2:$J$121,6,FALSE)-R6+AI6,"")</f>
        <v>2</v>
      </c>
      <c r="H6" s="77">
        <f>IFERROR(VLOOKUP($I$24&amp;$D6,'Database-Hidden'!$C$2:$J$121,7,FALSE)-S6+AJ6,"")</f>
        <v>9</v>
      </c>
      <c r="I6" s="78">
        <f>IFERROR(VLOOKUP($I$24&amp;$D6,'Database-Hidden'!$C$2:$J$121,8,FALSE),"")</f>
        <v>0</v>
      </c>
      <c r="J6" s="79" t="s">
        <v>55</v>
      </c>
      <c r="K6" s="80">
        <f t="shared" si="0"/>
        <v>1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9">
        <v>3</v>
      </c>
      <c r="X6" s="85"/>
      <c r="Y6" s="85"/>
      <c r="Z6" s="90">
        <v>1</v>
      </c>
      <c r="AA6" s="91">
        <f t="shared" si="1"/>
        <v>11</v>
      </c>
      <c r="AB6" s="58">
        <f t="shared" si="2"/>
        <v>100000</v>
      </c>
      <c r="AC6" s="4"/>
      <c r="AD6" s="92">
        <f>IFERROR(VLOOKUP($I$24&amp;D6,'Database-Hidden'!$C$2:$E$121,3,FALSE),"")</f>
        <v>80000</v>
      </c>
      <c r="AE6" s="93">
        <v>1</v>
      </c>
      <c r="AF6" s="107"/>
      <c r="AG6" s="107"/>
      <c r="AH6" s="107"/>
      <c r="AI6" s="107"/>
      <c r="AJ6" s="107"/>
      <c r="AK6" s="63"/>
      <c r="AL6" s="64" t="str">
        <f>IF(LEFT($D6,6)&lt;&gt;"Star: ","",VLOOKUP(RIGHT($D6,LEN($D6)-6),'Star Players-Hidden'!$A$3:$AK$69,37,FALSE))</f>
        <v/>
      </c>
      <c r="AM6" s="4"/>
      <c r="AN6" s="108" t="s">
        <v>57</v>
      </c>
      <c r="AO6" s="109">
        <v>80000</v>
      </c>
      <c r="AP6" s="110">
        <v>50000</v>
      </c>
      <c r="AQ6" s="112"/>
      <c r="AR6" s="114" t="s">
        <v>76</v>
      </c>
      <c r="AS6" s="115" t="s">
        <v>278</v>
      </c>
      <c r="AT6" s="118">
        <v>1</v>
      </c>
      <c r="AU6" s="116">
        <v>3</v>
      </c>
      <c r="AV6" s="119">
        <v>1</v>
      </c>
      <c r="AW6" s="117"/>
    </row>
    <row r="7" spans="1:49" ht="12.75">
      <c r="A7" s="2"/>
      <c r="B7" s="71">
        <v>4</v>
      </c>
      <c r="C7" s="253" t="s">
        <v>279</v>
      </c>
      <c r="D7" s="73" t="s">
        <v>276</v>
      </c>
      <c r="E7" s="75">
        <f>IFERROR(VLOOKUP($I$24&amp;$D7,'Database-Hidden'!$C$2:$J$121,4,FALSE)-P7+AG7,"")</f>
        <v>4</v>
      </c>
      <c r="F7" s="76">
        <f>IFERROR(VLOOKUP($I$24&amp;$D7,'Database-Hidden'!$C$2:$J$121,5,FALSE)-Q7+AH7,"")</f>
        <v>4</v>
      </c>
      <c r="G7" s="76">
        <f>IFERROR(VLOOKUP($I$24&amp;$D7,'Database-Hidden'!$C$2:$J$121,6,FALSE)-R7+AI7,"")</f>
        <v>2</v>
      </c>
      <c r="H7" s="77">
        <f>IFERROR(VLOOKUP($I$24&amp;$D7,'Database-Hidden'!$C$2:$J$121,7,FALSE)-S7+AJ7,"")</f>
        <v>9</v>
      </c>
      <c r="I7" s="185"/>
      <c r="J7" s="79" t="s">
        <v>55</v>
      </c>
      <c r="K7" s="80">
        <f t="shared" si="0"/>
        <v>1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>
        <v>2</v>
      </c>
      <c r="X7" s="85"/>
      <c r="Y7" s="85"/>
      <c r="Z7" s="90">
        <v>1</v>
      </c>
      <c r="AA7" s="91">
        <f t="shared" si="1"/>
        <v>9</v>
      </c>
      <c r="AB7" s="58">
        <f t="shared" si="2"/>
        <v>100000</v>
      </c>
      <c r="AC7" s="4"/>
      <c r="AD7" s="120">
        <f>IFERROR(VLOOKUP($I$24&amp;D7,'Database-Hidden'!$C$2:$E$121,3,FALSE),"")</f>
        <v>80000</v>
      </c>
      <c r="AE7" s="93">
        <v>1</v>
      </c>
      <c r="AF7" s="107"/>
      <c r="AG7" s="107"/>
      <c r="AH7" s="107"/>
      <c r="AI7" s="107"/>
      <c r="AJ7" s="107"/>
      <c r="AK7" s="63"/>
      <c r="AL7" s="64" t="str">
        <f>IF(LEFT($D7,6)&lt;&gt;"Star: ","",VLOOKUP(RIGHT($D7,LEN($D7)-6),'Star Players-Hidden'!$A$3:$AK$69,37,FALSE))</f>
        <v/>
      </c>
      <c r="AM7" s="4"/>
      <c r="AN7" s="121" t="s">
        <v>63</v>
      </c>
      <c r="AO7" s="131">
        <v>10000</v>
      </c>
      <c r="AP7" s="123"/>
      <c r="AQ7" s="124"/>
      <c r="AR7" s="133" t="s">
        <v>110</v>
      </c>
      <c r="AS7" s="134" t="s">
        <v>74</v>
      </c>
      <c r="AT7" s="135">
        <v>0</v>
      </c>
      <c r="AU7" s="136">
        <v>0</v>
      </c>
      <c r="AV7" s="129">
        <f>0</f>
        <v>0</v>
      </c>
      <c r="AW7" s="130"/>
    </row>
    <row r="8" spans="1:49" ht="12.75">
      <c r="A8" s="2"/>
      <c r="B8" s="71">
        <v>5</v>
      </c>
      <c r="C8" s="254" t="s">
        <v>280</v>
      </c>
      <c r="D8" s="73" t="s">
        <v>276</v>
      </c>
      <c r="E8" s="75">
        <f>IFERROR(VLOOKUP($I$24&amp;$D8,'Database-Hidden'!$C$2:$J$121,4,FALSE)-P8+AG8,"")</f>
        <v>4</v>
      </c>
      <c r="F8" s="76">
        <f>IFERROR(VLOOKUP($I$24&amp;$D8,'Database-Hidden'!$C$2:$J$121,5,FALSE)-Q8+AH8,"")</f>
        <v>4</v>
      </c>
      <c r="G8" s="76">
        <f>IFERROR(VLOOKUP($I$24&amp;$D8,'Database-Hidden'!$C$2:$J$121,6,FALSE)-R8+AI8,"")</f>
        <v>2</v>
      </c>
      <c r="H8" s="77">
        <f>IFERROR(VLOOKUP($I$24&amp;$D8,'Database-Hidden'!$C$2:$J$121,7,FALSE)-S8+AJ8,"")</f>
        <v>9</v>
      </c>
      <c r="I8" s="78">
        <f>IFERROR(VLOOKUP($I$24&amp;$D8,'Database-Hidden'!$C$2:$J$121,8,FALSE),"")</f>
        <v>0</v>
      </c>
      <c r="J8" s="79" t="s">
        <v>186</v>
      </c>
      <c r="K8" s="80">
        <f t="shared" si="0"/>
        <v>1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9">
        <v>1</v>
      </c>
      <c r="X8" s="85"/>
      <c r="Y8" s="85"/>
      <c r="Z8" s="90">
        <v>2</v>
      </c>
      <c r="AA8" s="91">
        <f t="shared" si="1"/>
        <v>12</v>
      </c>
      <c r="AB8" s="58">
        <f t="shared" si="2"/>
        <v>110000</v>
      </c>
      <c r="AC8" s="4"/>
      <c r="AD8" s="120">
        <f>IFERROR(VLOOKUP($I$24&amp;D8,'Database-Hidden'!$C$2:$E$121,3,FALSE),"")</f>
        <v>80000</v>
      </c>
      <c r="AE8" s="93"/>
      <c r="AF8" s="94">
        <v>1</v>
      </c>
      <c r="AG8" s="107"/>
      <c r="AH8" s="107"/>
      <c r="AI8" s="107"/>
      <c r="AJ8" s="107"/>
      <c r="AK8" s="63"/>
      <c r="AL8" s="64" t="str">
        <f>IF(LEFT($D8,6)&lt;&gt;"Star: ","",VLOOKUP(RIGHT($D8,LEN($D8)-6),'Star Players-Hidden'!$A$3:$AK$69,37,FALSE))</f>
        <v/>
      </c>
      <c r="AM8" s="4"/>
      <c r="AN8" s="121" t="s">
        <v>69</v>
      </c>
      <c r="AO8" s="131">
        <v>60000</v>
      </c>
      <c r="AP8" s="132">
        <v>10000</v>
      </c>
      <c r="AQ8" s="138" t="s">
        <v>152</v>
      </c>
      <c r="AR8" s="133" t="s">
        <v>154</v>
      </c>
      <c r="AS8" s="134" t="s">
        <v>74</v>
      </c>
      <c r="AT8" s="135">
        <v>0</v>
      </c>
      <c r="AU8" s="136">
        <v>1</v>
      </c>
      <c r="AV8" s="137">
        <v>0</v>
      </c>
      <c r="AW8" s="130"/>
    </row>
    <row r="9" spans="1:49" ht="12.75">
      <c r="A9" s="2"/>
      <c r="B9" s="71">
        <v>6</v>
      </c>
      <c r="C9" s="254" t="s">
        <v>281</v>
      </c>
      <c r="D9" s="73" t="s">
        <v>68</v>
      </c>
      <c r="E9" s="75">
        <f>IFERROR(VLOOKUP($I$24&amp;$D9,'Database-Hidden'!$C$2:$J$121,4,FALSE)-P9+AG9,"")</f>
        <v>6</v>
      </c>
      <c r="F9" s="76">
        <f>IFERROR(VLOOKUP($I$24&amp;$D9,'Database-Hidden'!$C$2:$J$121,5,FALSE)-Q9+AH9,"")</f>
        <v>3</v>
      </c>
      <c r="G9" s="76">
        <f>IFERROR(VLOOKUP($I$24&amp;$D9,'Database-Hidden'!$C$2:$J$121,6,FALSE)-R9+AI9,"")</f>
        <v>3</v>
      </c>
      <c r="H9" s="77">
        <f>IFERROR(VLOOKUP($I$24&amp;$D9,'Database-Hidden'!$C$2:$J$121,7,FALSE)-S9+AJ9,"")</f>
        <v>9</v>
      </c>
      <c r="I9" s="78" t="str">
        <f>IFERROR(VLOOKUP($I$24&amp;$D9,'Database-Hidden'!$C$2:$J$121,8,FALSE),"")</f>
        <v>Block</v>
      </c>
      <c r="J9" s="79" t="s">
        <v>186</v>
      </c>
      <c r="K9" s="80">
        <f t="shared" si="0"/>
        <v>1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9">
        <v>1</v>
      </c>
      <c r="W9" s="88"/>
      <c r="X9" s="85"/>
      <c r="Y9" s="85"/>
      <c r="Z9" s="90">
        <v>1</v>
      </c>
      <c r="AA9" s="91">
        <f t="shared" si="1"/>
        <v>8</v>
      </c>
      <c r="AB9" s="58">
        <f t="shared" si="2"/>
        <v>110000</v>
      </c>
      <c r="AC9" s="4"/>
      <c r="AD9" s="120">
        <f>IFERROR(VLOOKUP($I$24&amp;D9,'Database-Hidden'!$C$2:$E$121,3,FALSE),"")</f>
        <v>80000</v>
      </c>
      <c r="AE9" s="93"/>
      <c r="AF9" s="94">
        <v>1</v>
      </c>
      <c r="AG9" s="107"/>
      <c r="AH9" s="107"/>
      <c r="AI9" s="107"/>
      <c r="AJ9" s="107"/>
      <c r="AK9" s="63"/>
      <c r="AL9" s="64" t="str">
        <f>IF(LEFT($D9,6)&lt;&gt;"Star: ","",VLOOKUP(RIGHT($D9,LEN($D9)-6),'Star Players-Hidden'!$A$3:$AK$69,37,FALSE))</f>
        <v/>
      </c>
      <c r="AM9" s="4"/>
      <c r="AN9" s="121" t="s">
        <v>72</v>
      </c>
      <c r="AO9" s="131">
        <v>50000</v>
      </c>
      <c r="AP9" s="132">
        <v>120000</v>
      </c>
      <c r="AQ9" s="124"/>
      <c r="AR9" s="133" t="s">
        <v>64</v>
      </c>
      <c r="AS9" s="134" t="s">
        <v>66</v>
      </c>
      <c r="AT9" s="135">
        <v>1</v>
      </c>
      <c r="AU9" s="136">
        <v>1</v>
      </c>
      <c r="AV9" s="137">
        <v>1</v>
      </c>
      <c r="AW9" s="130"/>
    </row>
    <row r="10" spans="1:49" ht="12.75">
      <c r="A10" s="2"/>
      <c r="B10" s="71">
        <v>7</v>
      </c>
      <c r="C10" s="253" t="s">
        <v>282</v>
      </c>
      <c r="D10" s="73" t="s">
        <v>68</v>
      </c>
      <c r="E10" s="75">
        <f>IFERROR(VLOOKUP($I$24&amp;$D10,'Database-Hidden'!$C$2:$J$121,4,FALSE)-P10+AG10,"")</f>
        <v>6</v>
      </c>
      <c r="F10" s="76">
        <f>IFERROR(VLOOKUP($I$24&amp;$D10,'Database-Hidden'!$C$2:$J$121,5,FALSE)-Q10+AH10,"")</f>
        <v>3</v>
      </c>
      <c r="G10" s="76">
        <f>IFERROR(VLOOKUP($I$24&amp;$D10,'Database-Hidden'!$C$2:$J$121,6,FALSE)-R10+AI10,"")</f>
        <v>3</v>
      </c>
      <c r="H10" s="77">
        <f>IFERROR(VLOOKUP($I$24&amp;$D10,'Database-Hidden'!$C$2:$J$121,7,FALSE)-S10+AJ10,"")</f>
        <v>9</v>
      </c>
      <c r="I10" s="78" t="str">
        <f>IFERROR(VLOOKUP($I$24&amp;$D10,'Database-Hidden'!$C$2:$J$121,8,FALSE),"")</f>
        <v>Block</v>
      </c>
      <c r="J10" s="79" t="s">
        <v>43</v>
      </c>
      <c r="K10" s="80">
        <f t="shared" si="0"/>
        <v>1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>
        <v>1</v>
      </c>
      <c r="X10" s="85"/>
      <c r="Y10" s="85"/>
      <c r="Z10" s="90">
        <v>1</v>
      </c>
      <c r="AA10" s="91">
        <f t="shared" si="1"/>
        <v>7</v>
      </c>
      <c r="AB10" s="58">
        <f t="shared" si="2"/>
        <v>100000</v>
      </c>
      <c r="AC10" s="4"/>
      <c r="AD10" s="120">
        <f>IFERROR(VLOOKUP($I$24&amp;D10,'Database-Hidden'!$C$2:$E$121,3,FALSE),"")</f>
        <v>80000</v>
      </c>
      <c r="AE10" s="93">
        <v>1</v>
      </c>
      <c r="AF10" s="94"/>
      <c r="AG10" s="107"/>
      <c r="AH10" s="107"/>
      <c r="AI10" s="107"/>
      <c r="AJ10" s="107"/>
      <c r="AK10" s="63"/>
      <c r="AL10" s="64" t="str">
        <f>IF(LEFT($D10,6)&lt;&gt;"Star: ","",VLOOKUP(RIGHT($D10,LEN($D10)-6),'Star Players-Hidden'!$A$3:$AK$69,37,FALSE))</f>
        <v/>
      </c>
      <c r="AM10" s="4"/>
      <c r="AN10" s="121" t="s">
        <v>78</v>
      </c>
      <c r="AO10" s="131">
        <v>70000</v>
      </c>
      <c r="AP10" s="132">
        <v>50000</v>
      </c>
      <c r="AQ10" s="124"/>
      <c r="AR10" s="133" t="s">
        <v>84</v>
      </c>
      <c r="AS10" s="134" t="s">
        <v>61</v>
      </c>
      <c r="AT10" s="135">
        <v>1</v>
      </c>
      <c r="AU10" s="136">
        <v>3</v>
      </c>
      <c r="AV10" s="137">
        <v>1</v>
      </c>
      <c r="AW10" s="130"/>
    </row>
    <row r="11" spans="1:49" ht="12.75">
      <c r="A11" s="2"/>
      <c r="B11" s="71">
        <v>8</v>
      </c>
      <c r="C11" s="254" t="s">
        <v>284</v>
      </c>
      <c r="D11" s="73" t="s">
        <v>68</v>
      </c>
      <c r="E11" s="75">
        <f>IFERROR(VLOOKUP($I$24&amp;$D11,'Database-Hidden'!$C$2:$J$121,4,FALSE)-P11+AG11,"")</f>
        <v>6</v>
      </c>
      <c r="F11" s="76">
        <f>IFERROR(VLOOKUP($I$24&amp;$D11,'Database-Hidden'!$C$2:$J$121,5,FALSE)-Q11+AH11,"")</f>
        <v>3</v>
      </c>
      <c r="G11" s="76">
        <f>IFERROR(VLOOKUP($I$24&amp;$D11,'Database-Hidden'!$C$2:$J$121,6,FALSE)-R11+AI11,"")</f>
        <v>3</v>
      </c>
      <c r="H11" s="77">
        <f>IFERROR(VLOOKUP($I$24&amp;$D11,'Database-Hidden'!$C$2:$J$121,7,FALSE)-S11+AJ11,"")</f>
        <v>9</v>
      </c>
      <c r="I11" s="78" t="str">
        <f>IFERROR(VLOOKUP($I$24&amp;$D11,'Database-Hidden'!$C$2:$J$121,8,FALSE),"")</f>
        <v>Block</v>
      </c>
      <c r="J11" s="106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9">
        <v>1</v>
      </c>
      <c r="W11" s="89">
        <v>1</v>
      </c>
      <c r="X11" s="85"/>
      <c r="Y11" s="85"/>
      <c r="Z11" s="90"/>
      <c r="AA11" s="91">
        <f t="shared" si="1"/>
        <v>5</v>
      </c>
      <c r="AB11" s="58">
        <f t="shared" si="2"/>
        <v>80000</v>
      </c>
      <c r="AC11" s="4"/>
      <c r="AD11" s="120">
        <f>IFERROR(VLOOKUP($I$24&amp;D11,'Database-Hidden'!$C$2:$E$121,3,FALSE),"")</f>
        <v>80000</v>
      </c>
      <c r="AE11" s="139"/>
      <c r="AF11" s="107"/>
      <c r="AG11" s="107"/>
      <c r="AH11" s="107"/>
      <c r="AI11" s="107"/>
      <c r="AJ11" s="107"/>
      <c r="AK11" s="63"/>
      <c r="AL11" s="64" t="str">
        <f>IF(LEFT($D11,6)&lt;&gt;"Star: ","",VLOOKUP(RIGHT($D11,LEN($D11)-6),'Star Players-Hidden'!$A$3:$AK$69,37,FALSE))</f>
        <v/>
      </c>
      <c r="AM11" s="4"/>
      <c r="AN11" s="121" t="s">
        <v>82</v>
      </c>
      <c r="AO11" s="131">
        <v>60000</v>
      </c>
      <c r="AP11" s="132">
        <v>40000</v>
      </c>
      <c r="AQ11" s="124"/>
      <c r="AR11" s="133" t="s">
        <v>90</v>
      </c>
      <c r="AS11" s="134" t="s">
        <v>74</v>
      </c>
      <c r="AT11" s="135">
        <v>0</v>
      </c>
      <c r="AU11" s="136">
        <v>2</v>
      </c>
      <c r="AV11" s="129">
        <f>1</f>
        <v>1</v>
      </c>
      <c r="AW11" s="130"/>
    </row>
    <row r="12" spans="1:49" ht="12.75">
      <c r="A12" s="2"/>
      <c r="B12" s="71">
        <v>9</v>
      </c>
      <c r="C12" s="253" t="s">
        <v>286</v>
      </c>
      <c r="D12" s="73" t="s">
        <v>68</v>
      </c>
      <c r="E12" s="75">
        <f>IFERROR(VLOOKUP($I$24&amp;$D12,'Database-Hidden'!$C$2:$J$121,4,FALSE)-P12+AG12,"")</f>
        <v>6</v>
      </c>
      <c r="F12" s="76">
        <f>IFERROR(VLOOKUP($I$24&amp;$D12,'Database-Hidden'!$C$2:$J$121,5,FALSE)-Q12+AH12,"")</f>
        <v>3</v>
      </c>
      <c r="G12" s="76">
        <f>IFERROR(VLOOKUP($I$24&amp;$D12,'Database-Hidden'!$C$2:$J$121,6,FALSE)-R12+AI12,"")</f>
        <v>3</v>
      </c>
      <c r="H12" s="77">
        <f>IFERROR(VLOOKUP($I$24&amp;$D12,'Database-Hidden'!$C$2:$J$121,7,FALSE)-S12+AJ12,"")</f>
        <v>9</v>
      </c>
      <c r="I12" s="78" t="str">
        <f>IFERROR(VLOOKUP($I$24&amp;$D12,'Database-Hidden'!$C$2:$J$121,8,FALSE),"")</f>
        <v>Block</v>
      </c>
      <c r="J12" s="106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>
        <v>1</v>
      </c>
      <c r="X12" s="85"/>
      <c r="Y12" s="85"/>
      <c r="Z12" s="90"/>
      <c r="AA12" s="91">
        <f t="shared" si="1"/>
        <v>2</v>
      </c>
      <c r="AB12" s="58">
        <f t="shared" si="2"/>
        <v>80000</v>
      </c>
      <c r="AC12" s="4"/>
      <c r="AD12" s="120">
        <f>IFERROR(VLOOKUP($I$24&amp;D12,'Database-Hidden'!$C$2:$E$121,3,FALSE),"")</f>
        <v>80000</v>
      </c>
      <c r="AE12" s="139"/>
      <c r="AF12" s="107"/>
      <c r="AG12" s="107"/>
      <c r="AH12" s="107"/>
      <c r="AI12" s="107"/>
      <c r="AJ12" s="107"/>
      <c r="AK12" s="63"/>
      <c r="AL12" s="64" t="str">
        <f>IF(LEFT($D12,6)&lt;&gt;"Star: ","",VLOOKUP(RIGHT($D12,LEN($D12)-6),'Star Players-Hidden'!$A$3:$AK$69,37,FALSE))</f>
        <v/>
      </c>
      <c r="AM12" s="4"/>
      <c r="AN12" s="121" t="s">
        <v>87</v>
      </c>
      <c r="AO12" s="122"/>
      <c r="AP12" s="123"/>
      <c r="AQ12" s="124"/>
      <c r="AR12" s="125"/>
      <c r="AS12" s="126"/>
      <c r="AT12" s="127"/>
      <c r="AU12" s="128"/>
      <c r="AV12" s="129"/>
      <c r="AW12" s="130"/>
    </row>
    <row r="13" spans="1:49" ht="12.75">
      <c r="A13" s="2"/>
      <c r="B13" s="71">
        <v>10</v>
      </c>
      <c r="C13" s="72" t="s">
        <v>291</v>
      </c>
      <c r="D13" s="73" t="s">
        <v>221</v>
      </c>
      <c r="E13" s="75">
        <f>IFERROR(VLOOKUP($I$24&amp;$D13,'Database-Hidden'!$C$2:$J$121,4,FALSE)-P13+AG13,"")</f>
        <v>5</v>
      </c>
      <c r="F13" s="76">
        <f>IFERROR(VLOOKUP($I$24&amp;$D13,'Database-Hidden'!$C$2:$J$121,5,FALSE)-Q13+AH13,"")</f>
        <v>3</v>
      </c>
      <c r="G13" s="76">
        <f>IFERROR(VLOOKUP($I$24&amp;$D13,'Database-Hidden'!$C$2:$J$121,6,FALSE)-R13+AI13,"")</f>
        <v>3</v>
      </c>
      <c r="H13" s="77">
        <f>IFERROR(VLOOKUP($I$24&amp;$D13,'Database-Hidden'!$C$2:$J$121,7,FALSE)-S13+AJ13,"")</f>
        <v>7</v>
      </c>
      <c r="I13" s="78" t="str">
        <f>IFERROR(VLOOKUP($I$24&amp;$D13,'Database-Hidden'!$C$2:$J$121,8,FALSE),"")</f>
        <v>Sure Hands, Pass</v>
      </c>
      <c r="J13" s="79"/>
      <c r="K13" s="80">
        <f t="shared" si="0"/>
        <v>0</v>
      </c>
      <c r="L13" s="82"/>
      <c r="M13" s="81"/>
      <c r="N13" s="82"/>
      <c r="O13" s="83"/>
      <c r="P13" s="84"/>
      <c r="Q13" s="85"/>
      <c r="R13" s="85"/>
      <c r="S13" s="244">
        <v>1</v>
      </c>
      <c r="T13" s="87"/>
      <c r="U13" s="89">
        <v>1</v>
      </c>
      <c r="V13" s="89">
        <v>1</v>
      </c>
      <c r="W13" s="89"/>
      <c r="X13" s="85"/>
      <c r="Y13" s="85"/>
      <c r="Z13" s="90"/>
      <c r="AA13" s="91">
        <f t="shared" si="1"/>
        <v>4</v>
      </c>
      <c r="AB13" s="58">
        <f t="shared" si="2"/>
        <v>70000</v>
      </c>
      <c r="AC13" s="4"/>
      <c r="AD13" s="120">
        <f>IFERROR(VLOOKUP($I$24&amp;D13,'Database-Hidden'!$C$2:$E$121,3,FALSE),"")</f>
        <v>70000</v>
      </c>
      <c r="AE13" s="139"/>
      <c r="AF13" s="94"/>
      <c r="AG13" s="107"/>
      <c r="AH13" s="107"/>
      <c r="AI13" s="107"/>
      <c r="AJ13" s="107"/>
      <c r="AK13" s="63"/>
      <c r="AL13" s="64" t="str">
        <f>IF(LEFT($D13,6)&lt;&gt;"Star: ","",VLOOKUP(RIGHT($D13,LEN($D13)-6),'Star Players-Hidden'!$A$3:$AK$69,37,FALSE))</f>
        <v/>
      </c>
      <c r="AM13" s="4"/>
      <c r="AN13" s="121" t="s">
        <v>95</v>
      </c>
      <c r="AO13" s="122"/>
      <c r="AP13" s="123"/>
      <c r="AQ13" s="124"/>
      <c r="AR13" s="125"/>
      <c r="AS13" s="126"/>
      <c r="AT13" s="127"/>
      <c r="AU13" s="128"/>
      <c r="AV13" s="129"/>
      <c r="AW13" s="130"/>
    </row>
    <row r="14" spans="1:49" ht="12.75">
      <c r="A14" s="2"/>
      <c r="B14" s="71">
        <v>11</v>
      </c>
      <c r="C14" s="72"/>
      <c r="D14" s="73"/>
      <c r="E14" s="75" t="str">
        <f>IFERROR(VLOOKUP($I$24&amp;$D14,'Database-Hidden'!$C$2:$J$121,4,FALSE)-P14+AG14,"")</f>
        <v/>
      </c>
      <c r="F14" s="76" t="str">
        <f>IFERROR(VLOOKUP($I$24&amp;$D14,'Database-Hidden'!$C$2:$J$121,5,FALSE)-Q14+AH14,"")</f>
        <v/>
      </c>
      <c r="G14" s="76" t="str">
        <f>IFERROR(VLOOKUP($I$24&amp;$D14,'Database-Hidden'!$C$2:$J$121,6,FALSE)-R14+AI14,"")</f>
        <v/>
      </c>
      <c r="H14" s="77" t="str">
        <f>IFERROR(VLOOKUP($I$24&amp;$D14,'Database-Hidden'!$C$2:$J$121,7,FALSE)-S14+AJ14,"")</f>
        <v/>
      </c>
      <c r="I14" s="78" t="str">
        <f>IFERROR(VLOOKUP($I$24&amp;$D14,'Database-Hidden'!$C$2:$J$121,8,FALSE),"")</f>
        <v/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/>
      <c r="X14" s="85"/>
      <c r="Y14" s="85"/>
      <c r="Z14" s="90"/>
      <c r="AA14" s="91">
        <f t="shared" si="1"/>
        <v>0</v>
      </c>
      <c r="AB14" s="58"/>
      <c r="AC14" s="4"/>
      <c r="AD14" s="120" t="str">
        <f>IFERROR(VLOOKUP($I$24&amp;D14,'Database-Hidden'!$C$2:$E$121,3,FALSE),"")</f>
        <v/>
      </c>
      <c r="AE14" s="93"/>
      <c r="AF14" s="107"/>
      <c r="AG14" s="107"/>
      <c r="AH14" s="107"/>
      <c r="AI14" s="107"/>
      <c r="AJ14" s="107"/>
      <c r="AK14" s="63"/>
      <c r="AL14" s="64" t="str">
        <f>IF(LEFT($D14,6)&lt;&gt;"Star: ","",VLOOKUP(RIGHT($D14,LEN($D14)-6),'Star Players-Hidden'!$A$3:$AK$69,37,FALSE))</f>
        <v/>
      </c>
      <c r="AM14" s="4"/>
      <c r="AN14" s="121" t="s">
        <v>98</v>
      </c>
      <c r="AO14" s="131">
        <v>30000</v>
      </c>
      <c r="AP14" s="123"/>
      <c r="AQ14" s="138">
        <v>0</v>
      </c>
      <c r="AR14" s="133" t="s">
        <v>154</v>
      </c>
      <c r="AS14" s="134" t="s">
        <v>74</v>
      </c>
      <c r="AT14" s="135">
        <v>0</v>
      </c>
      <c r="AU14" s="136">
        <v>2</v>
      </c>
      <c r="AV14" s="137">
        <v>0</v>
      </c>
      <c r="AW14" s="130"/>
    </row>
    <row r="15" spans="1:49" ht="12.75">
      <c r="A15" s="2"/>
      <c r="B15" s="71">
        <v>12</v>
      </c>
      <c r="C15" s="72" t="s">
        <v>296</v>
      </c>
      <c r="D15" s="73" t="s">
        <v>92</v>
      </c>
      <c r="E15" s="75">
        <f>IFERROR(VLOOKUP($I$24&amp;$D15,'Database-Hidden'!$C$2:$J$121,4,FALSE)-P15+AG15,"")</f>
        <v>5</v>
      </c>
      <c r="F15" s="76">
        <f>IFERROR(VLOOKUP($I$24&amp;$D15,'Database-Hidden'!$C$2:$J$121,5,FALSE)-Q15+AH15,"")</f>
        <v>3</v>
      </c>
      <c r="G15" s="76">
        <f>IFERROR(VLOOKUP($I$24&amp;$D15,'Database-Hidden'!$C$2:$J$121,6,FALSE)-R15+AI15,"")</f>
        <v>3</v>
      </c>
      <c r="H15" s="77">
        <f>IFERROR(VLOOKUP($I$24&amp;$D15,'Database-Hidden'!$C$2:$J$121,7,FALSE)-S15+AJ15,"")</f>
        <v>9</v>
      </c>
      <c r="I15" s="78">
        <f>IFERROR(VLOOKUP($I$24&amp;$D15,'Database-Hidden'!$C$2:$J$121,8,FALSE),"")</f>
        <v>0</v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85"/>
      <c r="Y15" s="85"/>
      <c r="Z15" s="90"/>
      <c r="AA15" s="91">
        <f t="shared" si="1"/>
        <v>0</v>
      </c>
      <c r="AB15" s="58">
        <f t="shared" si="2"/>
        <v>50000</v>
      </c>
      <c r="AC15" s="4"/>
      <c r="AD15" s="120">
        <f>IFERROR(VLOOKUP($I$24&amp;D15,'Database-Hidden'!$C$2:$E$121,3,FALSE),"")</f>
        <v>50000</v>
      </c>
      <c r="AE15" s="93"/>
      <c r="AF15" s="107"/>
      <c r="AG15" s="107"/>
      <c r="AH15" s="107"/>
      <c r="AI15" s="107"/>
      <c r="AJ15" s="107"/>
      <c r="AK15" s="63"/>
      <c r="AL15" s="64" t="str">
        <f>IF(LEFT($D15,6)&lt;&gt;"Star: ","",VLOOKUP(RIGHT($D15,LEN($D15)-6),'Star Players-Hidden'!$A$3:$AK$69,37,FALSE))</f>
        <v/>
      </c>
      <c r="AM15" s="4"/>
      <c r="AN15" s="121" t="s">
        <v>102</v>
      </c>
      <c r="AO15" s="122"/>
      <c r="AP15" s="123"/>
      <c r="AQ15" s="124"/>
      <c r="AR15" s="125"/>
      <c r="AS15" s="126"/>
      <c r="AT15" s="127"/>
      <c r="AU15" s="128"/>
      <c r="AV15" s="129"/>
      <c r="AW15" s="130"/>
    </row>
    <row r="16" spans="1:49" ht="12.75">
      <c r="A16" s="2"/>
      <c r="B16" s="71">
        <v>13</v>
      </c>
      <c r="C16" s="72" t="s">
        <v>298</v>
      </c>
      <c r="D16" s="73" t="s">
        <v>92</v>
      </c>
      <c r="E16" s="75">
        <f>IFERROR(VLOOKUP($I$24&amp;$D16,'Database-Hidden'!$C$2:$J$121,4,FALSE)-P16+AG16,"")</f>
        <v>5</v>
      </c>
      <c r="F16" s="76">
        <f>IFERROR(VLOOKUP($I$24&amp;$D16,'Database-Hidden'!$C$2:$J$121,5,FALSE)-Q16+AH16,"")</f>
        <v>3</v>
      </c>
      <c r="G16" s="76">
        <f>IFERROR(VLOOKUP($I$24&amp;$D16,'Database-Hidden'!$C$2:$J$121,6,FALSE)-R16+AI16,"")</f>
        <v>3</v>
      </c>
      <c r="H16" s="77">
        <f>IFERROR(VLOOKUP($I$24&amp;$D16,'Database-Hidden'!$C$2:$J$121,7,FALSE)-S16+AJ16,"")</f>
        <v>9</v>
      </c>
      <c r="I16" s="78">
        <f>IFERROR(VLOOKUP($I$24&amp;$D16,'Database-Hidden'!$C$2:$J$121,8,FALSE),"")</f>
        <v>0</v>
      </c>
      <c r="J16" s="79"/>
      <c r="K16" s="80">
        <f t="shared" si="0"/>
        <v>0</v>
      </c>
      <c r="L16" s="82">
        <v>1</v>
      </c>
      <c r="M16" s="82">
        <v>1</v>
      </c>
      <c r="N16" s="82"/>
      <c r="O16" s="83"/>
      <c r="P16" s="84"/>
      <c r="Q16" s="85"/>
      <c r="R16" s="85"/>
      <c r="S16" s="86"/>
      <c r="T16" s="87"/>
      <c r="U16" s="88"/>
      <c r="V16" s="88"/>
      <c r="W16" s="89">
        <v>1</v>
      </c>
      <c r="X16" s="85"/>
      <c r="Y16" s="85"/>
      <c r="Z16" s="90"/>
      <c r="AA16" s="91">
        <f t="shared" si="1"/>
        <v>2</v>
      </c>
      <c r="AB16" s="58">
        <f t="shared" si="2"/>
        <v>0</v>
      </c>
      <c r="AC16" s="4"/>
      <c r="AD16" s="120">
        <f>IFERROR(VLOOKUP($I$24&amp;D16,'Database-Hidden'!$C$2:$E$121,3,FALSE),"")</f>
        <v>50000</v>
      </c>
      <c r="AE16" s="93"/>
      <c r="AF16" s="107"/>
      <c r="AG16" s="107"/>
      <c r="AH16" s="107"/>
      <c r="AI16" s="107"/>
      <c r="AJ16" s="107"/>
      <c r="AK16" s="63"/>
      <c r="AL16" s="64" t="str">
        <f>IF(LEFT($D16,6)&lt;&gt;"Star: ","",VLOOKUP(RIGHT($D16,LEN($D16)-6),'Star Players-Hidden'!$A$3:$AK$69,37,FALSE))</f>
        <v/>
      </c>
      <c r="AM16" s="4"/>
      <c r="AN16" s="121" t="s">
        <v>105</v>
      </c>
      <c r="AO16" s="122"/>
      <c r="AP16" s="123"/>
      <c r="AQ16" s="124"/>
      <c r="AR16" s="125"/>
      <c r="AS16" s="126"/>
      <c r="AT16" s="127"/>
      <c r="AU16" s="128"/>
      <c r="AV16" s="129"/>
      <c r="AW16" s="130"/>
    </row>
    <row r="17" spans="1:49" ht="12.75">
      <c r="A17" s="2"/>
      <c r="B17" s="71">
        <v>14</v>
      </c>
      <c r="C17" s="72"/>
      <c r="D17" s="73"/>
      <c r="E17" s="75" t="str">
        <f>IFERROR(VLOOKUP($I$24&amp;$D17,'Database-Hidden'!$C$2:$J$121,4,FALSE)-P17+AG17,"")</f>
        <v/>
      </c>
      <c r="F17" s="76" t="str">
        <f>IFERROR(VLOOKUP($I$24&amp;$D17,'Database-Hidden'!$C$2:$J$121,5,FALSE)-Q17+AH17,"")</f>
        <v/>
      </c>
      <c r="G17" s="76" t="str">
        <f>IFERROR(VLOOKUP($I$24&amp;$D17,'Database-Hidden'!$C$2:$J$121,6,FALSE)-R17+AI17,"")</f>
        <v/>
      </c>
      <c r="H17" s="77" t="str">
        <f>IFERROR(VLOOKUP($I$24&amp;$D17,'Database-Hidden'!$C$2:$J$121,7,FALSE)-S17+AJ17,"")</f>
        <v/>
      </c>
      <c r="I17" s="78" t="str">
        <f>IFERROR(VLOOKUP($I$24&amp;$D17,'Database-Hidden'!$C$2:$J$121,8,FALSE),"")</f>
        <v/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85"/>
      <c r="Z17" s="90"/>
      <c r="AA17" s="91">
        <f t="shared" si="1"/>
        <v>0</v>
      </c>
      <c r="AB17" s="58"/>
      <c r="AC17" s="4"/>
      <c r="AD17" s="120" t="str">
        <f>IFERROR(VLOOKUP($I$24&amp;D17,'Database-Hidden'!$C$2:$E$121,3,FALSE),"")</f>
        <v/>
      </c>
      <c r="AE17" s="93"/>
      <c r="AF17" s="107"/>
      <c r="AG17" s="107"/>
      <c r="AH17" s="107"/>
      <c r="AI17" s="107"/>
      <c r="AJ17" s="107"/>
      <c r="AK17" s="63"/>
      <c r="AL17" s="64" t="str">
        <f>IF(LEFT($D17,6)&lt;&gt;"Star: ","",VLOOKUP(RIGHT($D17,LEN($D17)-6),'Star Players-Hidden'!$A$3:$AK$69,37,FALSE))</f>
        <v/>
      </c>
      <c r="AM17" s="4"/>
      <c r="AN17" s="141" t="s">
        <v>108</v>
      </c>
      <c r="AO17" s="142"/>
      <c r="AP17" s="143"/>
      <c r="AQ17" s="144"/>
      <c r="AR17" s="145"/>
      <c r="AS17" s="146"/>
      <c r="AT17" s="147"/>
      <c r="AU17" s="149"/>
      <c r="AV17" s="150"/>
      <c r="AW17" s="130"/>
    </row>
    <row r="18" spans="1:49" ht="12.75">
      <c r="A18" s="2"/>
      <c r="B18" s="71">
        <v>15</v>
      </c>
      <c r="C18" s="72" t="s">
        <v>303</v>
      </c>
      <c r="D18" s="73" t="s">
        <v>304</v>
      </c>
      <c r="E18" s="75">
        <f>IFERROR(VLOOKUP($I$24&amp;$D18,'Database-Hidden'!$C$2:$J$121,4,FALSE)-P18+AG18,"")</f>
        <v>6</v>
      </c>
      <c r="F18" s="76">
        <f>IFERROR(VLOOKUP($I$24&amp;$D18,'Database-Hidden'!$C$2:$J$121,5,FALSE)-Q18+AH18,"")</f>
        <v>2</v>
      </c>
      <c r="G18" s="76">
        <f>IFERROR(VLOOKUP($I$24&amp;$D18,'Database-Hidden'!$C$2:$J$121,6,FALSE)-R18+AI18,"")</f>
        <v>3</v>
      </c>
      <c r="H18" s="77">
        <f>IFERROR(VLOOKUP($I$24&amp;$D18,'Database-Hidden'!$C$2:$J$121,7,FALSE)-S18+AJ18,"")</f>
        <v>7</v>
      </c>
      <c r="I18" s="78" t="str">
        <f>IFERROR(VLOOKUP($I$24&amp;$D18,'Database-Hidden'!$C$2:$J$121,8,FALSE),"")</f>
        <v>Right Stuff, Dodge, Stunty</v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85"/>
      <c r="Z18" s="90"/>
      <c r="AA18" s="91">
        <f t="shared" si="1"/>
        <v>0</v>
      </c>
      <c r="AB18" s="58">
        <f t="shared" si="2"/>
        <v>40000</v>
      </c>
      <c r="AC18" s="4"/>
      <c r="AD18" s="120">
        <f>IFERROR(VLOOKUP($I$24&amp;D18,'Database-Hidden'!$C$2:$E$121,3,FALSE),"")</f>
        <v>40000</v>
      </c>
      <c r="AE18" s="93"/>
      <c r="AF18" s="94"/>
      <c r="AG18" s="107"/>
      <c r="AH18" s="107"/>
      <c r="AI18" s="107"/>
      <c r="AJ18" s="107"/>
      <c r="AK18" s="63"/>
      <c r="AL18" s="64" t="str">
        <f>IF(LEFT($D18,6)&lt;&gt;"Star: ","",VLOOKUP(RIGHT($D18,LEN($D18)-6),'Star Players-Hidden'!$A$3:$AK$69,37,FALSE))</f>
        <v/>
      </c>
      <c r="AM18" s="4"/>
      <c r="AN18" s="157" t="s">
        <v>35</v>
      </c>
      <c r="AO18" s="160">
        <f>AO4+SUM(AO6:AO17)-SUM(AP6:AP17)-SUM(AQ6:AQ17)</f>
        <v>100000</v>
      </c>
      <c r="AP18" s="4"/>
      <c r="AQ18" s="4"/>
      <c r="AR18" s="68"/>
      <c r="AS18" s="157" t="s">
        <v>35</v>
      </c>
      <c r="AT18" s="162">
        <f t="shared" ref="AT18:AU18" si="3">SUM(AT6:AT17)</f>
        <v>3</v>
      </c>
      <c r="AU18" s="164">
        <f t="shared" si="3"/>
        <v>12</v>
      </c>
      <c r="AV18" s="168">
        <f>AV4+SUM(AV6:AV17)</f>
        <v>4</v>
      </c>
      <c r="AW18" s="5"/>
    </row>
    <row r="19" spans="1:49" ht="12.75">
      <c r="A19" s="2"/>
      <c r="B19" s="170">
        <v>16</v>
      </c>
      <c r="C19" s="172"/>
      <c r="D19" s="174"/>
      <c r="E19" s="176" t="str">
        <f>IFERROR(VLOOKUP($I$24&amp;$D19,'Database-Hidden'!$C$2:$J$121,4,FALSE)-P19+AG19,"")</f>
        <v/>
      </c>
      <c r="F19" s="177" t="str">
        <f>IFERROR(VLOOKUP($I$24&amp;$D19,'Database-Hidden'!$C$2:$J$121,5,FALSE)-Q19+AH19,"")</f>
        <v/>
      </c>
      <c r="G19" s="177" t="str">
        <f>IFERROR(VLOOKUP($I$24&amp;$D19,'Database-Hidden'!$C$2:$J$121,6,FALSE)-R19+AI19,"")</f>
        <v/>
      </c>
      <c r="H19" s="178" t="str">
        <f>IFERROR(VLOOKUP($I$24&amp;$D19,'Database-Hidden'!$C$2:$J$121,7,FALSE)-S19+AJ19,"")</f>
        <v/>
      </c>
      <c r="I19" s="180" t="str">
        <f>IFERROR(VLOOKUP($I$24&amp;$D19,'Database-Hidden'!$C$2:$J$121,8,FALSE),"")</f>
        <v/>
      </c>
      <c r="J19" s="182"/>
      <c r="K19" s="186">
        <f t="shared" si="0"/>
        <v>0</v>
      </c>
      <c r="L19" s="188"/>
      <c r="M19" s="188"/>
      <c r="N19" s="187"/>
      <c r="O19" s="189"/>
      <c r="P19" s="190"/>
      <c r="Q19" s="191"/>
      <c r="R19" s="191"/>
      <c r="S19" s="192"/>
      <c r="T19" s="193"/>
      <c r="U19" s="194"/>
      <c r="V19" s="194"/>
      <c r="W19" s="195"/>
      <c r="X19" s="191"/>
      <c r="Y19" s="191"/>
      <c r="Z19" s="196"/>
      <c r="AA19" s="197">
        <f t="shared" si="1"/>
        <v>0</v>
      </c>
      <c r="AB19" s="58"/>
      <c r="AC19" s="4"/>
      <c r="AD19" s="198" t="str">
        <f>IFERROR(VLOOKUP($I$24&amp;D19,'Database-Hidden'!$C$2:$E$121,3,FALSE),"")</f>
        <v/>
      </c>
      <c r="AE19" s="199"/>
      <c r="AF19" s="200"/>
      <c r="AG19" s="200"/>
      <c r="AH19" s="200"/>
      <c r="AI19" s="200"/>
      <c r="AJ19" s="200"/>
      <c r="AK19" s="201"/>
      <c r="AL19" s="202" t="str">
        <f>IF(LEFT($D19,6)&lt;&gt;"Star: ","",VLOOKUP(RIGHT($D19,LEN($D19)-6),'Star Players-Hidden'!$A$3:$AK$69,37,FALSE))</f>
        <v/>
      </c>
      <c r="AM19" s="4"/>
      <c r="AV19" s="203"/>
    </row>
    <row r="20" spans="1:49" ht="12.75">
      <c r="B20" s="328"/>
      <c r="C20" s="329"/>
      <c r="D20" s="330"/>
      <c r="E20" s="311" t="s">
        <v>118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3"/>
      <c r="AB20" s="204">
        <f>SUM(AB4:AB19)</f>
        <v>1050000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8"/>
      <c r="AO20" s="68"/>
      <c r="AP20" s="68"/>
      <c r="AQ20" s="68"/>
      <c r="AR20" s="68"/>
      <c r="AS20" s="68"/>
      <c r="AT20" s="68"/>
      <c r="AU20" s="68"/>
      <c r="AV20" s="205"/>
      <c r="AW20" s="68"/>
    </row>
    <row r="21" spans="1:49" ht="12.75">
      <c r="A21" s="2"/>
      <c r="B21" s="317"/>
      <c r="C21" s="315"/>
      <c r="D21" s="316"/>
      <c r="E21" s="333" t="s">
        <v>119</v>
      </c>
      <c r="F21" s="315"/>
      <c r="G21" s="315"/>
      <c r="H21" s="334"/>
      <c r="I21" s="349" t="s">
        <v>150</v>
      </c>
      <c r="J21" s="315"/>
      <c r="K21" s="316"/>
      <c r="L21" s="348" t="s">
        <v>121</v>
      </c>
      <c r="M21" s="319"/>
      <c r="N21" s="319"/>
      <c r="O21" s="319"/>
      <c r="P21" s="319"/>
      <c r="Q21" s="319"/>
      <c r="R21" s="319"/>
      <c r="S21" s="323"/>
      <c r="T21" s="206">
        <v>3</v>
      </c>
      <c r="U21" s="207" t="s">
        <v>36</v>
      </c>
      <c r="V21" s="321">
        <f>IFERROR(VLOOKUP(I24,'Database-Hidden'!N2:O28,2,FALSE),"")</f>
        <v>60000</v>
      </c>
      <c r="W21" s="319"/>
      <c r="X21" s="319"/>
      <c r="Y21" s="319"/>
      <c r="Z21" s="319"/>
      <c r="AA21" s="320"/>
      <c r="AB21" s="208">
        <f t="shared" ref="AB21:AB25" si="4">T21*V21</f>
        <v>180000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27" t="s">
        <v>122</v>
      </c>
      <c r="AO21" s="313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317"/>
      <c r="C22" s="315"/>
      <c r="D22" s="316"/>
      <c r="E22" s="315"/>
      <c r="F22" s="315"/>
      <c r="G22" s="315"/>
      <c r="H22" s="334"/>
      <c r="I22" s="317"/>
      <c r="J22" s="315"/>
      <c r="K22" s="316"/>
      <c r="L22" s="309" t="s">
        <v>123</v>
      </c>
      <c r="M22" s="304"/>
      <c r="N22" s="304"/>
      <c r="O22" s="304"/>
      <c r="P22" s="304"/>
      <c r="Q22" s="304"/>
      <c r="R22" s="304"/>
      <c r="S22" s="310"/>
      <c r="T22" s="211">
        <f>AV18</f>
        <v>4</v>
      </c>
      <c r="U22" s="210" t="s">
        <v>36</v>
      </c>
      <c r="V22" s="306">
        <v>10000</v>
      </c>
      <c r="W22" s="304"/>
      <c r="X22" s="304"/>
      <c r="Y22" s="304"/>
      <c r="Z22" s="304"/>
      <c r="AA22" s="307"/>
      <c r="AB22" s="212">
        <f t="shared" si="4"/>
        <v>40000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213" t="s">
        <v>124</v>
      </c>
      <c r="AO22" s="214">
        <f>AO18</f>
        <v>100000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317"/>
      <c r="C23" s="315"/>
      <c r="D23" s="316"/>
      <c r="E23" s="319"/>
      <c r="F23" s="319"/>
      <c r="G23" s="319"/>
      <c r="H23" s="335"/>
      <c r="I23" s="318"/>
      <c r="J23" s="319"/>
      <c r="K23" s="320"/>
      <c r="L23" s="309" t="s">
        <v>126</v>
      </c>
      <c r="M23" s="304"/>
      <c r="N23" s="304"/>
      <c r="O23" s="304"/>
      <c r="P23" s="304"/>
      <c r="Q23" s="304"/>
      <c r="R23" s="304"/>
      <c r="S23" s="310"/>
      <c r="T23" s="215">
        <v>0</v>
      </c>
      <c r="U23" s="216" t="s">
        <v>36</v>
      </c>
      <c r="V23" s="306">
        <v>10000</v>
      </c>
      <c r="W23" s="304"/>
      <c r="X23" s="304"/>
      <c r="Y23" s="304"/>
      <c r="Z23" s="304"/>
      <c r="AA23" s="307"/>
      <c r="AB23" s="212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217" t="s">
        <v>127</v>
      </c>
      <c r="AO23" s="218">
        <f>COUNTA(AR6:AR17)*10000</f>
        <v>70000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317"/>
      <c r="C24" s="315"/>
      <c r="D24" s="316"/>
      <c r="E24" s="340" t="s">
        <v>128</v>
      </c>
      <c r="F24" s="304"/>
      <c r="G24" s="304"/>
      <c r="H24" s="341"/>
      <c r="I24" s="308" t="s">
        <v>314</v>
      </c>
      <c r="J24" s="304"/>
      <c r="K24" s="307"/>
      <c r="L24" s="309" t="s">
        <v>130</v>
      </c>
      <c r="M24" s="304"/>
      <c r="N24" s="304"/>
      <c r="O24" s="304"/>
      <c r="P24" s="304"/>
      <c r="Q24" s="304"/>
      <c r="R24" s="304"/>
      <c r="S24" s="310"/>
      <c r="T24" s="215">
        <v>0</v>
      </c>
      <c r="U24" s="216" t="s">
        <v>36</v>
      </c>
      <c r="V24" s="306">
        <v>10000</v>
      </c>
      <c r="W24" s="304"/>
      <c r="X24" s="304"/>
      <c r="Y24" s="304"/>
      <c r="Z24" s="304"/>
      <c r="AA24" s="307"/>
      <c r="AB24" s="212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217" t="s">
        <v>53</v>
      </c>
      <c r="AO24" s="218">
        <f>AT18*5000</f>
        <v>15000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317"/>
      <c r="C25" s="315"/>
      <c r="D25" s="316"/>
      <c r="E25" s="340" t="str">
        <f>IFERROR(IF(VLOOKUP(I24,'Database-Hidden'!X2:Y28,2,FALSE)="Yes","NECROMANCER","HEAD COACH"),"HEAD COACH")</f>
        <v>HEAD COACH</v>
      </c>
      <c r="F25" s="304"/>
      <c r="G25" s="304"/>
      <c r="H25" s="341"/>
      <c r="I25" s="308" t="s">
        <v>316</v>
      </c>
      <c r="J25" s="304"/>
      <c r="K25" s="307"/>
      <c r="L25" s="346" t="str">
        <f>IFERROR(IF(VLOOKUP(I24,'Database-Hidden'!X2:Y28,1,FALSE)&lt;&gt;"","",""),"APOTHECARY")</f>
        <v>APOTHECARY</v>
      </c>
      <c r="M25" s="304"/>
      <c r="N25" s="304"/>
      <c r="O25" s="304"/>
      <c r="P25" s="304"/>
      <c r="Q25" s="304"/>
      <c r="R25" s="304"/>
      <c r="S25" s="341"/>
      <c r="T25" s="215">
        <v>1</v>
      </c>
      <c r="U25" s="210" t="str">
        <f>IF(L25&lt;&gt;"","x","")</f>
        <v>x</v>
      </c>
      <c r="V25" s="306">
        <f>IF(L25&lt;&gt;"",50000,"")</f>
        <v>50000</v>
      </c>
      <c r="W25" s="304"/>
      <c r="X25" s="304"/>
      <c r="Y25" s="304"/>
      <c r="Z25" s="304"/>
      <c r="AA25" s="307"/>
      <c r="AB25" s="212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219" t="s">
        <v>134</v>
      </c>
      <c r="AO25" s="220">
        <f>AU18*5000</f>
        <v>60000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317"/>
      <c r="C26" s="315"/>
      <c r="D26" s="316"/>
      <c r="E26" s="340" t="s">
        <v>135</v>
      </c>
      <c r="F26" s="304"/>
      <c r="G26" s="304"/>
      <c r="H26" s="304"/>
      <c r="I26" s="343">
        <f>AB20+AB28</f>
        <v>1320000</v>
      </c>
      <c r="J26" s="304"/>
      <c r="K26" s="304"/>
      <c r="L26" s="346" t="s">
        <v>136</v>
      </c>
      <c r="M26" s="304"/>
      <c r="N26" s="304"/>
      <c r="O26" s="304"/>
      <c r="P26" s="304"/>
      <c r="Q26" s="304"/>
      <c r="R26" s="304"/>
      <c r="S26" s="341"/>
      <c r="T26" s="215">
        <v>0</v>
      </c>
      <c r="U26" s="210" t="s">
        <v>36</v>
      </c>
      <c r="V26" s="306">
        <f>IF(I24="Halfling",200000,600000)</f>
        <v>600000</v>
      </c>
      <c r="W26" s="304"/>
      <c r="X26" s="304"/>
      <c r="Y26" s="304"/>
      <c r="Z26" s="304"/>
      <c r="AA26" s="307"/>
      <c r="AB26" s="212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221" t="s">
        <v>35</v>
      </c>
      <c r="AO26" s="222">
        <v>240000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317"/>
      <c r="C27" s="315"/>
      <c r="D27" s="316"/>
      <c r="E27" s="336" t="s">
        <v>137</v>
      </c>
      <c r="F27" s="325"/>
      <c r="G27" s="325"/>
      <c r="H27" s="325"/>
      <c r="I27" s="342">
        <f>AO18</f>
        <v>100000</v>
      </c>
      <c r="J27" s="325"/>
      <c r="K27" s="325"/>
      <c r="L27" s="324" t="s">
        <v>138</v>
      </c>
      <c r="M27" s="325"/>
      <c r="N27" s="325"/>
      <c r="O27" s="325"/>
      <c r="P27" s="325"/>
      <c r="Q27" s="325"/>
      <c r="R27" s="325"/>
      <c r="S27" s="326"/>
      <c r="T27" s="223">
        <v>0</v>
      </c>
      <c r="U27" s="224" t="s">
        <v>36</v>
      </c>
      <c r="V27" s="344">
        <f>IF(I24="Goblin",100000,200000)</f>
        <v>200000</v>
      </c>
      <c r="W27" s="325"/>
      <c r="X27" s="325"/>
      <c r="Y27" s="325"/>
      <c r="Z27" s="325"/>
      <c r="AA27" s="345"/>
      <c r="AB27" s="212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331"/>
      <c r="C28" s="305"/>
      <c r="D28" s="332"/>
      <c r="E28" s="311" t="s">
        <v>139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3"/>
      <c r="AB28" s="204">
        <f>SUM(AB21:AB27)</f>
        <v>270000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25"/>
      <c r="D29" s="225"/>
      <c r="E29" s="226"/>
      <c r="F29" s="4"/>
      <c r="G29" s="4"/>
      <c r="H29" s="4"/>
      <c r="I29" s="227"/>
      <c r="J29" s="228"/>
      <c r="K29" s="4"/>
      <c r="L29" s="229"/>
      <c r="M29" s="229"/>
      <c r="N29" s="229"/>
      <c r="O29" s="229"/>
      <c r="P29" s="229"/>
      <c r="Q29" s="229"/>
      <c r="R29" s="229"/>
      <c r="S29" s="229"/>
      <c r="T29" s="230"/>
      <c r="U29" s="231"/>
      <c r="V29" s="9"/>
      <c r="W29" s="232"/>
      <c r="X29" s="232"/>
      <c r="Y29" s="232"/>
      <c r="Z29" s="232"/>
      <c r="AA29" s="232"/>
      <c r="AB29" s="23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34">
        <f>MATCH(I24,'Database-Hidden'!A2:A121,0)</f>
        <v>84</v>
      </c>
      <c r="D30" s="234" t="str">
        <f t="shared" ref="D30:D39" si="6">I30&amp;IF(COUNTIF(D$4:D$19,I30)&gt;E30," (Too Many)","")</f>
        <v>Lineman</v>
      </c>
      <c r="E30" s="235">
        <f t="array" ref="E30">IFERROR(IF(INDEX('Database-Hidden'!$A$2:$B$121,$C30,1)=$I$24,INDEX('Database-Hidden'!$A$2:$D$121,$C30,4),""),"")</f>
        <v>16</v>
      </c>
      <c r="I30" s="234" t="str">
        <f t="array" ref="I30">IFERROR(IF(INDEX('Database-Hidden'!$A$2:$B$121,$C30,1)=$I$24,INDEX('Database-Hidden'!$A$2:$B$121,$C30,2),""),"")</f>
        <v>Lineman</v>
      </c>
      <c r="AV30" s="203"/>
    </row>
    <row r="31" spans="1:49" ht="17.25" hidden="1" customHeight="1">
      <c r="C31" s="234">
        <f t="shared" ref="C31:C39" si="7">C30+1</f>
        <v>85</v>
      </c>
      <c r="D31" s="234" t="str">
        <f t="shared" si="6"/>
        <v>Goblin</v>
      </c>
      <c r="E31" s="235">
        <f t="array" ref="E31">IFERROR(IF(INDEX('Database-Hidden'!$A$2:$B$121,$C31,1)=$I$24,INDEX('Database-Hidden'!$A$2:$D$121,$C31,4),""),"")</f>
        <v>4</v>
      </c>
      <c r="I31" s="234" t="str">
        <f t="array" ref="I31">IFERROR(IF(INDEX('Database-Hidden'!$A$2:$B$121,$C31,1)=$I$24,INDEX('Database-Hidden'!$A$2:$B$121,$C31,2),""),"")</f>
        <v>Goblin</v>
      </c>
      <c r="AV31" s="203"/>
    </row>
    <row r="32" spans="1:49" ht="17.25" hidden="1" customHeight="1">
      <c r="C32" s="234">
        <f t="shared" si="7"/>
        <v>86</v>
      </c>
      <c r="D32" s="234" t="str">
        <f t="shared" si="6"/>
        <v>Thrower</v>
      </c>
      <c r="E32" s="235">
        <f t="array" ref="E32">IFERROR(IF(INDEX('Database-Hidden'!$A$2:$B$121,$C32,1)=$I$24,INDEX('Database-Hidden'!$A$2:$D$121,$C32,4),""),"")</f>
        <v>2</v>
      </c>
      <c r="I32" s="234" t="str">
        <f t="array" ref="I32">IFERROR(IF(INDEX('Database-Hidden'!$A$2:$B$121,$C32,1)=$I$24,INDEX('Database-Hidden'!$A$2:$B$121,$C32,2),""),"")</f>
        <v>Thrower</v>
      </c>
      <c r="AV32" s="203"/>
    </row>
    <row r="33" spans="3:48" ht="17.25" hidden="1" customHeight="1">
      <c r="C33" s="234">
        <f t="shared" si="7"/>
        <v>87</v>
      </c>
      <c r="D33" s="234" t="str">
        <f t="shared" si="6"/>
        <v>Black Orc Blocker</v>
      </c>
      <c r="E33" s="235">
        <f t="array" ref="E33">IFERROR(IF(INDEX('Database-Hidden'!$A$2:$B$121,$C33,1)=$I$24,INDEX('Database-Hidden'!$A$2:$D$121,$C33,4),""),"")</f>
        <v>4</v>
      </c>
      <c r="I33" s="234" t="str">
        <f t="array" ref="I33">IFERROR(IF(INDEX('Database-Hidden'!$A$2:$B$121,$C33,1)=$I$24,INDEX('Database-Hidden'!$A$2:$B$121,$C33,2),""),"")</f>
        <v>Black Orc Blocker</v>
      </c>
      <c r="AV33" s="203"/>
    </row>
    <row r="34" spans="3:48" ht="17.25" hidden="1" customHeight="1">
      <c r="C34" s="234">
        <f t="shared" si="7"/>
        <v>88</v>
      </c>
      <c r="D34" s="234" t="str">
        <f t="shared" si="6"/>
        <v>Blitzer</v>
      </c>
      <c r="E34" s="235">
        <f t="array" ref="E34">IFERROR(IF(INDEX('Database-Hidden'!$A$2:$B$121,$C34,1)=$I$24,INDEX('Database-Hidden'!$A$2:$D$121,$C34,4),""),"")</f>
        <v>4</v>
      </c>
      <c r="I34" s="234" t="str">
        <f t="array" ref="I34">IFERROR(IF(INDEX('Database-Hidden'!$A$2:$B$121,$C34,1)=$I$24,INDEX('Database-Hidden'!$A$2:$B$121,$C34,2),""),"")</f>
        <v>Blitzer</v>
      </c>
      <c r="AV34" s="203"/>
    </row>
    <row r="35" spans="3:48" ht="17.25" hidden="1" customHeight="1">
      <c r="C35" s="234">
        <f t="shared" si="7"/>
        <v>89</v>
      </c>
      <c r="D35" s="234" t="str">
        <f t="shared" si="6"/>
        <v>Troll</v>
      </c>
      <c r="E35" s="235">
        <f t="array" ref="E35">IFERROR(IF(INDEX('Database-Hidden'!$A$2:$B$121,$C35,1)=$I$24,INDEX('Database-Hidden'!$A$2:$D$121,$C35,4),""),"")</f>
        <v>1</v>
      </c>
      <c r="I35" s="234" t="str">
        <f t="array" ref="I35">IFERROR(IF(INDEX('Database-Hidden'!$A$2:$B$121,$C35,1)=$I$24,INDEX('Database-Hidden'!$A$2:$B$121,$C35,2),""),"")</f>
        <v>Troll</v>
      </c>
      <c r="AV35" s="203"/>
    </row>
    <row r="36" spans="3:48" ht="17.25" hidden="1" customHeight="1">
      <c r="C36" s="234">
        <f t="shared" si="7"/>
        <v>90</v>
      </c>
      <c r="D36" s="234" t="str">
        <f t="shared" si="6"/>
        <v/>
      </c>
      <c r="E36" s="235" t="str">
        <f t="array" ref="E36">IFERROR(IF(INDEX('Database-Hidden'!$A$2:$B$121,$C36,1)=$I$24,INDEX('Database-Hidden'!$A$2:$D$121,$C36,4),""),"")</f>
        <v/>
      </c>
      <c r="I36" s="234" t="str">
        <f t="array" ref="I36">IFERROR(IF(INDEX('Database-Hidden'!$A$2:$B$121,$C36,1)=$I$24,INDEX('Database-Hidden'!$A$2:$B$121,$C36,2),""),"")</f>
        <v/>
      </c>
      <c r="AV36" s="203"/>
    </row>
    <row r="37" spans="3:48" ht="17.25" hidden="1" customHeight="1">
      <c r="C37" s="234">
        <f t="shared" si="7"/>
        <v>91</v>
      </c>
      <c r="D37" s="234" t="str">
        <f t="shared" si="6"/>
        <v/>
      </c>
      <c r="E37" s="235" t="str">
        <f t="array" ref="E37">IFERROR(IF(INDEX('Database-Hidden'!$A$2:$B$121,$C37,1)=$I$24,INDEX('Database-Hidden'!$A$2:$D$121,$C37,4),""),"")</f>
        <v/>
      </c>
      <c r="I37" s="234" t="str">
        <f t="array" ref="I37">IFERROR(IF(INDEX('Database-Hidden'!$A$2:$B$121,$C37,1)=$I$24,INDEX('Database-Hidden'!$A$2:$B$121,$C37,2),""),"")</f>
        <v/>
      </c>
      <c r="AV37" s="203"/>
    </row>
    <row r="38" spans="3:48" ht="17.25" hidden="1" customHeight="1">
      <c r="C38" s="234">
        <f t="shared" si="7"/>
        <v>92</v>
      </c>
      <c r="D38" s="234" t="str">
        <f t="shared" si="6"/>
        <v/>
      </c>
      <c r="E38" s="235" t="str">
        <f t="array" ref="E38">IFERROR(IF(INDEX('Database-Hidden'!$A$2:$B$121,$C38,1)=$I$24,INDEX('Database-Hidden'!$A$2:$D$121,$C38,4),""),"")</f>
        <v/>
      </c>
      <c r="I38" s="234" t="str">
        <f t="array" ref="I38">IFERROR(IF(INDEX('Database-Hidden'!$A$2:$B$121,$C38,1)=$I$24,INDEX('Database-Hidden'!$A$2:$B$121,$C38,2),""),"")</f>
        <v/>
      </c>
      <c r="AV38" s="203"/>
    </row>
    <row r="39" spans="3:48" ht="17.25" hidden="1" customHeight="1">
      <c r="C39" s="234">
        <f t="shared" si="7"/>
        <v>93</v>
      </c>
      <c r="D39" s="234" t="str">
        <f t="shared" si="6"/>
        <v/>
      </c>
      <c r="E39" s="235" t="str">
        <f t="array" ref="E39">IFERROR(IF(INDEX('Database-Hidden'!$A$2:$B$121,$C39,1)=$I$24,INDEX('Database-Hidden'!$A$2:$D$121,$C39,4),""),"")</f>
        <v/>
      </c>
      <c r="I39" s="234" t="str">
        <f t="array" ref="I39">IFERROR(IF(INDEX('Database-Hidden'!$A$2:$B$121,$C39,1)=$I$24,INDEX('Database-Hidden'!$A$2:$B$121,$C39,2),""),"")</f>
        <v/>
      </c>
      <c r="AV39" s="203"/>
    </row>
    <row r="40" spans="3:48" ht="17.25" hidden="1" customHeight="1">
      <c r="C40" s="236">
        <f>MATCH(I24,'Star Players-Hidden'!D2:AD2,0)</f>
        <v>20</v>
      </c>
      <c r="D40" s="236" t="str">
        <f t="shared" ref="D40:D51" ca="1" si="8">I40&amp;IF(COUNTIF(D$4:D$19,I40)&gt;1," (Too Many)","")</f>
        <v>Star: Bomber Dribblesnot</v>
      </c>
      <c r="E40" s="237"/>
      <c r="F40" s="237"/>
      <c r="G40" s="237"/>
      <c r="H40" s="237"/>
      <c r="I40" s="236" t="str">
        <f ca="1">IFERROR(__xludf.DUMMYFUNCTION("FILTER({""Star: ""&amp;'Star Players-Hidden'!A3:A69},INDEX('Star Players-Hidden'!D3:AD69,0,C40)&lt;&gt;"""",{'Star Players-Hidden'!C3:C69=""""}+{'Star Players-Hidden'!C3:C69=I21})"),"Star: Bomber Dribblesnot")</f>
        <v>Star: Bomber Dribblesnot</v>
      </c>
      <c r="AV40" s="203"/>
    </row>
    <row r="41" spans="3:48" ht="17.25" hidden="1" customHeight="1">
      <c r="C41" s="234"/>
      <c r="D41" s="234" t="str">
        <f t="shared" ca="1" si="8"/>
        <v>Star: Morg'n'Thorg</v>
      </c>
      <c r="I41" s="238" t="str">
        <f ca="1">IFERROR(__xludf.DUMMYFUNCTION("""COMPUTED_VALUE"""),"Star: Morg'n'Thorg")</f>
        <v>Star: Morg'n'Thorg</v>
      </c>
      <c r="AV41" s="203"/>
    </row>
    <row r="42" spans="3:48" ht="17.25" hidden="1" customHeight="1">
      <c r="C42" s="234"/>
      <c r="D42" s="234" t="str">
        <f t="shared" ca="1" si="8"/>
        <v>Star: Ripper Bolgrot</v>
      </c>
      <c r="I42" s="234" t="str">
        <f ca="1">IFERROR(__xludf.DUMMYFUNCTION("""COMPUTED_VALUE"""),"Star: Ripper Bolgrot")</f>
        <v>Star: Ripper Bolgrot</v>
      </c>
      <c r="AV42" s="203"/>
    </row>
    <row r="43" spans="3:48" ht="17.25" hidden="1" customHeight="1">
      <c r="C43" s="234"/>
      <c r="D43" s="234" t="str">
        <f t="shared" ca="1" si="8"/>
        <v>Star: Scrappa Sorehead</v>
      </c>
      <c r="I43" s="234" t="str">
        <f ca="1">IFERROR(__xludf.DUMMYFUNCTION("""COMPUTED_VALUE"""),"Star: Scrappa Sorehead")</f>
        <v>Star: Scrappa Sorehead</v>
      </c>
      <c r="AV43" s="203"/>
    </row>
    <row r="44" spans="3:48" ht="17.25" hidden="1" customHeight="1">
      <c r="C44" s="234"/>
      <c r="D44" s="234" t="str">
        <f t="shared" ca="1" si="8"/>
        <v>Star: Ugroth Bolgrot</v>
      </c>
      <c r="I44" s="234" t="str">
        <f ca="1">IFERROR(__xludf.DUMMYFUNCTION("""COMPUTED_VALUE"""),"Star: Ugroth Bolgrot")</f>
        <v>Star: Ugroth Bolgrot</v>
      </c>
      <c r="AV44" s="203"/>
    </row>
    <row r="45" spans="3:48" ht="17.25" hidden="1" customHeight="1">
      <c r="C45" s="234"/>
      <c r="D45" s="234" t="str">
        <f t="shared" ca="1" si="8"/>
        <v>Star: Varag Ghoul-Chewer</v>
      </c>
      <c r="I45" s="234" t="str">
        <f ca="1">IFERROR(__xludf.DUMMYFUNCTION("""COMPUTED_VALUE"""),"Star: Varag Ghoul-Chewer")</f>
        <v>Star: Varag Ghoul-Chewer</v>
      </c>
      <c r="AV45" s="203"/>
    </row>
    <row r="46" spans="3:48" ht="17.25" hidden="1" customHeight="1">
      <c r="C46" s="234"/>
      <c r="D46" s="234" t="str">
        <f t="shared" si="8"/>
        <v/>
      </c>
      <c r="I46" s="234"/>
      <c r="AV46" s="203"/>
    </row>
    <row r="47" spans="3:48" ht="17.25" hidden="1" customHeight="1">
      <c r="C47" s="234"/>
      <c r="D47" s="234" t="str">
        <f t="shared" si="8"/>
        <v/>
      </c>
      <c r="I47" s="234"/>
      <c r="AV47" s="203"/>
    </row>
    <row r="48" spans="3:48" ht="17.25" hidden="1" customHeight="1">
      <c r="C48" s="234"/>
      <c r="D48" s="234" t="str">
        <f t="shared" si="8"/>
        <v/>
      </c>
      <c r="I48" s="234"/>
      <c r="AV48" s="203"/>
    </row>
    <row r="49" spans="3:48" ht="17.25" hidden="1" customHeight="1">
      <c r="C49" s="234"/>
      <c r="D49" s="234" t="str">
        <f t="shared" si="8"/>
        <v/>
      </c>
      <c r="I49" s="234"/>
      <c r="AV49" s="203"/>
    </row>
    <row r="50" spans="3:48" ht="17.25" hidden="1" customHeight="1">
      <c r="C50" s="234"/>
      <c r="D50" s="234" t="str">
        <f t="shared" si="8"/>
        <v/>
      </c>
      <c r="I50" s="234"/>
      <c r="AV50" s="203"/>
    </row>
    <row r="51" spans="3:48" ht="17.25" hidden="1" customHeight="1">
      <c r="C51" s="234"/>
      <c r="D51" s="234" t="str">
        <f t="shared" si="8"/>
        <v/>
      </c>
      <c r="I51" s="234"/>
      <c r="AV51" s="203"/>
    </row>
  </sheetData>
  <mergeCells count="31">
    <mergeCell ref="B20:D28"/>
    <mergeCell ref="P2:S2"/>
    <mergeCell ref="AN3:AQ3"/>
    <mergeCell ref="AR3:AV3"/>
    <mergeCell ref="L22:S22"/>
    <mergeCell ref="L23:S23"/>
    <mergeCell ref="V22:AA22"/>
    <mergeCell ref="V23:AA23"/>
    <mergeCell ref="E20:AA20"/>
    <mergeCell ref="V25:AA25"/>
    <mergeCell ref="L25:S25"/>
    <mergeCell ref="I27:K27"/>
    <mergeCell ref="I21:K23"/>
    <mergeCell ref="E21:H23"/>
    <mergeCell ref="E25:H25"/>
    <mergeCell ref="E24:H24"/>
    <mergeCell ref="I24:K24"/>
    <mergeCell ref="I25:K25"/>
    <mergeCell ref="E26:H26"/>
    <mergeCell ref="I26:K26"/>
    <mergeCell ref="V26:AA26"/>
    <mergeCell ref="L26:S26"/>
    <mergeCell ref="V24:AA24"/>
    <mergeCell ref="L24:S24"/>
    <mergeCell ref="V21:AA21"/>
    <mergeCell ref="L21:S21"/>
    <mergeCell ref="AN21:AO21"/>
    <mergeCell ref="E28:AA28"/>
    <mergeCell ref="L27:S27"/>
    <mergeCell ref="V27:AA27"/>
    <mergeCell ref="E27:H27"/>
  </mergeCells>
  <conditionalFormatting sqref="J4">
    <cfRule type="expression" dxfId="144" priority="1">
      <formula>K4&lt;&gt;SUM(AE4:AJ4)</formula>
    </cfRule>
  </conditionalFormatting>
  <conditionalFormatting sqref="K4:K19">
    <cfRule type="cellIs" dxfId="143" priority="2" operator="equal">
      <formula>0</formula>
    </cfRule>
  </conditionalFormatting>
  <conditionalFormatting sqref="AB4:AB19">
    <cfRule type="cellIs" dxfId="142" priority="3" operator="equal">
      <formula>0</formula>
    </cfRule>
  </conditionalFormatting>
  <conditionalFormatting sqref="E4:H19">
    <cfRule type="expression" dxfId="141" priority="4">
      <formula>AG4&gt;0</formula>
    </cfRule>
  </conditionalFormatting>
  <conditionalFormatting sqref="E4:H19">
    <cfRule type="expression" dxfId="140" priority="5">
      <formula>P4&gt;0</formula>
    </cfRule>
  </conditionalFormatting>
  <conditionalFormatting sqref="T4:T19 U4:U19 V4:W19 Z4:Z19 U29">
    <cfRule type="cellIs" dxfId="139" priority="6" stopIfTrue="1" operator="equal">
      <formula>0</formula>
    </cfRule>
  </conditionalFormatting>
  <conditionalFormatting sqref="K4:K19">
    <cfRule type="cellIs" dxfId="138" priority="7" stopIfTrue="1" operator="equal">
      <formula>"n/a"</formula>
    </cfRule>
  </conditionalFormatting>
  <conditionalFormatting sqref="P4:S19">
    <cfRule type="cellIs" dxfId="137" priority="8" stopIfTrue="1" operator="lessThanOrEqual">
      <formula>-1</formula>
    </cfRule>
  </conditionalFormatting>
  <conditionalFormatting sqref="V25:W27">
    <cfRule type="cellIs" dxfId="136" priority="9" stopIfTrue="1" operator="equal">
      <formula>-500</formula>
    </cfRule>
  </conditionalFormatting>
  <conditionalFormatting sqref="T25:T27">
    <cfRule type="cellIs" dxfId="135" priority="10" stopIfTrue="1" operator="greaterThan">
      <formula>$V$25</formula>
    </cfRule>
  </conditionalFormatting>
  <conditionalFormatting sqref="AA4:AA19">
    <cfRule type="cellIs" dxfId="134" priority="11" stopIfTrue="1" operator="equal">
      <formula>"Star"</formula>
    </cfRule>
  </conditionalFormatting>
  <conditionalFormatting sqref="AA4:AA19">
    <cfRule type="cellIs" dxfId="133" priority="12" stopIfTrue="1" operator="equal">
      <formula>AB4</formula>
    </cfRule>
  </conditionalFormatting>
  <conditionalFormatting sqref="I4:I19">
    <cfRule type="cellIs" dxfId="132" priority="13" stopIfTrue="1" operator="equal">
      <formula>0</formula>
    </cfRule>
  </conditionalFormatting>
  <conditionalFormatting sqref="I4:I19">
    <cfRule type="cellIs" dxfId="131" priority="14" stopIfTrue="1" operator="equal">
      <formula>"Player type quantity surpassed"</formula>
    </cfRule>
  </conditionalFormatting>
  <conditionalFormatting sqref="J5">
    <cfRule type="expression" dxfId="130" priority="15">
      <formula>K5&lt;&gt;SUM(AE5:AJ5)</formula>
    </cfRule>
  </conditionalFormatting>
  <conditionalFormatting sqref="J6">
    <cfRule type="expression" dxfId="129" priority="16">
      <formula>K6&lt;&gt;SUM(AE6:AJ6)</formula>
    </cfRule>
  </conditionalFormatting>
  <conditionalFormatting sqref="J7">
    <cfRule type="expression" dxfId="128" priority="17">
      <formula>K7&lt;&gt;SUM(AE7:AJ7)</formula>
    </cfRule>
  </conditionalFormatting>
  <conditionalFormatting sqref="J8">
    <cfRule type="expression" dxfId="127" priority="18">
      <formula>K8&lt;&gt;SUM(AE8:AJ8)</formula>
    </cfRule>
  </conditionalFormatting>
  <conditionalFormatting sqref="J9">
    <cfRule type="expression" dxfId="126" priority="19">
      <formula>K9&lt;&gt;SUM(AE9:AJ9)</formula>
    </cfRule>
  </conditionalFormatting>
  <conditionalFormatting sqref="J10">
    <cfRule type="expression" dxfId="125" priority="20">
      <formula>K10&lt;&gt;SUM(AE10:AJ10)</formula>
    </cfRule>
  </conditionalFormatting>
  <conditionalFormatting sqref="J11">
    <cfRule type="expression" dxfId="124" priority="21">
      <formula>K11&lt;&gt;SUM(AE11:AJ11)</formula>
    </cfRule>
  </conditionalFormatting>
  <conditionalFormatting sqref="J12">
    <cfRule type="expression" dxfId="123" priority="22">
      <formula>K12&lt;&gt;SUM(AE12:AJ12)</formula>
    </cfRule>
  </conditionalFormatting>
  <conditionalFormatting sqref="J13">
    <cfRule type="expression" dxfId="122" priority="23">
      <formula>K13&lt;&gt;SUM(AE13:AJ13)</formula>
    </cfRule>
  </conditionalFormatting>
  <conditionalFormatting sqref="J14">
    <cfRule type="expression" dxfId="121" priority="24">
      <formula>K14&lt;&gt;SUM(AE14:AJ14)</formula>
    </cfRule>
  </conditionalFormatting>
  <conditionalFormatting sqref="J15">
    <cfRule type="expression" dxfId="120" priority="25">
      <formula>K15&lt;&gt;SUM(AE15:AJ15)</formula>
    </cfRule>
  </conditionalFormatting>
  <conditionalFormatting sqref="J16">
    <cfRule type="expression" dxfId="119" priority="26">
      <formula>K16&lt;&gt;SUM(AE16:AJ16)</formula>
    </cfRule>
  </conditionalFormatting>
  <conditionalFormatting sqref="J17">
    <cfRule type="expression" dxfId="118" priority="27">
      <formula>K17&lt;&gt;SUM(AE17:AJ17)</formula>
    </cfRule>
  </conditionalFormatting>
  <conditionalFormatting sqref="J18">
    <cfRule type="expression" dxfId="117" priority="28">
      <formula>K18&lt;&gt;SUM(AE18:AJ18)</formula>
    </cfRule>
  </conditionalFormatting>
  <conditionalFormatting sqref="J19">
    <cfRule type="expression" dxfId="116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PM!$D$28:$D$49</formula1>
    </dataValidation>
  </dataValidations>
  <printOptions horizontalCentered="1" gridLines="1"/>
  <pageMargins left="0.7" right="0.7" top="0.75" bottom="0.75" header="0" footer="0"/>
  <pageSetup scale="72" pageOrder="overThenDown"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W51"/>
  <sheetViews>
    <sheetView showGridLines="0" workbookViewId="0">
      <selection activeCell="AB6" sqref="AB6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337" t="s">
        <v>3</v>
      </c>
      <c r="Q2" s="329"/>
      <c r="R2" s="329"/>
      <c r="S2" s="330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14</v>
      </c>
      <c r="J3" s="21" t="s">
        <v>16</v>
      </c>
      <c r="K3" s="22" t="s">
        <v>0</v>
      </c>
      <c r="L3" s="23" t="s">
        <v>17</v>
      </c>
      <c r="M3" s="24" t="s">
        <v>19</v>
      </c>
      <c r="N3" s="24" t="s">
        <v>20</v>
      </c>
      <c r="O3" s="25" t="s">
        <v>21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23</v>
      </c>
      <c r="U3" s="30" t="s">
        <v>24</v>
      </c>
      <c r="V3" s="30" t="s">
        <v>9</v>
      </c>
      <c r="W3" s="30" t="s">
        <v>25</v>
      </c>
      <c r="X3" s="31" t="s">
        <v>26</v>
      </c>
      <c r="Y3" s="25" t="s">
        <v>27</v>
      </c>
      <c r="Z3" s="32" t="s">
        <v>10</v>
      </c>
      <c r="AA3" s="33" t="s">
        <v>11</v>
      </c>
      <c r="AB3" s="34" t="s">
        <v>28</v>
      </c>
      <c r="AC3" s="4"/>
      <c r="AD3" s="13" t="s">
        <v>29</v>
      </c>
      <c r="AE3" s="20" t="s">
        <v>19</v>
      </c>
      <c r="AF3" s="35" t="s">
        <v>30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31</v>
      </c>
      <c r="AL3" s="39" t="s">
        <v>32</v>
      </c>
      <c r="AM3" s="4"/>
      <c r="AN3" s="338" t="s">
        <v>33</v>
      </c>
      <c r="AO3" s="315"/>
      <c r="AP3" s="315"/>
      <c r="AQ3" s="315"/>
      <c r="AR3" s="339" t="s">
        <v>34</v>
      </c>
      <c r="AS3" s="315"/>
      <c r="AT3" s="315"/>
      <c r="AU3" s="315"/>
      <c r="AV3" s="315"/>
      <c r="AW3" s="12"/>
    </row>
    <row r="4" spans="1:49" ht="12.75">
      <c r="A4" s="2"/>
      <c r="B4" s="40">
        <v>1</v>
      </c>
      <c r="C4" s="41" t="s">
        <v>283</v>
      </c>
      <c r="D4" s="42" t="s">
        <v>89</v>
      </c>
      <c r="E4" s="43">
        <f>IFERROR(VLOOKUP($I$24&amp;$D4,'Database-Hidden'!$C$2:$J$121,4,FALSE)-P4+AG4,"")</f>
        <v>6</v>
      </c>
      <c r="F4" s="44">
        <f>IFERROR(VLOOKUP($I$24&amp;$D4,'Database-Hidden'!$C$2:$J$121,5,FALSE)-Q4+AH4,"")</f>
        <v>3</v>
      </c>
      <c r="G4" s="44">
        <f>IFERROR(VLOOKUP($I$24&amp;$D4,'Database-Hidden'!$C$2:$J$121,6,FALSE)-R4+AI4,"")</f>
        <v>3</v>
      </c>
      <c r="H4" s="45">
        <f>IFERROR(VLOOKUP($I$24&amp;$D4,'Database-Hidden'!$C$2:$J$121,7,FALSE)-S4+AJ4,"")</f>
        <v>7</v>
      </c>
      <c r="I4" s="46">
        <f>IFERROR(VLOOKUP($I$24&amp;$D4,'Database-Hidden'!$C$2:$J$121,8,FALSE),"")</f>
        <v>0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/>
      <c r="X4" s="52"/>
      <c r="Y4" s="52">
        <v>1</v>
      </c>
      <c r="Z4" s="56">
        <v>1</v>
      </c>
      <c r="AA4" s="57">
        <f t="shared" ref="AA4:AA19" si="1">2*T4+U4+3*V4+2*W4+5*Z4</f>
        <v>5</v>
      </c>
      <c r="AB4" s="58">
        <f t="shared" ref="AB4:AB19" si="2">IF(L4=1,0,AD4+(20000*O4)+(20000*AE4)+(30000*AF4)+(30000*AG4)+(50000*AH4)+(40000*AI4)+(50000*AJ4)+AK4)</f>
        <v>40000</v>
      </c>
      <c r="AC4" s="4"/>
      <c r="AD4" s="59">
        <f>IFERROR(VLOOKUP($I$24&amp;D4,'Database-Hidden'!$C$2:$E$121,3,FALSE),"")</f>
        <v>40000</v>
      </c>
      <c r="AE4" s="60"/>
      <c r="AF4" s="62"/>
      <c r="AG4" s="62"/>
      <c r="AH4" s="62"/>
      <c r="AI4" s="62"/>
      <c r="AJ4" s="62"/>
      <c r="AK4" s="63"/>
      <c r="AL4" s="64" t="str">
        <f>IF(LEFT($D4,6)&lt;&gt;"Star: ","",VLOOKUP(RIGHT($D4,LEN($D4)-6),'Star Players-Hidden'!$A$3:$AK$69,37,FALSE))</f>
        <v/>
      </c>
      <c r="AM4" s="4"/>
      <c r="AN4" s="65" t="s">
        <v>39</v>
      </c>
      <c r="AO4" s="66">
        <v>0</v>
      </c>
      <c r="AP4" s="4"/>
      <c r="AQ4" s="4"/>
      <c r="AR4" s="67"/>
      <c r="AS4" s="68"/>
      <c r="AT4" s="68"/>
      <c r="AU4" s="65" t="s">
        <v>42</v>
      </c>
      <c r="AV4" s="69">
        <v>0</v>
      </c>
      <c r="AW4" s="70"/>
    </row>
    <row r="5" spans="1:49" ht="12.75">
      <c r="A5" s="2"/>
      <c r="B5" s="71">
        <v>2</v>
      </c>
      <c r="C5" s="72" t="s">
        <v>285</v>
      </c>
      <c r="D5" s="73" t="s">
        <v>89</v>
      </c>
      <c r="E5" s="75">
        <f>IFERROR(VLOOKUP($I$24&amp;$D5,'Database-Hidden'!$C$2:$J$121,4,FALSE)-P5+AG5,"")</f>
        <v>6</v>
      </c>
      <c r="F5" s="76">
        <f>IFERROR(VLOOKUP($I$24&amp;$D5,'Database-Hidden'!$C$2:$J$121,5,FALSE)-Q5+AH5,"")</f>
        <v>3</v>
      </c>
      <c r="G5" s="76">
        <f>IFERROR(VLOOKUP($I$24&amp;$D5,'Database-Hidden'!$C$2:$J$121,6,FALSE)-R5+AI5,"")</f>
        <v>3</v>
      </c>
      <c r="H5" s="77">
        <f>IFERROR(VLOOKUP($I$24&amp;$D5,'Database-Hidden'!$C$2:$J$121,7,FALSE)-S5+AJ5,"")</f>
        <v>7</v>
      </c>
      <c r="I5" s="78">
        <f>IFERROR(VLOOKUP($I$24&amp;$D5,'Database-Hidden'!$C$2:$J$121,8,FALSE),"")</f>
        <v>0</v>
      </c>
      <c r="J5" s="79" t="s">
        <v>55</v>
      </c>
      <c r="K5" s="80">
        <f t="shared" si="0"/>
        <v>1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>
        <v>2</v>
      </c>
      <c r="W5" s="89"/>
      <c r="X5" s="85"/>
      <c r="Y5" s="85"/>
      <c r="Z5" s="90"/>
      <c r="AA5" s="91">
        <f t="shared" si="1"/>
        <v>6</v>
      </c>
      <c r="AB5" s="58">
        <f t="shared" si="2"/>
        <v>60000</v>
      </c>
      <c r="AC5" s="4"/>
      <c r="AD5" s="92">
        <f>IFERROR(VLOOKUP($I$24&amp;D5,'Database-Hidden'!$C$2:$E$121,3,FALSE),"")</f>
        <v>40000</v>
      </c>
      <c r="AE5" s="93">
        <v>1</v>
      </c>
      <c r="AF5" s="94"/>
      <c r="AG5" s="94"/>
      <c r="AH5" s="94"/>
      <c r="AI5" s="94"/>
      <c r="AJ5" s="94"/>
      <c r="AK5" s="63"/>
      <c r="AL5" s="64" t="str">
        <f>IF(LEFT($D5,6)&lt;&gt;"Star: ","",VLOOKUP(RIGHT($D5,LEN($D5)-6),'Star Players-Hidden'!$A$3:$AK$69,37,FALSE))</f>
        <v/>
      </c>
      <c r="AM5" s="1"/>
      <c r="AN5" s="95" t="s">
        <v>47</v>
      </c>
      <c r="AO5" s="96" t="s">
        <v>48</v>
      </c>
      <c r="AP5" s="98" t="s">
        <v>49</v>
      </c>
      <c r="AQ5" s="99" t="s">
        <v>50</v>
      </c>
      <c r="AR5" s="100" t="s">
        <v>51</v>
      </c>
      <c r="AS5" s="98" t="s">
        <v>52</v>
      </c>
      <c r="AT5" s="101" t="s">
        <v>53</v>
      </c>
      <c r="AU5" s="101" t="s">
        <v>54</v>
      </c>
      <c r="AV5" s="103" t="s">
        <v>2</v>
      </c>
      <c r="AW5" s="104"/>
    </row>
    <row r="6" spans="1:49" ht="12.75">
      <c r="A6" s="2"/>
      <c r="B6" s="71">
        <v>3</v>
      </c>
      <c r="C6" s="72"/>
      <c r="D6" s="73"/>
      <c r="E6" s="75"/>
      <c r="F6" s="76"/>
      <c r="G6" s="76"/>
      <c r="H6" s="77"/>
      <c r="I6" s="78"/>
      <c r="J6" s="79"/>
      <c r="K6" s="80">
        <f t="shared" si="0"/>
        <v>0</v>
      </c>
      <c r="L6" s="82"/>
      <c r="M6" s="81"/>
      <c r="N6" s="81"/>
      <c r="O6" s="83"/>
      <c r="P6" s="84"/>
      <c r="Q6" s="85"/>
      <c r="R6" s="85"/>
      <c r="S6" s="86"/>
      <c r="T6" s="87"/>
      <c r="U6" s="88"/>
      <c r="V6" s="88"/>
      <c r="W6" s="89"/>
      <c r="X6" s="85"/>
      <c r="Y6" s="85"/>
      <c r="Z6" s="90"/>
      <c r="AA6" s="91">
        <f t="shared" si="1"/>
        <v>0</v>
      </c>
      <c r="AB6" s="58"/>
      <c r="AC6" s="4"/>
      <c r="AD6" s="92" t="str">
        <f>IFERROR(VLOOKUP($I$24&amp;D6,'Database-Hidden'!$C$2:$E$121,3,FALSE),"")</f>
        <v/>
      </c>
      <c r="AE6" s="93"/>
      <c r="AF6" s="107"/>
      <c r="AG6" s="107"/>
      <c r="AH6" s="107"/>
      <c r="AI6" s="107"/>
      <c r="AJ6" s="107"/>
      <c r="AK6" s="63"/>
      <c r="AL6" s="64" t="str">
        <f>IF(LEFT($D6,6)&lt;&gt;"Star: ","",VLOOKUP(RIGHT($D6,LEN($D6)-6),'Star Players-Hidden'!$A$3:$AK$69,37,FALSE))</f>
        <v/>
      </c>
      <c r="AM6" s="4"/>
      <c r="AN6" s="108" t="s">
        <v>57</v>
      </c>
      <c r="AO6" s="109">
        <v>30000</v>
      </c>
      <c r="AP6" s="110"/>
      <c r="AQ6" s="112"/>
      <c r="AR6" s="114" t="s">
        <v>79</v>
      </c>
      <c r="AS6" s="115" t="s">
        <v>61</v>
      </c>
      <c r="AT6" s="118">
        <v>2</v>
      </c>
      <c r="AU6" s="116">
        <v>3</v>
      </c>
      <c r="AV6" s="119">
        <v>1</v>
      </c>
      <c r="AW6" s="117"/>
    </row>
    <row r="7" spans="1:49" ht="12.75">
      <c r="A7" s="2"/>
      <c r="B7" s="71">
        <v>4</v>
      </c>
      <c r="C7" s="72" t="s">
        <v>289</v>
      </c>
      <c r="D7" s="73" t="s">
        <v>89</v>
      </c>
      <c r="E7" s="75">
        <f>IFERROR(VLOOKUP($I$24&amp;$D7,'Database-Hidden'!$C$2:$J$121,4,FALSE)-P7+AG7,"")</f>
        <v>6</v>
      </c>
      <c r="F7" s="76">
        <f>IFERROR(VLOOKUP($I$24&amp;$D7,'Database-Hidden'!$C$2:$J$121,5,FALSE)-Q7+AH7,"")</f>
        <v>3</v>
      </c>
      <c r="G7" s="76">
        <f>IFERROR(VLOOKUP($I$24&amp;$D7,'Database-Hidden'!$C$2:$J$121,6,FALSE)-R7+AI7,"")</f>
        <v>3</v>
      </c>
      <c r="H7" s="77">
        <f>IFERROR(VLOOKUP($I$24&amp;$D7,'Database-Hidden'!$C$2:$J$121,7,FALSE)-S7+AJ7,"")</f>
        <v>7</v>
      </c>
      <c r="I7" s="78">
        <f>IFERROR(VLOOKUP($I$24&amp;$D7,'Database-Hidden'!$C$2:$J$121,8,FALSE),"")</f>
        <v>0</v>
      </c>
      <c r="J7" s="79" t="s">
        <v>55</v>
      </c>
      <c r="K7" s="80">
        <f t="shared" si="0"/>
        <v>1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9">
        <v>1</v>
      </c>
      <c r="W7" s="89">
        <v>1</v>
      </c>
      <c r="X7" s="85"/>
      <c r="Y7" s="85"/>
      <c r="Z7" s="90">
        <v>1</v>
      </c>
      <c r="AA7" s="91">
        <f t="shared" si="1"/>
        <v>10</v>
      </c>
      <c r="AB7" s="58">
        <f t="shared" si="2"/>
        <v>60000</v>
      </c>
      <c r="AC7" s="4"/>
      <c r="AD7" s="120">
        <f>IFERROR(VLOOKUP($I$24&amp;D7,'Database-Hidden'!$C$2:$E$121,3,FALSE),"")</f>
        <v>40000</v>
      </c>
      <c r="AE7" s="93">
        <v>1</v>
      </c>
      <c r="AF7" s="107"/>
      <c r="AG7" s="107"/>
      <c r="AH7" s="107"/>
      <c r="AI7" s="107"/>
      <c r="AJ7" s="107"/>
      <c r="AK7" s="63"/>
      <c r="AL7" s="64" t="str">
        <f>IF(LEFT($D7,6)&lt;&gt;"Star: ","",VLOOKUP(RIGHT($D7,LEN($D7)-6),'Star Players-Hidden'!$A$3:$AK$69,37,FALSE))</f>
        <v/>
      </c>
      <c r="AM7" s="4"/>
      <c r="AN7" s="121" t="s">
        <v>63</v>
      </c>
      <c r="AO7" s="131">
        <v>80000</v>
      </c>
      <c r="AP7" s="132">
        <v>90000</v>
      </c>
      <c r="AQ7" s="124"/>
      <c r="AR7" s="133" t="s">
        <v>125</v>
      </c>
      <c r="AS7" s="134" t="s">
        <v>61</v>
      </c>
      <c r="AT7" s="135">
        <v>1</v>
      </c>
      <c r="AU7" s="136">
        <v>3</v>
      </c>
      <c r="AV7" s="137">
        <v>1</v>
      </c>
      <c r="AW7" s="130"/>
    </row>
    <row r="8" spans="1:49" ht="12.75">
      <c r="A8" s="2"/>
      <c r="B8" s="71">
        <v>5</v>
      </c>
      <c r="C8" s="72" t="s">
        <v>292</v>
      </c>
      <c r="D8" s="73" t="s">
        <v>89</v>
      </c>
      <c r="E8" s="75">
        <f>IFERROR(VLOOKUP($I$24&amp;$D8,'Database-Hidden'!$C$2:$J$121,4,FALSE)-P8+AG8,"")</f>
        <v>5</v>
      </c>
      <c r="F8" s="76">
        <f>IFERROR(VLOOKUP($I$24&amp;$D8,'Database-Hidden'!$C$2:$J$121,5,FALSE)-Q8+AH8,"")</f>
        <v>3</v>
      </c>
      <c r="G8" s="76">
        <f>IFERROR(VLOOKUP($I$24&amp;$D8,'Database-Hidden'!$C$2:$J$121,6,FALSE)-R8+AI8,"")</f>
        <v>3</v>
      </c>
      <c r="H8" s="77">
        <f>IFERROR(VLOOKUP($I$24&amp;$D8,'Database-Hidden'!$C$2:$J$121,7,FALSE)-S8+AJ8,"")</f>
        <v>7</v>
      </c>
      <c r="I8" s="78">
        <f>IFERROR(VLOOKUP($I$24&amp;$D8,'Database-Hidden'!$C$2:$J$121,8,FALSE),"")</f>
        <v>0</v>
      </c>
      <c r="J8" s="79" t="s">
        <v>172</v>
      </c>
      <c r="K8" s="80">
        <f t="shared" si="0"/>
        <v>1</v>
      </c>
      <c r="L8" s="82"/>
      <c r="M8" s="81"/>
      <c r="N8" s="81"/>
      <c r="O8" s="83"/>
      <c r="P8" s="255">
        <v>1</v>
      </c>
      <c r="Q8" s="85"/>
      <c r="R8" s="85"/>
      <c r="S8" s="86"/>
      <c r="T8" s="87"/>
      <c r="U8" s="89">
        <v>1</v>
      </c>
      <c r="V8" s="89">
        <v>1</v>
      </c>
      <c r="W8" s="88"/>
      <c r="X8" s="85"/>
      <c r="Y8" s="85"/>
      <c r="Z8" s="90">
        <v>1</v>
      </c>
      <c r="AA8" s="91">
        <f t="shared" si="1"/>
        <v>9</v>
      </c>
      <c r="AB8" s="58">
        <f t="shared" si="2"/>
        <v>70000</v>
      </c>
      <c r="AC8" s="4"/>
      <c r="AD8" s="120">
        <f>IFERROR(VLOOKUP($I$24&amp;D8,'Database-Hidden'!$C$2:$E$121,3,FALSE),"")</f>
        <v>40000</v>
      </c>
      <c r="AE8" s="93"/>
      <c r="AF8" s="94">
        <v>1</v>
      </c>
      <c r="AG8" s="107"/>
      <c r="AH8" s="107"/>
      <c r="AI8" s="107"/>
      <c r="AJ8" s="107"/>
      <c r="AK8" s="63"/>
      <c r="AL8" s="64" t="str">
        <f>IF(LEFT($D8,6)&lt;&gt;"Star: ","",VLOOKUP(RIGHT($D8,LEN($D8)-6),'Star Players-Hidden'!$A$3:$AK$69,37,FALSE))</f>
        <v/>
      </c>
      <c r="AM8" s="4"/>
      <c r="AN8" s="121" t="s">
        <v>69</v>
      </c>
      <c r="AO8" s="131">
        <v>30000</v>
      </c>
      <c r="AP8" s="123"/>
      <c r="AQ8" s="124"/>
      <c r="AR8" s="133" t="s">
        <v>90</v>
      </c>
      <c r="AS8" s="134" t="s">
        <v>74</v>
      </c>
      <c r="AT8" s="135">
        <v>1</v>
      </c>
      <c r="AU8" s="136">
        <v>5</v>
      </c>
      <c r="AV8" s="137">
        <v>0</v>
      </c>
      <c r="AW8" s="130"/>
    </row>
    <row r="9" spans="1:49" ht="12.75">
      <c r="A9" s="2"/>
      <c r="B9" s="71">
        <v>6</v>
      </c>
      <c r="C9" s="72" t="s">
        <v>295</v>
      </c>
      <c r="D9" s="73" t="s">
        <v>89</v>
      </c>
      <c r="E9" s="75">
        <f>IFERROR(VLOOKUP($I$24&amp;$D9,'Database-Hidden'!$C$2:$J$121,4,FALSE)-P9+AG9,"")</f>
        <v>6</v>
      </c>
      <c r="F9" s="76">
        <f>IFERROR(VLOOKUP($I$24&amp;$D9,'Database-Hidden'!$C$2:$J$121,5,FALSE)-Q9+AH9,"")</f>
        <v>3</v>
      </c>
      <c r="G9" s="76">
        <f>IFERROR(VLOOKUP($I$24&amp;$D9,'Database-Hidden'!$C$2:$J$121,6,FALSE)-R9+AI9,"")</f>
        <v>3</v>
      </c>
      <c r="H9" s="77">
        <f>IFERROR(VLOOKUP($I$24&amp;$D9,'Database-Hidden'!$C$2:$J$121,7,FALSE)-S9+AJ9,"")</f>
        <v>7</v>
      </c>
      <c r="I9" s="78">
        <f>IFERROR(VLOOKUP($I$24&amp;$D9,'Database-Hidden'!$C$2:$J$121,8,FALSE),"")</f>
        <v>0</v>
      </c>
      <c r="J9" s="79" t="s">
        <v>55</v>
      </c>
      <c r="K9" s="80">
        <f t="shared" si="0"/>
        <v>1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9">
        <v>2</v>
      </c>
      <c r="W9" s="89">
        <v>1</v>
      </c>
      <c r="X9" s="140">
        <v>1</v>
      </c>
      <c r="Y9" s="140">
        <v>3</v>
      </c>
      <c r="Z9" s="90"/>
      <c r="AA9" s="91">
        <f t="shared" si="1"/>
        <v>8</v>
      </c>
      <c r="AB9" s="58">
        <f t="shared" si="2"/>
        <v>60000</v>
      </c>
      <c r="AC9" s="4"/>
      <c r="AD9" s="120">
        <f>IFERROR(VLOOKUP($I$24&amp;D9,'Database-Hidden'!$C$2:$E$121,3,FALSE),"")</f>
        <v>40000</v>
      </c>
      <c r="AE9" s="93">
        <v>1</v>
      </c>
      <c r="AF9" s="94"/>
      <c r="AG9" s="107"/>
      <c r="AH9" s="107"/>
      <c r="AI9" s="107"/>
      <c r="AJ9" s="107"/>
      <c r="AK9" s="63"/>
      <c r="AL9" s="64" t="str">
        <f>IF(LEFT($D9,6)&lt;&gt;"Star: ","",VLOOKUP(RIGHT($D9,LEN($D9)-6),'Star Players-Hidden'!$A$3:$AK$69,37,FALSE))</f>
        <v/>
      </c>
      <c r="AM9" s="4"/>
      <c r="AN9" s="121" t="s">
        <v>72</v>
      </c>
      <c r="AO9" s="131">
        <v>70000</v>
      </c>
      <c r="AP9" s="132">
        <v>70000</v>
      </c>
      <c r="AQ9" s="124"/>
      <c r="AR9" s="133" t="s">
        <v>110</v>
      </c>
      <c r="AS9" s="134" t="s">
        <v>74</v>
      </c>
      <c r="AT9" s="135">
        <v>0</v>
      </c>
      <c r="AU9" s="136">
        <v>1</v>
      </c>
      <c r="AV9" s="137">
        <v>0</v>
      </c>
      <c r="AW9" s="130"/>
    </row>
    <row r="10" spans="1:49" ht="12.75">
      <c r="A10" s="2"/>
      <c r="B10" s="71">
        <v>7</v>
      </c>
      <c r="C10" s="72" t="s">
        <v>299</v>
      </c>
      <c r="D10" s="73" t="s">
        <v>89</v>
      </c>
      <c r="E10" s="75">
        <f>IFERROR(VLOOKUP($I$24&amp;$D10,'Database-Hidden'!$C$2:$J$121,4,FALSE)-P10+AG10,"")</f>
        <v>6</v>
      </c>
      <c r="F10" s="76">
        <f>IFERROR(VLOOKUP($I$24&amp;$D10,'Database-Hidden'!$C$2:$J$121,5,FALSE)-Q10+AH10,"")</f>
        <v>3</v>
      </c>
      <c r="G10" s="76">
        <f>IFERROR(VLOOKUP($I$24&amp;$D10,'Database-Hidden'!$C$2:$J$121,6,FALSE)-R10+AI10,"")</f>
        <v>3</v>
      </c>
      <c r="H10" s="77">
        <f>IFERROR(VLOOKUP($I$24&amp;$D10,'Database-Hidden'!$C$2:$J$121,7,FALSE)-S10+AJ10,"")</f>
        <v>7</v>
      </c>
      <c r="I10" s="78">
        <f>IFERROR(VLOOKUP($I$24&amp;$D10,'Database-Hidden'!$C$2:$J$121,8,FALSE),"")</f>
        <v>0</v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140">
        <v>1</v>
      </c>
      <c r="Z10" s="90"/>
      <c r="AA10" s="91">
        <f t="shared" si="1"/>
        <v>0</v>
      </c>
      <c r="AB10" s="58">
        <f t="shared" si="2"/>
        <v>40000</v>
      </c>
      <c r="AC10" s="4"/>
      <c r="AD10" s="120">
        <f>IFERROR(VLOOKUP($I$24&amp;D10,'Database-Hidden'!$C$2:$E$121,3,FALSE),"")</f>
        <v>40000</v>
      </c>
      <c r="AE10" s="93"/>
      <c r="AF10" s="94"/>
      <c r="AG10" s="107"/>
      <c r="AH10" s="107"/>
      <c r="AI10" s="107"/>
      <c r="AJ10" s="107"/>
      <c r="AK10" s="63"/>
      <c r="AL10" s="64" t="str">
        <f>IF(LEFT($D10,6)&lt;&gt;"Star: ","",VLOOKUP(RIGHT($D10,LEN($D10)-6),'Star Players-Hidden'!$A$3:$AK$69,37,FALSE))</f>
        <v/>
      </c>
      <c r="AM10" s="4"/>
      <c r="AN10" s="121" t="s">
        <v>78</v>
      </c>
      <c r="AO10" s="131">
        <v>50000</v>
      </c>
      <c r="AP10" s="132">
        <v>70000</v>
      </c>
      <c r="AQ10" s="124"/>
      <c r="AR10" s="133" t="s">
        <v>120</v>
      </c>
      <c r="AS10" s="134" t="s">
        <v>66</v>
      </c>
      <c r="AT10" s="135">
        <v>1</v>
      </c>
      <c r="AU10" s="136">
        <v>1</v>
      </c>
      <c r="AV10" s="137">
        <v>1</v>
      </c>
      <c r="AW10" s="130"/>
    </row>
    <row r="11" spans="1:49" ht="12.75">
      <c r="A11" s="2"/>
      <c r="B11" s="71">
        <v>8</v>
      </c>
      <c r="C11" s="105"/>
      <c r="D11" s="73"/>
      <c r="E11" s="75" t="str">
        <f>IFERROR(VLOOKUP($I$24&amp;$D11,'Database-Hidden'!$C$2:$J$121,4,FALSE)-P11+AG11,"")</f>
        <v/>
      </c>
      <c r="F11" s="76" t="str">
        <f>IFERROR(VLOOKUP($I$24&amp;$D11,'Database-Hidden'!$C$2:$J$121,5,FALSE)-Q11+AH11,"")</f>
        <v/>
      </c>
      <c r="G11" s="76" t="str">
        <f>IFERROR(VLOOKUP($I$24&amp;$D11,'Database-Hidden'!$C$2:$J$121,6,FALSE)-R11+AI11,"")</f>
        <v/>
      </c>
      <c r="H11" s="77" t="str">
        <f>IFERROR(VLOOKUP($I$24&amp;$D11,'Database-Hidden'!$C$2:$J$121,7,FALSE)-S11+AJ11,"")</f>
        <v/>
      </c>
      <c r="I11" s="78" t="str">
        <f>IFERROR(VLOOKUP($I$24&amp;$D11,'Database-Hidden'!$C$2:$J$121,8,FALSE),"")</f>
        <v/>
      </c>
      <c r="J11" s="106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8"/>
      <c r="X11" s="85"/>
      <c r="Y11" s="85"/>
      <c r="Z11" s="90"/>
      <c r="AA11" s="91">
        <f t="shared" si="1"/>
        <v>0</v>
      </c>
      <c r="AB11" s="58"/>
      <c r="AC11" s="4"/>
      <c r="AD11" s="120" t="str">
        <f>IFERROR(VLOOKUP($I$24&amp;D11,'Database-Hidden'!$C$2:$E$121,3,FALSE),"")</f>
        <v/>
      </c>
      <c r="AE11" s="139"/>
      <c r="AF11" s="107"/>
      <c r="AG11" s="107"/>
      <c r="AH11" s="107"/>
      <c r="AI11" s="107"/>
      <c r="AJ11" s="107"/>
      <c r="AK11" s="63"/>
      <c r="AL11" s="64" t="str">
        <f>IF(LEFT($D11,6)&lt;&gt;"Star: ","",VLOOKUP(RIGHT($D11,LEN($D11)-6),'Star Players-Hidden'!$A$3:$AK$69,37,FALSE))</f>
        <v/>
      </c>
      <c r="AM11" s="4"/>
      <c r="AN11" s="121" t="s">
        <v>82</v>
      </c>
      <c r="AO11" s="131">
        <v>30000</v>
      </c>
      <c r="AP11" s="123"/>
      <c r="AQ11" s="124"/>
      <c r="AR11" s="133" t="s">
        <v>154</v>
      </c>
      <c r="AS11" s="134" t="s">
        <v>66</v>
      </c>
      <c r="AT11" s="135">
        <v>1</v>
      </c>
      <c r="AU11" s="136">
        <v>1</v>
      </c>
      <c r="AV11" s="137">
        <v>1</v>
      </c>
      <c r="AW11" s="130"/>
    </row>
    <row r="12" spans="1:49" ht="12.75">
      <c r="A12" s="2"/>
      <c r="B12" s="71">
        <v>9</v>
      </c>
      <c r="C12" s="72"/>
      <c r="D12" s="73"/>
      <c r="E12" s="75" t="str">
        <f>IFERROR(VLOOKUP($I$24&amp;$D12,'Database-Hidden'!$C$2:$J$121,4,FALSE)-P12+AG12,"")</f>
        <v/>
      </c>
      <c r="F12" s="76" t="str">
        <f>IFERROR(VLOOKUP($I$24&amp;$D12,'Database-Hidden'!$C$2:$J$121,5,FALSE)-Q12+AH12,"")</f>
        <v/>
      </c>
      <c r="G12" s="76" t="str">
        <f>IFERROR(VLOOKUP($I$24&amp;$D12,'Database-Hidden'!$C$2:$J$121,6,FALSE)-R12+AI12,"")</f>
        <v/>
      </c>
      <c r="H12" s="77" t="str">
        <f>IFERROR(VLOOKUP($I$24&amp;$D12,'Database-Hidden'!$C$2:$J$121,7,FALSE)-S12+AJ12,"")</f>
        <v/>
      </c>
      <c r="I12" s="78" t="str">
        <f>IFERROR(VLOOKUP($I$24&amp;$D12,'Database-Hidden'!$C$2:$J$121,8,FALSE),"")</f>
        <v/>
      </c>
      <c r="J12" s="106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85"/>
      <c r="Z12" s="90"/>
      <c r="AA12" s="91">
        <f t="shared" si="1"/>
        <v>0</v>
      </c>
      <c r="AB12" s="58"/>
      <c r="AC12" s="4"/>
      <c r="AD12" s="120" t="str">
        <f>IFERROR(VLOOKUP($I$24&amp;D12,'Database-Hidden'!$C$2:$E$121,3,FALSE),"")</f>
        <v/>
      </c>
      <c r="AE12" s="139"/>
      <c r="AF12" s="107"/>
      <c r="AG12" s="107"/>
      <c r="AH12" s="107"/>
      <c r="AI12" s="107"/>
      <c r="AJ12" s="107"/>
      <c r="AK12" s="63"/>
      <c r="AL12" s="64" t="str">
        <f>IF(LEFT($D12,6)&lt;&gt;"Star: ","",VLOOKUP(RIGHT($D12,LEN($D12)-6),'Star Players-Hidden'!$A$3:$AK$69,37,FALSE))</f>
        <v/>
      </c>
      <c r="AM12" s="4"/>
      <c r="AN12" s="121" t="s">
        <v>87</v>
      </c>
      <c r="AO12" s="122"/>
      <c r="AP12" s="123"/>
      <c r="AQ12" s="124"/>
      <c r="AR12" s="125"/>
      <c r="AS12" s="126"/>
      <c r="AT12" s="127"/>
      <c r="AU12" s="128"/>
      <c r="AV12" s="129"/>
      <c r="AW12" s="130"/>
    </row>
    <row r="13" spans="1:49" ht="12.75">
      <c r="A13" s="2"/>
      <c r="B13" s="71">
        <v>10</v>
      </c>
      <c r="C13" s="72" t="s">
        <v>305</v>
      </c>
      <c r="D13" s="73" t="s">
        <v>41</v>
      </c>
      <c r="E13" s="75">
        <f>IFERROR(VLOOKUP($I$24&amp;$D13,'Database-Hidden'!$C$2:$J$121,4,FALSE)-P13+AG13,"")</f>
        <v>4</v>
      </c>
      <c r="F13" s="76">
        <f>IFERROR(VLOOKUP($I$24&amp;$D13,'Database-Hidden'!$C$2:$J$121,5,FALSE)-Q13+AH13,"")</f>
        <v>3</v>
      </c>
      <c r="G13" s="76">
        <f>IFERROR(VLOOKUP($I$24&amp;$D13,'Database-Hidden'!$C$2:$J$121,6,FALSE)-R13+AI13,"")</f>
        <v>2</v>
      </c>
      <c r="H13" s="77">
        <f>IFERROR(VLOOKUP($I$24&amp;$D13,'Database-Hidden'!$C$2:$J$121,7,FALSE)-S13+AJ13,"")</f>
        <v>9</v>
      </c>
      <c r="I13" s="78" t="str">
        <f>IFERROR(VLOOKUP($I$24&amp;$D13,'Database-Hidden'!$C$2:$J$121,8,FALSE),"")</f>
        <v>Block, Tackle, Thick Skull</v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>
        <v>1</v>
      </c>
      <c r="X13" s="85"/>
      <c r="Y13" s="85"/>
      <c r="Z13" s="90"/>
      <c r="AA13" s="91">
        <f t="shared" si="1"/>
        <v>2</v>
      </c>
      <c r="AB13" s="58">
        <f t="shared" si="2"/>
        <v>70000</v>
      </c>
      <c r="AC13" s="4"/>
      <c r="AD13" s="120">
        <f>IFERROR(VLOOKUP($I$24&amp;D13,'Database-Hidden'!$C$2:$E$121,3,FALSE),"")</f>
        <v>70000</v>
      </c>
      <c r="AE13" s="139"/>
      <c r="AF13" s="94"/>
      <c r="AG13" s="107"/>
      <c r="AH13" s="107"/>
      <c r="AI13" s="107"/>
      <c r="AJ13" s="107"/>
      <c r="AK13" s="63"/>
      <c r="AL13" s="64" t="str">
        <f>IF(LEFT($D13,6)&lt;&gt;"Star: ","",VLOOKUP(RIGHT($D13,LEN($D13)-6),'Star Players-Hidden'!$A$3:$AK$69,37,FALSE))</f>
        <v/>
      </c>
      <c r="AM13" s="4"/>
      <c r="AN13" s="121" t="s">
        <v>95</v>
      </c>
      <c r="AO13" s="122"/>
      <c r="AP13" s="123"/>
      <c r="AQ13" s="124"/>
      <c r="AR13" s="125"/>
      <c r="AS13" s="126"/>
      <c r="AT13" s="127"/>
      <c r="AU13" s="128"/>
      <c r="AV13" s="129"/>
      <c r="AW13" s="130"/>
    </row>
    <row r="14" spans="1:49" ht="12.75">
      <c r="A14" s="2"/>
      <c r="B14" s="71">
        <v>11</v>
      </c>
      <c r="C14" s="72" t="s">
        <v>306</v>
      </c>
      <c r="D14" s="73" t="s">
        <v>41</v>
      </c>
      <c r="E14" s="75">
        <f>IFERROR(VLOOKUP($I$24&amp;$D14,'Database-Hidden'!$C$2:$J$121,4,FALSE)-P14+AG14,"")</f>
        <v>4</v>
      </c>
      <c r="F14" s="76">
        <f>IFERROR(VLOOKUP($I$24&amp;$D14,'Database-Hidden'!$C$2:$J$121,5,FALSE)-Q14+AH14,"")</f>
        <v>3</v>
      </c>
      <c r="G14" s="76">
        <f>IFERROR(VLOOKUP($I$24&amp;$D14,'Database-Hidden'!$C$2:$J$121,6,FALSE)-R14+AI14,"")</f>
        <v>2</v>
      </c>
      <c r="H14" s="77">
        <f>IFERROR(VLOOKUP($I$24&amp;$D14,'Database-Hidden'!$C$2:$J$121,7,FALSE)-S14+AJ14,"")</f>
        <v>9</v>
      </c>
      <c r="I14" s="78" t="str">
        <f>IFERROR(VLOOKUP($I$24&amp;$D14,'Database-Hidden'!$C$2:$J$121,8,FALSE),"")</f>
        <v>Block, Tackle, Thick Skull</v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/>
      <c r="X14" s="85"/>
      <c r="Y14" s="85"/>
      <c r="Z14" s="90">
        <v>1</v>
      </c>
      <c r="AA14" s="91">
        <f t="shared" si="1"/>
        <v>5</v>
      </c>
      <c r="AB14" s="58">
        <f t="shared" si="2"/>
        <v>70000</v>
      </c>
      <c r="AC14" s="4"/>
      <c r="AD14" s="120">
        <f>IFERROR(VLOOKUP($I$24&amp;D14,'Database-Hidden'!$C$2:$E$121,3,FALSE),"")</f>
        <v>70000</v>
      </c>
      <c r="AE14" s="93"/>
      <c r="AF14" s="107"/>
      <c r="AG14" s="107"/>
      <c r="AH14" s="107"/>
      <c r="AI14" s="107"/>
      <c r="AJ14" s="107"/>
      <c r="AK14" s="63"/>
      <c r="AL14" s="64" t="str">
        <f>IF(LEFT($D14,6)&lt;&gt;"Star: ","",VLOOKUP(RIGHT($D14,LEN($D14)-6),'Star Players-Hidden'!$A$3:$AK$69,37,FALSE))</f>
        <v/>
      </c>
      <c r="AM14" s="4"/>
      <c r="AN14" s="121" t="s">
        <v>98</v>
      </c>
      <c r="AO14" s="122"/>
      <c r="AP14" s="123"/>
      <c r="AQ14" s="124"/>
      <c r="AR14" s="125"/>
      <c r="AS14" s="126"/>
      <c r="AT14" s="127"/>
      <c r="AU14" s="128"/>
      <c r="AV14" s="129"/>
      <c r="AW14" s="130"/>
    </row>
    <row r="15" spans="1:49" ht="12.75">
      <c r="A15" s="2"/>
      <c r="B15" s="71">
        <v>12</v>
      </c>
      <c r="C15" s="72" t="s">
        <v>307</v>
      </c>
      <c r="D15" s="73" t="s">
        <v>41</v>
      </c>
      <c r="E15" s="75">
        <f>IFERROR(VLOOKUP($I$24&amp;$D15,'Database-Hidden'!$C$2:$J$121,4,FALSE)-P15+AG15,"")</f>
        <v>4</v>
      </c>
      <c r="F15" s="76">
        <f>IFERROR(VLOOKUP($I$24&amp;$D15,'Database-Hidden'!$C$2:$J$121,5,FALSE)-Q15+AH15,"")</f>
        <v>3</v>
      </c>
      <c r="G15" s="76">
        <f>IFERROR(VLOOKUP($I$24&amp;$D15,'Database-Hidden'!$C$2:$J$121,6,FALSE)-R15+AI15,"")</f>
        <v>1</v>
      </c>
      <c r="H15" s="77">
        <f>IFERROR(VLOOKUP($I$24&amp;$D15,'Database-Hidden'!$C$2:$J$121,7,FALSE)-S15+AJ15,"")</f>
        <v>9</v>
      </c>
      <c r="I15" s="78" t="str">
        <f>IFERROR(VLOOKUP($I$24&amp;$D15,'Database-Hidden'!$C$2:$J$121,8,FALSE),"")</f>
        <v>Block, Tackle, Thick Skull</v>
      </c>
      <c r="J15" s="79" t="s">
        <v>311</v>
      </c>
      <c r="K15" s="80">
        <f t="shared" si="0"/>
        <v>2</v>
      </c>
      <c r="L15" s="82"/>
      <c r="M15" s="81"/>
      <c r="N15" s="82"/>
      <c r="O15" s="83"/>
      <c r="P15" s="84"/>
      <c r="Q15" s="85"/>
      <c r="R15" s="140">
        <v>1</v>
      </c>
      <c r="S15" s="86"/>
      <c r="T15" s="87"/>
      <c r="U15" s="89"/>
      <c r="V15" s="89">
        <v>1</v>
      </c>
      <c r="W15" s="89">
        <v>6</v>
      </c>
      <c r="X15" s="140">
        <v>2</v>
      </c>
      <c r="Y15" s="85"/>
      <c r="Z15" s="90">
        <v>1</v>
      </c>
      <c r="AA15" s="91">
        <f t="shared" si="1"/>
        <v>20</v>
      </c>
      <c r="AB15" s="58">
        <f t="shared" si="2"/>
        <v>110000</v>
      </c>
      <c r="AC15" s="4"/>
      <c r="AD15" s="120">
        <f>IFERROR(VLOOKUP($I$24&amp;D15,'Database-Hidden'!$C$2:$E$121,3,FALSE),"")</f>
        <v>70000</v>
      </c>
      <c r="AE15" s="93">
        <v>2</v>
      </c>
      <c r="AF15" s="107"/>
      <c r="AG15" s="107"/>
      <c r="AH15" s="107"/>
      <c r="AI15" s="107"/>
      <c r="AJ15" s="107"/>
      <c r="AK15" s="63"/>
      <c r="AL15" s="64" t="str">
        <f>IF(LEFT($D15,6)&lt;&gt;"Star: ","",VLOOKUP(RIGHT($D15,LEN($D15)-6),'Star Players-Hidden'!$A$3:$AK$69,37,FALSE))</f>
        <v/>
      </c>
      <c r="AM15" s="4"/>
      <c r="AN15" s="121" t="s">
        <v>102</v>
      </c>
      <c r="AO15" s="131">
        <v>30000</v>
      </c>
      <c r="AP15" s="123"/>
      <c r="AQ15" s="124"/>
      <c r="AR15" s="133" t="s">
        <v>65</v>
      </c>
      <c r="AS15" s="134" t="s">
        <v>61</v>
      </c>
      <c r="AT15" s="135">
        <v>3</v>
      </c>
      <c r="AU15" s="136">
        <v>2</v>
      </c>
      <c r="AV15" s="137">
        <v>1</v>
      </c>
      <c r="AW15" s="130"/>
    </row>
    <row r="16" spans="1:49" ht="12.75">
      <c r="A16" s="2"/>
      <c r="B16" s="71">
        <v>13</v>
      </c>
      <c r="C16" s="72" t="s">
        <v>312</v>
      </c>
      <c r="D16" s="73" t="s">
        <v>41</v>
      </c>
      <c r="E16" s="75">
        <f>IFERROR(VLOOKUP($I$24&amp;$D16,'Database-Hidden'!$C$2:$J$121,4,FALSE)-P16+AG16,"")</f>
        <v>4</v>
      </c>
      <c r="F16" s="76">
        <f>IFERROR(VLOOKUP($I$24&amp;$D16,'Database-Hidden'!$C$2:$J$121,5,FALSE)-Q16+AH16,"")</f>
        <v>3</v>
      </c>
      <c r="G16" s="76">
        <f>IFERROR(VLOOKUP($I$24&amp;$D16,'Database-Hidden'!$C$2:$J$121,6,FALSE)-R16+AI16,"")</f>
        <v>2</v>
      </c>
      <c r="H16" s="77">
        <f>IFERROR(VLOOKUP($I$24&amp;$D16,'Database-Hidden'!$C$2:$J$121,7,FALSE)-S16+AJ16,"")</f>
        <v>9</v>
      </c>
      <c r="I16" s="78" t="str">
        <f>IFERROR(VLOOKUP($I$24&amp;$D16,'Database-Hidden'!$C$2:$J$121,8,FALSE),"")</f>
        <v>Block, Tackle, Thick Skull</v>
      </c>
      <c r="J16" s="79" t="s">
        <v>71</v>
      </c>
      <c r="K16" s="80">
        <f t="shared" si="0"/>
        <v>1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>
        <v>4</v>
      </c>
      <c r="X16" s="85"/>
      <c r="Y16" s="85"/>
      <c r="Z16" s="90">
        <v>1</v>
      </c>
      <c r="AA16" s="91">
        <f t="shared" si="1"/>
        <v>13</v>
      </c>
      <c r="AB16" s="58">
        <f t="shared" si="2"/>
        <v>90000</v>
      </c>
      <c r="AC16" s="4"/>
      <c r="AD16" s="120">
        <f>IFERROR(VLOOKUP($I$24&amp;D16,'Database-Hidden'!$C$2:$E$121,3,FALSE),"")</f>
        <v>70000</v>
      </c>
      <c r="AE16" s="93">
        <v>1</v>
      </c>
      <c r="AF16" s="107"/>
      <c r="AG16" s="107"/>
      <c r="AH16" s="107"/>
      <c r="AI16" s="107"/>
      <c r="AJ16" s="107"/>
      <c r="AK16" s="63"/>
      <c r="AL16" s="64" t="str">
        <f>IF(LEFT($D16,6)&lt;&gt;"Star: ","",VLOOKUP(RIGHT($D16,LEN($D16)-6),'Star Players-Hidden'!$A$3:$AK$69,37,FALSE))</f>
        <v/>
      </c>
      <c r="AM16" s="4"/>
      <c r="AN16" s="121" t="s">
        <v>105</v>
      </c>
      <c r="AO16" s="131">
        <v>70000</v>
      </c>
      <c r="AP16" s="123"/>
      <c r="AQ16" s="138">
        <v>20000</v>
      </c>
      <c r="AR16" s="133" t="s">
        <v>79</v>
      </c>
      <c r="AS16" s="134" t="s">
        <v>61</v>
      </c>
      <c r="AT16" s="135">
        <v>2</v>
      </c>
      <c r="AU16" s="136">
        <v>4</v>
      </c>
      <c r="AV16" s="137">
        <v>1</v>
      </c>
      <c r="AW16" s="130"/>
    </row>
    <row r="17" spans="1:49" ht="12.75">
      <c r="A17" s="2"/>
      <c r="B17" s="71">
        <v>14</v>
      </c>
      <c r="C17" s="72" t="s">
        <v>315</v>
      </c>
      <c r="D17" s="73" t="s">
        <v>113</v>
      </c>
      <c r="E17" s="75">
        <f>IFERROR(VLOOKUP($I$24&amp;$D17,'Database-Hidden'!$C$2:$J$121,4,FALSE)-P17+AG17,"")</f>
        <v>6</v>
      </c>
      <c r="F17" s="76">
        <f>IFERROR(VLOOKUP($I$24&amp;$D17,'Database-Hidden'!$C$2:$J$121,5,FALSE)-Q17+AH17,"")</f>
        <v>4</v>
      </c>
      <c r="G17" s="76">
        <f>IFERROR(VLOOKUP($I$24&amp;$D17,'Database-Hidden'!$C$2:$J$121,6,FALSE)-R17+AI17,"")</f>
        <v>3</v>
      </c>
      <c r="H17" s="77">
        <f>IFERROR(VLOOKUP($I$24&amp;$D17,'Database-Hidden'!$C$2:$J$121,7,FALSE)-S17+AJ17,"")</f>
        <v>9</v>
      </c>
      <c r="I17" s="78" t="str">
        <f>IFERROR(VLOOKUP($I$24&amp;$D17,'Database-Hidden'!$C$2:$J$121,8,FALSE),"")</f>
        <v>Sprint, Sure Feet, Thick Skull</v>
      </c>
      <c r="J17" s="243" t="s">
        <v>317</v>
      </c>
      <c r="K17" s="80">
        <f t="shared" si="0"/>
        <v>2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9">
        <v>4</v>
      </c>
      <c r="W17" s="89">
        <v>1</v>
      </c>
      <c r="X17" s="85"/>
      <c r="Y17" s="85"/>
      <c r="Z17" s="90">
        <v>1</v>
      </c>
      <c r="AA17" s="91">
        <f t="shared" si="1"/>
        <v>19</v>
      </c>
      <c r="AB17" s="58">
        <f t="shared" si="2"/>
        <v>190000</v>
      </c>
      <c r="AC17" s="4"/>
      <c r="AD17" s="120">
        <f>IFERROR(VLOOKUP($I$24&amp;D17,'Database-Hidden'!$C$2:$E$121,3,FALSE),"")</f>
        <v>130000</v>
      </c>
      <c r="AE17" s="93">
        <v>1</v>
      </c>
      <c r="AF17" s="107"/>
      <c r="AG17" s="107"/>
      <c r="AH17" s="107"/>
      <c r="AI17" s="94">
        <v>1</v>
      </c>
      <c r="AJ17" s="107"/>
      <c r="AK17" s="63"/>
      <c r="AL17" s="64" t="str">
        <f>IF(LEFT($D17,6)&lt;&gt;"Star: ","",VLOOKUP(RIGHT($D17,LEN($D17)-6),'Star Players-Hidden'!$A$3:$AK$69,37,FALSE))</f>
        <v/>
      </c>
      <c r="AM17" s="4"/>
      <c r="AN17" s="141" t="s">
        <v>108</v>
      </c>
      <c r="AO17" s="245">
        <v>50000</v>
      </c>
      <c r="AP17" s="246">
        <v>100000</v>
      </c>
      <c r="AQ17" s="144"/>
      <c r="AR17" s="247" t="s">
        <v>110</v>
      </c>
      <c r="AS17" s="248" t="s">
        <v>74</v>
      </c>
      <c r="AT17" s="249">
        <v>0</v>
      </c>
      <c r="AU17" s="250">
        <v>1</v>
      </c>
      <c r="AV17" s="251">
        <v>0</v>
      </c>
      <c r="AW17" s="130"/>
    </row>
    <row r="18" spans="1:49" ht="12.75">
      <c r="A18" s="2"/>
      <c r="B18" s="71">
        <v>15</v>
      </c>
      <c r="C18" s="72" t="s">
        <v>318</v>
      </c>
      <c r="D18" s="73" t="s">
        <v>113</v>
      </c>
      <c r="E18" s="75">
        <f>IFERROR(VLOOKUP($I$24&amp;$D18,'Database-Hidden'!$C$2:$J$121,4,FALSE)-P18+AG18,"")</f>
        <v>6</v>
      </c>
      <c r="F18" s="76">
        <f>IFERROR(VLOOKUP($I$24&amp;$D18,'Database-Hidden'!$C$2:$J$121,5,FALSE)-Q18+AH18,"")</f>
        <v>4</v>
      </c>
      <c r="G18" s="76">
        <f>IFERROR(VLOOKUP($I$24&amp;$D18,'Database-Hidden'!$C$2:$J$121,6,FALSE)-R18+AI18,"")</f>
        <v>2</v>
      </c>
      <c r="H18" s="77">
        <f>IFERROR(VLOOKUP($I$24&amp;$D18,'Database-Hidden'!$C$2:$J$121,7,FALSE)-S18+AJ18,"")</f>
        <v>9</v>
      </c>
      <c r="I18" s="78" t="str">
        <f>IFERROR(VLOOKUP($I$24&amp;$D18,'Database-Hidden'!$C$2:$J$121,8,FALSE),"")</f>
        <v>Sprint, Sure Feet, Thick Skull</v>
      </c>
      <c r="J18" s="79" t="s">
        <v>55</v>
      </c>
      <c r="K18" s="80">
        <f t="shared" si="0"/>
        <v>1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>
        <v>2</v>
      </c>
      <c r="X18" s="85"/>
      <c r="Y18" s="85"/>
      <c r="Z18" s="90">
        <v>1</v>
      </c>
      <c r="AA18" s="91">
        <f t="shared" si="1"/>
        <v>9</v>
      </c>
      <c r="AB18" s="58">
        <f t="shared" si="2"/>
        <v>150000</v>
      </c>
      <c r="AC18" s="4"/>
      <c r="AD18" s="120">
        <f>IFERROR(VLOOKUP($I$24&amp;D18,'Database-Hidden'!$C$2:$E$121,3,FALSE),"")</f>
        <v>130000</v>
      </c>
      <c r="AE18" s="93">
        <v>1</v>
      </c>
      <c r="AF18" s="94"/>
      <c r="AG18" s="107"/>
      <c r="AH18" s="107"/>
      <c r="AI18" s="107"/>
      <c r="AJ18" s="107"/>
      <c r="AK18" s="63"/>
      <c r="AL18" s="64" t="str">
        <f>IF(LEFT($D18,6)&lt;&gt;"Star: ","",VLOOKUP(RIGHT($D18,LEN($D18)-6),'Star Players-Hidden'!$A$3:$AK$69,37,FALSE))</f>
        <v/>
      </c>
      <c r="AM18" s="4"/>
      <c r="AN18" s="157" t="s">
        <v>35</v>
      </c>
      <c r="AO18" s="160">
        <f>AO4+SUM(AO6:AO17)-SUM(AP6:AP17)-SUM(AQ6:AQ17)</f>
        <v>90000</v>
      </c>
      <c r="AP18" s="4"/>
      <c r="AQ18" s="4"/>
      <c r="AR18" s="68"/>
      <c r="AS18" s="157" t="s">
        <v>35</v>
      </c>
      <c r="AT18" s="162">
        <f t="shared" ref="AT18:AU18" si="3">SUM(AT6:AT17)</f>
        <v>11</v>
      </c>
      <c r="AU18" s="164">
        <f t="shared" si="3"/>
        <v>21</v>
      </c>
      <c r="AV18" s="168">
        <f>AV4+SUM(AV6:AV17)</f>
        <v>6</v>
      </c>
      <c r="AW18" s="5"/>
    </row>
    <row r="19" spans="1:49" ht="22.5">
      <c r="A19" s="2"/>
      <c r="B19" s="170">
        <v>16</v>
      </c>
      <c r="C19" s="172" t="s">
        <v>319</v>
      </c>
      <c r="D19" s="174" t="s">
        <v>111</v>
      </c>
      <c r="E19" s="176">
        <f>IFERROR(VLOOKUP($I$24&amp;$D19,'Database-Hidden'!$C$2:$J$121,4,FALSE)-P19+AG19,"")</f>
        <v>5</v>
      </c>
      <c r="F19" s="177">
        <f>IFERROR(VLOOKUP($I$24&amp;$D19,'Database-Hidden'!$C$2:$J$121,5,FALSE)-Q19+AH19,"")</f>
        <v>5</v>
      </c>
      <c r="G19" s="177">
        <f>IFERROR(VLOOKUP($I$24&amp;$D19,'Database-Hidden'!$C$2:$J$121,6,FALSE)-R19+AI19,"")</f>
        <v>2</v>
      </c>
      <c r="H19" s="178">
        <f>IFERROR(VLOOKUP($I$24&amp;$D19,'Database-Hidden'!$C$2:$J$121,7,FALSE)-S19+AJ19,"")</f>
        <v>8</v>
      </c>
      <c r="I19" s="180" t="str">
        <f>IFERROR(VLOOKUP($I$24&amp;$D19,'Database-Hidden'!$C$2:$J$121,8,FALSE),"")</f>
        <v>Loner, Frenzy, Horns, Mighty Blow, Thick Skull, Wild Animal</v>
      </c>
      <c r="J19" s="182" t="s">
        <v>43</v>
      </c>
      <c r="K19" s="186">
        <f t="shared" si="0"/>
        <v>1</v>
      </c>
      <c r="L19" s="188"/>
      <c r="M19" s="188"/>
      <c r="N19" s="187"/>
      <c r="O19" s="189"/>
      <c r="P19" s="190"/>
      <c r="Q19" s="191"/>
      <c r="R19" s="191"/>
      <c r="S19" s="192"/>
      <c r="T19" s="193"/>
      <c r="U19" s="194"/>
      <c r="V19" s="194"/>
      <c r="W19" s="195">
        <v>4</v>
      </c>
      <c r="X19" s="191"/>
      <c r="Y19" s="191"/>
      <c r="Z19" s="196">
        <v>1</v>
      </c>
      <c r="AA19" s="197">
        <f t="shared" si="1"/>
        <v>13</v>
      </c>
      <c r="AB19" s="58">
        <f t="shared" si="2"/>
        <v>170000</v>
      </c>
      <c r="AC19" s="4"/>
      <c r="AD19" s="198">
        <f>IFERROR(VLOOKUP($I$24&amp;D19,'Database-Hidden'!$C$2:$E$121,3,FALSE),"")</f>
        <v>150000</v>
      </c>
      <c r="AE19" s="199">
        <v>1</v>
      </c>
      <c r="AF19" s="200"/>
      <c r="AG19" s="200"/>
      <c r="AH19" s="200"/>
      <c r="AI19" s="200"/>
      <c r="AJ19" s="200"/>
      <c r="AK19" s="201"/>
      <c r="AL19" s="202" t="str">
        <f>IF(LEFT($D19,6)&lt;&gt;"Star: ","",VLOOKUP(RIGHT($D19,LEN($D19)-6),'Star Players-Hidden'!$A$3:$AK$69,37,FALSE))</f>
        <v/>
      </c>
      <c r="AM19" s="4"/>
      <c r="AV19" s="203"/>
    </row>
    <row r="20" spans="1:49" ht="12.75">
      <c r="B20" s="328"/>
      <c r="C20" s="329"/>
      <c r="D20" s="330"/>
      <c r="E20" s="311" t="s">
        <v>118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3"/>
      <c r="AB20" s="204">
        <f>SUM(AB4:AB19)</f>
        <v>1180000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8"/>
      <c r="AO20" s="68"/>
      <c r="AP20" s="68"/>
      <c r="AQ20" s="68"/>
      <c r="AR20" s="68"/>
      <c r="AS20" s="68"/>
      <c r="AT20" s="68"/>
      <c r="AU20" s="68"/>
      <c r="AV20" s="205"/>
      <c r="AW20" s="68"/>
    </row>
    <row r="21" spans="1:49" ht="12.75">
      <c r="A21" s="2"/>
      <c r="B21" s="317"/>
      <c r="C21" s="315"/>
      <c r="D21" s="316"/>
      <c r="E21" s="333" t="s">
        <v>119</v>
      </c>
      <c r="F21" s="315"/>
      <c r="G21" s="315"/>
      <c r="H21" s="334"/>
      <c r="I21" s="314" t="s">
        <v>73</v>
      </c>
      <c r="J21" s="315"/>
      <c r="K21" s="316"/>
      <c r="L21" s="322" t="s">
        <v>121</v>
      </c>
      <c r="M21" s="319"/>
      <c r="N21" s="319"/>
      <c r="O21" s="319"/>
      <c r="P21" s="319"/>
      <c r="Q21" s="319"/>
      <c r="R21" s="319"/>
      <c r="S21" s="323"/>
      <c r="T21" s="206">
        <v>3</v>
      </c>
      <c r="U21" s="207" t="s">
        <v>36</v>
      </c>
      <c r="V21" s="321">
        <f>IFERROR(VLOOKUP(I24,'Database-Hidden'!N2:O28,2,FALSE),"")</f>
        <v>70000</v>
      </c>
      <c r="W21" s="319"/>
      <c r="X21" s="319"/>
      <c r="Y21" s="319"/>
      <c r="Z21" s="319"/>
      <c r="AA21" s="320"/>
      <c r="AB21" s="208">
        <f t="shared" ref="AB21:AB25" si="4">T21*V21</f>
        <v>210000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27" t="s">
        <v>122</v>
      </c>
      <c r="AO21" s="313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317"/>
      <c r="C22" s="315"/>
      <c r="D22" s="316"/>
      <c r="E22" s="315"/>
      <c r="F22" s="315"/>
      <c r="G22" s="315"/>
      <c r="H22" s="334"/>
      <c r="I22" s="317"/>
      <c r="J22" s="315"/>
      <c r="K22" s="316"/>
      <c r="L22" s="309" t="s">
        <v>123</v>
      </c>
      <c r="M22" s="304"/>
      <c r="N22" s="304"/>
      <c r="O22" s="304"/>
      <c r="P22" s="304"/>
      <c r="Q22" s="304"/>
      <c r="R22" s="304"/>
      <c r="S22" s="310"/>
      <c r="T22" s="211">
        <f>AV18</f>
        <v>6</v>
      </c>
      <c r="U22" s="210" t="s">
        <v>36</v>
      </c>
      <c r="V22" s="306">
        <v>10000</v>
      </c>
      <c r="W22" s="304"/>
      <c r="X22" s="304"/>
      <c r="Y22" s="304"/>
      <c r="Z22" s="304"/>
      <c r="AA22" s="307"/>
      <c r="AB22" s="212">
        <f t="shared" si="4"/>
        <v>60000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213" t="s">
        <v>124</v>
      </c>
      <c r="AO22" s="214">
        <f>AO18</f>
        <v>90000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317"/>
      <c r="C23" s="315"/>
      <c r="D23" s="316"/>
      <c r="E23" s="319"/>
      <c r="F23" s="319"/>
      <c r="G23" s="319"/>
      <c r="H23" s="335"/>
      <c r="I23" s="318"/>
      <c r="J23" s="319"/>
      <c r="K23" s="320"/>
      <c r="L23" s="347" t="s">
        <v>126</v>
      </c>
      <c r="M23" s="304"/>
      <c r="N23" s="304"/>
      <c r="O23" s="304"/>
      <c r="P23" s="304"/>
      <c r="Q23" s="304"/>
      <c r="R23" s="304"/>
      <c r="S23" s="310"/>
      <c r="T23" s="215">
        <v>0</v>
      </c>
      <c r="U23" s="216" t="s">
        <v>36</v>
      </c>
      <c r="V23" s="306">
        <v>10000</v>
      </c>
      <c r="W23" s="304"/>
      <c r="X23" s="304"/>
      <c r="Y23" s="304"/>
      <c r="Z23" s="304"/>
      <c r="AA23" s="307"/>
      <c r="AB23" s="212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217" t="s">
        <v>127</v>
      </c>
      <c r="AO23" s="218">
        <f>COUNTA(AR6:AR17)*10000</f>
        <v>90000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317"/>
      <c r="C24" s="315"/>
      <c r="D24" s="316"/>
      <c r="E24" s="340" t="s">
        <v>128</v>
      </c>
      <c r="F24" s="304"/>
      <c r="G24" s="304"/>
      <c r="H24" s="341"/>
      <c r="I24" s="308" t="s">
        <v>129</v>
      </c>
      <c r="J24" s="304"/>
      <c r="K24" s="307"/>
      <c r="L24" s="309" t="s">
        <v>130</v>
      </c>
      <c r="M24" s="304"/>
      <c r="N24" s="304"/>
      <c r="O24" s="304"/>
      <c r="P24" s="304"/>
      <c r="Q24" s="304"/>
      <c r="R24" s="304"/>
      <c r="S24" s="310"/>
      <c r="T24" s="215">
        <v>0</v>
      </c>
      <c r="U24" s="216" t="s">
        <v>36</v>
      </c>
      <c r="V24" s="306">
        <v>10000</v>
      </c>
      <c r="W24" s="304"/>
      <c r="X24" s="304"/>
      <c r="Y24" s="304"/>
      <c r="Z24" s="304"/>
      <c r="AA24" s="307"/>
      <c r="AB24" s="212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217" t="s">
        <v>53</v>
      </c>
      <c r="AO24" s="218">
        <f>AT18*5000</f>
        <v>55000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317"/>
      <c r="C25" s="315"/>
      <c r="D25" s="316"/>
      <c r="E25" s="340" t="str">
        <f>IFERROR(IF(VLOOKUP(I24,'Database-Hidden'!X2:Y28,2,FALSE)="Yes","NECROMANCER","HEAD COACH"),"HEAD COACH")</f>
        <v>HEAD COACH</v>
      </c>
      <c r="F25" s="304"/>
      <c r="G25" s="304"/>
      <c r="H25" s="341"/>
      <c r="I25" s="308" t="s">
        <v>326</v>
      </c>
      <c r="J25" s="304"/>
      <c r="K25" s="307"/>
      <c r="L25" s="346" t="str">
        <f>IFERROR(IF(VLOOKUP(I24,'Database-Hidden'!X2:Y28,1,FALSE)&lt;&gt;"","",""),"APOTHECARY")</f>
        <v>APOTHECARY</v>
      </c>
      <c r="M25" s="304"/>
      <c r="N25" s="304"/>
      <c r="O25" s="304"/>
      <c r="P25" s="304"/>
      <c r="Q25" s="304"/>
      <c r="R25" s="304"/>
      <c r="S25" s="341"/>
      <c r="T25" s="215">
        <v>1</v>
      </c>
      <c r="U25" s="210" t="str">
        <f>IF(L25&lt;&gt;"","x","")</f>
        <v>x</v>
      </c>
      <c r="V25" s="306">
        <f>IF(L25&lt;&gt;"",50000,"")</f>
        <v>50000</v>
      </c>
      <c r="W25" s="304"/>
      <c r="X25" s="304"/>
      <c r="Y25" s="304"/>
      <c r="Z25" s="304"/>
      <c r="AA25" s="307"/>
      <c r="AB25" s="212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219" t="s">
        <v>134</v>
      </c>
      <c r="AO25" s="220">
        <f>AU18*5000</f>
        <v>105000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317"/>
      <c r="C26" s="315"/>
      <c r="D26" s="316"/>
      <c r="E26" s="340" t="s">
        <v>135</v>
      </c>
      <c r="F26" s="304"/>
      <c r="G26" s="304"/>
      <c r="H26" s="304"/>
      <c r="I26" s="343">
        <f>AB20+AB28</f>
        <v>1500000</v>
      </c>
      <c r="J26" s="304"/>
      <c r="K26" s="304"/>
      <c r="L26" s="346" t="s">
        <v>136</v>
      </c>
      <c r="M26" s="304"/>
      <c r="N26" s="304"/>
      <c r="O26" s="304"/>
      <c r="P26" s="304"/>
      <c r="Q26" s="304"/>
      <c r="R26" s="304"/>
      <c r="S26" s="341"/>
      <c r="T26" s="215">
        <v>0</v>
      </c>
      <c r="U26" s="210" t="s">
        <v>36</v>
      </c>
      <c r="V26" s="306">
        <f>IF(I24="Halfling",200000,600000)</f>
        <v>600000</v>
      </c>
      <c r="W26" s="304"/>
      <c r="X26" s="304"/>
      <c r="Y26" s="304"/>
      <c r="Z26" s="304"/>
      <c r="AA26" s="307"/>
      <c r="AB26" s="212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221" t="s">
        <v>35</v>
      </c>
      <c r="AO26" s="222">
        <v>340000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317"/>
      <c r="C27" s="315"/>
      <c r="D27" s="316"/>
      <c r="E27" s="336" t="s">
        <v>137</v>
      </c>
      <c r="F27" s="325"/>
      <c r="G27" s="325"/>
      <c r="H27" s="325"/>
      <c r="I27" s="342">
        <f>AO18</f>
        <v>90000</v>
      </c>
      <c r="J27" s="325"/>
      <c r="K27" s="325"/>
      <c r="L27" s="324" t="s">
        <v>138</v>
      </c>
      <c r="M27" s="325"/>
      <c r="N27" s="325"/>
      <c r="O27" s="325"/>
      <c r="P27" s="325"/>
      <c r="Q27" s="325"/>
      <c r="R27" s="325"/>
      <c r="S27" s="326"/>
      <c r="T27" s="223">
        <v>0</v>
      </c>
      <c r="U27" s="224" t="s">
        <v>36</v>
      </c>
      <c r="V27" s="344">
        <f>IF(I24="Goblin",100000,200000)</f>
        <v>200000</v>
      </c>
      <c r="W27" s="325"/>
      <c r="X27" s="325"/>
      <c r="Y27" s="325"/>
      <c r="Z27" s="325"/>
      <c r="AA27" s="345"/>
      <c r="AB27" s="212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331"/>
      <c r="C28" s="305"/>
      <c r="D28" s="332"/>
      <c r="E28" s="311" t="s">
        <v>139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3"/>
      <c r="AB28" s="204">
        <f>SUM(AB21:AB27)</f>
        <v>320000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25"/>
      <c r="D29" s="225"/>
      <c r="E29" s="226"/>
      <c r="F29" s="4"/>
      <c r="G29" s="4"/>
      <c r="H29" s="4"/>
      <c r="I29" s="227"/>
      <c r="J29" s="228"/>
      <c r="K29" s="4"/>
      <c r="L29" s="229"/>
      <c r="M29" s="229"/>
      <c r="N29" s="229"/>
      <c r="O29" s="229"/>
      <c r="P29" s="229"/>
      <c r="Q29" s="229"/>
      <c r="R29" s="229"/>
      <c r="S29" s="229"/>
      <c r="T29" s="230"/>
      <c r="U29" s="231"/>
      <c r="V29" s="9"/>
      <c r="W29" s="232"/>
      <c r="X29" s="232"/>
      <c r="Y29" s="232"/>
      <c r="Z29" s="232"/>
      <c r="AA29" s="232"/>
      <c r="AB29" s="23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34">
        <f>MATCH(I24,'Database-Hidden'!A2:A121,0)</f>
        <v>11</v>
      </c>
      <c r="D30" s="234" t="str">
        <f t="shared" ref="D30:D39" si="6">I30&amp;IF(COUNTIF(D$4:D$19,I30)&gt;E30," (Too Many)","")</f>
        <v>Hobgoblin</v>
      </c>
      <c r="E30" s="235">
        <f t="array" ref="E30">IFERROR(IF(INDEX('Database-Hidden'!$A$2:$B$121,$C30,1)=$I$24,INDEX('Database-Hidden'!$A$2:$D$121,$C30,4),""),"")</f>
        <v>16</v>
      </c>
      <c r="I30" s="234" t="str">
        <f t="array" ref="I30">IFERROR(IF(INDEX('Database-Hidden'!$A$2:$B$121,$C30,1)=$I$24,INDEX('Database-Hidden'!$A$2:$B$121,$C30,2),""),"")</f>
        <v>Hobgoblin</v>
      </c>
      <c r="AV30" s="203"/>
    </row>
    <row r="31" spans="1:49" ht="17.25" hidden="1" customHeight="1">
      <c r="C31" s="234">
        <f t="shared" ref="C31:C39" si="7">C30+1</f>
        <v>12</v>
      </c>
      <c r="D31" s="234" t="str">
        <f t="shared" si="6"/>
        <v>Blocker</v>
      </c>
      <c r="E31" s="235">
        <f t="array" ref="E31">IFERROR(IF(INDEX('Database-Hidden'!$A$2:$B$121,$C31,1)=$I$24,INDEX('Database-Hidden'!$A$2:$D$121,$C31,4),""),"")</f>
        <v>6</v>
      </c>
      <c r="I31" s="234" t="str">
        <f t="array" ref="I31">IFERROR(IF(INDEX('Database-Hidden'!$A$2:$B$121,$C31,1)=$I$24,INDEX('Database-Hidden'!$A$2:$B$121,$C31,2),""),"")</f>
        <v>Blocker</v>
      </c>
      <c r="AV31" s="203"/>
    </row>
    <row r="32" spans="1:49" ht="17.25" hidden="1" customHeight="1">
      <c r="C32" s="234">
        <f t="shared" si="7"/>
        <v>13</v>
      </c>
      <c r="D32" s="234" t="str">
        <f t="shared" si="6"/>
        <v>Bull Centaur</v>
      </c>
      <c r="E32" s="235">
        <f t="array" ref="E32">IFERROR(IF(INDEX('Database-Hidden'!$A$2:$B$121,$C32,1)=$I$24,INDEX('Database-Hidden'!$A$2:$D$121,$C32,4),""),"")</f>
        <v>2</v>
      </c>
      <c r="I32" s="234" t="str">
        <f t="array" ref="I32">IFERROR(IF(INDEX('Database-Hidden'!$A$2:$B$121,$C32,1)=$I$24,INDEX('Database-Hidden'!$A$2:$B$121,$C32,2),""),"")</f>
        <v>Bull Centaur</v>
      </c>
      <c r="AV32" s="203"/>
    </row>
    <row r="33" spans="3:48" ht="17.25" hidden="1" customHeight="1">
      <c r="C33" s="234">
        <f t="shared" si="7"/>
        <v>14</v>
      </c>
      <c r="D33" s="234" t="str">
        <f t="shared" si="6"/>
        <v>Minotaur</v>
      </c>
      <c r="E33" s="235">
        <f t="array" ref="E33">IFERROR(IF(INDEX('Database-Hidden'!$A$2:$B$121,$C33,1)=$I$24,INDEX('Database-Hidden'!$A$2:$D$121,$C33,4),""),"")</f>
        <v>1</v>
      </c>
      <c r="I33" s="234" t="str">
        <f t="array" ref="I33">IFERROR(IF(INDEX('Database-Hidden'!$A$2:$B$121,$C33,1)=$I$24,INDEX('Database-Hidden'!$A$2:$B$121,$C33,2),""),"")</f>
        <v>Minotaur</v>
      </c>
      <c r="AV33" s="203"/>
    </row>
    <row r="34" spans="3:48" ht="17.25" hidden="1" customHeight="1">
      <c r="C34" s="234">
        <f t="shared" si="7"/>
        <v>15</v>
      </c>
      <c r="D34" s="234" t="str">
        <f t="shared" si="6"/>
        <v/>
      </c>
      <c r="E34" s="235" t="str">
        <f t="array" ref="E34">IFERROR(IF(INDEX('Database-Hidden'!$A$2:$B$121,$C34,1)=$I$24,INDEX('Database-Hidden'!$A$2:$D$121,$C34,4),""),"")</f>
        <v/>
      </c>
      <c r="I34" s="234" t="str">
        <f t="array" ref="I34">IFERROR(IF(INDEX('Database-Hidden'!$A$2:$B$121,$C34,1)=$I$24,INDEX('Database-Hidden'!$A$2:$B$121,$C34,2),""),"")</f>
        <v/>
      </c>
      <c r="AV34" s="203"/>
    </row>
    <row r="35" spans="3:48" ht="17.25" hidden="1" customHeight="1">
      <c r="C35" s="234">
        <f t="shared" si="7"/>
        <v>16</v>
      </c>
      <c r="D35" s="234" t="str">
        <f t="shared" si="6"/>
        <v/>
      </c>
      <c r="E35" s="235" t="str">
        <f t="array" ref="E35">IFERROR(IF(INDEX('Database-Hidden'!$A$2:$B$121,$C35,1)=$I$24,INDEX('Database-Hidden'!$A$2:$D$121,$C35,4),""),"")</f>
        <v/>
      </c>
      <c r="I35" s="234" t="str">
        <f t="array" ref="I35">IFERROR(IF(INDEX('Database-Hidden'!$A$2:$B$121,$C35,1)=$I$24,INDEX('Database-Hidden'!$A$2:$B$121,$C35,2),""),"")</f>
        <v/>
      </c>
      <c r="AV35" s="203"/>
    </row>
    <row r="36" spans="3:48" ht="17.25" hidden="1" customHeight="1">
      <c r="C36" s="234">
        <f t="shared" si="7"/>
        <v>17</v>
      </c>
      <c r="D36" s="234" t="str">
        <f t="shared" si="6"/>
        <v/>
      </c>
      <c r="E36" s="235" t="str">
        <f t="array" ref="E36">IFERROR(IF(INDEX('Database-Hidden'!$A$2:$B$121,$C36,1)=$I$24,INDEX('Database-Hidden'!$A$2:$D$121,$C36,4),""),"")</f>
        <v/>
      </c>
      <c r="I36" s="234" t="str">
        <f t="array" ref="I36">IFERROR(IF(INDEX('Database-Hidden'!$A$2:$B$121,$C36,1)=$I$24,INDEX('Database-Hidden'!$A$2:$B$121,$C36,2),""),"")</f>
        <v/>
      </c>
      <c r="AV36" s="203"/>
    </row>
    <row r="37" spans="3:48" ht="17.25" hidden="1" customHeight="1">
      <c r="C37" s="234">
        <f t="shared" si="7"/>
        <v>18</v>
      </c>
      <c r="D37" s="234" t="str">
        <f t="shared" si="6"/>
        <v/>
      </c>
      <c r="E37" s="235" t="str">
        <f t="array" ref="E37">IFERROR(IF(INDEX('Database-Hidden'!$A$2:$B$121,$C37,1)=$I$24,INDEX('Database-Hidden'!$A$2:$D$121,$C37,4),""),"")</f>
        <v/>
      </c>
      <c r="I37" s="234" t="str">
        <f t="array" ref="I37">IFERROR(IF(INDEX('Database-Hidden'!$A$2:$B$121,$C37,1)=$I$24,INDEX('Database-Hidden'!$A$2:$B$121,$C37,2),""),"")</f>
        <v/>
      </c>
      <c r="AV37" s="203"/>
    </row>
    <row r="38" spans="3:48" ht="17.25" hidden="1" customHeight="1">
      <c r="C38" s="234">
        <f t="shared" si="7"/>
        <v>19</v>
      </c>
      <c r="D38" s="234" t="str">
        <f t="shared" si="6"/>
        <v/>
      </c>
      <c r="E38" s="235" t="str">
        <f t="array" ref="E38">IFERROR(IF(INDEX('Database-Hidden'!$A$2:$B$121,$C38,1)=$I$24,INDEX('Database-Hidden'!$A$2:$D$121,$C38,4),""),"")</f>
        <v/>
      </c>
      <c r="I38" s="234" t="str">
        <f t="array" ref="I38">IFERROR(IF(INDEX('Database-Hidden'!$A$2:$B$121,$C38,1)=$I$24,INDEX('Database-Hidden'!$A$2:$B$121,$C38,2),""),"")</f>
        <v/>
      </c>
      <c r="AV38" s="203"/>
    </row>
    <row r="39" spans="3:48" ht="17.25" hidden="1" customHeight="1">
      <c r="C39" s="234">
        <f t="shared" si="7"/>
        <v>20</v>
      </c>
      <c r="D39" s="234" t="str">
        <f t="shared" si="6"/>
        <v/>
      </c>
      <c r="E39" s="235" t="str">
        <f t="array" ref="E39">IFERROR(IF(INDEX('Database-Hidden'!$A$2:$B$121,$C39,1)=$I$24,INDEX('Database-Hidden'!$A$2:$D$121,$C39,4),""),"")</f>
        <v/>
      </c>
      <c r="I39" s="234" t="str">
        <f t="array" ref="I39">IFERROR(IF(INDEX('Database-Hidden'!$A$2:$B$121,$C39,1)=$I$24,INDEX('Database-Hidden'!$A$2:$B$121,$C39,2),""),"")</f>
        <v/>
      </c>
      <c r="AV39" s="203"/>
    </row>
    <row r="40" spans="3:48" ht="17.25" hidden="1" customHeight="1">
      <c r="C40" s="236">
        <f>MATCH(I24,'Star Players-Hidden'!D2:AD2,0)</f>
        <v>4</v>
      </c>
      <c r="D40" s="236" t="str">
        <f t="shared" ref="D40:D51" ca="1" si="8">I40&amp;IF(COUNTIF(D$4:D$19,I40)&gt;1," (Too Many)","")</f>
        <v>Star: Grashnak Blackhoof</v>
      </c>
      <c r="E40" s="237"/>
      <c r="F40" s="237"/>
      <c r="G40" s="237"/>
      <c r="H40" s="237"/>
      <c r="I40" s="236" t="str">
        <f ca="1">IFERROR(__xludf.DUMMYFUNCTION("FILTER({""Star: ""&amp;'Star Players-Hidden'!A3:A69},INDEX('Star Players-Hidden'!D3:AD69,0,C40)&lt;&gt;"""",{'Star Players-Hidden'!C3:C69=""""}+{'Star Players-Hidden'!C3:C69=I21})"),"Star: Grashnak Blackhoof")</f>
        <v>Star: Grashnak Blackhoof</v>
      </c>
      <c r="AV40" s="203"/>
    </row>
    <row r="41" spans="3:48" ht="17.25" hidden="1" customHeight="1">
      <c r="C41" s="234"/>
      <c r="D41" s="234" t="str">
        <f t="shared" ca="1" si="8"/>
        <v>Star: Hthark the Unstoppable</v>
      </c>
      <c r="I41" s="238" t="str">
        <f ca="1">IFERROR(__xludf.DUMMYFUNCTION("""COMPUTED_VALUE"""),"Star: Hthark the Unstoppable")</f>
        <v>Star: Hthark the Unstoppable</v>
      </c>
      <c r="AV41" s="203"/>
    </row>
    <row r="42" spans="3:48" ht="17.25" hidden="1" customHeight="1">
      <c r="C42" s="234"/>
      <c r="D42" s="234" t="str">
        <f t="shared" ca="1" si="8"/>
        <v>Star: Morg'n'Thorg</v>
      </c>
      <c r="I42" s="234" t="str">
        <f ca="1">IFERROR(__xludf.DUMMYFUNCTION("""COMPUTED_VALUE"""),"Star: Morg'n'Thorg")</f>
        <v>Star: Morg'n'Thorg</v>
      </c>
      <c r="AV42" s="203"/>
    </row>
    <row r="43" spans="3:48" ht="17.25" hidden="1" customHeight="1">
      <c r="C43" s="234"/>
      <c r="D43" s="234" t="str">
        <f t="shared" ca="1" si="8"/>
        <v>Star: Nobbla Blackwart</v>
      </c>
      <c r="I43" s="234" t="str">
        <f ca="1">IFERROR(__xludf.DUMMYFUNCTION("""COMPUTED_VALUE"""),"Star: Nobbla Blackwart")</f>
        <v>Star: Nobbla Blackwart</v>
      </c>
      <c r="AV43" s="203"/>
    </row>
    <row r="44" spans="3:48" ht="17.25" hidden="1" customHeight="1">
      <c r="C44" s="234"/>
      <c r="D44" s="234" t="str">
        <f t="shared" ca="1" si="8"/>
        <v>Star: Rashnak Backstabber</v>
      </c>
      <c r="I44" s="234" t="str">
        <f ca="1">IFERROR(__xludf.DUMMYFUNCTION("""COMPUTED_VALUE"""),"Star: Rashnak Backstabber")</f>
        <v>Star: Rashnak Backstabber</v>
      </c>
      <c r="AV44" s="203"/>
    </row>
    <row r="45" spans="3:48" ht="17.25" hidden="1" customHeight="1">
      <c r="C45" s="234"/>
      <c r="D45" s="234" t="str">
        <f t="shared" ca="1" si="8"/>
        <v>Star: Zzharg Madeye</v>
      </c>
      <c r="I45" s="234" t="str">
        <f ca="1">IFERROR(__xludf.DUMMYFUNCTION("""COMPUTED_VALUE"""),"Star: Zzharg Madeye")</f>
        <v>Star: Zzharg Madeye</v>
      </c>
      <c r="AV45" s="203"/>
    </row>
    <row r="46" spans="3:48" ht="17.25" hidden="1" customHeight="1">
      <c r="C46" s="234"/>
      <c r="D46" s="234" t="str">
        <f t="shared" si="8"/>
        <v/>
      </c>
      <c r="I46" s="234"/>
      <c r="AV46" s="203"/>
    </row>
    <row r="47" spans="3:48" ht="17.25" hidden="1" customHeight="1">
      <c r="C47" s="234"/>
      <c r="D47" s="234" t="str">
        <f t="shared" si="8"/>
        <v/>
      </c>
      <c r="I47" s="234"/>
      <c r="AV47" s="203"/>
    </row>
    <row r="48" spans="3:48" ht="17.25" hidden="1" customHeight="1">
      <c r="C48" s="234"/>
      <c r="D48" s="234" t="str">
        <f t="shared" si="8"/>
        <v/>
      </c>
      <c r="I48" s="234"/>
      <c r="AV48" s="203"/>
    </row>
    <row r="49" spans="3:48" ht="17.25" hidden="1" customHeight="1">
      <c r="C49" s="234"/>
      <c r="D49" s="234" t="str">
        <f t="shared" si="8"/>
        <v/>
      </c>
      <c r="I49" s="234"/>
      <c r="AV49" s="203"/>
    </row>
    <row r="50" spans="3:48" ht="17.25" hidden="1" customHeight="1">
      <c r="C50" s="234"/>
      <c r="D50" s="234" t="str">
        <f t="shared" si="8"/>
        <v/>
      </c>
      <c r="I50" s="234"/>
      <c r="AV50" s="203"/>
    </row>
    <row r="51" spans="3:48" ht="17.25" hidden="1" customHeight="1">
      <c r="C51" s="234"/>
      <c r="D51" s="234" t="str">
        <f t="shared" si="8"/>
        <v/>
      </c>
      <c r="I51" s="234"/>
      <c r="AV51" s="203"/>
    </row>
  </sheetData>
  <mergeCells count="31">
    <mergeCell ref="B20:D28"/>
    <mergeCell ref="P2:S2"/>
    <mergeCell ref="AN3:AQ3"/>
    <mergeCell ref="AR3:AV3"/>
    <mergeCell ref="L22:S22"/>
    <mergeCell ref="L23:S23"/>
    <mergeCell ref="V22:AA22"/>
    <mergeCell ref="V23:AA23"/>
    <mergeCell ref="E20:AA20"/>
    <mergeCell ref="V25:AA25"/>
    <mergeCell ref="L25:S25"/>
    <mergeCell ref="I27:K27"/>
    <mergeCell ref="I21:K23"/>
    <mergeCell ref="E21:H23"/>
    <mergeCell ref="E25:H25"/>
    <mergeCell ref="E24:H24"/>
    <mergeCell ref="I24:K24"/>
    <mergeCell ref="I25:K25"/>
    <mergeCell ref="E26:H26"/>
    <mergeCell ref="I26:K26"/>
    <mergeCell ref="V26:AA26"/>
    <mergeCell ref="L26:S26"/>
    <mergeCell ref="V24:AA24"/>
    <mergeCell ref="L24:S24"/>
    <mergeCell ref="V21:AA21"/>
    <mergeCell ref="L21:S21"/>
    <mergeCell ref="AN21:AO21"/>
    <mergeCell ref="E28:AA28"/>
    <mergeCell ref="L27:S27"/>
    <mergeCell ref="V27:AA27"/>
    <mergeCell ref="E27:H27"/>
  </mergeCells>
  <conditionalFormatting sqref="J4">
    <cfRule type="expression" dxfId="115" priority="1">
      <formula>K4&lt;&gt;SUM(AE4:AJ4)</formula>
    </cfRule>
  </conditionalFormatting>
  <conditionalFormatting sqref="K4:K19">
    <cfRule type="cellIs" dxfId="114" priority="2" operator="equal">
      <formula>0</formula>
    </cfRule>
  </conditionalFormatting>
  <conditionalFormatting sqref="AB4:AB19">
    <cfRule type="cellIs" dxfId="113" priority="3" operator="equal">
      <formula>0</formula>
    </cfRule>
  </conditionalFormatting>
  <conditionalFormatting sqref="E4:H19">
    <cfRule type="expression" dxfId="112" priority="4">
      <formula>AG4&gt;0</formula>
    </cfRule>
  </conditionalFormatting>
  <conditionalFormatting sqref="E4:H19">
    <cfRule type="expression" dxfId="111" priority="5">
      <formula>P4&gt;0</formula>
    </cfRule>
  </conditionalFormatting>
  <conditionalFormatting sqref="T4:T19 U4:U19 V4:W19 Z4:Z19 U29">
    <cfRule type="cellIs" dxfId="110" priority="6" stopIfTrue="1" operator="equal">
      <formula>0</formula>
    </cfRule>
  </conditionalFormatting>
  <conditionalFormatting sqref="K4:K19">
    <cfRule type="cellIs" dxfId="109" priority="7" stopIfTrue="1" operator="equal">
      <formula>"n/a"</formula>
    </cfRule>
  </conditionalFormatting>
  <conditionalFormatting sqref="P4:S19">
    <cfRule type="cellIs" dxfId="108" priority="8" stopIfTrue="1" operator="lessThanOrEqual">
      <formula>-1</formula>
    </cfRule>
  </conditionalFormatting>
  <conditionalFormatting sqref="V25:W27">
    <cfRule type="cellIs" dxfId="107" priority="9" stopIfTrue="1" operator="equal">
      <formula>-500</formula>
    </cfRule>
  </conditionalFormatting>
  <conditionalFormatting sqref="T25:T27">
    <cfRule type="cellIs" dxfId="106" priority="10" stopIfTrue="1" operator="greaterThan">
      <formula>$V$25</formula>
    </cfRule>
  </conditionalFormatting>
  <conditionalFormatting sqref="AA4:AA19">
    <cfRule type="cellIs" dxfId="105" priority="11" stopIfTrue="1" operator="equal">
      <formula>"Star"</formula>
    </cfRule>
  </conditionalFormatting>
  <conditionalFormatting sqref="AA4:AA19">
    <cfRule type="cellIs" dxfId="104" priority="12" stopIfTrue="1" operator="equal">
      <formula>AB4</formula>
    </cfRule>
  </conditionalFormatting>
  <conditionalFormatting sqref="I4:I19">
    <cfRule type="cellIs" dxfId="103" priority="13" stopIfTrue="1" operator="equal">
      <formula>0</formula>
    </cfRule>
  </conditionalFormatting>
  <conditionalFormatting sqref="I4:I19">
    <cfRule type="cellIs" dxfId="102" priority="14" stopIfTrue="1" operator="equal">
      <formula>"Player type quantity surpassed"</formula>
    </cfRule>
  </conditionalFormatting>
  <conditionalFormatting sqref="J5">
    <cfRule type="expression" dxfId="101" priority="15">
      <formula>K5&lt;&gt;SUM(AE5:AJ5)</formula>
    </cfRule>
  </conditionalFormatting>
  <conditionalFormatting sqref="J6">
    <cfRule type="expression" dxfId="100" priority="16">
      <formula>K6&lt;&gt;SUM(AE6:AJ6)</formula>
    </cfRule>
  </conditionalFormatting>
  <conditionalFormatting sqref="J7">
    <cfRule type="expression" dxfId="99" priority="17">
      <formula>K7&lt;&gt;SUM(AE7:AJ7)</formula>
    </cfRule>
  </conditionalFormatting>
  <conditionalFormatting sqref="J8">
    <cfRule type="expression" dxfId="98" priority="18">
      <formula>K8&lt;&gt;SUM(AE8:AJ8)</formula>
    </cfRule>
  </conditionalFormatting>
  <conditionalFormatting sqref="J9">
    <cfRule type="expression" dxfId="97" priority="19">
      <formula>K9&lt;&gt;SUM(AE9:AJ9)</formula>
    </cfRule>
  </conditionalFormatting>
  <conditionalFormatting sqref="J10">
    <cfRule type="expression" dxfId="96" priority="20">
      <formula>K10&lt;&gt;SUM(AE10:AJ10)</formula>
    </cfRule>
  </conditionalFormatting>
  <conditionalFormatting sqref="J11">
    <cfRule type="expression" dxfId="95" priority="21">
      <formula>K11&lt;&gt;SUM(AE11:AJ11)</formula>
    </cfRule>
  </conditionalFormatting>
  <conditionalFormatting sqref="J12">
    <cfRule type="expression" dxfId="94" priority="22">
      <formula>K12&lt;&gt;SUM(AE12:AJ12)</formula>
    </cfRule>
  </conditionalFormatting>
  <conditionalFormatting sqref="J13">
    <cfRule type="expression" dxfId="93" priority="23">
      <formula>K13&lt;&gt;SUM(AE13:AJ13)</formula>
    </cfRule>
  </conditionalFormatting>
  <conditionalFormatting sqref="J14">
    <cfRule type="expression" dxfId="92" priority="24">
      <formula>K14&lt;&gt;SUM(AE14:AJ14)</formula>
    </cfRule>
  </conditionalFormatting>
  <conditionalFormatting sqref="J15">
    <cfRule type="expression" dxfId="91" priority="25">
      <formula>K15&lt;&gt;SUM(AE15:AJ15)</formula>
    </cfRule>
  </conditionalFormatting>
  <conditionalFormatting sqref="J16">
    <cfRule type="expression" dxfId="90" priority="26">
      <formula>K16&lt;&gt;SUM(AE16:AJ16)</formula>
    </cfRule>
  </conditionalFormatting>
  <conditionalFormatting sqref="J17">
    <cfRule type="expression" dxfId="89" priority="27">
      <formula>K17&lt;&gt;SUM(AE17:AJ17)</formula>
    </cfRule>
  </conditionalFormatting>
  <conditionalFormatting sqref="J18">
    <cfRule type="expression" dxfId="88" priority="28">
      <formula>K18&lt;&gt;SUM(AE18:AJ18)</formula>
    </cfRule>
  </conditionalFormatting>
  <conditionalFormatting sqref="J19">
    <cfRule type="expression" dxfId="87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PP!$D$28:$D$49</formula1>
    </dataValidation>
  </dataValidations>
  <printOptions horizontalCentered="1"/>
  <pageMargins left="0.25" right="0.25" top="0.75" bottom="0.75" header="0" footer="0"/>
  <pageSetup pageOrder="overThenDown" orientation="landscape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W51"/>
  <sheetViews>
    <sheetView showGridLines="0" workbookViewId="0">
      <selection activeCell="AB9" sqref="AB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337" t="s">
        <v>3</v>
      </c>
      <c r="Q2" s="329"/>
      <c r="R2" s="329"/>
      <c r="S2" s="330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14</v>
      </c>
      <c r="J3" s="21" t="s">
        <v>16</v>
      </c>
      <c r="K3" s="22" t="s">
        <v>0</v>
      </c>
      <c r="L3" s="23" t="s">
        <v>17</v>
      </c>
      <c r="M3" s="24" t="s">
        <v>19</v>
      </c>
      <c r="N3" s="24" t="s">
        <v>20</v>
      </c>
      <c r="O3" s="25" t="s">
        <v>21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23</v>
      </c>
      <c r="U3" s="30" t="s">
        <v>24</v>
      </c>
      <c r="V3" s="30" t="s">
        <v>9</v>
      </c>
      <c r="W3" s="30" t="s">
        <v>25</v>
      </c>
      <c r="X3" s="31" t="s">
        <v>26</v>
      </c>
      <c r="Y3" s="25" t="s">
        <v>27</v>
      </c>
      <c r="Z3" s="32" t="s">
        <v>10</v>
      </c>
      <c r="AA3" s="33" t="s">
        <v>11</v>
      </c>
      <c r="AB3" s="34" t="s">
        <v>28</v>
      </c>
      <c r="AC3" s="4"/>
      <c r="AD3" s="13" t="s">
        <v>29</v>
      </c>
      <c r="AE3" s="20" t="s">
        <v>19</v>
      </c>
      <c r="AF3" s="35" t="s">
        <v>30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31</v>
      </c>
      <c r="AL3" s="39" t="s">
        <v>32</v>
      </c>
      <c r="AM3" s="4"/>
      <c r="AN3" s="338" t="s">
        <v>33</v>
      </c>
      <c r="AO3" s="315"/>
      <c r="AP3" s="315"/>
      <c r="AQ3" s="315"/>
      <c r="AR3" s="339" t="s">
        <v>34</v>
      </c>
      <c r="AS3" s="315"/>
      <c r="AT3" s="315"/>
      <c r="AU3" s="315"/>
      <c r="AV3" s="315"/>
      <c r="AW3" s="12"/>
    </row>
    <row r="4" spans="1:49" ht="33.75">
      <c r="A4" s="2"/>
      <c r="B4" s="40">
        <v>1</v>
      </c>
      <c r="C4" s="41" t="s">
        <v>287</v>
      </c>
      <c r="D4" s="42" t="s">
        <v>288</v>
      </c>
      <c r="E4" s="43">
        <f>IFERROR(VLOOKUP($I$24&amp;$D4,'Database-Hidden'!$C$2:$J$121,4,FALSE)-P4+AG4,"")</f>
        <v>4</v>
      </c>
      <c r="F4" s="44">
        <f>IFERROR(VLOOKUP($I$24&amp;$D4,'Database-Hidden'!$C$2:$J$121,5,FALSE)-Q4+AH4,"")</f>
        <v>5</v>
      </c>
      <c r="G4" s="44">
        <f>IFERROR(VLOOKUP($I$24&amp;$D4,'Database-Hidden'!$C$2:$J$121,6,FALSE)-R4+AI4,"")</f>
        <v>1</v>
      </c>
      <c r="H4" s="45">
        <f>IFERROR(VLOOKUP($I$24&amp;$D4,'Database-Hidden'!$C$2:$J$121,7,FALSE)-S4+AJ4,"")</f>
        <v>9</v>
      </c>
      <c r="I4" s="46" t="str">
        <f>IFERROR(VLOOKUP($I$24&amp;$D4,'Database-Hidden'!$C$2:$J$121,8,FALSE),"")</f>
        <v>Loner, Disturbing Presence, Foul Appearance, Mighty Blow, Nurgle's Rot, Really Stupid, Regeneration, Tentacles</v>
      </c>
      <c r="J4" s="47" t="s">
        <v>290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>
        <v>2</v>
      </c>
      <c r="X4" s="52"/>
      <c r="Y4" s="52"/>
      <c r="Z4" s="56">
        <v>2</v>
      </c>
      <c r="AA4" s="57">
        <f t="shared" ref="AA4:AA19" si="1">2*T4+U4+3*V4+2*W4+5*Z4</f>
        <v>14</v>
      </c>
      <c r="AB4" s="58">
        <f t="shared" ref="AB4:AB19" si="2">IF(L4=1,0,AD4+(20000*O4)+(20000*AE4)+(30000*AF4)+(30000*AG4)+(50000*AH4)+(40000*AI4)+(50000*AJ4)+AK4)</f>
        <v>160000</v>
      </c>
      <c r="AC4" s="4"/>
      <c r="AD4" s="59">
        <f>IFERROR(VLOOKUP($I$24&amp;D4,'Database-Hidden'!$C$2:$E$121,3,FALSE),"")</f>
        <v>140000</v>
      </c>
      <c r="AE4" s="60">
        <v>1</v>
      </c>
      <c r="AF4" s="62"/>
      <c r="AG4" s="62"/>
      <c r="AH4" s="62"/>
      <c r="AI4" s="62"/>
      <c r="AJ4" s="62"/>
      <c r="AK4" s="63"/>
      <c r="AL4" s="64" t="str">
        <f>IF(LEFT($D4,6)&lt;&gt;"Star: ","",VLOOKUP(RIGHT($D4,LEN($D4)-6),'Star Players-Hidden'!$A$3:$AK$69,37,FALSE))</f>
        <v/>
      </c>
      <c r="AM4" s="4"/>
      <c r="AN4" s="65" t="s">
        <v>39</v>
      </c>
      <c r="AO4" s="66">
        <v>50000</v>
      </c>
      <c r="AP4" s="4"/>
      <c r="AQ4" s="4"/>
      <c r="AR4" s="67"/>
      <c r="AS4" s="68"/>
      <c r="AT4" s="68"/>
      <c r="AU4" s="65" t="s">
        <v>42</v>
      </c>
      <c r="AV4" s="69">
        <v>0</v>
      </c>
      <c r="AW4" s="70"/>
    </row>
    <row r="5" spans="1:49" ht="22.5">
      <c r="A5" s="2"/>
      <c r="B5" s="71">
        <v>2</v>
      </c>
      <c r="C5" s="72" t="s">
        <v>293</v>
      </c>
      <c r="D5" s="73" t="s">
        <v>294</v>
      </c>
      <c r="E5" s="75">
        <f>IFERROR(VLOOKUP($I$24&amp;$D5,'Database-Hidden'!$C$2:$J$121,4,FALSE)-P5+AG5,"")</f>
        <v>4</v>
      </c>
      <c r="F5" s="76">
        <f>IFERROR(VLOOKUP($I$24&amp;$D5,'Database-Hidden'!$C$2:$J$121,5,FALSE)-Q5+AH5,"")</f>
        <v>4</v>
      </c>
      <c r="G5" s="76">
        <f>IFERROR(VLOOKUP($I$24&amp;$D5,'Database-Hidden'!$C$2:$J$121,6,FALSE)-R5+AI5,"")</f>
        <v>2</v>
      </c>
      <c r="H5" s="77">
        <f>IFERROR(VLOOKUP($I$24&amp;$D5,'Database-Hidden'!$C$2:$J$121,7,FALSE)-S5+AJ5,"")</f>
        <v>9</v>
      </c>
      <c r="I5" s="78" t="str">
        <f>IFERROR(VLOOKUP($I$24&amp;$D5,'Database-Hidden'!$C$2:$J$121,8,FALSE),"")</f>
        <v>Disturbing Presence, Foul Appearance, Nurgle's Rot, Regeneration</v>
      </c>
      <c r="J5" s="79" t="s">
        <v>55</v>
      </c>
      <c r="K5" s="80">
        <f t="shared" si="0"/>
        <v>1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/>
      <c r="W5" s="89">
        <v>1</v>
      </c>
      <c r="X5" s="85"/>
      <c r="Y5" s="85"/>
      <c r="Z5" s="90">
        <v>2</v>
      </c>
      <c r="AA5" s="91">
        <f t="shared" si="1"/>
        <v>12</v>
      </c>
      <c r="AB5" s="58">
        <f t="shared" si="2"/>
        <v>130000</v>
      </c>
      <c r="AC5" s="4"/>
      <c r="AD5" s="92">
        <f>IFERROR(VLOOKUP($I$24&amp;D5,'Database-Hidden'!$C$2:$E$121,3,FALSE),"")</f>
        <v>110000</v>
      </c>
      <c r="AE5" s="93">
        <v>1</v>
      </c>
      <c r="AF5" s="94"/>
      <c r="AG5" s="94"/>
      <c r="AH5" s="94"/>
      <c r="AI5" s="94"/>
      <c r="AJ5" s="94"/>
      <c r="AK5" s="63"/>
      <c r="AL5" s="64" t="str">
        <f>IF(LEFT($D5,6)&lt;&gt;"Star: ","",VLOOKUP(RIGHT($D5,LEN($D5)-6),'Star Players-Hidden'!$A$3:$AK$69,37,FALSE))</f>
        <v/>
      </c>
      <c r="AM5" s="1"/>
      <c r="AN5" s="95" t="s">
        <v>47</v>
      </c>
      <c r="AO5" s="96" t="s">
        <v>48</v>
      </c>
      <c r="AP5" s="98" t="s">
        <v>49</v>
      </c>
      <c r="AQ5" s="99" t="s">
        <v>50</v>
      </c>
      <c r="AR5" s="100" t="s">
        <v>51</v>
      </c>
      <c r="AS5" s="98" t="s">
        <v>52</v>
      </c>
      <c r="AT5" s="101" t="s">
        <v>53</v>
      </c>
      <c r="AU5" s="101" t="s">
        <v>54</v>
      </c>
      <c r="AV5" s="103" t="s">
        <v>2</v>
      </c>
      <c r="AW5" s="104"/>
    </row>
    <row r="6" spans="1:49" ht="22.5">
      <c r="A6" s="2"/>
      <c r="B6" s="71">
        <v>3</v>
      </c>
      <c r="C6" s="72" t="s">
        <v>297</v>
      </c>
      <c r="D6" s="73" t="s">
        <v>294</v>
      </c>
      <c r="E6" s="75">
        <f>IFERROR(VLOOKUP($I$24&amp;$D6,'Database-Hidden'!$C$2:$J$121,4,FALSE)-P6+AG6,"")</f>
        <v>4</v>
      </c>
      <c r="F6" s="76">
        <f>IFERROR(VLOOKUP($I$24&amp;$D6,'Database-Hidden'!$C$2:$J$121,5,FALSE)-Q6+AH6,"")</f>
        <v>4</v>
      </c>
      <c r="G6" s="76">
        <f>IFERROR(VLOOKUP($I$24&amp;$D6,'Database-Hidden'!$C$2:$J$121,6,FALSE)-R6+AI6,"")</f>
        <v>2</v>
      </c>
      <c r="H6" s="77">
        <f>IFERROR(VLOOKUP($I$24&amp;$D6,'Database-Hidden'!$C$2:$J$121,7,FALSE)-S6+AJ6,"")</f>
        <v>9</v>
      </c>
      <c r="I6" s="78" t="str">
        <f>IFERROR(VLOOKUP($I$24&amp;$D6,'Database-Hidden'!$C$2:$J$121,8,FALSE),"")</f>
        <v>Disturbing Presence, Foul Appearance, Nurgle's Rot, Regeneration</v>
      </c>
      <c r="J6" s="79" t="s">
        <v>227</v>
      </c>
      <c r="K6" s="80">
        <f t="shared" si="0"/>
        <v>2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9">
        <v>5</v>
      </c>
      <c r="X6" s="85"/>
      <c r="Y6" s="85"/>
      <c r="Z6" s="90">
        <v>2</v>
      </c>
      <c r="AA6" s="91">
        <f t="shared" si="1"/>
        <v>20</v>
      </c>
      <c r="AB6" s="58">
        <f t="shared" si="2"/>
        <v>150000</v>
      </c>
      <c r="AC6" s="4"/>
      <c r="AD6" s="92">
        <f>IFERROR(VLOOKUP($I$24&amp;D6,'Database-Hidden'!$C$2:$E$121,3,FALSE),"")</f>
        <v>110000</v>
      </c>
      <c r="AE6" s="93">
        <v>2</v>
      </c>
      <c r="AF6" s="107"/>
      <c r="AG6" s="107"/>
      <c r="AH6" s="107"/>
      <c r="AI6" s="107"/>
      <c r="AJ6" s="107"/>
      <c r="AK6" s="63"/>
      <c r="AL6" s="64" t="str">
        <f>IF(LEFT($D6,6)&lt;&gt;"Star: ","",VLOOKUP(RIGHT($D6,LEN($D6)-6),'Star Players-Hidden'!$A$3:$AK$69,37,FALSE))</f>
        <v/>
      </c>
      <c r="AM6" s="4"/>
      <c r="AN6" s="108" t="s">
        <v>57</v>
      </c>
      <c r="AO6" s="109">
        <v>50000</v>
      </c>
      <c r="AP6" s="110"/>
      <c r="AQ6" s="112"/>
      <c r="AR6" s="114"/>
      <c r="AS6" s="115"/>
      <c r="AT6" s="118"/>
      <c r="AU6" s="116"/>
      <c r="AV6" s="119"/>
      <c r="AW6" s="117"/>
    </row>
    <row r="7" spans="1:49" ht="22.5">
      <c r="A7" s="2"/>
      <c r="B7" s="71">
        <v>4</v>
      </c>
      <c r="C7" s="72" t="s">
        <v>300</v>
      </c>
      <c r="D7" s="73" t="s">
        <v>294</v>
      </c>
      <c r="E7" s="75">
        <f>IFERROR(VLOOKUP($I$24&amp;$D7,'Database-Hidden'!$C$2:$J$121,4,FALSE)-P7+AG7,"")</f>
        <v>4</v>
      </c>
      <c r="F7" s="76">
        <f>IFERROR(VLOOKUP($I$24&amp;$D7,'Database-Hidden'!$C$2:$J$121,5,FALSE)-Q7+AH7,"")</f>
        <v>4</v>
      </c>
      <c r="G7" s="76">
        <f>IFERROR(VLOOKUP($I$24&amp;$D7,'Database-Hidden'!$C$2:$J$121,6,FALSE)-R7+AI7,"")</f>
        <v>2</v>
      </c>
      <c r="H7" s="77">
        <f>IFERROR(VLOOKUP($I$24&amp;$D7,'Database-Hidden'!$C$2:$J$121,7,FALSE)-S7+AJ7,"")</f>
        <v>9</v>
      </c>
      <c r="I7" s="78" t="str">
        <f>IFERROR(VLOOKUP($I$24&amp;$D7,'Database-Hidden'!$C$2:$J$121,8,FALSE),"")</f>
        <v>Disturbing Presence, Foul Appearance, Nurgle's Rot, Regeneration</v>
      </c>
      <c r="J7" s="79" t="s">
        <v>301</v>
      </c>
      <c r="K7" s="80">
        <f t="shared" si="0"/>
        <v>2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>
        <v>1</v>
      </c>
      <c r="X7" s="85"/>
      <c r="Y7" s="85"/>
      <c r="Z7" s="90">
        <v>3</v>
      </c>
      <c r="AA7" s="91">
        <f t="shared" si="1"/>
        <v>17</v>
      </c>
      <c r="AB7" s="58">
        <f t="shared" si="2"/>
        <v>150000</v>
      </c>
      <c r="AC7" s="4"/>
      <c r="AD7" s="120">
        <f>IFERROR(VLOOKUP($I$24&amp;D7,'Database-Hidden'!$C$2:$E$121,3,FALSE),"")</f>
        <v>110000</v>
      </c>
      <c r="AE7" s="93">
        <v>2</v>
      </c>
      <c r="AF7" s="107"/>
      <c r="AG7" s="107"/>
      <c r="AH7" s="107"/>
      <c r="AI7" s="107"/>
      <c r="AJ7" s="107"/>
      <c r="AK7" s="63"/>
      <c r="AL7" s="64" t="str">
        <f>IF(LEFT($D7,6)&lt;&gt;"Star: ","",VLOOKUP(RIGHT($D7,LEN($D7)-6),'Star Players-Hidden'!$A$3:$AK$69,37,FALSE))</f>
        <v/>
      </c>
      <c r="AM7" s="4"/>
      <c r="AN7" s="121" t="s">
        <v>63</v>
      </c>
      <c r="AO7" s="131">
        <v>50000</v>
      </c>
      <c r="AP7" s="132">
        <v>80000</v>
      </c>
      <c r="AQ7" s="124"/>
      <c r="AR7" s="125"/>
      <c r="AS7" s="126"/>
      <c r="AT7" s="127"/>
      <c r="AU7" s="128"/>
      <c r="AV7" s="129"/>
      <c r="AW7" s="130"/>
    </row>
    <row r="8" spans="1:49" ht="22.5">
      <c r="A8" s="2"/>
      <c r="B8" s="71">
        <v>5</v>
      </c>
      <c r="C8" s="72" t="s">
        <v>302</v>
      </c>
      <c r="D8" s="73" t="s">
        <v>294</v>
      </c>
      <c r="E8" s="75">
        <f>IFERROR(VLOOKUP($I$24&amp;$D8,'Database-Hidden'!$C$2:$J$121,4,FALSE)-P8+AG8,"")</f>
        <v>4</v>
      </c>
      <c r="F8" s="76">
        <f>IFERROR(VLOOKUP($I$24&amp;$D8,'Database-Hidden'!$C$2:$J$121,5,FALSE)-Q8+AH8,"")</f>
        <v>4</v>
      </c>
      <c r="G8" s="76">
        <f>IFERROR(VLOOKUP($I$24&amp;$D8,'Database-Hidden'!$C$2:$J$121,6,FALSE)-R8+AI8,"")</f>
        <v>2</v>
      </c>
      <c r="H8" s="77">
        <f>IFERROR(VLOOKUP($I$24&amp;$D8,'Database-Hidden'!$C$2:$J$121,7,FALSE)-S8+AJ8,"")</f>
        <v>9</v>
      </c>
      <c r="I8" s="78" t="str">
        <f>IFERROR(VLOOKUP($I$24&amp;$D8,'Database-Hidden'!$C$2:$J$121,8,FALSE),"")</f>
        <v>Disturbing Presence, Foul Appearance, Nurgle's Rot, Regeneration</v>
      </c>
      <c r="J8" s="106"/>
      <c r="K8" s="80">
        <f t="shared" si="0"/>
        <v>0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9">
        <v>1</v>
      </c>
      <c r="X8" s="140">
        <v>1</v>
      </c>
      <c r="Y8" s="85"/>
      <c r="Z8" s="90"/>
      <c r="AA8" s="91">
        <f t="shared" si="1"/>
        <v>2</v>
      </c>
      <c r="AB8" s="58">
        <f t="shared" si="2"/>
        <v>110000</v>
      </c>
      <c r="AC8" s="4"/>
      <c r="AD8" s="120">
        <f>IFERROR(VLOOKUP($I$24&amp;D8,'Database-Hidden'!$C$2:$E$121,3,FALSE),"")</f>
        <v>110000</v>
      </c>
      <c r="AE8" s="93"/>
      <c r="AF8" s="107"/>
      <c r="AG8" s="107"/>
      <c r="AH8" s="107"/>
      <c r="AI8" s="107"/>
      <c r="AJ8" s="107"/>
      <c r="AK8" s="63"/>
      <c r="AL8" s="64" t="str">
        <f>IF(LEFT($D8,6)&lt;&gt;"Star: ","",VLOOKUP(RIGHT($D8,LEN($D8)-6),'Star Players-Hidden'!$A$3:$AK$69,37,FALSE))</f>
        <v/>
      </c>
      <c r="AM8" s="4"/>
      <c r="AN8" s="121" t="s">
        <v>69</v>
      </c>
      <c r="AO8" s="131">
        <v>40000</v>
      </c>
      <c r="AP8" s="132">
        <v>40000</v>
      </c>
      <c r="AQ8" s="124"/>
      <c r="AR8" s="125"/>
      <c r="AS8" s="126"/>
      <c r="AT8" s="127"/>
      <c r="AU8" s="128"/>
      <c r="AV8" s="129"/>
      <c r="AW8" s="130"/>
    </row>
    <row r="9" spans="1:49" ht="12.75">
      <c r="A9" s="2"/>
      <c r="B9" s="71">
        <v>6</v>
      </c>
      <c r="C9" s="72"/>
      <c r="D9" s="73"/>
      <c r="E9" s="75" t="str">
        <f>IFERROR(VLOOKUP($I$24&amp;$D9,'Database-Hidden'!$C$2:$J$121,4,FALSE)-P9+AG9,"")</f>
        <v/>
      </c>
      <c r="F9" s="76" t="str">
        <f>IFERROR(VLOOKUP($I$24&amp;$D9,'Database-Hidden'!$C$2:$J$121,5,FALSE)-Q9+AH9,"")</f>
        <v/>
      </c>
      <c r="G9" s="76" t="str">
        <f>IFERROR(VLOOKUP($I$24&amp;$D9,'Database-Hidden'!$C$2:$J$121,6,FALSE)-R9+AI9,"")</f>
        <v/>
      </c>
      <c r="H9" s="77" t="str">
        <f>IFERROR(VLOOKUP($I$24&amp;$D9,'Database-Hidden'!$C$2:$J$121,7,FALSE)-S9+AJ9,"")</f>
        <v/>
      </c>
      <c r="I9" s="78" t="str">
        <f>IFERROR(VLOOKUP($I$24&amp;$D9,'Database-Hidden'!$C$2:$J$121,8,FALSE),"")</f>
        <v/>
      </c>
      <c r="J9" s="106"/>
      <c r="K9" s="80">
        <f t="shared" si="0"/>
        <v>0</v>
      </c>
      <c r="L9" s="82"/>
      <c r="M9" s="81"/>
      <c r="N9" s="82"/>
      <c r="O9" s="83"/>
      <c r="P9" s="84"/>
      <c r="Q9" s="85"/>
      <c r="R9" s="85"/>
      <c r="S9" s="244"/>
      <c r="T9" s="87"/>
      <c r="U9" s="89"/>
      <c r="V9" s="88"/>
      <c r="W9" s="88"/>
      <c r="X9" s="85"/>
      <c r="Y9" s="85"/>
      <c r="Z9" s="90"/>
      <c r="AA9" s="91">
        <f t="shared" si="1"/>
        <v>0</v>
      </c>
      <c r="AB9" s="58"/>
      <c r="AC9" s="4"/>
      <c r="AD9" s="120" t="str">
        <f>IFERROR(VLOOKUP($I$24&amp;D9,'Database-Hidden'!$C$2:$E$121,3,FALSE),"")</f>
        <v/>
      </c>
      <c r="AE9" s="93"/>
      <c r="AF9" s="94"/>
      <c r="AG9" s="107"/>
      <c r="AH9" s="107"/>
      <c r="AI9" s="107"/>
      <c r="AJ9" s="107"/>
      <c r="AK9" s="63"/>
      <c r="AL9" s="64" t="str">
        <f>IF(LEFT($D9,6)&lt;&gt;"Star: ","",VLOOKUP(RIGHT($D9,LEN($D9)-6),'Star Players-Hidden'!$A$3:$AK$69,37,FALSE))</f>
        <v/>
      </c>
      <c r="AM9" s="4"/>
      <c r="AN9" s="121" t="s">
        <v>72</v>
      </c>
      <c r="AO9" s="131">
        <v>40000</v>
      </c>
      <c r="AP9" s="132">
        <v>80000</v>
      </c>
      <c r="AQ9" s="124"/>
      <c r="AR9" s="133" t="s">
        <v>125</v>
      </c>
      <c r="AS9" s="134" t="s">
        <v>308</v>
      </c>
      <c r="AT9" s="135">
        <v>0</v>
      </c>
      <c r="AU9" s="136">
        <v>4</v>
      </c>
      <c r="AV9" s="137">
        <v>0</v>
      </c>
      <c r="AW9" s="130"/>
    </row>
    <row r="10" spans="1:49" ht="12.75">
      <c r="A10" s="2"/>
      <c r="B10" s="71">
        <v>7</v>
      </c>
      <c r="C10" s="72" t="s">
        <v>309</v>
      </c>
      <c r="D10" s="73" t="s">
        <v>310</v>
      </c>
      <c r="E10" s="75">
        <f>IFERROR(VLOOKUP($I$24&amp;$D10,'Database-Hidden'!$C$2:$J$121,4,FALSE)-P10+AG10,"")</f>
        <v>6</v>
      </c>
      <c r="F10" s="76">
        <f>IFERROR(VLOOKUP($I$24&amp;$D10,'Database-Hidden'!$C$2:$J$121,5,FALSE)-Q10+AH10,"")</f>
        <v>3</v>
      </c>
      <c r="G10" s="76">
        <f>IFERROR(VLOOKUP($I$24&amp;$D10,'Database-Hidden'!$C$2:$J$121,6,FALSE)-R10+AI10,"")</f>
        <v>3</v>
      </c>
      <c r="H10" s="77">
        <f>IFERROR(VLOOKUP($I$24&amp;$D10,'Database-Hidden'!$C$2:$J$121,7,FALSE)-S10+AJ10,"")</f>
        <v>8</v>
      </c>
      <c r="I10" s="78" t="str">
        <f>IFERROR(VLOOKUP($I$24&amp;$D10,'Database-Hidden'!$C$2:$J$121,8,FALSE),"")</f>
        <v>Horns, Nurgle's Rot, Regeneration</v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>
        <v>1</v>
      </c>
      <c r="W10" s="89"/>
      <c r="X10" s="85"/>
      <c r="Y10" s="85"/>
      <c r="Z10" s="90"/>
      <c r="AA10" s="91">
        <f t="shared" si="1"/>
        <v>3</v>
      </c>
      <c r="AB10" s="58">
        <f t="shared" si="2"/>
        <v>80000</v>
      </c>
      <c r="AC10" s="4"/>
      <c r="AD10" s="120">
        <f>IFERROR(VLOOKUP($I$24&amp;D10,'Database-Hidden'!$C$2:$E$121,3,FALSE),"")</f>
        <v>80000</v>
      </c>
      <c r="AE10" s="93"/>
      <c r="AF10" s="94"/>
      <c r="AG10" s="107"/>
      <c r="AH10" s="107"/>
      <c r="AI10" s="107"/>
      <c r="AJ10" s="107"/>
      <c r="AK10" s="63"/>
      <c r="AL10" s="64" t="str">
        <f>IF(LEFT($D10,6)&lt;&gt;"Star: ","",VLOOKUP(RIGHT($D10,LEN($D10)-6),'Star Players-Hidden'!$A$3:$AK$69,37,FALSE))</f>
        <v/>
      </c>
      <c r="AM10" s="4"/>
      <c r="AN10" s="121" t="s">
        <v>78</v>
      </c>
      <c r="AO10" s="131">
        <v>20000</v>
      </c>
      <c r="AP10" s="123"/>
      <c r="AQ10" s="124"/>
      <c r="AR10" s="133" t="s">
        <v>150</v>
      </c>
      <c r="AS10" s="134" t="s">
        <v>308</v>
      </c>
      <c r="AT10" s="135">
        <v>0</v>
      </c>
      <c r="AU10" s="136">
        <v>0</v>
      </c>
      <c r="AV10" s="137">
        <v>0</v>
      </c>
      <c r="AW10" s="130"/>
    </row>
    <row r="11" spans="1:49" ht="12.75">
      <c r="A11" s="2"/>
      <c r="B11" s="71">
        <v>8</v>
      </c>
      <c r="C11" s="72" t="s">
        <v>313</v>
      </c>
      <c r="D11" s="73" t="s">
        <v>310</v>
      </c>
      <c r="E11" s="75">
        <f>IFERROR(VLOOKUP($I$24&amp;$D11,'Database-Hidden'!$C$2:$J$121,4,FALSE)-P11+AG11,"")</f>
        <v>6</v>
      </c>
      <c r="F11" s="76">
        <f>IFERROR(VLOOKUP($I$24&amp;$D11,'Database-Hidden'!$C$2:$J$121,5,FALSE)-Q11+AH11,"")</f>
        <v>3</v>
      </c>
      <c r="G11" s="76">
        <f>IFERROR(VLOOKUP($I$24&amp;$D11,'Database-Hidden'!$C$2:$J$121,6,FALSE)-R11+AI11,"")</f>
        <v>3</v>
      </c>
      <c r="H11" s="77">
        <f>IFERROR(VLOOKUP($I$24&amp;$D11,'Database-Hidden'!$C$2:$J$121,7,FALSE)-S11+AJ11,"")</f>
        <v>8</v>
      </c>
      <c r="I11" s="78" t="str">
        <f>IFERROR(VLOOKUP($I$24&amp;$D11,'Database-Hidden'!$C$2:$J$121,8,FALSE),"")</f>
        <v>Horns, Nurgle's Rot, Regeneration</v>
      </c>
      <c r="J11" s="106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9">
        <v>1</v>
      </c>
      <c r="W11" s="88"/>
      <c r="X11" s="85"/>
      <c r="Y11" s="85"/>
      <c r="Z11" s="90"/>
      <c r="AA11" s="91">
        <f t="shared" si="1"/>
        <v>3</v>
      </c>
      <c r="AB11" s="58">
        <f t="shared" si="2"/>
        <v>80000</v>
      </c>
      <c r="AC11" s="4"/>
      <c r="AD11" s="120">
        <f>IFERROR(VLOOKUP($I$24&amp;D11,'Database-Hidden'!$C$2:$E$121,3,FALSE),"")</f>
        <v>80000</v>
      </c>
      <c r="AE11" s="139"/>
      <c r="AF11" s="107"/>
      <c r="AG11" s="107"/>
      <c r="AH11" s="107"/>
      <c r="AI11" s="107"/>
      <c r="AJ11" s="107"/>
      <c r="AK11" s="63"/>
      <c r="AL11" s="64" t="str">
        <f>IF(LEFT($D11,6)&lt;&gt;"Star: ","",VLOOKUP(RIGHT($D11,LEN($D11)-6),'Star Players-Hidden'!$A$3:$AK$69,37,FALSE))</f>
        <v/>
      </c>
      <c r="AM11" s="4"/>
      <c r="AN11" s="121" t="s">
        <v>82</v>
      </c>
      <c r="AO11" s="131">
        <v>20000</v>
      </c>
      <c r="AP11" s="123"/>
      <c r="AQ11" s="124"/>
      <c r="AR11" s="133" t="s">
        <v>110</v>
      </c>
      <c r="AS11" s="134" t="s">
        <v>308</v>
      </c>
      <c r="AT11" s="135">
        <v>0</v>
      </c>
      <c r="AU11" s="136">
        <v>1</v>
      </c>
      <c r="AV11" s="137">
        <v>0</v>
      </c>
      <c r="AW11" s="130"/>
    </row>
    <row r="12" spans="1:49" ht="12.75">
      <c r="A12" s="2"/>
      <c r="B12" s="71">
        <v>9</v>
      </c>
      <c r="C12" s="72"/>
      <c r="D12" s="73"/>
      <c r="E12" s="75" t="str">
        <f>IFERROR(VLOOKUP($I$24&amp;$D12,'Database-Hidden'!$C$2:$J$121,4,FALSE)-P12+AG12,"")</f>
        <v/>
      </c>
      <c r="F12" s="76" t="str">
        <f>IFERROR(VLOOKUP($I$24&amp;$D12,'Database-Hidden'!$C$2:$J$121,5,FALSE)-Q12+AH12,"")</f>
        <v/>
      </c>
      <c r="G12" s="76" t="str">
        <f>IFERROR(VLOOKUP($I$24&amp;$D12,'Database-Hidden'!$C$2:$J$121,6,FALSE)-R12+AI12,"")</f>
        <v/>
      </c>
      <c r="H12" s="77" t="str">
        <f>IFERROR(VLOOKUP($I$24&amp;$D12,'Database-Hidden'!$C$2:$J$121,7,FALSE)-S12+AJ12,"")</f>
        <v/>
      </c>
      <c r="I12" s="78" t="str">
        <f>IFERROR(VLOOKUP($I$24&amp;$D12,'Database-Hidden'!$C$2:$J$121,8,FALSE),"")</f>
        <v/>
      </c>
      <c r="J12" s="106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85"/>
      <c r="Z12" s="90"/>
      <c r="AA12" s="91">
        <f t="shared" si="1"/>
        <v>0</v>
      </c>
      <c r="AB12" s="58"/>
      <c r="AC12" s="4"/>
      <c r="AD12" s="120" t="str">
        <f>IFERROR(VLOOKUP($I$24&amp;D12,'Database-Hidden'!$C$2:$E$121,3,FALSE),"")</f>
        <v/>
      </c>
      <c r="AE12" s="139"/>
      <c r="AF12" s="107"/>
      <c r="AG12" s="107"/>
      <c r="AH12" s="107"/>
      <c r="AI12" s="107"/>
      <c r="AJ12" s="107"/>
      <c r="AK12" s="63"/>
      <c r="AL12" s="64" t="str">
        <f>IF(LEFT($D12,6)&lt;&gt;"Star: ","",VLOOKUP(RIGHT($D12,LEN($D12)-6),'Star Players-Hidden'!$A$3:$AK$69,37,FALSE))</f>
        <v/>
      </c>
      <c r="AM12" s="4"/>
      <c r="AN12" s="121" t="s">
        <v>87</v>
      </c>
      <c r="AO12" s="122"/>
      <c r="AP12" s="123"/>
      <c r="AQ12" s="124"/>
      <c r="AR12" s="125"/>
      <c r="AS12" s="126"/>
      <c r="AT12" s="127"/>
      <c r="AU12" s="128"/>
      <c r="AV12" s="129"/>
      <c r="AW12" s="130"/>
    </row>
    <row r="13" spans="1:49" ht="12.75">
      <c r="A13" s="2"/>
      <c r="B13" s="71">
        <v>10</v>
      </c>
      <c r="C13" s="72"/>
      <c r="D13" s="73"/>
      <c r="E13" s="75" t="str">
        <f>IFERROR(VLOOKUP($I$24&amp;$D13,'Database-Hidden'!$C$2:$J$121,4,FALSE)-P13+AG13,"")</f>
        <v/>
      </c>
      <c r="F13" s="76" t="str">
        <f>IFERROR(VLOOKUP($I$24&amp;$D13,'Database-Hidden'!$C$2:$J$121,5,FALSE)-Q13+AH13,"")</f>
        <v/>
      </c>
      <c r="G13" s="76" t="str">
        <f>IFERROR(VLOOKUP($I$24&amp;$D13,'Database-Hidden'!$C$2:$J$121,6,FALSE)-R13+AI13,"")</f>
        <v/>
      </c>
      <c r="H13" s="77" t="str">
        <f>IFERROR(VLOOKUP($I$24&amp;$D13,'Database-Hidden'!$C$2:$J$121,7,FALSE)-S13+AJ13,"")</f>
        <v/>
      </c>
      <c r="I13" s="78" t="str">
        <f>IFERROR(VLOOKUP($I$24&amp;$D13,'Database-Hidden'!$C$2:$J$121,8,FALSE),"")</f>
        <v/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/>
      <c r="X13" s="85"/>
      <c r="Y13" s="85"/>
      <c r="Z13" s="90"/>
      <c r="AA13" s="91">
        <f t="shared" si="1"/>
        <v>0</v>
      </c>
      <c r="AB13" s="58"/>
      <c r="AC13" s="4"/>
      <c r="AD13" s="120" t="str">
        <f>IFERROR(VLOOKUP($I$24&amp;D13,'Database-Hidden'!$C$2:$E$121,3,FALSE),"")</f>
        <v/>
      </c>
      <c r="AE13" s="139"/>
      <c r="AF13" s="94"/>
      <c r="AG13" s="107"/>
      <c r="AH13" s="107"/>
      <c r="AI13" s="107"/>
      <c r="AJ13" s="107"/>
      <c r="AK13" s="63"/>
      <c r="AL13" s="64" t="str">
        <f>IF(LEFT($D13,6)&lt;&gt;"Star: ","",VLOOKUP(RIGHT($D13,LEN($D13)-6),'Star Players-Hidden'!$A$3:$AK$69,37,FALSE))</f>
        <v/>
      </c>
      <c r="AM13" s="4"/>
      <c r="AN13" s="121" t="s">
        <v>95</v>
      </c>
      <c r="AO13" s="122"/>
      <c r="AP13" s="123"/>
      <c r="AQ13" s="124"/>
      <c r="AR13" s="125"/>
      <c r="AS13" s="126"/>
      <c r="AT13" s="127"/>
      <c r="AU13" s="128"/>
      <c r="AV13" s="129"/>
      <c r="AW13" s="130"/>
    </row>
    <row r="14" spans="1:49" ht="12.75">
      <c r="A14" s="2"/>
      <c r="B14" s="71">
        <v>11</v>
      </c>
      <c r="C14" s="72"/>
      <c r="D14" s="73"/>
      <c r="E14" s="75" t="str">
        <f>IFERROR(VLOOKUP($I$24&amp;$D14,'Database-Hidden'!$C$2:$J$121,4,FALSE)-P14+AG14,"")</f>
        <v/>
      </c>
      <c r="F14" s="76" t="str">
        <f>IFERROR(VLOOKUP($I$24&amp;$D14,'Database-Hidden'!$C$2:$J$121,5,FALSE)-Q14+AH14,"")</f>
        <v/>
      </c>
      <c r="G14" s="76" t="str">
        <f>IFERROR(VLOOKUP($I$24&amp;$D14,'Database-Hidden'!$C$2:$J$121,6,FALSE)-R14+AI14,"")</f>
        <v/>
      </c>
      <c r="H14" s="77" t="str">
        <f>IFERROR(VLOOKUP($I$24&amp;$D14,'Database-Hidden'!$C$2:$J$121,7,FALSE)-S14+AJ14,"")</f>
        <v/>
      </c>
      <c r="I14" s="78" t="str">
        <f>IFERROR(VLOOKUP($I$24&amp;$D14,'Database-Hidden'!$C$2:$J$121,8,FALSE),"")</f>
        <v/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/>
      <c r="X14" s="85"/>
      <c r="Y14" s="85"/>
      <c r="Z14" s="90"/>
      <c r="AA14" s="91">
        <f t="shared" si="1"/>
        <v>0</v>
      </c>
      <c r="AB14" s="58"/>
      <c r="AC14" s="4"/>
      <c r="AD14" s="120" t="str">
        <f>IFERROR(VLOOKUP($I$24&amp;D14,'Database-Hidden'!$C$2:$E$121,3,FALSE),"")</f>
        <v/>
      </c>
      <c r="AE14" s="93"/>
      <c r="AF14" s="107"/>
      <c r="AG14" s="107"/>
      <c r="AH14" s="107"/>
      <c r="AI14" s="107"/>
      <c r="AJ14" s="107"/>
      <c r="AK14" s="63"/>
      <c r="AL14" s="64" t="str">
        <f>IF(LEFT($D14,6)&lt;&gt;"Star: ","",VLOOKUP(RIGHT($D14,LEN($D14)-6),'Star Players-Hidden'!$A$3:$AK$69,37,FALSE))</f>
        <v/>
      </c>
      <c r="AM14" s="4"/>
      <c r="AN14" s="121" t="s">
        <v>98</v>
      </c>
      <c r="AO14" s="131">
        <v>40000</v>
      </c>
      <c r="AP14" s="132">
        <v>0</v>
      </c>
      <c r="AQ14" s="138">
        <v>0</v>
      </c>
      <c r="AR14" s="133" t="s">
        <v>76</v>
      </c>
      <c r="AS14" s="134" t="s">
        <v>320</v>
      </c>
      <c r="AT14" s="135">
        <v>2</v>
      </c>
      <c r="AU14" s="136">
        <v>4</v>
      </c>
      <c r="AV14" s="137">
        <v>1</v>
      </c>
      <c r="AW14" s="130"/>
    </row>
    <row r="15" spans="1:49" ht="12.75">
      <c r="A15" s="2"/>
      <c r="B15" s="71">
        <v>12</v>
      </c>
      <c r="C15" s="72" t="s">
        <v>321</v>
      </c>
      <c r="D15" s="73" t="s">
        <v>322</v>
      </c>
      <c r="E15" s="75">
        <f>IFERROR(VLOOKUP($I$24&amp;$D15,'Database-Hidden'!$C$2:$J$121,4,FALSE)-P15+AG15,"")</f>
        <v>5</v>
      </c>
      <c r="F15" s="76">
        <f>IFERROR(VLOOKUP($I$24&amp;$D15,'Database-Hidden'!$C$2:$J$121,5,FALSE)-Q15+AH15,"")</f>
        <v>3</v>
      </c>
      <c r="G15" s="76">
        <f>IFERROR(VLOOKUP($I$24&amp;$D15,'Database-Hidden'!$C$2:$J$121,6,FALSE)-R15+AI15,"")</f>
        <v>3</v>
      </c>
      <c r="H15" s="77">
        <f>IFERROR(VLOOKUP($I$24&amp;$D15,'Database-Hidden'!$C$2:$J$121,7,FALSE)-S15+AJ15,"")</f>
        <v>8</v>
      </c>
      <c r="I15" s="78" t="str">
        <f>IFERROR(VLOOKUP($I$24&amp;$D15,'Database-Hidden'!$C$2:$J$121,8,FALSE),"")</f>
        <v>Decay, Nurgle's Rot</v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85"/>
      <c r="Y15" s="85"/>
      <c r="Z15" s="90"/>
      <c r="AA15" s="91">
        <f t="shared" si="1"/>
        <v>0</v>
      </c>
      <c r="AB15" s="58">
        <f t="shared" si="2"/>
        <v>40000</v>
      </c>
      <c r="AC15" s="4"/>
      <c r="AD15" s="120">
        <f>IFERROR(VLOOKUP($I$24&amp;D15,'Database-Hidden'!$C$2:$E$121,3,FALSE),"")</f>
        <v>40000</v>
      </c>
      <c r="AE15" s="93"/>
      <c r="AF15" s="107"/>
      <c r="AG15" s="107"/>
      <c r="AH15" s="107"/>
      <c r="AI15" s="107"/>
      <c r="AJ15" s="107"/>
      <c r="AK15" s="63"/>
      <c r="AL15" s="64" t="str">
        <f>IF(LEFT($D15,6)&lt;&gt;"Star: ","",VLOOKUP(RIGHT($D15,LEN($D15)-6),'Star Players-Hidden'!$A$3:$AK$69,37,FALSE))</f>
        <v/>
      </c>
      <c r="AM15" s="4"/>
      <c r="AN15" s="121" t="s">
        <v>102</v>
      </c>
      <c r="AO15" s="122"/>
      <c r="AP15" s="123"/>
      <c r="AQ15" s="124"/>
      <c r="AR15" s="125"/>
      <c r="AS15" s="126"/>
      <c r="AT15" s="127"/>
      <c r="AU15" s="128"/>
      <c r="AV15" s="129"/>
      <c r="AW15" s="130"/>
    </row>
    <row r="16" spans="1:49" ht="12.75">
      <c r="A16" s="2"/>
      <c r="B16" s="71">
        <v>13</v>
      </c>
      <c r="C16" s="72" t="s">
        <v>323</v>
      </c>
      <c r="D16" s="73" t="s">
        <v>322</v>
      </c>
      <c r="E16" s="75">
        <f>IFERROR(VLOOKUP($I$24&amp;$D16,'Database-Hidden'!$C$2:$J$121,4,FALSE)-P16+AG16,"")</f>
        <v>5</v>
      </c>
      <c r="F16" s="76">
        <f>IFERROR(VLOOKUP($I$24&amp;$D16,'Database-Hidden'!$C$2:$J$121,5,FALSE)-Q16+AH16,"")</f>
        <v>3</v>
      </c>
      <c r="G16" s="76">
        <f>IFERROR(VLOOKUP($I$24&amp;$D16,'Database-Hidden'!$C$2:$J$121,6,FALSE)-R16+AI16,"")</f>
        <v>2</v>
      </c>
      <c r="H16" s="77">
        <f>IFERROR(VLOOKUP($I$24&amp;$D16,'Database-Hidden'!$C$2:$J$121,7,FALSE)-S16+AJ16,"")</f>
        <v>8</v>
      </c>
      <c r="I16" s="78" t="str">
        <f>IFERROR(VLOOKUP($I$24&amp;$D16,'Database-Hidden'!$C$2:$J$121,8,FALSE),"")</f>
        <v>Decay, Nurgle's Rot</v>
      </c>
      <c r="J16" s="79"/>
      <c r="K16" s="80">
        <f t="shared" si="0"/>
        <v>0</v>
      </c>
      <c r="L16" s="82"/>
      <c r="M16" s="81"/>
      <c r="N16" s="82"/>
      <c r="O16" s="83"/>
      <c r="P16" s="84"/>
      <c r="Q16" s="85"/>
      <c r="R16" s="140">
        <v>1</v>
      </c>
      <c r="S16" s="86"/>
      <c r="T16" s="87"/>
      <c r="U16" s="88"/>
      <c r="V16" s="88"/>
      <c r="W16" s="89"/>
      <c r="X16" s="85"/>
      <c r="Y16" s="85"/>
      <c r="Z16" s="90"/>
      <c r="AA16" s="91">
        <f t="shared" si="1"/>
        <v>0</v>
      </c>
      <c r="AB16" s="58">
        <f t="shared" si="2"/>
        <v>40000</v>
      </c>
      <c r="AC16" s="4"/>
      <c r="AD16" s="120">
        <f>IFERROR(VLOOKUP($I$24&amp;D16,'Database-Hidden'!$C$2:$E$121,3,FALSE),"")</f>
        <v>40000</v>
      </c>
      <c r="AE16" s="93"/>
      <c r="AF16" s="107"/>
      <c r="AG16" s="107"/>
      <c r="AH16" s="107"/>
      <c r="AI16" s="107"/>
      <c r="AJ16" s="107"/>
      <c r="AK16" s="63"/>
      <c r="AL16" s="64" t="str">
        <f>IF(LEFT($D16,6)&lt;&gt;"Star: ","",VLOOKUP(RIGHT($D16,LEN($D16)-6),'Star Players-Hidden'!$A$3:$AK$69,37,FALSE))</f>
        <v/>
      </c>
      <c r="AM16" s="4"/>
      <c r="AN16" s="121" t="s">
        <v>105</v>
      </c>
      <c r="AO16" s="131">
        <v>20000</v>
      </c>
      <c r="AP16" s="132">
        <v>0</v>
      </c>
      <c r="AQ16" s="138">
        <v>0</v>
      </c>
      <c r="AR16" s="133" t="s">
        <v>110</v>
      </c>
      <c r="AS16" s="134" t="s">
        <v>324</v>
      </c>
      <c r="AT16" s="135">
        <v>0</v>
      </c>
      <c r="AU16" s="136">
        <v>2</v>
      </c>
      <c r="AV16" s="137">
        <v>0</v>
      </c>
      <c r="AW16" s="130"/>
    </row>
    <row r="17" spans="1:49" ht="12.75">
      <c r="A17" s="2"/>
      <c r="B17" s="71">
        <v>14</v>
      </c>
      <c r="C17" s="72" t="s">
        <v>325</v>
      </c>
      <c r="D17" s="73" t="s">
        <v>322</v>
      </c>
      <c r="E17" s="75">
        <f>IFERROR(VLOOKUP($I$24&amp;$D17,'Database-Hidden'!$C$2:$J$121,4,FALSE)-P17+AG17,"")</f>
        <v>5</v>
      </c>
      <c r="F17" s="76">
        <f>IFERROR(VLOOKUP($I$24&amp;$D17,'Database-Hidden'!$C$2:$J$121,5,FALSE)-Q17+AH17,"")</f>
        <v>3</v>
      </c>
      <c r="G17" s="76">
        <f>IFERROR(VLOOKUP($I$24&amp;$D17,'Database-Hidden'!$C$2:$J$121,6,FALSE)-R17+AI17,"")</f>
        <v>3</v>
      </c>
      <c r="H17" s="77">
        <f>IFERROR(VLOOKUP($I$24&amp;$D17,'Database-Hidden'!$C$2:$J$121,7,FALSE)-S17+AJ17,"")</f>
        <v>8</v>
      </c>
      <c r="I17" s="78" t="str">
        <f>IFERROR(VLOOKUP($I$24&amp;$D17,'Database-Hidden'!$C$2:$J$121,8,FALSE),"")</f>
        <v>Decay, Nurgle's Rot</v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>
        <v>1</v>
      </c>
      <c r="X17" s="85"/>
      <c r="Y17" s="85"/>
      <c r="Z17" s="90"/>
      <c r="AA17" s="91">
        <f t="shared" si="1"/>
        <v>2</v>
      </c>
      <c r="AB17" s="58">
        <f t="shared" si="2"/>
        <v>40000</v>
      </c>
      <c r="AC17" s="4"/>
      <c r="AD17" s="120">
        <f>IFERROR(VLOOKUP($I$24&amp;D17,'Database-Hidden'!$C$2:$E$121,3,FALSE),"")</f>
        <v>40000</v>
      </c>
      <c r="AE17" s="93"/>
      <c r="AF17" s="107"/>
      <c r="AG17" s="107"/>
      <c r="AH17" s="107"/>
      <c r="AI17" s="107"/>
      <c r="AJ17" s="107"/>
      <c r="AK17" s="63"/>
      <c r="AL17" s="64" t="str">
        <f>IF(LEFT($D17,6)&lt;&gt;"Star: ","",VLOOKUP(RIGHT($D17,LEN($D17)-6),'Star Players-Hidden'!$A$3:$AK$69,37,FALSE))</f>
        <v/>
      </c>
      <c r="AM17" s="4"/>
      <c r="AN17" s="141" t="s">
        <v>108</v>
      </c>
      <c r="AO17" s="142"/>
      <c r="AP17" s="143"/>
      <c r="AQ17" s="144"/>
      <c r="AR17" s="247" t="s">
        <v>79</v>
      </c>
      <c r="AS17" s="146"/>
      <c r="AT17" s="147"/>
      <c r="AU17" s="149"/>
      <c r="AV17" s="150"/>
      <c r="AW17" s="130"/>
    </row>
    <row r="18" spans="1:49" ht="12.75">
      <c r="A18" s="2"/>
      <c r="B18" s="71">
        <v>15</v>
      </c>
      <c r="C18" s="72" t="s">
        <v>327</v>
      </c>
      <c r="D18" s="73" t="s">
        <v>322</v>
      </c>
      <c r="E18" s="75">
        <f>IFERROR(VLOOKUP($I$24&amp;$D18,'Database-Hidden'!$C$2:$J$121,4,FALSE)-P18+AG18,"")</f>
        <v>5</v>
      </c>
      <c r="F18" s="76">
        <f>IFERROR(VLOOKUP($I$24&amp;$D18,'Database-Hidden'!$C$2:$J$121,5,FALSE)-Q18+AH18,"")</f>
        <v>3</v>
      </c>
      <c r="G18" s="76">
        <f>IFERROR(VLOOKUP($I$24&amp;$D18,'Database-Hidden'!$C$2:$J$121,6,FALSE)-R18+AI18,"")</f>
        <v>3</v>
      </c>
      <c r="H18" s="77">
        <f>IFERROR(VLOOKUP($I$24&amp;$D18,'Database-Hidden'!$C$2:$J$121,7,FALSE)-S18+AJ18,"")</f>
        <v>8</v>
      </c>
      <c r="I18" s="78" t="str">
        <f>IFERROR(VLOOKUP($I$24&amp;$D18,'Database-Hidden'!$C$2:$J$121,8,FALSE),"")</f>
        <v>Decay, Nurgle's Rot</v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85"/>
      <c r="Z18" s="90"/>
      <c r="AA18" s="91">
        <f t="shared" si="1"/>
        <v>0</v>
      </c>
      <c r="AB18" s="58">
        <f t="shared" si="2"/>
        <v>40000</v>
      </c>
      <c r="AC18" s="4"/>
      <c r="AD18" s="120">
        <f>IFERROR(VLOOKUP($I$24&amp;D18,'Database-Hidden'!$C$2:$E$121,3,FALSE),"")</f>
        <v>40000</v>
      </c>
      <c r="AE18" s="93"/>
      <c r="AF18" s="94"/>
      <c r="AG18" s="107"/>
      <c r="AH18" s="107"/>
      <c r="AI18" s="107"/>
      <c r="AJ18" s="107"/>
      <c r="AK18" s="63"/>
      <c r="AL18" s="64" t="str">
        <f>IF(LEFT($D18,6)&lt;&gt;"Star: ","",VLOOKUP(RIGHT($D18,LEN($D18)-6),'Star Players-Hidden'!$A$3:$AK$69,37,FALSE))</f>
        <v/>
      </c>
      <c r="AM18" s="4"/>
      <c r="AN18" s="157" t="s">
        <v>35</v>
      </c>
      <c r="AO18" s="160">
        <f>AO4+SUM(AO6:AO17)-SUM(AP6:AP17)-SUM(AQ6:AQ17)</f>
        <v>130000</v>
      </c>
      <c r="AP18" s="4"/>
      <c r="AQ18" s="4"/>
      <c r="AR18" s="68"/>
      <c r="AS18" s="157" t="s">
        <v>35</v>
      </c>
      <c r="AT18" s="162">
        <f t="shared" ref="AT18:AU18" si="3">SUM(AT6:AT17)</f>
        <v>2</v>
      </c>
      <c r="AU18" s="164">
        <f t="shared" si="3"/>
        <v>11</v>
      </c>
      <c r="AV18" s="168">
        <f>AV4+SUM(AV6:AV17)</f>
        <v>1</v>
      </c>
      <c r="AW18" s="5"/>
    </row>
    <row r="19" spans="1:49" ht="12.75">
      <c r="A19" s="2"/>
      <c r="B19" s="170">
        <v>16</v>
      </c>
      <c r="C19" s="172" t="s">
        <v>328</v>
      </c>
      <c r="D19" s="174" t="s">
        <v>322</v>
      </c>
      <c r="E19" s="176">
        <f>IFERROR(VLOOKUP($I$24&amp;$D19,'Database-Hidden'!$C$2:$J$121,4,FALSE)-P19+AG19,"")</f>
        <v>5</v>
      </c>
      <c r="F19" s="177">
        <f>IFERROR(VLOOKUP($I$24&amp;$D19,'Database-Hidden'!$C$2:$J$121,5,FALSE)-Q19+AH19,"")</f>
        <v>3</v>
      </c>
      <c r="G19" s="177">
        <f>IFERROR(VLOOKUP($I$24&amp;$D19,'Database-Hidden'!$C$2:$J$121,6,FALSE)-R19+AI19,"")</f>
        <v>3</v>
      </c>
      <c r="H19" s="178">
        <f>IFERROR(VLOOKUP($I$24&amp;$D19,'Database-Hidden'!$C$2:$J$121,7,FALSE)-S19+AJ19,"")</f>
        <v>8</v>
      </c>
      <c r="I19" s="180" t="str">
        <f>IFERROR(VLOOKUP($I$24&amp;$D19,'Database-Hidden'!$C$2:$J$121,8,FALSE),"")</f>
        <v>Decay, Nurgle's Rot</v>
      </c>
      <c r="J19" s="182"/>
      <c r="K19" s="186">
        <f t="shared" si="0"/>
        <v>0</v>
      </c>
      <c r="L19" s="188"/>
      <c r="M19" s="188"/>
      <c r="N19" s="187"/>
      <c r="O19" s="189"/>
      <c r="P19" s="190"/>
      <c r="Q19" s="191"/>
      <c r="R19" s="191"/>
      <c r="S19" s="192"/>
      <c r="T19" s="193"/>
      <c r="U19" s="194"/>
      <c r="V19" s="194"/>
      <c r="W19" s="195"/>
      <c r="X19" s="191"/>
      <c r="Y19" s="240">
        <v>2</v>
      </c>
      <c r="Z19" s="196"/>
      <c r="AA19" s="197">
        <f t="shared" si="1"/>
        <v>0</v>
      </c>
      <c r="AB19" s="58">
        <f t="shared" si="2"/>
        <v>40000</v>
      </c>
      <c r="AC19" s="4"/>
      <c r="AD19" s="198">
        <f>IFERROR(VLOOKUP($I$24&amp;D19,'Database-Hidden'!$C$2:$E$121,3,FALSE),"")</f>
        <v>40000</v>
      </c>
      <c r="AE19" s="199"/>
      <c r="AF19" s="200"/>
      <c r="AG19" s="200"/>
      <c r="AH19" s="200"/>
      <c r="AI19" s="200"/>
      <c r="AJ19" s="200"/>
      <c r="AK19" s="201"/>
      <c r="AL19" s="202" t="str">
        <f>IF(LEFT($D19,6)&lt;&gt;"Star: ","",VLOOKUP(RIGHT($D19,LEN($D19)-6),'Star Players-Hidden'!$A$3:$AK$69,37,FALSE))</f>
        <v/>
      </c>
      <c r="AM19" s="4"/>
      <c r="AV19" s="203"/>
    </row>
    <row r="20" spans="1:49" ht="12.75">
      <c r="B20" s="328"/>
      <c r="C20" s="329"/>
      <c r="D20" s="330"/>
      <c r="E20" s="311" t="s">
        <v>118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3"/>
      <c r="AB20" s="204">
        <f>SUM(AB4:AB19)</f>
        <v>1060000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8"/>
      <c r="AO20" s="68"/>
      <c r="AP20" s="68"/>
      <c r="AQ20" s="68"/>
      <c r="AR20" s="68"/>
      <c r="AS20" s="68"/>
      <c r="AT20" s="68"/>
      <c r="AU20" s="68"/>
      <c r="AV20" s="205"/>
      <c r="AW20" s="68"/>
    </row>
    <row r="21" spans="1:49" ht="12.75">
      <c r="A21" s="2"/>
      <c r="B21" s="317"/>
      <c r="C21" s="315"/>
      <c r="D21" s="316"/>
      <c r="E21" s="333" t="s">
        <v>119</v>
      </c>
      <c r="F21" s="315"/>
      <c r="G21" s="315"/>
      <c r="H21" s="334"/>
      <c r="I21" s="314" t="s">
        <v>84</v>
      </c>
      <c r="J21" s="315"/>
      <c r="K21" s="316"/>
      <c r="L21" s="322" t="s">
        <v>121</v>
      </c>
      <c r="M21" s="319"/>
      <c r="N21" s="319"/>
      <c r="O21" s="319"/>
      <c r="P21" s="319"/>
      <c r="Q21" s="319"/>
      <c r="R21" s="319"/>
      <c r="S21" s="323"/>
      <c r="T21" s="206">
        <v>2</v>
      </c>
      <c r="U21" s="207" t="s">
        <v>36</v>
      </c>
      <c r="V21" s="321">
        <f>IFERROR(VLOOKUP(I24,'Database-Hidden'!N2:O28,2,FALSE),"")</f>
        <v>70000</v>
      </c>
      <c r="W21" s="319"/>
      <c r="X21" s="319"/>
      <c r="Y21" s="319"/>
      <c r="Z21" s="319"/>
      <c r="AA21" s="320"/>
      <c r="AB21" s="208">
        <f t="shared" ref="AB21:AB25" si="4">T21*V21</f>
        <v>140000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27" t="s">
        <v>122</v>
      </c>
      <c r="AO21" s="313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317"/>
      <c r="C22" s="315"/>
      <c r="D22" s="316"/>
      <c r="E22" s="315"/>
      <c r="F22" s="315"/>
      <c r="G22" s="315"/>
      <c r="H22" s="334"/>
      <c r="I22" s="317"/>
      <c r="J22" s="315"/>
      <c r="K22" s="316"/>
      <c r="L22" s="309" t="s">
        <v>123</v>
      </c>
      <c r="M22" s="304"/>
      <c r="N22" s="304"/>
      <c r="O22" s="304"/>
      <c r="P22" s="304"/>
      <c r="Q22" s="304"/>
      <c r="R22" s="304"/>
      <c r="S22" s="310"/>
      <c r="T22" s="211">
        <f>AV18</f>
        <v>1</v>
      </c>
      <c r="U22" s="210" t="s">
        <v>36</v>
      </c>
      <c r="V22" s="306">
        <v>10000</v>
      </c>
      <c r="W22" s="304"/>
      <c r="X22" s="304"/>
      <c r="Y22" s="304"/>
      <c r="Z22" s="304"/>
      <c r="AA22" s="307"/>
      <c r="AB22" s="212">
        <f t="shared" si="4"/>
        <v>10000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213" t="s">
        <v>124</v>
      </c>
      <c r="AO22" s="214">
        <f>AO18</f>
        <v>130000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317"/>
      <c r="C23" s="315"/>
      <c r="D23" s="316"/>
      <c r="E23" s="319"/>
      <c r="F23" s="319"/>
      <c r="G23" s="319"/>
      <c r="H23" s="335"/>
      <c r="I23" s="318"/>
      <c r="J23" s="319"/>
      <c r="K23" s="320"/>
      <c r="L23" s="347" t="s">
        <v>126</v>
      </c>
      <c r="M23" s="304"/>
      <c r="N23" s="304"/>
      <c r="O23" s="304"/>
      <c r="P23" s="304"/>
      <c r="Q23" s="304"/>
      <c r="R23" s="304"/>
      <c r="S23" s="310"/>
      <c r="T23" s="215">
        <v>2</v>
      </c>
      <c r="U23" s="216" t="s">
        <v>36</v>
      </c>
      <c r="V23" s="306">
        <v>10000</v>
      </c>
      <c r="W23" s="304"/>
      <c r="X23" s="304"/>
      <c r="Y23" s="304"/>
      <c r="Z23" s="304"/>
      <c r="AA23" s="307"/>
      <c r="AB23" s="212">
        <f t="shared" si="4"/>
        <v>20000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217" t="s">
        <v>127</v>
      </c>
      <c r="AO23" s="218">
        <f>COUNTA(AR6:AR17)*10000</f>
        <v>60000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317"/>
      <c r="C24" s="315"/>
      <c r="D24" s="316"/>
      <c r="E24" s="340" t="s">
        <v>128</v>
      </c>
      <c r="F24" s="304"/>
      <c r="G24" s="304"/>
      <c r="H24" s="341"/>
      <c r="I24" s="308" t="s">
        <v>329</v>
      </c>
      <c r="J24" s="304"/>
      <c r="K24" s="307"/>
      <c r="L24" s="309" t="s">
        <v>130</v>
      </c>
      <c r="M24" s="304"/>
      <c r="N24" s="304"/>
      <c r="O24" s="304"/>
      <c r="P24" s="304"/>
      <c r="Q24" s="304"/>
      <c r="R24" s="304"/>
      <c r="S24" s="310"/>
      <c r="T24" s="215">
        <v>2</v>
      </c>
      <c r="U24" s="216" t="s">
        <v>36</v>
      </c>
      <c r="V24" s="306">
        <v>10000</v>
      </c>
      <c r="W24" s="304"/>
      <c r="X24" s="304"/>
      <c r="Y24" s="304"/>
      <c r="Z24" s="304"/>
      <c r="AA24" s="307"/>
      <c r="AB24" s="212">
        <f t="shared" si="4"/>
        <v>20000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217" t="s">
        <v>53</v>
      </c>
      <c r="AO24" s="218">
        <f>AT18*5000</f>
        <v>10000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317"/>
      <c r="C25" s="315"/>
      <c r="D25" s="316"/>
      <c r="E25" s="340" t="str">
        <f>IFERROR(IF(VLOOKUP(I24,'Database-Hidden'!X2:Y28,2,FALSE)="Yes","NECROMANCER","HEAD COACH"),"HEAD COACH")</f>
        <v>HEAD COACH</v>
      </c>
      <c r="F25" s="304"/>
      <c r="G25" s="304"/>
      <c r="H25" s="341"/>
      <c r="I25" s="308" t="s">
        <v>330</v>
      </c>
      <c r="J25" s="304"/>
      <c r="K25" s="307"/>
      <c r="L25" s="346" t="str">
        <f>IFERROR(IF(VLOOKUP(I24,'Database-Hidden'!X2:Y28,1,FALSE)&lt;&gt;"","",""),"APOTHECARY")</f>
        <v/>
      </c>
      <c r="M25" s="304"/>
      <c r="N25" s="304"/>
      <c r="O25" s="304"/>
      <c r="P25" s="304"/>
      <c r="Q25" s="304"/>
      <c r="R25" s="304"/>
      <c r="S25" s="341"/>
      <c r="T25" s="215">
        <v>0</v>
      </c>
      <c r="U25" s="210" t="str">
        <f>IF(L25&lt;&gt;"","x","")</f>
        <v/>
      </c>
      <c r="V25" s="306" t="str">
        <f>IF(L25&lt;&gt;"",50000,"")</f>
        <v/>
      </c>
      <c r="W25" s="304"/>
      <c r="X25" s="304"/>
      <c r="Y25" s="304"/>
      <c r="Z25" s="304"/>
      <c r="AA25" s="307"/>
      <c r="AB25" s="212"/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219" t="s">
        <v>134</v>
      </c>
      <c r="AO25" s="220">
        <f>AU18*5000</f>
        <v>55000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317"/>
      <c r="C26" s="315"/>
      <c r="D26" s="316"/>
      <c r="E26" s="340" t="s">
        <v>135</v>
      </c>
      <c r="F26" s="304"/>
      <c r="G26" s="304"/>
      <c r="H26" s="304"/>
      <c r="I26" s="343">
        <f>AB20+AB28</f>
        <v>1250000</v>
      </c>
      <c r="J26" s="304"/>
      <c r="K26" s="304"/>
      <c r="L26" s="346" t="s">
        <v>136</v>
      </c>
      <c r="M26" s="304"/>
      <c r="N26" s="304"/>
      <c r="O26" s="304"/>
      <c r="P26" s="304"/>
      <c r="Q26" s="304"/>
      <c r="R26" s="304"/>
      <c r="S26" s="341"/>
      <c r="T26" s="215">
        <v>0</v>
      </c>
      <c r="U26" s="210" t="s">
        <v>36</v>
      </c>
      <c r="V26" s="306">
        <f>IF(I24="Halfling",200000,600000)</f>
        <v>600000</v>
      </c>
      <c r="W26" s="304"/>
      <c r="X26" s="304"/>
      <c r="Y26" s="304"/>
      <c r="Z26" s="304"/>
      <c r="AA26" s="307"/>
      <c r="AB26" s="212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221" t="s">
        <v>35</v>
      </c>
      <c r="AO26" s="222">
        <v>250000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317"/>
      <c r="C27" s="315"/>
      <c r="D27" s="316"/>
      <c r="E27" s="336" t="s">
        <v>137</v>
      </c>
      <c r="F27" s="325"/>
      <c r="G27" s="325"/>
      <c r="H27" s="325"/>
      <c r="I27" s="342">
        <f>AO18</f>
        <v>130000</v>
      </c>
      <c r="J27" s="325"/>
      <c r="K27" s="325"/>
      <c r="L27" s="324" t="s">
        <v>138</v>
      </c>
      <c r="M27" s="325"/>
      <c r="N27" s="325"/>
      <c r="O27" s="325"/>
      <c r="P27" s="325"/>
      <c r="Q27" s="325"/>
      <c r="R27" s="325"/>
      <c r="S27" s="326"/>
      <c r="T27" s="223">
        <v>0</v>
      </c>
      <c r="U27" s="224" t="s">
        <v>36</v>
      </c>
      <c r="V27" s="344">
        <f>IF(I24="Goblin",100000,200000)</f>
        <v>200000</v>
      </c>
      <c r="W27" s="325"/>
      <c r="X27" s="325"/>
      <c r="Y27" s="325"/>
      <c r="Z27" s="325"/>
      <c r="AA27" s="345"/>
      <c r="AB27" s="212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331"/>
      <c r="C28" s="305"/>
      <c r="D28" s="332"/>
      <c r="E28" s="311" t="s">
        <v>139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3"/>
      <c r="AB28" s="204">
        <f>SUM(AB21:AB27)</f>
        <v>190000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25"/>
      <c r="D29" s="225"/>
      <c r="E29" s="226"/>
      <c r="F29" s="4"/>
      <c r="G29" s="4"/>
      <c r="H29" s="4"/>
      <c r="I29" s="227"/>
      <c r="J29" s="228"/>
      <c r="K29" s="4"/>
      <c r="L29" s="229"/>
      <c r="M29" s="229"/>
      <c r="N29" s="229"/>
      <c r="O29" s="229"/>
      <c r="P29" s="229"/>
      <c r="Q29" s="229"/>
      <c r="R29" s="229"/>
      <c r="S29" s="229"/>
      <c r="T29" s="230"/>
      <c r="U29" s="231"/>
      <c r="V29" s="9"/>
      <c r="W29" s="232"/>
      <c r="X29" s="232"/>
      <c r="Y29" s="232"/>
      <c r="Z29" s="232"/>
      <c r="AA29" s="232"/>
      <c r="AB29" s="23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34">
        <f>MATCH(I24,'Database-Hidden'!A2:A121,0)</f>
        <v>78</v>
      </c>
      <c r="D30" s="234" t="str">
        <f t="shared" ref="D30:D39" si="6">I30&amp;IF(COUNTIF(D$4:D$19,I30)&gt;E30," (Too Many)","")</f>
        <v>Rotter</v>
      </c>
      <c r="E30" s="235">
        <f t="array" ref="E30">IFERROR(IF(INDEX('Database-Hidden'!$A$2:$B$121,$C30,1)=$I$24,INDEX('Database-Hidden'!$A$2:$D$121,$C30,4),""),"")</f>
        <v>16</v>
      </c>
      <c r="I30" s="234" t="str">
        <f t="array" ref="I30">IFERROR(IF(INDEX('Database-Hidden'!$A$2:$B$121,$C30,1)=$I$24,INDEX('Database-Hidden'!$A$2:$B$121,$C30,2),""),"")</f>
        <v>Rotter</v>
      </c>
      <c r="AV30" s="203"/>
    </row>
    <row r="31" spans="1:49" ht="17.25" hidden="1" customHeight="1">
      <c r="C31" s="234">
        <f t="shared" ref="C31:C39" si="7">C30+1</f>
        <v>79</v>
      </c>
      <c r="D31" s="234" t="str">
        <f t="shared" si="6"/>
        <v>Pestigor</v>
      </c>
      <c r="E31" s="235">
        <f t="array" ref="E31">IFERROR(IF(INDEX('Database-Hidden'!$A$2:$B$121,$C31,1)=$I$24,INDEX('Database-Hidden'!$A$2:$D$121,$C31,4),""),"")</f>
        <v>4</v>
      </c>
      <c r="I31" s="234" t="str">
        <f t="array" ref="I31">IFERROR(IF(INDEX('Database-Hidden'!$A$2:$B$121,$C31,1)=$I$24,INDEX('Database-Hidden'!$A$2:$B$121,$C31,2),""),"")</f>
        <v>Pestigor</v>
      </c>
      <c r="AV31" s="203"/>
    </row>
    <row r="32" spans="1:49" ht="17.25" hidden="1" customHeight="1">
      <c r="C32" s="234">
        <f t="shared" si="7"/>
        <v>80</v>
      </c>
      <c r="D32" s="234" t="str">
        <f t="shared" si="6"/>
        <v>Warrior</v>
      </c>
      <c r="E32" s="235">
        <f t="array" ref="E32">IFERROR(IF(INDEX('Database-Hidden'!$A$2:$B$121,$C32,1)=$I$24,INDEX('Database-Hidden'!$A$2:$D$121,$C32,4),""),"")</f>
        <v>4</v>
      </c>
      <c r="I32" s="234" t="str">
        <f t="array" ref="I32">IFERROR(IF(INDEX('Database-Hidden'!$A$2:$B$121,$C32,1)=$I$24,INDEX('Database-Hidden'!$A$2:$B$121,$C32,2),""),"")</f>
        <v>Warrior</v>
      </c>
      <c r="AV32" s="203"/>
    </row>
    <row r="33" spans="3:48" ht="17.25" hidden="1" customHeight="1">
      <c r="C33" s="234">
        <f t="shared" si="7"/>
        <v>81</v>
      </c>
      <c r="D33" s="234" t="str">
        <f t="shared" si="6"/>
        <v>Beast</v>
      </c>
      <c r="E33" s="235">
        <f t="array" ref="E33">IFERROR(IF(INDEX('Database-Hidden'!$A$2:$B$121,$C33,1)=$I$24,INDEX('Database-Hidden'!$A$2:$D$121,$C33,4),""),"")</f>
        <v>1</v>
      </c>
      <c r="I33" s="234" t="str">
        <f t="array" ref="I33">IFERROR(IF(INDEX('Database-Hidden'!$A$2:$B$121,$C33,1)=$I$24,INDEX('Database-Hidden'!$A$2:$B$121,$C33,2),""),"")</f>
        <v>Beast</v>
      </c>
      <c r="AV33" s="203"/>
    </row>
    <row r="34" spans="3:48" ht="17.25" hidden="1" customHeight="1">
      <c r="C34" s="234">
        <f t="shared" si="7"/>
        <v>82</v>
      </c>
      <c r="D34" s="234" t="str">
        <f t="shared" si="6"/>
        <v/>
      </c>
      <c r="E34" s="235" t="str">
        <f t="array" ref="E34">IFERROR(IF(INDEX('Database-Hidden'!$A$2:$B$121,$C34,1)=$I$24,INDEX('Database-Hidden'!$A$2:$D$121,$C34,4),""),"")</f>
        <v/>
      </c>
      <c r="I34" s="234" t="str">
        <f t="array" ref="I34">IFERROR(IF(INDEX('Database-Hidden'!$A$2:$B$121,$C34,1)=$I$24,INDEX('Database-Hidden'!$A$2:$B$121,$C34,2),""),"")</f>
        <v/>
      </c>
      <c r="AV34" s="203"/>
    </row>
    <row r="35" spans="3:48" ht="17.25" hidden="1" customHeight="1">
      <c r="C35" s="234">
        <f t="shared" si="7"/>
        <v>83</v>
      </c>
      <c r="D35" s="234" t="str">
        <f t="shared" si="6"/>
        <v/>
      </c>
      <c r="E35" s="235" t="str">
        <f t="array" ref="E35">IFERROR(IF(INDEX('Database-Hidden'!$A$2:$B$121,$C35,1)=$I$24,INDEX('Database-Hidden'!$A$2:$D$121,$C35,4),""),"")</f>
        <v/>
      </c>
      <c r="I35" s="234" t="str">
        <f t="array" ref="I35">IFERROR(IF(INDEX('Database-Hidden'!$A$2:$B$121,$C35,1)=$I$24,INDEX('Database-Hidden'!$A$2:$B$121,$C35,2),""),"")</f>
        <v/>
      </c>
      <c r="AV35" s="203"/>
    </row>
    <row r="36" spans="3:48" ht="17.25" hidden="1" customHeight="1">
      <c r="C36" s="234">
        <f t="shared" si="7"/>
        <v>84</v>
      </c>
      <c r="D36" s="234" t="str">
        <f t="shared" si="6"/>
        <v/>
      </c>
      <c r="E36" s="235" t="str">
        <f t="array" ref="E36">IFERROR(IF(INDEX('Database-Hidden'!$A$2:$B$121,$C36,1)=$I$24,INDEX('Database-Hidden'!$A$2:$D$121,$C36,4),""),"")</f>
        <v/>
      </c>
      <c r="I36" s="234" t="str">
        <f t="array" ref="I36">IFERROR(IF(INDEX('Database-Hidden'!$A$2:$B$121,$C36,1)=$I$24,INDEX('Database-Hidden'!$A$2:$B$121,$C36,2),""),"")</f>
        <v/>
      </c>
      <c r="AV36" s="203"/>
    </row>
    <row r="37" spans="3:48" ht="17.25" hidden="1" customHeight="1">
      <c r="C37" s="234">
        <f t="shared" si="7"/>
        <v>85</v>
      </c>
      <c r="D37" s="234" t="str">
        <f t="shared" si="6"/>
        <v/>
      </c>
      <c r="E37" s="235" t="str">
        <f t="array" ref="E37">IFERROR(IF(INDEX('Database-Hidden'!$A$2:$B$121,$C37,1)=$I$24,INDEX('Database-Hidden'!$A$2:$D$121,$C37,4),""),"")</f>
        <v/>
      </c>
      <c r="I37" s="234" t="str">
        <f t="array" ref="I37">IFERROR(IF(INDEX('Database-Hidden'!$A$2:$B$121,$C37,1)=$I$24,INDEX('Database-Hidden'!$A$2:$B$121,$C37,2),""),"")</f>
        <v/>
      </c>
      <c r="AV37" s="203"/>
    </row>
    <row r="38" spans="3:48" ht="17.25" hidden="1" customHeight="1">
      <c r="C38" s="234">
        <f t="shared" si="7"/>
        <v>86</v>
      </c>
      <c r="D38" s="234" t="str">
        <f t="shared" si="6"/>
        <v/>
      </c>
      <c r="E38" s="235" t="str">
        <f t="array" ref="E38">IFERROR(IF(INDEX('Database-Hidden'!$A$2:$B$121,$C38,1)=$I$24,INDEX('Database-Hidden'!$A$2:$D$121,$C38,4),""),"")</f>
        <v/>
      </c>
      <c r="I38" s="234" t="str">
        <f t="array" ref="I38">IFERROR(IF(INDEX('Database-Hidden'!$A$2:$B$121,$C38,1)=$I$24,INDEX('Database-Hidden'!$A$2:$B$121,$C38,2),""),"")</f>
        <v/>
      </c>
      <c r="AV38" s="203"/>
    </row>
    <row r="39" spans="3:48" ht="17.25" hidden="1" customHeight="1">
      <c r="C39" s="234">
        <f t="shared" si="7"/>
        <v>87</v>
      </c>
      <c r="D39" s="234" t="str">
        <f t="shared" si="6"/>
        <v/>
      </c>
      <c r="E39" s="235" t="str">
        <f t="array" ref="E39">IFERROR(IF(INDEX('Database-Hidden'!$A$2:$B$121,$C39,1)=$I$24,INDEX('Database-Hidden'!$A$2:$D$121,$C39,4),""),"")</f>
        <v/>
      </c>
      <c r="I39" s="234" t="str">
        <f t="array" ref="I39">IFERROR(IF(INDEX('Database-Hidden'!$A$2:$B$121,$C39,1)=$I$24,INDEX('Database-Hidden'!$A$2:$B$121,$C39,2),""),"")</f>
        <v/>
      </c>
      <c r="AV39" s="203"/>
    </row>
    <row r="40" spans="3:48" ht="17.25" hidden="1" customHeight="1">
      <c r="C40" s="236">
        <f>MATCH(I24,'Star Players-Hidden'!D2:AD2,0)</f>
        <v>18</v>
      </c>
      <c r="D40" s="236" t="str">
        <f t="shared" ref="D40:D51" ca="1" si="8">I40&amp;IF(COUNTIF(D$4:D$19,I40)&gt;1," (Too Many)","")</f>
        <v>Star: Brick Far'th</v>
      </c>
      <c r="E40" s="237"/>
      <c r="F40" s="237"/>
      <c r="G40" s="237"/>
      <c r="H40" s="237"/>
      <c r="I40" s="236" t="str">
        <f ca="1">IFERROR(__xludf.DUMMYFUNCTION("FILTER({""Star: ""&amp;'Star Players-Hidden'!A3:A69},INDEX('Star Players-Hidden'!D3:AD69,0,C40)&lt;&gt;"""",{'Star Players-Hidden'!C3:C69=""""}+{'Star Players-Hidden'!C3:C69=I21})"),"Star: Brick Far'th")</f>
        <v>Star: Brick Far'th</v>
      </c>
      <c r="AV40" s="203"/>
    </row>
    <row r="41" spans="3:48" ht="17.25" hidden="1" customHeight="1">
      <c r="C41" s="234"/>
      <c r="D41" s="234" t="str">
        <f t="shared" ca="1" si="8"/>
        <v>Star: Grashnak Blackhoof</v>
      </c>
      <c r="I41" s="238" t="str">
        <f ca="1">IFERROR(__xludf.DUMMYFUNCTION("""COMPUTED_VALUE"""),"Star: Grashnak Blackhoof")</f>
        <v>Star: Grashnak Blackhoof</v>
      </c>
      <c r="AV41" s="203"/>
    </row>
    <row r="42" spans="3:48" ht="17.25" hidden="1" customHeight="1">
      <c r="C42" s="234"/>
      <c r="D42" s="234" t="str">
        <f t="shared" ca="1" si="8"/>
        <v>Star: Grotty</v>
      </c>
      <c r="I42" s="234" t="str">
        <f ca="1">IFERROR(__xludf.DUMMYFUNCTION("""COMPUTED_VALUE"""),"Star: Grotty")</f>
        <v>Star: Grotty</v>
      </c>
      <c r="AV42" s="203"/>
    </row>
    <row r="43" spans="3:48" ht="17.25" hidden="1" customHeight="1">
      <c r="C43" s="234"/>
      <c r="D43" s="234" t="str">
        <f t="shared" ca="1" si="8"/>
        <v>Star: Guffle Pusmaw</v>
      </c>
      <c r="I43" s="234" t="str">
        <f ca="1">IFERROR(__xludf.DUMMYFUNCTION("""COMPUTED_VALUE"""),"Star: Guffle Pusmaw")</f>
        <v>Star: Guffle Pusmaw</v>
      </c>
      <c r="AV43" s="203"/>
    </row>
    <row r="44" spans="3:48" ht="17.25" hidden="1" customHeight="1">
      <c r="C44" s="234"/>
      <c r="D44" s="234" t="str">
        <f t="shared" ca="1" si="8"/>
        <v>Star: Lewdgrip Whiparm</v>
      </c>
      <c r="I44" s="234" t="str">
        <f ca="1">IFERROR(__xludf.DUMMYFUNCTION("""COMPUTED_VALUE"""),"Star: Lewdgrip Whiparm")</f>
        <v>Star: Lewdgrip Whiparm</v>
      </c>
      <c r="AV44" s="203"/>
    </row>
    <row r="45" spans="3:48" ht="17.25" hidden="1" customHeight="1">
      <c r="C45" s="234"/>
      <c r="D45" s="234" t="str">
        <f t="shared" ca="1" si="8"/>
        <v>Star: Lord Borak the Despoiler</v>
      </c>
      <c r="I45" s="234" t="str">
        <f ca="1">IFERROR(__xludf.DUMMYFUNCTION("""COMPUTED_VALUE"""),"Star: Lord Borak the Despoiler")</f>
        <v>Star: Lord Borak the Despoiler</v>
      </c>
      <c r="AV45" s="203"/>
    </row>
    <row r="46" spans="3:48" ht="17.25" hidden="1" customHeight="1">
      <c r="C46" s="234"/>
      <c r="D46" s="234" t="str">
        <f t="shared" ca="1" si="8"/>
        <v>Star: Max Spleenripper</v>
      </c>
      <c r="I46" s="234" t="str">
        <f ca="1">IFERROR(__xludf.DUMMYFUNCTION("""COMPUTED_VALUE"""),"Star: Max Spleenripper")</f>
        <v>Star: Max Spleenripper</v>
      </c>
      <c r="AV46" s="203"/>
    </row>
    <row r="47" spans="3:48" ht="17.25" hidden="1" customHeight="1">
      <c r="C47" s="234"/>
      <c r="D47" s="234" t="str">
        <f t="shared" ca="1" si="8"/>
        <v>Star: Morg'n'Thorg</v>
      </c>
      <c r="I47" s="234" t="str">
        <f ca="1">IFERROR(__xludf.DUMMYFUNCTION("""COMPUTED_VALUE"""),"Star: Morg'n'Thorg")</f>
        <v>Star: Morg'n'Thorg</v>
      </c>
      <c r="AV47" s="203"/>
    </row>
    <row r="48" spans="3:48" ht="17.25" hidden="1" customHeight="1">
      <c r="C48" s="234"/>
      <c r="D48" s="234" t="str">
        <f t="shared" ca="1" si="8"/>
        <v>Star: Wilhelm Chaney</v>
      </c>
      <c r="I48" s="234" t="str">
        <f ca="1">IFERROR(__xludf.DUMMYFUNCTION("""COMPUTED_VALUE"""),"Star: Wilhelm Chaney")</f>
        <v>Star: Wilhelm Chaney</v>
      </c>
      <c r="AV48" s="203"/>
    </row>
    <row r="49" spans="3:48" ht="17.25" hidden="1" customHeight="1">
      <c r="C49" s="234"/>
      <c r="D49" s="234" t="str">
        <f t="shared" si="8"/>
        <v/>
      </c>
      <c r="I49" s="234"/>
      <c r="AV49" s="203"/>
    </row>
    <row r="50" spans="3:48" ht="17.25" hidden="1" customHeight="1">
      <c r="C50" s="234"/>
      <c r="D50" s="234" t="str">
        <f t="shared" si="8"/>
        <v/>
      </c>
      <c r="I50" s="234"/>
      <c r="AV50" s="203"/>
    </row>
    <row r="51" spans="3:48" ht="17.25" hidden="1" customHeight="1">
      <c r="C51" s="234"/>
      <c r="D51" s="234" t="str">
        <f t="shared" si="8"/>
        <v/>
      </c>
      <c r="I51" s="234"/>
      <c r="AV51" s="203"/>
    </row>
  </sheetData>
  <mergeCells count="31">
    <mergeCell ref="B20:D28"/>
    <mergeCell ref="P2:S2"/>
    <mergeCell ref="AN3:AQ3"/>
    <mergeCell ref="AR3:AV3"/>
    <mergeCell ref="L22:S22"/>
    <mergeCell ref="L23:S23"/>
    <mergeCell ref="V22:AA22"/>
    <mergeCell ref="V23:AA23"/>
    <mergeCell ref="E20:AA20"/>
    <mergeCell ref="V25:AA25"/>
    <mergeCell ref="L25:S25"/>
    <mergeCell ref="I27:K27"/>
    <mergeCell ref="I21:K23"/>
    <mergeCell ref="E21:H23"/>
    <mergeCell ref="E25:H25"/>
    <mergeCell ref="E24:H24"/>
    <mergeCell ref="I24:K24"/>
    <mergeCell ref="I25:K25"/>
    <mergeCell ref="E26:H26"/>
    <mergeCell ref="I26:K26"/>
    <mergeCell ref="V26:AA26"/>
    <mergeCell ref="L26:S26"/>
    <mergeCell ref="V24:AA24"/>
    <mergeCell ref="L24:S24"/>
    <mergeCell ref="V21:AA21"/>
    <mergeCell ref="L21:S21"/>
    <mergeCell ref="AN21:AO21"/>
    <mergeCell ref="E28:AA28"/>
    <mergeCell ref="L27:S27"/>
    <mergeCell ref="V27:AA27"/>
    <mergeCell ref="E27:H27"/>
  </mergeCells>
  <conditionalFormatting sqref="J4">
    <cfRule type="expression" dxfId="86" priority="1">
      <formula>K4&lt;&gt;SUM(AE4:AJ4)</formula>
    </cfRule>
  </conditionalFormatting>
  <conditionalFormatting sqref="K4:K19">
    <cfRule type="cellIs" dxfId="85" priority="2" operator="equal">
      <formula>0</formula>
    </cfRule>
  </conditionalFormatting>
  <conditionalFormatting sqref="AB4:AB19">
    <cfRule type="cellIs" dxfId="84" priority="3" operator="equal">
      <formula>0</formula>
    </cfRule>
  </conditionalFormatting>
  <conditionalFormatting sqref="E4:H19">
    <cfRule type="expression" dxfId="83" priority="4">
      <formula>AG4&gt;0</formula>
    </cfRule>
  </conditionalFormatting>
  <conditionalFormatting sqref="E4:H19">
    <cfRule type="expression" dxfId="82" priority="5">
      <formula>P4&gt;0</formula>
    </cfRule>
  </conditionalFormatting>
  <conditionalFormatting sqref="T4:T19 U4:U19 V4:W19 Z4:Z19 U29">
    <cfRule type="cellIs" dxfId="81" priority="6" stopIfTrue="1" operator="equal">
      <formula>0</formula>
    </cfRule>
  </conditionalFormatting>
  <conditionalFormatting sqref="K4:K19">
    <cfRule type="cellIs" dxfId="80" priority="7" stopIfTrue="1" operator="equal">
      <formula>"n/a"</formula>
    </cfRule>
  </conditionalFormatting>
  <conditionalFormatting sqref="P4:S19">
    <cfRule type="cellIs" dxfId="79" priority="8" stopIfTrue="1" operator="lessThanOrEqual">
      <formula>-1</formula>
    </cfRule>
  </conditionalFormatting>
  <conditionalFormatting sqref="V25:W27">
    <cfRule type="cellIs" dxfId="78" priority="9" stopIfTrue="1" operator="equal">
      <formula>-500</formula>
    </cfRule>
  </conditionalFormatting>
  <conditionalFormatting sqref="T25:T27">
    <cfRule type="cellIs" dxfId="77" priority="10" stopIfTrue="1" operator="greaterThan">
      <formula>$V$25</formula>
    </cfRule>
  </conditionalFormatting>
  <conditionalFormatting sqref="AA4:AA19">
    <cfRule type="cellIs" dxfId="76" priority="11" stopIfTrue="1" operator="equal">
      <formula>"Star"</formula>
    </cfRule>
  </conditionalFormatting>
  <conditionalFormatting sqref="AA4:AA19">
    <cfRule type="cellIs" dxfId="75" priority="12" stopIfTrue="1" operator="equal">
      <formula>AB4</formula>
    </cfRule>
  </conditionalFormatting>
  <conditionalFormatting sqref="I4:I19">
    <cfRule type="cellIs" dxfId="74" priority="13" stopIfTrue="1" operator="equal">
      <formula>0</formula>
    </cfRule>
  </conditionalFormatting>
  <conditionalFormatting sqref="I4:I19">
    <cfRule type="cellIs" dxfId="73" priority="14" stopIfTrue="1" operator="equal">
      <formula>"Player type quantity surpassed"</formula>
    </cfRule>
  </conditionalFormatting>
  <conditionalFormatting sqref="J5">
    <cfRule type="expression" dxfId="72" priority="15">
      <formula>K5&lt;&gt;SUM(AE5:AJ5)</formula>
    </cfRule>
  </conditionalFormatting>
  <conditionalFormatting sqref="J6">
    <cfRule type="expression" dxfId="71" priority="16">
      <formula>K6&lt;&gt;SUM(AE6:AJ6)</formula>
    </cfRule>
  </conditionalFormatting>
  <conditionalFormatting sqref="J7">
    <cfRule type="expression" dxfId="70" priority="17">
      <formula>K7&lt;&gt;SUM(AE7:AJ7)</formula>
    </cfRule>
  </conditionalFormatting>
  <conditionalFormatting sqref="J8">
    <cfRule type="expression" dxfId="69" priority="18">
      <formula>K8&lt;&gt;SUM(AE8:AJ8)</formula>
    </cfRule>
  </conditionalFormatting>
  <conditionalFormatting sqref="J9">
    <cfRule type="expression" dxfId="68" priority="19">
      <formula>K9&lt;&gt;SUM(AE9:AJ9)</formula>
    </cfRule>
  </conditionalFormatting>
  <conditionalFormatting sqref="J10">
    <cfRule type="expression" dxfId="67" priority="20">
      <formula>K10&lt;&gt;SUM(AE10:AJ10)</formula>
    </cfRule>
  </conditionalFormatting>
  <conditionalFormatting sqref="J11">
    <cfRule type="expression" dxfId="66" priority="21">
      <formula>K11&lt;&gt;SUM(AE11:AJ11)</formula>
    </cfRule>
  </conditionalFormatting>
  <conditionalFormatting sqref="J12">
    <cfRule type="expression" dxfId="65" priority="22">
      <formula>K12&lt;&gt;SUM(AE12:AJ12)</formula>
    </cfRule>
  </conditionalFormatting>
  <conditionalFormatting sqref="J13">
    <cfRule type="expression" dxfId="64" priority="23">
      <formula>K13&lt;&gt;SUM(AE13:AJ13)</formula>
    </cfRule>
  </conditionalFormatting>
  <conditionalFormatting sqref="J14">
    <cfRule type="expression" dxfId="63" priority="24">
      <formula>K14&lt;&gt;SUM(AE14:AJ14)</formula>
    </cfRule>
  </conditionalFormatting>
  <conditionalFormatting sqref="J15">
    <cfRule type="expression" dxfId="62" priority="25">
      <formula>K15&lt;&gt;SUM(AE15:AJ15)</formula>
    </cfRule>
  </conditionalFormatting>
  <conditionalFormatting sqref="J16">
    <cfRule type="expression" dxfId="61" priority="26">
      <formula>K16&lt;&gt;SUM(AE16:AJ16)</formula>
    </cfRule>
  </conditionalFormatting>
  <conditionalFormatting sqref="J17">
    <cfRule type="expression" dxfId="60" priority="27">
      <formula>K17&lt;&gt;SUM(AE17:AJ17)</formula>
    </cfRule>
  </conditionalFormatting>
  <conditionalFormatting sqref="J18">
    <cfRule type="expression" dxfId="59" priority="28">
      <formula>K18&lt;&gt;SUM(AE18:AJ18)</formula>
    </cfRule>
  </conditionalFormatting>
  <conditionalFormatting sqref="J19">
    <cfRule type="expression" dxfId="58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'RC'!$D$28:$D$49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W51"/>
  <sheetViews>
    <sheetView showGridLines="0" workbookViewId="0">
      <selection activeCell="AB19" sqref="AB16: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337" t="s">
        <v>3</v>
      </c>
      <c r="Q2" s="329"/>
      <c r="R2" s="329"/>
      <c r="S2" s="330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14</v>
      </c>
      <c r="J3" s="21" t="s">
        <v>16</v>
      </c>
      <c r="K3" s="22" t="s">
        <v>0</v>
      </c>
      <c r="L3" s="23" t="s">
        <v>17</v>
      </c>
      <c r="M3" s="24" t="s">
        <v>19</v>
      </c>
      <c r="N3" s="24" t="s">
        <v>20</v>
      </c>
      <c r="O3" s="25" t="s">
        <v>21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23</v>
      </c>
      <c r="U3" s="30" t="s">
        <v>24</v>
      </c>
      <c r="V3" s="30" t="s">
        <v>9</v>
      </c>
      <c r="W3" s="30" t="s">
        <v>25</v>
      </c>
      <c r="X3" s="31" t="s">
        <v>26</v>
      </c>
      <c r="Y3" s="25" t="s">
        <v>27</v>
      </c>
      <c r="Z3" s="32" t="s">
        <v>10</v>
      </c>
      <c r="AA3" s="33" t="s">
        <v>11</v>
      </c>
      <c r="AB3" s="34" t="s">
        <v>28</v>
      </c>
      <c r="AC3" s="4"/>
      <c r="AD3" s="13" t="s">
        <v>29</v>
      </c>
      <c r="AE3" s="20" t="s">
        <v>19</v>
      </c>
      <c r="AF3" s="35" t="s">
        <v>30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31</v>
      </c>
      <c r="AL3" s="39" t="s">
        <v>32</v>
      </c>
      <c r="AM3" s="4"/>
      <c r="AN3" s="338" t="s">
        <v>33</v>
      </c>
      <c r="AO3" s="315"/>
      <c r="AP3" s="315"/>
      <c r="AQ3" s="315"/>
      <c r="AR3" s="339" t="s">
        <v>34</v>
      </c>
      <c r="AS3" s="315"/>
      <c r="AT3" s="315"/>
      <c r="AU3" s="315"/>
      <c r="AV3" s="315"/>
      <c r="AW3" s="12"/>
    </row>
    <row r="4" spans="1:49" ht="12.75">
      <c r="A4" s="2"/>
      <c r="B4" s="40">
        <v>1</v>
      </c>
      <c r="C4" s="41" t="s">
        <v>331</v>
      </c>
      <c r="D4" s="42" t="s">
        <v>221</v>
      </c>
      <c r="E4" s="43">
        <f>IFERROR(VLOOKUP($I$24&amp;$D4,'Database-Hidden'!$C$2:$J$121,4,FALSE)-P4+AG4,"")</f>
        <v>6</v>
      </c>
      <c r="F4" s="44">
        <f>IFERROR(VLOOKUP($I$24&amp;$D4,'Database-Hidden'!$C$2:$J$121,5,FALSE)-Q4+AH4,"")</f>
        <v>3</v>
      </c>
      <c r="G4" s="44">
        <f>IFERROR(VLOOKUP($I$24&amp;$D4,'Database-Hidden'!$C$2:$J$121,6,FALSE)-R4+AI4,"")</f>
        <v>3</v>
      </c>
      <c r="H4" s="45">
        <f>IFERROR(VLOOKUP($I$24&amp;$D4,'Database-Hidden'!$C$2:$J$121,7,FALSE)-S4+AJ4,"")</f>
        <v>7</v>
      </c>
      <c r="I4" s="46" t="str">
        <f>IFERROR(VLOOKUP($I$24&amp;$D4,'Database-Hidden'!$C$2:$J$121,8,FALSE),"")</f>
        <v>Dodge, Pass</v>
      </c>
      <c r="J4" s="47" t="s">
        <v>93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>
        <v>1</v>
      </c>
      <c r="V4" s="55"/>
      <c r="W4" s="55"/>
      <c r="X4" s="52"/>
      <c r="Y4" s="52"/>
      <c r="Z4" s="56">
        <v>1</v>
      </c>
      <c r="AA4" s="57">
        <f t="shared" ref="AA4:AA19" si="1">2*T4+U4+3*V4+2*W4+5*Z4</f>
        <v>6</v>
      </c>
      <c r="AB4" s="58">
        <f t="shared" ref="AB4:AB19" si="2">IF(L4=1,0,AD4+(20000*O4)+(20000*AE4)+(30000*AF4)+(30000*AG4)+(50000*AH4)+(40000*AI4)+(50000*AJ4)+AK4)</f>
        <v>90000</v>
      </c>
      <c r="AC4" s="4"/>
      <c r="AD4" s="59">
        <f>IFERROR(VLOOKUP($I$24&amp;D4,'Database-Hidden'!$C$2:$E$121,3,FALSE),"")</f>
        <v>70000</v>
      </c>
      <c r="AE4" s="60">
        <v>1</v>
      </c>
      <c r="AF4" s="62"/>
      <c r="AG4" s="62"/>
      <c r="AH4" s="62"/>
      <c r="AI4" s="62"/>
      <c r="AJ4" s="62"/>
      <c r="AK4" s="63"/>
      <c r="AL4" s="64" t="str">
        <f>IF(LEFT($D4,6)&lt;&gt;"Star: ","",VLOOKUP(RIGHT($D4,LEN($D4)-6),'Star Players-Hidden'!$A$3:$AK$69,37,FALSE))</f>
        <v/>
      </c>
      <c r="AM4" s="4"/>
      <c r="AN4" s="65" t="s">
        <v>39</v>
      </c>
      <c r="AO4" s="66">
        <v>0</v>
      </c>
      <c r="AP4" s="4"/>
      <c r="AQ4" s="4"/>
      <c r="AR4" s="67"/>
      <c r="AS4" s="68"/>
      <c r="AT4" s="68"/>
      <c r="AU4" s="65" t="s">
        <v>42</v>
      </c>
      <c r="AV4" s="69">
        <v>0</v>
      </c>
      <c r="AW4" s="70"/>
    </row>
    <row r="5" spans="1:49" ht="12.75">
      <c r="A5" s="2"/>
      <c r="B5" s="71">
        <v>2</v>
      </c>
      <c r="C5" s="72" t="s">
        <v>332</v>
      </c>
      <c r="D5" s="73" t="s">
        <v>68</v>
      </c>
      <c r="E5" s="75">
        <f>IFERROR(VLOOKUP($I$24&amp;$D5,'Database-Hidden'!$C$2:$J$121,4,FALSE)-P5+AG5,"")</f>
        <v>6</v>
      </c>
      <c r="F5" s="76">
        <f>IFERROR(VLOOKUP($I$24&amp;$D5,'Database-Hidden'!$C$2:$J$121,5,FALSE)-Q5+AH5,"")</f>
        <v>3</v>
      </c>
      <c r="G5" s="76">
        <f>IFERROR(VLOOKUP($I$24&amp;$D5,'Database-Hidden'!$C$2:$J$121,6,FALSE)-R5+AI5,"")</f>
        <v>3</v>
      </c>
      <c r="H5" s="77">
        <f>IFERROR(VLOOKUP($I$24&amp;$D5,'Database-Hidden'!$C$2:$J$121,7,FALSE)-S5+AJ5,"")</f>
        <v>7</v>
      </c>
      <c r="I5" s="78" t="str">
        <f>IFERROR(VLOOKUP($I$24&amp;$D5,'Database-Hidden'!$C$2:$J$121,8,FALSE),"")</f>
        <v>Block, Dodge</v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/>
      <c r="W5" s="89"/>
      <c r="X5" s="85"/>
      <c r="Y5" s="85"/>
      <c r="Z5" s="90"/>
      <c r="AA5" s="91">
        <f t="shared" si="1"/>
        <v>0</v>
      </c>
      <c r="AB5" s="58">
        <f t="shared" si="2"/>
        <v>90000</v>
      </c>
      <c r="AC5" s="4"/>
      <c r="AD5" s="92">
        <f>IFERROR(VLOOKUP($I$24&amp;D5,'Database-Hidden'!$C$2:$E$121,3,FALSE),"")</f>
        <v>90000</v>
      </c>
      <c r="AE5" s="93"/>
      <c r="AF5" s="94"/>
      <c r="AG5" s="94"/>
      <c r="AH5" s="94"/>
      <c r="AI5" s="94"/>
      <c r="AJ5" s="94"/>
      <c r="AK5" s="63"/>
      <c r="AL5" s="64" t="str">
        <f>IF(LEFT($D5,6)&lt;&gt;"Star: ","",VLOOKUP(RIGHT($D5,LEN($D5)-6),'Star Players-Hidden'!$A$3:$AK$69,37,FALSE))</f>
        <v/>
      </c>
      <c r="AM5" s="1"/>
      <c r="AN5" s="95" t="s">
        <v>47</v>
      </c>
      <c r="AO5" s="96" t="s">
        <v>48</v>
      </c>
      <c r="AP5" s="98" t="s">
        <v>49</v>
      </c>
      <c r="AQ5" s="99" t="s">
        <v>50</v>
      </c>
      <c r="AR5" s="100" t="s">
        <v>51</v>
      </c>
      <c r="AS5" s="98" t="s">
        <v>52</v>
      </c>
      <c r="AT5" s="101" t="s">
        <v>53</v>
      </c>
      <c r="AU5" s="101" t="s">
        <v>54</v>
      </c>
      <c r="AV5" s="103" t="s">
        <v>2</v>
      </c>
      <c r="AW5" s="104"/>
    </row>
    <row r="6" spans="1:49" ht="12.75">
      <c r="A6" s="2"/>
      <c r="B6" s="71">
        <v>3</v>
      </c>
      <c r="C6" s="72" t="s">
        <v>333</v>
      </c>
      <c r="D6" s="73" t="s">
        <v>68</v>
      </c>
      <c r="E6" s="75">
        <f>IFERROR(VLOOKUP($I$24&amp;$D6,'Database-Hidden'!$C$2:$J$121,4,FALSE)-P6+AG6,"")</f>
        <v>6</v>
      </c>
      <c r="F6" s="76">
        <f>IFERROR(VLOOKUP($I$24&amp;$D6,'Database-Hidden'!$C$2:$J$121,5,FALSE)-Q6+AH6,"")</f>
        <v>3</v>
      </c>
      <c r="G6" s="76">
        <f>IFERROR(VLOOKUP($I$24&amp;$D6,'Database-Hidden'!$C$2:$J$121,6,FALSE)-R6+AI6,"")</f>
        <v>3</v>
      </c>
      <c r="H6" s="77">
        <f>IFERROR(VLOOKUP($I$24&amp;$D6,'Database-Hidden'!$C$2:$J$121,7,FALSE)-S6+AJ6,"")</f>
        <v>7</v>
      </c>
      <c r="I6" s="78" t="str">
        <f>IFERROR(VLOOKUP($I$24&amp;$D6,'Database-Hidden'!$C$2:$J$121,8,FALSE),"")</f>
        <v>Block, Dodge</v>
      </c>
      <c r="J6" s="106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8"/>
      <c r="X6" s="85"/>
      <c r="Y6" s="85"/>
      <c r="Z6" s="90"/>
      <c r="AA6" s="91">
        <f t="shared" si="1"/>
        <v>0</v>
      </c>
      <c r="AB6" s="58">
        <f t="shared" si="2"/>
        <v>90000</v>
      </c>
      <c r="AC6" s="4"/>
      <c r="AD6" s="92">
        <f>IFERROR(VLOOKUP($I$24&amp;D6,'Database-Hidden'!$C$2:$E$121,3,FALSE),"")</f>
        <v>90000</v>
      </c>
      <c r="AE6" s="93"/>
      <c r="AF6" s="107"/>
      <c r="AG6" s="107"/>
      <c r="AH6" s="107"/>
      <c r="AI6" s="107"/>
      <c r="AJ6" s="107"/>
      <c r="AK6" s="63"/>
      <c r="AL6" s="64" t="str">
        <f>IF(LEFT($D6,6)&lt;&gt;"Star: ","",VLOOKUP(RIGHT($D6,LEN($D6)-6),'Star Players-Hidden'!$A$3:$AK$69,37,FALSE))</f>
        <v/>
      </c>
      <c r="AM6" s="4"/>
      <c r="AN6" s="108" t="s">
        <v>57</v>
      </c>
      <c r="AO6" s="109">
        <v>60000</v>
      </c>
      <c r="AP6" s="110">
        <v>50000</v>
      </c>
      <c r="AQ6" s="112"/>
      <c r="AR6" s="114" t="s">
        <v>120</v>
      </c>
      <c r="AS6" s="115" t="s">
        <v>74</v>
      </c>
      <c r="AT6" s="118">
        <v>0</v>
      </c>
      <c r="AU6" s="116">
        <v>0</v>
      </c>
      <c r="AV6" s="119">
        <v>0</v>
      </c>
      <c r="AW6" s="117"/>
    </row>
    <row r="7" spans="1:49" ht="12.75">
      <c r="A7" s="2"/>
      <c r="B7" s="71">
        <v>4</v>
      </c>
      <c r="C7" s="72" t="s">
        <v>336</v>
      </c>
      <c r="D7" s="73" t="s">
        <v>68</v>
      </c>
      <c r="E7" s="75">
        <f>IFERROR(VLOOKUP($I$24&amp;$D7,'Database-Hidden'!$C$2:$J$121,4,FALSE)-P7+AG7,"")</f>
        <v>6</v>
      </c>
      <c r="F7" s="76">
        <f>IFERROR(VLOOKUP($I$24&amp;$D7,'Database-Hidden'!$C$2:$J$121,5,FALSE)-Q7+AH7,"")</f>
        <v>3</v>
      </c>
      <c r="G7" s="76">
        <f>IFERROR(VLOOKUP($I$24&amp;$D7,'Database-Hidden'!$C$2:$J$121,6,FALSE)-R7+AI7,"")</f>
        <v>3</v>
      </c>
      <c r="H7" s="77">
        <f>IFERROR(VLOOKUP($I$24&amp;$D7,'Database-Hidden'!$C$2:$J$121,7,FALSE)-S7+AJ7,"")</f>
        <v>7</v>
      </c>
      <c r="I7" s="78" t="str">
        <f>IFERROR(VLOOKUP($I$24&amp;$D7,'Database-Hidden'!$C$2:$J$121,8,FALSE),"")</f>
        <v>Block, Dodge</v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85"/>
      <c r="Z7" s="90"/>
      <c r="AA7" s="91">
        <f t="shared" si="1"/>
        <v>0</v>
      </c>
      <c r="AB7" s="58">
        <f t="shared" si="2"/>
        <v>90000</v>
      </c>
      <c r="AC7" s="4"/>
      <c r="AD7" s="120">
        <f>IFERROR(VLOOKUP($I$24&amp;D7,'Database-Hidden'!$C$2:$E$121,3,FALSE),"")</f>
        <v>90000</v>
      </c>
      <c r="AE7" s="93"/>
      <c r="AF7" s="107"/>
      <c r="AG7" s="107"/>
      <c r="AH7" s="107"/>
      <c r="AI7" s="107"/>
      <c r="AJ7" s="107"/>
      <c r="AK7" s="63"/>
      <c r="AL7" s="64" t="str">
        <f>IF(LEFT($D7,6)&lt;&gt;"Star: ","",VLOOKUP(RIGHT($D7,LEN($D7)-6),'Star Players-Hidden'!$A$3:$AK$69,37,FALSE))</f>
        <v/>
      </c>
      <c r="AM7" s="4"/>
      <c r="AN7" s="121" t="s">
        <v>63</v>
      </c>
      <c r="AO7" s="131">
        <v>10000</v>
      </c>
      <c r="AP7" s="123"/>
      <c r="AQ7" s="124"/>
      <c r="AR7" s="133" t="s">
        <v>154</v>
      </c>
      <c r="AS7" s="134" t="s">
        <v>74</v>
      </c>
      <c r="AT7" s="135">
        <v>0</v>
      </c>
      <c r="AU7" s="136">
        <v>0</v>
      </c>
      <c r="AV7" s="137">
        <v>0</v>
      </c>
      <c r="AW7" s="130"/>
    </row>
    <row r="8" spans="1:49" ht="12.75">
      <c r="A8" s="2"/>
      <c r="B8" s="71">
        <v>5</v>
      </c>
      <c r="C8" s="72" t="s">
        <v>339</v>
      </c>
      <c r="D8" s="73" t="s">
        <v>68</v>
      </c>
      <c r="E8" s="75">
        <f>IFERROR(VLOOKUP($I$24&amp;$D8,'Database-Hidden'!$C$2:$J$121,4,FALSE)-P8+AG8,"")</f>
        <v>6</v>
      </c>
      <c r="F8" s="76">
        <f>IFERROR(VLOOKUP($I$24&amp;$D8,'Database-Hidden'!$C$2:$J$121,5,FALSE)-Q8+AH8,"")</f>
        <v>3</v>
      </c>
      <c r="G8" s="76">
        <f>IFERROR(VLOOKUP($I$24&amp;$D8,'Database-Hidden'!$C$2:$J$121,6,FALSE)-R8+AI8,"")</f>
        <v>3</v>
      </c>
      <c r="H8" s="77">
        <f>IFERROR(VLOOKUP($I$24&amp;$D8,'Database-Hidden'!$C$2:$J$121,7,FALSE)-S8+AJ8,"")</f>
        <v>7</v>
      </c>
      <c r="I8" s="78" t="str">
        <f>IFERROR(VLOOKUP($I$24&amp;$D8,'Database-Hidden'!$C$2:$J$121,8,FALSE),"")</f>
        <v>Block, Dodge</v>
      </c>
      <c r="J8" s="106"/>
      <c r="K8" s="80">
        <f t="shared" si="0"/>
        <v>0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8"/>
      <c r="X8" s="85"/>
      <c r="Y8" s="85"/>
      <c r="Z8" s="90"/>
      <c r="AA8" s="91">
        <f t="shared" si="1"/>
        <v>0</v>
      </c>
      <c r="AB8" s="58">
        <f t="shared" si="2"/>
        <v>90000</v>
      </c>
      <c r="AC8" s="4"/>
      <c r="AD8" s="120">
        <f>IFERROR(VLOOKUP($I$24&amp;D8,'Database-Hidden'!$C$2:$E$121,3,FALSE),"")</f>
        <v>90000</v>
      </c>
      <c r="AE8" s="93"/>
      <c r="AF8" s="107"/>
      <c r="AG8" s="107"/>
      <c r="AH8" s="107"/>
      <c r="AI8" s="107"/>
      <c r="AJ8" s="107"/>
      <c r="AK8" s="63"/>
      <c r="AL8" s="64" t="str">
        <f>IF(LEFT($D8,6)&lt;&gt;"Star: ","",VLOOKUP(RIGHT($D8,LEN($D8)-6),'Star Players-Hidden'!$A$3:$AK$69,37,FALSE))</f>
        <v/>
      </c>
      <c r="AM8" s="4"/>
      <c r="AN8" s="121" t="s">
        <v>69</v>
      </c>
      <c r="AO8" s="131">
        <v>50000</v>
      </c>
      <c r="AP8" s="123"/>
      <c r="AQ8" s="124"/>
      <c r="AR8" s="133" t="s">
        <v>64</v>
      </c>
      <c r="AS8" s="134" t="s">
        <v>66</v>
      </c>
      <c r="AT8" s="135">
        <v>0</v>
      </c>
      <c r="AU8" s="136">
        <v>0</v>
      </c>
      <c r="AV8" s="137">
        <v>1</v>
      </c>
      <c r="AW8" s="130"/>
    </row>
    <row r="9" spans="1:49" ht="12.75">
      <c r="A9" s="2"/>
      <c r="B9" s="71">
        <v>6</v>
      </c>
      <c r="C9" s="72" t="s">
        <v>342</v>
      </c>
      <c r="D9" s="73" t="s">
        <v>81</v>
      </c>
      <c r="E9" s="75">
        <f>IFERROR(VLOOKUP($I$24&amp;$D9,'Database-Hidden'!$C$2:$J$121,4,FALSE)-P9+AG9,"")</f>
        <v>6</v>
      </c>
      <c r="F9" s="76">
        <f>IFERROR(VLOOKUP($I$24&amp;$D9,'Database-Hidden'!$C$2:$J$121,5,FALSE)-Q9+AH9,"")</f>
        <v>3</v>
      </c>
      <c r="G9" s="76">
        <f>IFERROR(VLOOKUP($I$24&amp;$D9,'Database-Hidden'!$C$2:$J$121,6,FALSE)-R9+AI9,"")</f>
        <v>3</v>
      </c>
      <c r="H9" s="77">
        <f>IFERROR(VLOOKUP($I$24&amp;$D9,'Database-Hidden'!$C$2:$J$121,7,FALSE)-S9+AJ9,"")</f>
        <v>7</v>
      </c>
      <c r="I9" s="78" t="str">
        <f>IFERROR(VLOOKUP($I$24&amp;$D9,'Database-Hidden'!$C$2:$J$121,8,FALSE),"")</f>
        <v>Dodge, Catch</v>
      </c>
      <c r="J9" s="106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85"/>
      <c r="Z9" s="90"/>
      <c r="AA9" s="91">
        <f t="shared" si="1"/>
        <v>0</v>
      </c>
      <c r="AB9" s="58">
        <f t="shared" si="2"/>
        <v>70000</v>
      </c>
      <c r="AC9" s="4"/>
      <c r="AD9" s="120">
        <f>IFERROR(VLOOKUP($I$24&amp;D9,'Database-Hidden'!$C$2:$E$121,3,FALSE),"")</f>
        <v>70000</v>
      </c>
      <c r="AE9" s="93"/>
      <c r="AF9" s="94"/>
      <c r="AG9" s="107"/>
      <c r="AH9" s="107"/>
      <c r="AI9" s="107"/>
      <c r="AJ9" s="107"/>
      <c r="AK9" s="63"/>
      <c r="AL9" s="64" t="str">
        <f>IF(LEFT($D9,6)&lt;&gt;"Star: ","",VLOOKUP(RIGHT($D9,LEN($D9)-6),'Star Players-Hidden'!$A$3:$AK$69,37,FALSE))</f>
        <v/>
      </c>
      <c r="AM9" s="4"/>
      <c r="AN9" s="121" t="s">
        <v>72</v>
      </c>
      <c r="AO9" s="122"/>
      <c r="AP9" s="123"/>
      <c r="AQ9" s="124"/>
      <c r="AR9" s="125"/>
      <c r="AS9" s="126"/>
      <c r="AT9" s="127"/>
      <c r="AU9" s="128"/>
      <c r="AV9" s="129"/>
      <c r="AW9" s="130"/>
    </row>
    <row r="10" spans="1:49" ht="12.75">
      <c r="A10" s="2"/>
      <c r="B10" s="71">
        <v>7</v>
      </c>
      <c r="C10" s="72" t="s">
        <v>345</v>
      </c>
      <c r="D10" s="73" t="s">
        <v>346</v>
      </c>
      <c r="E10" s="75">
        <f>IFERROR(VLOOKUP($I$24&amp;$D10,'Database-Hidden'!$C$2:$J$121,4,FALSE)-P10+AG10,"")</f>
        <v>6</v>
      </c>
      <c r="F10" s="76">
        <f>IFERROR(VLOOKUP($I$24&amp;$D10,'Database-Hidden'!$C$2:$J$121,5,FALSE)-Q10+AH10,"")</f>
        <v>3</v>
      </c>
      <c r="G10" s="76">
        <f>IFERROR(VLOOKUP($I$24&amp;$D10,'Database-Hidden'!$C$2:$J$121,6,FALSE)-R10+AI10,"")</f>
        <v>3</v>
      </c>
      <c r="H10" s="77">
        <f>IFERROR(VLOOKUP($I$24&amp;$D10,'Database-Hidden'!$C$2:$J$121,7,FALSE)-S10+AJ10,"")</f>
        <v>7</v>
      </c>
      <c r="I10" s="78" t="str">
        <f>IFERROR(VLOOKUP($I$24&amp;$D10,'Database-Hidden'!$C$2:$J$121,8,FALSE),"")</f>
        <v>Dodge</v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85"/>
      <c r="Z10" s="90">
        <v>1</v>
      </c>
      <c r="AA10" s="91">
        <f t="shared" si="1"/>
        <v>5</v>
      </c>
      <c r="AB10" s="58">
        <f t="shared" si="2"/>
        <v>50000</v>
      </c>
      <c r="AC10" s="4"/>
      <c r="AD10" s="120">
        <f>IFERROR(VLOOKUP($I$24&amp;D10,'Database-Hidden'!$C$2:$E$121,3,FALSE),"")</f>
        <v>50000</v>
      </c>
      <c r="AE10" s="93"/>
      <c r="AF10" s="94"/>
      <c r="AG10" s="107"/>
      <c r="AH10" s="107"/>
      <c r="AI10" s="107"/>
      <c r="AJ10" s="107"/>
      <c r="AK10" s="63"/>
      <c r="AL10" s="64" t="str">
        <f>IF(LEFT($D10,6)&lt;&gt;"Star: ","",VLOOKUP(RIGHT($D10,LEN($D10)-6),'Star Players-Hidden'!$A$3:$AK$69,37,FALSE))</f>
        <v/>
      </c>
      <c r="AM10" s="4"/>
      <c r="AN10" s="121" t="s">
        <v>78</v>
      </c>
      <c r="AO10" s="122"/>
      <c r="AP10" s="123"/>
      <c r="AQ10" s="124"/>
      <c r="AR10" s="125"/>
      <c r="AS10" s="126"/>
      <c r="AT10" s="127"/>
      <c r="AU10" s="128"/>
      <c r="AV10" s="129"/>
      <c r="AW10" s="130"/>
    </row>
    <row r="11" spans="1:49" ht="12.75">
      <c r="A11" s="2"/>
      <c r="B11" s="71">
        <v>8</v>
      </c>
      <c r="C11" s="72" t="s">
        <v>349</v>
      </c>
      <c r="D11" s="73" t="s">
        <v>346</v>
      </c>
      <c r="E11" s="75">
        <f>IFERROR(VLOOKUP($I$24&amp;$D11,'Database-Hidden'!$C$2:$J$121,4,FALSE)-P11+AG11,"")</f>
        <v>6</v>
      </c>
      <c r="F11" s="76">
        <f>IFERROR(VLOOKUP($I$24&amp;$D11,'Database-Hidden'!$C$2:$J$121,5,FALSE)-Q11+AH11,"")</f>
        <v>3</v>
      </c>
      <c r="G11" s="76">
        <f>IFERROR(VLOOKUP($I$24&amp;$D11,'Database-Hidden'!$C$2:$J$121,6,FALSE)-R11+AI11,"")</f>
        <v>3</v>
      </c>
      <c r="H11" s="77">
        <f>IFERROR(VLOOKUP($I$24&amp;$D11,'Database-Hidden'!$C$2:$J$121,7,FALSE)-S11+AJ11,"")</f>
        <v>7</v>
      </c>
      <c r="I11" s="78" t="str">
        <f>IFERROR(VLOOKUP($I$24&amp;$D11,'Database-Hidden'!$C$2:$J$121,8,FALSE),"")</f>
        <v>Dodge</v>
      </c>
      <c r="J11" s="79" t="s">
        <v>43</v>
      </c>
      <c r="K11" s="80">
        <f t="shared" si="0"/>
        <v>1</v>
      </c>
      <c r="L11" s="81"/>
      <c r="M11" s="81"/>
      <c r="N11" s="81"/>
      <c r="O11" s="83"/>
      <c r="P11" s="84"/>
      <c r="Q11" s="85"/>
      <c r="R11" s="85"/>
      <c r="S11" s="86"/>
      <c r="T11" s="87"/>
      <c r="U11" s="89">
        <v>1</v>
      </c>
      <c r="V11" s="88"/>
      <c r="W11" s="88"/>
      <c r="X11" s="85"/>
      <c r="Y11" s="85"/>
      <c r="Z11" s="90">
        <v>1</v>
      </c>
      <c r="AA11" s="91">
        <f t="shared" si="1"/>
        <v>6</v>
      </c>
      <c r="AB11" s="58">
        <f t="shared" si="2"/>
        <v>80000</v>
      </c>
      <c r="AC11" s="4"/>
      <c r="AD11" s="120">
        <f>IFERROR(VLOOKUP($I$24&amp;D11,'Database-Hidden'!$C$2:$E$121,3,FALSE),"")</f>
        <v>50000</v>
      </c>
      <c r="AE11" s="139"/>
      <c r="AF11" s="94">
        <v>1</v>
      </c>
      <c r="AG11" s="107"/>
      <c r="AH11" s="107"/>
      <c r="AI11" s="107"/>
      <c r="AJ11" s="107"/>
      <c r="AK11" s="63"/>
      <c r="AL11" s="64" t="str">
        <f>IF(LEFT($D11,6)&lt;&gt;"Star: ","",VLOOKUP(RIGHT($D11,LEN($D11)-6),'Star Players-Hidden'!$A$3:$AK$69,37,FALSE))</f>
        <v/>
      </c>
      <c r="AM11" s="4"/>
      <c r="AN11" s="121" t="s">
        <v>82</v>
      </c>
      <c r="AO11" s="122"/>
      <c r="AP11" s="123"/>
      <c r="AQ11" s="124"/>
      <c r="AR11" s="125"/>
      <c r="AS11" s="126"/>
      <c r="AT11" s="127"/>
      <c r="AU11" s="128"/>
      <c r="AV11" s="129"/>
      <c r="AW11" s="130"/>
    </row>
    <row r="12" spans="1:49" ht="12.75">
      <c r="A12" s="2"/>
      <c r="B12" s="71">
        <v>9</v>
      </c>
      <c r="C12" s="72" t="s">
        <v>353</v>
      </c>
      <c r="D12" s="73" t="s">
        <v>346</v>
      </c>
      <c r="E12" s="75">
        <f>IFERROR(VLOOKUP($I$24&amp;$D12,'Database-Hidden'!$C$2:$J$121,4,FALSE)-P12+AG12,"")</f>
        <v>6</v>
      </c>
      <c r="F12" s="76">
        <f>IFERROR(VLOOKUP($I$24&amp;$D12,'Database-Hidden'!$C$2:$J$121,5,FALSE)-Q12+AH12,"")</f>
        <v>3</v>
      </c>
      <c r="G12" s="76">
        <f>IFERROR(VLOOKUP($I$24&amp;$D12,'Database-Hidden'!$C$2:$J$121,6,FALSE)-R12+AI12,"")</f>
        <v>3</v>
      </c>
      <c r="H12" s="77">
        <f>IFERROR(VLOOKUP($I$24&amp;$D12,'Database-Hidden'!$C$2:$J$121,7,FALSE)-S12+AJ12,"")</f>
        <v>7</v>
      </c>
      <c r="I12" s="78" t="str">
        <f>IFERROR(VLOOKUP($I$24&amp;$D12,'Database-Hidden'!$C$2:$J$121,8,FALSE),"")</f>
        <v>Dodge</v>
      </c>
      <c r="J12" s="106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85"/>
      <c r="Z12" s="90"/>
      <c r="AA12" s="91">
        <f t="shared" si="1"/>
        <v>0</v>
      </c>
      <c r="AB12" s="58">
        <f t="shared" si="2"/>
        <v>50000</v>
      </c>
      <c r="AC12" s="4"/>
      <c r="AD12" s="120">
        <f>IFERROR(VLOOKUP($I$24&amp;D12,'Database-Hidden'!$C$2:$E$121,3,FALSE),"")</f>
        <v>50000</v>
      </c>
      <c r="AE12" s="139"/>
      <c r="AF12" s="107"/>
      <c r="AG12" s="107"/>
      <c r="AH12" s="107"/>
      <c r="AI12" s="107"/>
      <c r="AJ12" s="107"/>
      <c r="AK12" s="63"/>
      <c r="AL12" s="64" t="str">
        <f>IF(LEFT($D12,6)&lt;&gt;"Star: ","",VLOOKUP(RIGHT($D12,LEN($D12)-6),'Star Players-Hidden'!$A$3:$AK$69,37,FALSE))</f>
        <v/>
      </c>
      <c r="AM12" s="4"/>
      <c r="AN12" s="121" t="s">
        <v>87</v>
      </c>
      <c r="AO12" s="122"/>
      <c r="AP12" s="123"/>
      <c r="AQ12" s="124"/>
      <c r="AR12" s="125"/>
      <c r="AS12" s="126"/>
      <c r="AT12" s="127"/>
      <c r="AU12" s="128"/>
      <c r="AV12" s="129"/>
      <c r="AW12" s="130"/>
    </row>
    <row r="13" spans="1:49" ht="12.75">
      <c r="A13" s="2"/>
      <c r="B13" s="71">
        <v>10</v>
      </c>
      <c r="C13" s="72" t="s">
        <v>355</v>
      </c>
      <c r="D13" s="73" t="s">
        <v>346</v>
      </c>
      <c r="E13" s="75">
        <f>IFERROR(VLOOKUP($I$24&amp;$D13,'Database-Hidden'!$C$2:$J$121,4,FALSE)-P13+AG13,"")</f>
        <v>6</v>
      </c>
      <c r="F13" s="76">
        <f>IFERROR(VLOOKUP($I$24&amp;$D13,'Database-Hidden'!$C$2:$J$121,5,FALSE)-Q13+AH13,"")</f>
        <v>3</v>
      </c>
      <c r="G13" s="76">
        <f>IFERROR(VLOOKUP($I$24&amp;$D13,'Database-Hidden'!$C$2:$J$121,6,FALSE)-R13+AI13,"")</f>
        <v>3</v>
      </c>
      <c r="H13" s="77">
        <f>IFERROR(VLOOKUP($I$24&amp;$D13,'Database-Hidden'!$C$2:$J$121,7,FALSE)-S13+AJ13,"")</f>
        <v>7</v>
      </c>
      <c r="I13" s="78" t="str">
        <f>IFERROR(VLOOKUP($I$24&amp;$D13,'Database-Hidden'!$C$2:$J$121,8,FALSE),"")</f>
        <v>Dodge</v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/>
      <c r="X13" s="85"/>
      <c r="Y13" s="85"/>
      <c r="Z13" s="90"/>
      <c r="AA13" s="91">
        <f t="shared" si="1"/>
        <v>0</v>
      </c>
      <c r="AB13" s="58">
        <f t="shared" si="2"/>
        <v>50000</v>
      </c>
      <c r="AC13" s="4"/>
      <c r="AD13" s="120">
        <f>IFERROR(VLOOKUP($I$24&amp;D13,'Database-Hidden'!$C$2:$E$121,3,FALSE),"")</f>
        <v>50000</v>
      </c>
      <c r="AE13" s="139"/>
      <c r="AF13" s="94"/>
      <c r="AG13" s="107"/>
      <c r="AH13" s="107"/>
      <c r="AI13" s="107"/>
      <c r="AJ13" s="107"/>
      <c r="AK13" s="63"/>
      <c r="AL13" s="64" t="str">
        <f>IF(LEFT($D13,6)&lt;&gt;"Star: ","",VLOOKUP(RIGHT($D13,LEN($D13)-6),'Star Players-Hidden'!$A$3:$AK$69,37,FALSE))</f>
        <v/>
      </c>
      <c r="AM13" s="4"/>
      <c r="AN13" s="121" t="s">
        <v>95</v>
      </c>
      <c r="AO13" s="122"/>
      <c r="AP13" s="123"/>
      <c r="AQ13" s="124"/>
      <c r="AR13" s="125"/>
      <c r="AS13" s="126"/>
      <c r="AT13" s="127"/>
      <c r="AU13" s="128"/>
      <c r="AV13" s="129"/>
      <c r="AW13" s="130"/>
    </row>
    <row r="14" spans="1:49" ht="12.75">
      <c r="A14" s="2"/>
      <c r="B14" s="71">
        <v>11</v>
      </c>
      <c r="C14" s="72" t="s">
        <v>356</v>
      </c>
      <c r="D14" s="73" t="s">
        <v>346</v>
      </c>
      <c r="E14" s="75">
        <f>IFERROR(VLOOKUP($I$24&amp;$D14,'Database-Hidden'!$C$2:$J$121,4,FALSE)-P14+AG14,"")</f>
        <v>6</v>
      </c>
      <c r="F14" s="76">
        <f>IFERROR(VLOOKUP($I$24&amp;$D14,'Database-Hidden'!$C$2:$J$121,5,FALSE)-Q14+AH14,"")</f>
        <v>3</v>
      </c>
      <c r="G14" s="76">
        <f>IFERROR(VLOOKUP($I$24&amp;$D14,'Database-Hidden'!$C$2:$J$121,6,FALSE)-R14+AI14,"")</f>
        <v>3</v>
      </c>
      <c r="H14" s="77">
        <f>IFERROR(VLOOKUP($I$24&amp;$D14,'Database-Hidden'!$C$2:$J$121,7,FALSE)-S14+AJ14,"")</f>
        <v>7</v>
      </c>
      <c r="I14" s="78" t="str">
        <f>IFERROR(VLOOKUP($I$24&amp;$D14,'Database-Hidden'!$C$2:$J$121,8,FALSE),"")</f>
        <v>Dodge</v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/>
      <c r="X14" s="85"/>
      <c r="Y14" s="85"/>
      <c r="Z14" s="90"/>
      <c r="AA14" s="91">
        <f t="shared" si="1"/>
        <v>0</v>
      </c>
      <c r="AB14" s="58">
        <f t="shared" si="2"/>
        <v>50000</v>
      </c>
      <c r="AC14" s="4"/>
      <c r="AD14" s="120">
        <f>IFERROR(VLOOKUP($I$24&amp;D14,'Database-Hidden'!$C$2:$E$121,3,FALSE),"")</f>
        <v>50000</v>
      </c>
      <c r="AE14" s="93"/>
      <c r="AF14" s="107"/>
      <c r="AG14" s="107"/>
      <c r="AH14" s="107"/>
      <c r="AI14" s="107"/>
      <c r="AJ14" s="107"/>
      <c r="AK14" s="63"/>
      <c r="AL14" s="64" t="str">
        <f>IF(LEFT($D14,6)&lt;&gt;"Star: ","",VLOOKUP(RIGHT($D14,LEN($D14)-6),'Star Players-Hidden'!$A$3:$AK$69,37,FALSE))</f>
        <v/>
      </c>
      <c r="AM14" s="4"/>
      <c r="AN14" s="121" t="s">
        <v>98</v>
      </c>
      <c r="AO14" s="122"/>
      <c r="AP14" s="123"/>
      <c r="AQ14" s="124"/>
      <c r="AR14" s="125"/>
      <c r="AS14" s="126"/>
      <c r="AT14" s="127"/>
      <c r="AU14" s="128"/>
      <c r="AV14" s="129"/>
      <c r="AW14" s="130"/>
    </row>
    <row r="15" spans="1:49" ht="12.75">
      <c r="A15" s="2"/>
      <c r="B15" s="71">
        <v>12</v>
      </c>
      <c r="C15" s="72" t="s">
        <v>357</v>
      </c>
      <c r="D15" s="73" t="s">
        <v>346</v>
      </c>
      <c r="E15" s="75">
        <f>IFERROR(VLOOKUP($I$24&amp;$D15,'Database-Hidden'!$C$2:$J$121,4,FALSE)-P15+AG15,"")</f>
        <v>6</v>
      </c>
      <c r="F15" s="76">
        <f>IFERROR(VLOOKUP($I$24&amp;$D15,'Database-Hidden'!$C$2:$J$121,5,FALSE)-Q15+AH15,"")</f>
        <v>3</v>
      </c>
      <c r="G15" s="76">
        <f>IFERROR(VLOOKUP($I$24&amp;$D15,'Database-Hidden'!$C$2:$J$121,6,FALSE)-R15+AI15,"")</f>
        <v>3</v>
      </c>
      <c r="H15" s="77">
        <f>IFERROR(VLOOKUP($I$24&amp;$D15,'Database-Hidden'!$C$2:$J$121,7,FALSE)-S15+AJ15,"")</f>
        <v>7</v>
      </c>
      <c r="I15" s="78" t="str">
        <f>IFERROR(VLOOKUP($I$24&amp;$D15,'Database-Hidden'!$C$2:$J$121,8,FALSE),"")</f>
        <v>Dodge</v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85"/>
      <c r="Y15" s="85"/>
      <c r="Z15" s="90"/>
      <c r="AA15" s="91">
        <f t="shared" si="1"/>
        <v>0</v>
      </c>
      <c r="AB15" s="58">
        <f t="shared" si="2"/>
        <v>50000</v>
      </c>
      <c r="AC15" s="4"/>
      <c r="AD15" s="120">
        <f>IFERROR(VLOOKUP($I$24&amp;D15,'Database-Hidden'!$C$2:$E$121,3,FALSE),"")</f>
        <v>50000</v>
      </c>
      <c r="AE15" s="93"/>
      <c r="AF15" s="107"/>
      <c r="AG15" s="107"/>
      <c r="AH15" s="107"/>
      <c r="AI15" s="107"/>
      <c r="AJ15" s="107"/>
      <c r="AK15" s="63"/>
      <c r="AL15" s="64" t="str">
        <f>IF(LEFT($D15,6)&lt;&gt;"Star: ","",VLOOKUP(RIGHT($D15,LEN($D15)-6),'Star Players-Hidden'!$A$3:$AK$69,37,FALSE))</f>
        <v/>
      </c>
      <c r="AM15" s="4"/>
      <c r="AN15" s="121" t="s">
        <v>102</v>
      </c>
      <c r="AO15" s="122"/>
      <c r="AP15" s="123"/>
      <c r="AQ15" s="124"/>
      <c r="AR15" s="125"/>
      <c r="AS15" s="126"/>
      <c r="AT15" s="127"/>
      <c r="AU15" s="128"/>
      <c r="AV15" s="129"/>
      <c r="AW15" s="130"/>
    </row>
    <row r="16" spans="1:49" ht="12.75">
      <c r="A16" s="2"/>
      <c r="B16" s="71">
        <v>13</v>
      </c>
      <c r="C16" s="72"/>
      <c r="D16" s="73"/>
      <c r="E16" s="75" t="str">
        <f>IFERROR(VLOOKUP($I$24&amp;$D16,'Database-Hidden'!$C$2:$J$121,4,FALSE)-P16+AG16,"")</f>
        <v/>
      </c>
      <c r="F16" s="76" t="str">
        <f>IFERROR(VLOOKUP($I$24&amp;$D16,'Database-Hidden'!$C$2:$J$121,5,FALSE)-Q16+AH16,"")</f>
        <v/>
      </c>
      <c r="G16" s="76" t="str">
        <f>IFERROR(VLOOKUP($I$24&amp;$D16,'Database-Hidden'!$C$2:$J$121,6,FALSE)-R16+AI16,"")</f>
        <v/>
      </c>
      <c r="H16" s="77" t="str">
        <f>IFERROR(VLOOKUP($I$24&amp;$D16,'Database-Hidden'!$C$2:$J$121,7,FALSE)-S16+AJ16,"")</f>
        <v/>
      </c>
      <c r="I16" s="78" t="str">
        <f>IFERROR(VLOOKUP($I$24&amp;$D16,'Database-Hidden'!$C$2:$J$121,8,FALSE),"")</f>
        <v/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85"/>
      <c r="Z16" s="90"/>
      <c r="AA16" s="91">
        <f t="shared" si="1"/>
        <v>0</v>
      </c>
      <c r="AB16" s="58"/>
      <c r="AC16" s="4"/>
      <c r="AD16" s="120" t="str">
        <f>IFERROR(VLOOKUP($I$24&amp;D16,'Database-Hidden'!$C$2:$E$121,3,FALSE),"")</f>
        <v/>
      </c>
      <c r="AE16" s="93"/>
      <c r="AF16" s="107"/>
      <c r="AG16" s="107"/>
      <c r="AH16" s="107"/>
      <c r="AI16" s="107"/>
      <c r="AJ16" s="107"/>
      <c r="AK16" s="63"/>
      <c r="AL16" s="64" t="str">
        <f>IF(LEFT($D16,6)&lt;&gt;"Star: ","",VLOOKUP(RIGHT($D16,LEN($D16)-6),'Star Players-Hidden'!$A$3:$AK$69,37,FALSE))</f>
        <v/>
      </c>
      <c r="AM16" s="4"/>
      <c r="AN16" s="121" t="s">
        <v>105</v>
      </c>
      <c r="AO16" s="122"/>
      <c r="AP16" s="123"/>
      <c r="AQ16" s="124"/>
      <c r="AR16" s="125"/>
      <c r="AS16" s="126"/>
      <c r="AT16" s="127"/>
      <c r="AU16" s="128"/>
      <c r="AV16" s="129"/>
      <c r="AW16" s="130"/>
    </row>
    <row r="17" spans="1:49" ht="12.75">
      <c r="A17" s="2"/>
      <c r="B17" s="71">
        <v>14</v>
      </c>
      <c r="C17" s="72"/>
      <c r="D17" s="73"/>
      <c r="E17" s="75" t="str">
        <f>IFERROR(VLOOKUP($I$24&amp;$D17,'Database-Hidden'!$C$2:$J$121,4,FALSE)-P17+AG17,"")</f>
        <v/>
      </c>
      <c r="F17" s="76" t="str">
        <f>IFERROR(VLOOKUP($I$24&amp;$D17,'Database-Hidden'!$C$2:$J$121,5,FALSE)-Q17+AH17,"")</f>
        <v/>
      </c>
      <c r="G17" s="76" t="str">
        <f>IFERROR(VLOOKUP($I$24&amp;$D17,'Database-Hidden'!$C$2:$J$121,6,FALSE)-R17+AI17,"")</f>
        <v/>
      </c>
      <c r="H17" s="77" t="str">
        <f>IFERROR(VLOOKUP($I$24&amp;$D17,'Database-Hidden'!$C$2:$J$121,7,FALSE)-S17+AJ17,"")</f>
        <v/>
      </c>
      <c r="I17" s="78" t="str">
        <f>IFERROR(VLOOKUP($I$24&amp;$D17,'Database-Hidden'!$C$2:$J$121,8,FALSE),"")</f>
        <v/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85"/>
      <c r="Z17" s="90"/>
      <c r="AA17" s="91">
        <f t="shared" si="1"/>
        <v>0</v>
      </c>
      <c r="AB17" s="58"/>
      <c r="AC17" s="4"/>
      <c r="AD17" s="120" t="str">
        <f>IFERROR(VLOOKUP($I$24&amp;D17,'Database-Hidden'!$C$2:$E$121,3,FALSE),"")</f>
        <v/>
      </c>
      <c r="AE17" s="93"/>
      <c r="AF17" s="107"/>
      <c r="AG17" s="107"/>
      <c r="AH17" s="107"/>
      <c r="AI17" s="107"/>
      <c r="AJ17" s="107"/>
      <c r="AK17" s="63"/>
      <c r="AL17" s="64" t="str">
        <f>IF(LEFT($D17,6)&lt;&gt;"Star: ","",VLOOKUP(RIGHT($D17,LEN($D17)-6),'Star Players-Hidden'!$A$3:$AK$69,37,FALSE))</f>
        <v/>
      </c>
      <c r="AM17" s="4"/>
      <c r="AN17" s="141" t="s">
        <v>108</v>
      </c>
      <c r="AO17" s="142"/>
      <c r="AP17" s="143"/>
      <c r="AQ17" s="144"/>
      <c r="AR17" s="145"/>
      <c r="AS17" s="146"/>
      <c r="AT17" s="147"/>
      <c r="AU17" s="149"/>
      <c r="AV17" s="150"/>
      <c r="AW17" s="130"/>
    </row>
    <row r="18" spans="1:49" ht="12.75">
      <c r="A18" s="2"/>
      <c r="B18" s="71">
        <v>15</v>
      </c>
      <c r="C18" s="72"/>
      <c r="D18" s="73"/>
      <c r="E18" s="75" t="str">
        <f>IFERROR(VLOOKUP($I$24&amp;$D18,'Database-Hidden'!$C$2:$J$121,4,FALSE)-P18+AG18,"")</f>
        <v/>
      </c>
      <c r="F18" s="76" t="str">
        <f>IFERROR(VLOOKUP($I$24&amp;$D18,'Database-Hidden'!$C$2:$J$121,5,FALSE)-Q18+AH18,"")</f>
        <v/>
      </c>
      <c r="G18" s="76" t="str">
        <f>IFERROR(VLOOKUP($I$24&amp;$D18,'Database-Hidden'!$C$2:$J$121,6,FALSE)-R18+AI18,"")</f>
        <v/>
      </c>
      <c r="H18" s="77" t="str">
        <f>IFERROR(VLOOKUP($I$24&amp;$D18,'Database-Hidden'!$C$2:$J$121,7,FALSE)-S18+AJ18,"")</f>
        <v/>
      </c>
      <c r="I18" s="78" t="str">
        <f>IFERROR(VLOOKUP($I$24&amp;$D18,'Database-Hidden'!$C$2:$J$121,8,FALSE),"")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85"/>
      <c r="Z18" s="90"/>
      <c r="AA18" s="91">
        <f t="shared" si="1"/>
        <v>0</v>
      </c>
      <c r="AB18" s="58"/>
      <c r="AC18" s="4"/>
      <c r="AD18" s="120" t="str">
        <f>IFERROR(VLOOKUP($I$24&amp;D18,'Database-Hidden'!$C$2:$E$121,3,FALSE),"")</f>
        <v/>
      </c>
      <c r="AE18" s="93"/>
      <c r="AF18" s="94"/>
      <c r="AG18" s="107"/>
      <c r="AH18" s="107"/>
      <c r="AI18" s="107"/>
      <c r="AJ18" s="107"/>
      <c r="AK18" s="63"/>
      <c r="AL18" s="64" t="str">
        <f>IF(LEFT($D18,6)&lt;&gt;"Star: ","",VLOOKUP(RIGHT($D18,LEN($D18)-6),'Star Players-Hidden'!$A$3:$AK$69,37,FALSE))</f>
        <v/>
      </c>
      <c r="AM18" s="4"/>
      <c r="AN18" s="157" t="s">
        <v>35</v>
      </c>
      <c r="AO18" s="160">
        <f>AO4+SUM(AO6:AO17)-SUM(AP6:AP17)-SUM(AQ6:AQ17)</f>
        <v>70000</v>
      </c>
      <c r="AP18" s="4"/>
      <c r="AQ18" s="4"/>
      <c r="AR18" s="68"/>
      <c r="AS18" s="157" t="s">
        <v>35</v>
      </c>
      <c r="AT18" s="162">
        <f t="shared" ref="AT18:AU18" si="3">SUM(AT6:AT17)</f>
        <v>0</v>
      </c>
      <c r="AU18" s="164">
        <f t="shared" si="3"/>
        <v>0</v>
      </c>
      <c r="AV18" s="168">
        <f>AV4+SUM(AV6:AV17)</f>
        <v>1</v>
      </c>
      <c r="AW18" s="5"/>
    </row>
    <row r="19" spans="1:49" ht="12.75">
      <c r="A19" s="2"/>
      <c r="B19" s="170">
        <v>16</v>
      </c>
      <c r="C19" s="172"/>
      <c r="D19" s="174"/>
      <c r="E19" s="176" t="str">
        <f>IFERROR(VLOOKUP($I$24&amp;$D19,'Database-Hidden'!$C$2:$J$121,4,FALSE)-P19+AG19,"")</f>
        <v/>
      </c>
      <c r="F19" s="177" t="str">
        <f>IFERROR(VLOOKUP($I$24&amp;$D19,'Database-Hidden'!$C$2:$J$121,5,FALSE)-Q19+AH19,"")</f>
        <v/>
      </c>
      <c r="G19" s="177" t="str">
        <f>IFERROR(VLOOKUP($I$24&amp;$D19,'Database-Hidden'!$C$2:$J$121,6,FALSE)-R19+AI19,"")</f>
        <v/>
      </c>
      <c r="H19" s="178" t="str">
        <f>IFERROR(VLOOKUP($I$24&amp;$D19,'Database-Hidden'!$C$2:$J$121,7,FALSE)-S19+AJ19,"")</f>
        <v/>
      </c>
      <c r="I19" s="180" t="str">
        <f>IFERROR(VLOOKUP($I$24&amp;$D19,'Database-Hidden'!$C$2:$J$121,8,FALSE),"")</f>
        <v/>
      </c>
      <c r="J19" s="182"/>
      <c r="K19" s="186">
        <f t="shared" si="0"/>
        <v>0</v>
      </c>
      <c r="L19" s="188"/>
      <c r="M19" s="188"/>
      <c r="N19" s="187"/>
      <c r="O19" s="189"/>
      <c r="P19" s="190"/>
      <c r="Q19" s="191"/>
      <c r="R19" s="191"/>
      <c r="S19" s="192"/>
      <c r="T19" s="193"/>
      <c r="U19" s="194"/>
      <c r="V19" s="194"/>
      <c r="W19" s="195"/>
      <c r="X19" s="191"/>
      <c r="Y19" s="191"/>
      <c r="Z19" s="196"/>
      <c r="AA19" s="197">
        <f t="shared" si="1"/>
        <v>0</v>
      </c>
      <c r="AB19" s="58"/>
      <c r="AC19" s="4"/>
      <c r="AD19" s="198" t="str">
        <f>IFERROR(VLOOKUP($I$24&amp;D19,'Database-Hidden'!$C$2:$E$121,3,FALSE),"")</f>
        <v/>
      </c>
      <c r="AE19" s="199"/>
      <c r="AF19" s="200"/>
      <c r="AG19" s="200"/>
      <c r="AH19" s="200"/>
      <c r="AI19" s="200"/>
      <c r="AJ19" s="200"/>
      <c r="AK19" s="201"/>
      <c r="AL19" s="202" t="str">
        <f>IF(LEFT($D19,6)&lt;&gt;"Star: ","",VLOOKUP(RIGHT($D19,LEN($D19)-6),'Star Players-Hidden'!$A$3:$AK$69,37,FALSE))</f>
        <v/>
      </c>
      <c r="AM19" s="4"/>
      <c r="AV19" s="203"/>
    </row>
    <row r="20" spans="1:49" ht="12.75">
      <c r="B20" s="328"/>
      <c r="C20" s="329"/>
      <c r="D20" s="330"/>
      <c r="E20" s="311" t="s">
        <v>118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3"/>
      <c r="AB20" s="204">
        <f>SUM(AB4:AB19)</f>
        <v>850000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8"/>
      <c r="AO20" s="68"/>
      <c r="AP20" s="68"/>
      <c r="AQ20" s="68"/>
      <c r="AR20" s="68"/>
      <c r="AS20" s="68"/>
      <c r="AT20" s="68"/>
      <c r="AU20" s="68"/>
      <c r="AV20" s="205"/>
      <c r="AW20" s="68"/>
    </row>
    <row r="21" spans="1:49" ht="12.75">
      <c r="A21" s="2"/>
      <c r="B21" s="317"/>
      <c r="C21" s="315"/>
      <c r="D21" s="316"/>
      <c r="E21" s="333" t="s">
        <v>119</v>
      </c>
      <c r="F21" s="315"/>
      <c r="G21" s="315"/>
      <c r="H21" s="334"/>
      <c r="I21" s="314" t="s">
        <v>60</v>
      </c>
      <c r="J21" s="315"/>
      <c r="K21" s="316"/>
      <c r="L21" s="322" t="s">
        <v>121</v>
      </c>
      <c r="M21" s="319"/>
      <c r="N21" s="319"/>
      <c r="O21" s="319"/>
      <c r="P21" s="319"/>
      <c r="Q21" s="319"/>
      <c r="R21" s="319"/>
      <c r="S21" s="323"/>
      <c r="T21" s="206">
        <v>4</v>
      </c>
      <c r="U21" s="207" t="s">
        <v>36</v>
      </c>
      <c r="V21" s="321">
        <f>IFERROR(VLOOKUP(I24,'Database-Hidden'!N2:O28,2,FALSE),"")</f>
        <v>50000</v>
      </c>
      <c r="W21" s="319"/>
      <c r="X21" s="319"/>
      <c r="Y21" s="319"/>
      <c r="Z21" s="319"/>
      <c r="AA21" s="320"/>
      <c r="AB21" s="208">
        <f t="shared" ref="AB21:AB25" si="4">T21*V21</f>
        <v>200000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27" t="s">
        <v>122</v>
      </c>
      <c r="AO21" s="313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317"/>
      <c r="C22" s="315"/>
      <c r="D22" s="316"/>
      <c r="E22" s="315"/>
      <c r="F22" s="315"/>
      <c r="G22" s="315"/>
      <c r="H22" s="334"/>
      <c r="I22" s="317"/>
      <c r="J22" s="315"/>
      <c r="K22" s="316"/>
      <c r="L22" s="309" t="s">
        <v>123</v>
      </c>
      <c r="M22" s="304"/>
      <c r="N22" s="304"/>
      <c r="O22" s="304"/>
      <c r="P22" s="304"/>
      <c r="Q22" s="304"/>
      <c r="R22" s="304"/>
      <c r="S22" s="310"/>
      <c r="T22" s="211">
        <f>AV18</f>
        <v>1</v>
      </c>
      <c r="U22" s="210" t="s">
        <v>36</v>
      </c>
      <c r="V22" s="306">
        <v>10000</v>
      </c>
      <c r="W22" s="304"/>
      <c r="X22" s="304"/>
      <c r="Y22" s="304"/>
      <c r="Z22" s="304"/>
      <c r="AA22" s="307"/>
      <c r="AB22" s="212">
        <f t="shared" si="4"/>
        <v>10000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213" t="s">
        <v>124</v>
      </c>
      <c r="AO22" s="214">
        <f>AO18</f>
        <v>70000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317"/>
      <c r="C23" s="315"/>
      <c r="D23" s="316"/>
      <c r="E23" s="319"/>
      <c r="F23" s="319"/>
      <c r="G23" s="319"/>
      <c r="H23" s="335"/>
      <c r="I23" s="318"/>
      <c r="J23" s="319"/>
      <c r="K23" s="320"/>
      <c r="L23" s="347" t="s">
        <v>126</v>
      </c>
      <c r="M23" s="304"/>
      <c r="N23" s="304"/>
      <c r="O23" s="304"/>
      <c r="P23" s="304"/>
      <c r="Q23" s="304"/>
      <c r="R23" s="304"/>
      <c r="S23" s="310"/>
      <c r="T23" s="215">
        <v>0</v>
      </c>
      <c r="U23" s="216" t="s">
        <v>36</v>
      </c>
      <c r="V23" s="306">
        <v>10000</v>
      </c>
      <c r="W23" s="304"/>
      <c r="X23" s="304"/>
      <c r="Y23" s="304"/>
      <c r="Z23" s="304"/>
      <c r="AA23" s="307"/>
      <c r="AB23" s="212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217" t="s">
        <v>127</v>
      </c>
      <c r="AO23" s="218">
        <f>COUNTA(AR6:AR17)*10000</f>
        <v>30000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317"/>
      <c r="C24" s="315"/>
      <c r="D24" s="316"/>
      <c r="E24" s="340" t="s">
        <v>128</v>
      </c>
      <c r="F24" s="304"/>
      <c r="G24" s="304"/>
      <c r="H24" s="341"/>
      <c r="I24" s="308" t="s">
        <v>363</v>
      </c>
      <c r="J24" s="304"/>
      <c r="K24" s="307"/>
      <c r="L24" s="309" t="s">
        <v>130</v>
      </c>
      <c r="M24" s="304"/>
      <c r="N24" s="304"/>
      <c r="O24" s="304"/>
      <c r="P24" s="304"/>
      <c r="Q24" s="304"/>
      <c r="R24" s="304"/>
      <c r="S24" s="310"/>
      <c r="T24" s="215">
        <v>0</v>
      </c>
      <c r="U24" s="216" t="s">
        <v>36</v>
      </c>
      <c r="V24" s="306">
        <v>10000</v>
      </c>
      <c r="W24" s="304"/>
      <c r="X24" s="304"/>
      <c r="Y24" s="304"/>
      <c r="Z24" s="304"/>
      <c r="AA24" s="307"/>
      <c r="AB24" s="212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217" t="s">
        <v>53</v>
      </c>
      <c r="AO24" s="218">
        <f>AT18*5000</f>
        <v>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317"/>
      <c r="C25" s="315"/>
      <c r="D25" s="316"/>
      <c r="E25" s="340" t="str">
        <f>IFERROR(IF(VLOOKUP(I24,'Database-Hidden'!X2:Y28,2,FALSE)="Yes","NECROMANCER","HEAD COACH"),"HEAD COACH")</f>
        <v>HEAD COACH</v>
      </c>
      <c r="F25" s="304"/>
      <c r="G25" s="304"/>
      <c r="H25" s="341"/>
      <c r="I25" s="308" t="s">
        <v>364</v>
      </c>
      <c r="J25" s="304"/>
      <c r="K25" s="307"/>
      <c r="L25" s="346" t="str">
        <f>IFERROR(IF(VLOOKUP(I24,'Database-Hidden'!X2:Y28,1,FALSE)&lt;&gt;"","",""),"APOTHECARY")</f>
        <v>APOTHECARY</v>
      </c>
      <c r="M25" s="304"/>
      <c r="N25" s="304"/>
      <c r="O25" s="304"/>
      <c r="P25" s="304"/>
      <c r="Q25" s="304"/>
      <c r="R25" s="304"/>
      <c r="S25" s="341"/>
      <c r="T25" s="215">
        <v>1</v>
      </c>
      <c r="U25" s="210" t="str">
        <f>IF(L25&lt;&gt;"","x","")</f>
        <v>x</v>
      </c>
      <c r="V25" s="306">
        <f>IF(L25&lt;&gt;"",50000,"")</f>
        <v>50000</v>
      </c>
      <c r="W25" s="304"/>
      <c r="X25" s="304"/>
      <c r="Y25" s="304"/>
      <c r="Z25" s="304"/>
      <c r="AA25" s="307"/>
      <c r="AB25" s="212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219" t="s">
        <v>134</v>
      </c>
      <c r="AO25" s="220">
        <f>AU18*5000</f>
        <v>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317"/>
      <c r="C26" s="315"/>
      <c r="D26" s="316"/>
      <c r="E26" s="340" t="s">
        <v>135</v>
      </c>
      <c r="F26" s="304"/>
      <c r="G26" s="304"/>
      <c r="H26" s="304"/>
      <c r="I26" s="343">
        <f>AB20+AB28</f>
        <v>1110000</v>
      </c>
      <c r="J26" s="304"/>
      <c r="K26" s="304"/>
      <c r="L26" s="346" t="s">
        <v>136</v>
      </c>
      <c r="M26" s="304"/>
      <c r="N26" s="304"/>
      <c r="O26" s="304"/>
      <c r="P26" s="304"/>
      <c r="Q26" s="304"/>
      <c r="R26" s="304"/>
      <c r="S26" s="341"/>
      <c r="T26" s="215">
        <v>0</v>
      </c>
      <c r="U26" s="210" t="s">
        <v>36</v>
      </c>
      <c r="V26" s="306">
        <f>IF(I24="Halfling",200000,600000)</f>
        <v>600000</v>
      </c>
      <c r="W26" s="304"/>
      <c r="X26" s="304"/>
      <c r="Y26" s="304"/>
      <c r="Z26" s="304"/>
      <c r="AA26" s="307"/>
      <c r="AB26" s="212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221" t="s">
        <v>35</v>
      </c>
      <c r="AO26" s="222">
        <v>100000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317"/>
      <c r="C27" s="315"/>
      <c r="D27" s="316"/>
      <c r="E27" s="336" t="s">
        <v>137</v>
      </c>
      <c r="F27" s="325"/>
      <c r="G27" s="325"/>
      <c r="H27" s="325"/>
      <c r="I27" s="342">
        <v>10000</v>
      </c>
      <c r="J27" s="325"/>
      <c r="K27" s="325"/>
      <c r="L27" s="324" t="s">
        <v>138</v>
      </c>
      <c r="M27" s="325"/>
      <c r="N27" s="325"/>
      <c r="O27" s="325"/>
      <c r="P27" s="325"/>
      <c r="Q27" s="325"/>
      <c r="R27" s="325"/>
      <c r="S27" s="326"/>
      <c r="T27" s="223">
        <v>0</v>
      </c>
      <c r="U27" s="224" t="s">
        <v>36</v>
      </c>
      <c r="V27" s="344">
        <f>IF(I24="Goblin",100000,200000)</f>
        <v>200000</v>
      </c>
      <c r="W27" s="325"/>
      <c r="X27" s="325"/>
      <c r="Y27" s="325"/>
      <c r="Z27" s="325"/>
      <c r="AA27" s="345"/>
      <c r="AB27" s="212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331"/>
      <c r="C28" s="305"/>
      <c r="D28" s="332"/>
      <c r="E28" s="311" t="s">
        <v>139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3"/>
      <c r="AB28" s="204">
        <f>SUM(AB21:AB27)</f>
        <v>260000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25"/>
      <c r="D29" s="225"/>
      <c r="E29" s="226"/>
      <c r="F29" s="4"/>
      <c r="G29" s="4"/>
      <c r="H29" s="4"/>
      <c r="I29" s="227"/>
      <c r="J29" s="228"/>
      <c r="K29" s="4"/>
      <c r="L29" s="229"/>
      <c r="M29" s="229"/>
      <c r="N29" s="229"/>
      <c r="O29" s="229"/>
      <c r="P29" s="229"/>
      <c r="Q29" s="229"/>
      <c r="R29" s="229"/>
      <c r="S29" s="229"/>
      <c r="T29" s="230"/>
      <c r="U29" s="231"/>
      <c r="V29" s="9"/>
      <c r="W29" s="232"/>
      <c r="X29" s="232"/>
      <c r="Y29" s="232"/>
      <c r="Z29" s="232"/>
      <c r="AA29" s="232"/>
      <c r="AB29" s="23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34">
        <f>MATCH(I24,'Database-Hidden'!A2:A121,0)</f>
        <v>1</v>
      </c>
      <c r="D30" s="234" t="str">
        <f t="shared" ref="D30:D39" si="6">I30&amp;IF(COUNTIF(D$4:D$19,I30)&gt;E30," (Too Many)","")</f>
        <v>Linewoman</v>
      </c>
      <c r="E30" s="235">
        <f t="array" ref="E30">IFERROR(IF(INDEX('Database-Hidden'!$A$2:$B$121,$C30,1)=$I$24,INDEX('Database-Hidden'!$A$2:$D$121,$C30,4),""),"")</f>
        <v>16</v>
      </c>
      <c r="I30" s="234" t="str">
        <f t="array" ref="I30">IFERROR(IF(INDEX('Database-Hidden'!$A$2:$B$121,$C30,1)=$I$24,INDEX('Database-Hidden'!$A$2:$B$121,$C30,2),""),"")</f>
        <v>Linewoman</v>
      </c>
      <c r="AV30" s="203"/>
    </row>
    <row r="31" spans="1:49" ht="17.25" hidden="1" customHeight="1">
      <c r="C31" s="234">
        <f t="shared" ref="C31:C39" si="7">C30+1</f>
        <v>2</v>
      </c>
      <c r="D31" s="234" t="str">
        <f t="shared" si="6"/>
        <v>Thrower</v>
      </c>
      <c r="E31" s="235">
        <f t="array" ref="E31">IFERROR(IF(INDEX('Database-Hidden'!$A$2:$B$121,$C31,1)=$I$24,INDEX('Database-Hidden'!$A$2:$D$121,$C31,4),""),"")</f>
        <v>2</v>
      </c>
      <c r="I31" s="234" t="str">
        <f t="array" ref="I31">IFERROR(IF(INDEX('Database-Hidden'!$A$2:$B$121,$C31,1)=$I$24,INDEX('Database-Hidden'!$A$2:$B$121,$C31,2),""),"")</f>
        <v>Thrower</v>
      </c>
      <c r="AV31" s="203"/>
    </row>
    <row r="32" spans="1:49" ht="17.25" hidden="1" customHeight="1">
      <c r="C32" s="234">
        <f t="shared" si="7"/>
        <v>3</v>
      </c>
      <c r="D32" s="234" t="str">
        <f t="shared" si="6"/>
        <v>Catcher</v>
      </c>
      <c r="E32" s="235">
        <f t="array" ref="E32">IFERROR(IF(INDEX('Database-Hidden'!$A$2:$B$121,$C32,1)=$I$24,INDEX('Database-Hidden'!$A$2:$D$121,$C32,4),""),"")</f>
        <v>2</v>
      </c>
      <c r="I32" s="234" t="str">
        <f t="array" ref="I32">IFERROR(IF(INDEX('Database-Hidden'!$A$2:$B$121,$C32,1)=$I$24,INDEX('Database-Hidden'!$A$2:$B$121,$C32,2),""),"")</f>
        <v>Catcher</v>
      </c>
      <c r="AV32" s="203"/>
    </row>
    <row r="33" spans="3:48" ht="17.25" hidden="1" customHeight="1">
      <c r="C33" s="234">
        <f t="shared" si="7"/>
        <v>4</v>
      </c>
      <c r="D33" s="234" t="str">
        <f t="shared" si="6"/>
        <v>Blitzer</v>
      </c>
      <c r="E33" s="235">
        <f t="array" ref="E33">IFERROR(IF(INDEX('Database-Hidden'!$A$2:$B$121,$C33,1)=$I$24,INDEX('Database-Hidden'!$A$2:$D$121,$C33,4),""),"")</f>
        <v>4</v>
      </c>
      <c r="I33" s="234" t="str">
        <f t="array" ref="I33">IFERROR(IF(INDEX('Database-Hidden'!$A$2:$B$121,$C33,1)=$I$24,INDEX('Database-Hidden'!$A$2:$B$121,$C33,2),""),"")</f>
        <v>Blitzer</v>
      </c>
      <c r="AV33" s="203"/>
    </row>
    <row r="34" spans="3:48" ht="17.25" hidden="1" customHeight="1">
      <c r="C34" s="234">
        <f t="shared" si="7"/>
        <v>5</v>
      </c>
      <c r="D34" s="234" t="str">
        <f t="shared" si="6"/>
        <v/>
      </c>
      <c r="E34" s="235" t="str">
        <f t="array" ref="E34">IFERROR(IF(INDEX('Database-Hidden'!$A$2:$B$121,$C34,1)=$I$24,INDEX('Database-Hidden'!$A$2:$D$121,$C34,4),""),"")</f>
        <v/>
      </c>
      <c r="I34" s="234" t="str">
        <f t="array" ref="I34">IFERROR(IF(INDEX('Database-Hidden'!$A$2:$B$121,$C34,1)=$I$24,INDEX('Database-Hidden'!$A$2:$B$121,$C34,2),""),"")</f>
        <v/>
      </c>
      <c r="AV34" s="203"/>
    </row>
    <row r="35" spans="3:48" ht="17.25" hidden="1" customHeight="1">
      <c r="C35" s="234">
        <f t="shared" si="7"/>
        <v>6</v>
      </c>
      <c r="D35" s="234" t="str">
        <f t="shared" si="6"/>
        <v/>
      </c>
      <c r="E35" s="235" t="str">
        <f t="array" ref="E35">IFERROR(IF(INDEX('Database-Hidden'!$A$2:$B$121,$C35,1)=$I$24,INDEX('Database-Hidden'!$A$2:$D$121,$C35,4),""),"")</f>
        <v/>
      </c>
      <c r="I35" s="234" t="str">
        <f t="array" ref="I35">IFERROR(IF(INDEX('Database-Hidden'!$A$2:$B$121,$C35,1)=$I$24,INDEX('Database-Hidden'!$A$2:$B$121,$C35,2),""),"")</f>
        <v/>
      </c>
      <c r="AV35" s="203"/>
    </row>
    <row r="36" spans="3:48" ht="17.25" hidden="1" customHeight="1">
      <c r="C36" s="234">
        <f t="shared" si="7"/>
        <v>7</v>
      </c>
      <c r="D36" s="234" t="str">
        <f t="shared" si="6"/>
        <v/>
      </c>
      <c r="E36" s="235" t="str">
        <f t="array" ref="E36">IFERROR(IF(INDEX('Database-Hidden'!$A$2:$B$121,$C36,1)=$I$24,INDEX('Database-Hidden'!$A$2:$D$121,$C36,4),""),"")</f>
        <v/>
      </c>
      <c r="I36" s="234" t="str">
        <f t="array" ref="I36">IFERROR(IF(INDEX('Database-Hidden'!$A$2:$B$121,$C36,1)=$I$24,INDEX('Database-Hidden'!$A$2:$B$121,$C36,2),""),"")</f>
        <v/>
      </c>
      <c r="AV36" s="203"/>
    </row>
    <row r="37" spans="3:48" ht="17.25" hidden="1" customHeight="1">
      <c r="C37" s="234">
        <f t="shared" si="7"/>
        <v>8</v>
      </c>
      <c r="D37" s="234" t="str">
        <f t="shared" si="6"/>
        <v/>
      </c>
      <c r="E37" s="235" t="str">
        <f t="array" ref="E37">IFERROR(IF(INDEX('Database-Hidden'!$A$2:$B$121,$C37,1)=$I$24,INDEX('Database-Hidden'!$A$2:$D$121,$C37,4),""),"")</f>
        <v/>
      </c>
      <c r="I37" s="234" t="str">
        <f t="array" ref="I37">IFERROR(IF(INDEX('Database-Hidden'!$A$2:$B$121,$C37,1)=$I$24,INDEX('Database-Hidden'!$A$2:$B$121,$C37,2),""),"")</f>
        <v/>
      </c>
      <c r="AV37" s="203"/>
    </row>
    <row r="38" spans="3:48" ht="17.25" hidden="1" customHeight="1">
      <c r="C38" s="234">
        <f t="shared" si="7"/>
        <v>9</v>
      </c>
      <c r="D38" s="234" t="str">
        <f t="shared" si="6"/>
        <v/>
      </c>
      <c r="E38" s="235" t="str">
        <f t="array" ref="E38">IFERROR(IF(INDEX('Database-Hidden'!$A$2:$B$121,$C38,1)=$I$24,INDEX('Database-Hidden'!$A$2:$D$121,$C38,4),""),"")</f>
        <v/>
      </c>
      <c r="I38" s="234" t="str">
        <f t="array" ref="I38">IFERROR(IF(INDEX('Database-Hidden'!$A$2:$B$121,$C38,1)=$I$24,INDEX('Database-Hidden'!$A$2:$B$121,$C38,2),""),"")</f>
        <v/>
      </c>
      <c r="AV38" s="203"/>
    </row>
    <row r="39" spans="3:48" ht="17.25" hidden="1" customHeight="1">
      <c r="C39" s="234">
        <f t="shared" si="7"/>
        <v>10</v>
      </c>
      <c r="D39" s="234" t="str">
        <f t="shared" si="6"/>
        <v/>
      </c>
      <c r="E39" s="235" t="str">
        <f t="array" ref="E39">IFERROR(IF(INDEX('Database-Hidden'!$A$2:$B$121,$C39,1)=$I$24,INDEX('Database-Hidden'!$A$2:$D$121,$C39,4),""),"")</f>
        <v/>
      </c>
      <c r="I39" s="234" t="str">
        <f t="array" ref="I39">IFERROR(IF(INDEX('Database-Hidden'!$A$2:$B$121,$C39,1)=$I$24,INDEX('Database-Hidden'!$A$2:$B$121,$C39,2),""),"")</f>
        <v/>
      </c>
      <c r="AV39" s="203"/>
    </row>
    <row r="40" spans="3:48" ht="17.25" hidden="1" customHeight="1">
      <c r="C40" s="236">
        <f>MATCH(I24,'Star Players-Hidden'!D2:AD2,0)</f>
        <v>1</v>
      </c>
      <c r="D40" s="236" t="str">
        <f t="shared" ref="D40:D51" ca="1" si="8">I40&amp;IF(COUNTIF(D$4:D$19,I40)&gt;1," (Too Many)","")</f>
        <v>Star: Bertha Bigfist</v>
      </c>
      <c r="E40" s="237"/>
      <c r="F40" s="237"/>
      <c r="G40" s="237"/>
      <c r="H40" s="237"/>
      <c r="I40" s="236" t="str">
        <f ca="1">IFERROR(__xludf.DUMMYFUNCTION("FILTER({""Star: ""&amp;'Star Players-Hidden'!A3:A69},INDEX('Star Players-Hidden'!D3:AD69,0,C40)&lt;&gt;"""",{'Star Players-Hidden'!C3:C69=""""}+{'Star Players-Hidden'!C3:C69=I21})"),"Star: Bertha Bigfist")</f>
        <v>Star: Bertha Bigfist</v>
      </c>
      <c r="AV40" s="203"/>
    </row>
    <row r="41" spans="3:48" ht="17.25" hidden="1" customHeight="1">
      <c r="C41" s="234"/>
      <c r="D41" s="234" t="str">
        <f t="shared" ca="1" si="8"/>
        <v>Star: Helmut Wulf</v>
      </c>
      <c r="I41" s="238" t="str">
        <f ca="1">IFERROR(__xludf.DUMMYFUNCTION("""COMPUTED_VALUE"""),"Star: Helmut Wulf")</f>
        <v>Star: Helmut Wulf</v>
      </c>
      <c r="AV41" s="203"/>
    </row>
    <row r="42" spans="3:48" ht="17.25" hidden="1" customHeight="1">
      <c r="C42" s="234"/>
      <c r="D42" s="234" t="str">
        <f t="shared" ca="1" si="8"/>
        <v>Star: Karla Von Kill</v>
      </c>
      <c r="I42" s="234" t="str">
        <f ca="1">IFERROR(__xludf.DUMMYFUNCTION("""COMPUTED_VALUE"""),"Star: Karla Von Kill")</f>
        <v>Star: Karla Von Kill</v>
      </c>
      <c r="AV42" s="203"/>
    </row>
    <row r="43" spans="3:48" ht="17.25" hidden="1" customHeight="1">
      <c r="C43" s="234"/>
      <c r="D43" s="234" t="str">
        <f t="shared" ca="1" si="8"/>
        <v>Star: Morg'n'Thorg</v>
      </c>
      <c r="I43" s="234" t="str">
        <f ca="1">IFERROR(__xludf.DUMMYFUNCTION("""COMPUTED_VALUE"""),"Star: Morg'n'Thorg")</f>
        <v>Star: Morg'n'Thorg</v>
      </c>
      <c r="AV43" s="203"/>
    </row>
    <row r="44" spans="3:48" ht="17.25" hidden="1" customHeight="1">
      <c r="C44" s="234"/>
      <c r="D44" s="234" t="str">
        <f t="shared" ca="1" si="8"/>
        <v>Star: Roxanna Darknall</v>
      </c>
      <c r="I44" s="234" t="str">
        <f ca="1">IFERROR(__xludf.DUMMYFUNCTION("""COMPUTED_VALUE"""),"Star: Roxanna Darknall")</f>
        <v>Star: Roxanna Darknall</v>
      </c>
      <c r="AV44" s="203"/>
    </row>
    <row r="45" spans="3:48" ht="17.25" hidden="1" customHeight="1">
      <c r="C45" s="234"/>
      <c r="D45" s="234" t="str">
        <f t="shared" ca="1" si="8"/>
        <v>Star: Willow Rosebark</v>
      </c>
      <c r="I45" s="234" t="str">
        <f ca="1">IFERROR(__xludf.DUMMYFUNCTION("""COMPUTED_VALUE"""),"Star: Willow Rosebark")</f>
        <v>Star: Willow Rosebark</v>
      </c>
      <c r="AV45" s="203"/>
    </row>
    <row r="46" spans="3:48" ht="17.25" hidden="1" customHeight="1">
      <c r="C46" s="234"/>
      <c r="D46" s="234" t="str">
        <f t="shared" ca="1" si="8"/>
        <v>Star: Zara the Slayer</v>
      </c>
      <c r="I46" s="234" t="str">
        <f ca="1">IFERROR(__xludf.DUMMYFUNCTION("""COMPUTED_VALUE"""),"Star: Zara the Slayer")</f>
        <v>Star: Zara the Slayer</v>
      </c>
      <c r="AV46" s="203"/>
    </row>
    <row r="47" spans="3:48" ht="17.25" hidden="1" customHeight="1">
      <c r="C47" s="234"/>
      <c r="D47" s="234" t="str">
        <f t="shared" si="8"/>
        <v/>
      </c>
      <c r="I47" s="234"/>
      <c r="AV47" s="203"/>
    </row>
    <row r="48" spans="3:48" ht="17.25" hidden="1" customHeight="1">
      <c r="C48" s="234"/>
      <c r="D48" s="234" t="str">
        <f t="shared" si="8"/>
        <v/>
      </c>
      <c r="I48" s="234"/>
      <c r="AV48" s="203"/>
    </row>
    <row r="49" spans="3:48" ht="17.25" hidden="1" customHeight="1">
      <c r="C49" s="234"/>
      <c r="D49" s="234" t="str">
        <f t="shared" si="8"/>
        <v/>
      </c>
      <c r="I49" s="234"/>
      <c r="AV49" s="203"/>
    </row>
    <row r="50" spans="3:48" ht="17.25" hidden="1" customHeight="1">
      <c r="C50" s="234"/>
      <c r="D50" s="234" t="str">
        <f t="shared" si="8"/>
        <v/>
      </c>
      <c r="I50" s="234"/>
      <c r="AV50" s="203"/>
    </row>
    <row r="51" spans="3:48" ht="17.25" hidden="1" customHeight="1">
      <c r="C51" s="234"/>
      <c r="D51" s="234" t="str">
        <f t="shared" si="8"/>
        <v/>
      </c>
      <c r="I51" s="234"/>
      <c r="AV51" s="203"/>
    </row>
  </sheetData>
  <mergeCells count="31">
    <mergeCell ref="B20:D28"/>
    <mergeCell ref="P2:S2"/>
    <mergeCell ref="AN3:AQ3"/>
    <mergeCell ref="AR3:AV3"/>
    <mergeCell ref="L22:S22"/>
    <mergeCell ref="L23:S23"/>
    <mergeCell ref="V22:AA22"/>
    <mergeCell ref="V23:AA23"/>
    <mergeCell ref="E20:AA20"/>
    <mergeCell ref="V25:AA25"/>
    <mergeCell ref="L25:S25"/>
    <mergeCell ref="I27:K27"/>
    <mergeCell ref="I21:K23"/>
    <mergeCell ref="E21:H23"/>
    <mergeCell ref="E25:H25"/>
    <mergeCell ref="E24:H24"/>
    <mergeCell ref="I24:K24"/>
    <mergeCell ref="I25:K25"/>
    <mergeCell ref="E26:H26"/>
    <mergeCell ref="I26:K26"/>
    <mergeCell ref="V26:AA26"/>
    <mergeCell ref="L26:S26"/>
    <mergeCell ref="V24:AA24"/>
    <mergeCell ref="L24:S24"/>
    <mergeCell ref="V21:AA21"/>
    <mergeCell ref="L21:S21"/>
    <mergeCell ref="AN21:AO21"/>
    <mergeCell ref="E28:AA28"/>
    <mergeCell ref="L27:S27"/>
    <mergeCell ref="V27:AA27"/>
    <mergeCell ref="E27:H27"/>
  </mergeCells>
  <conditionalFormatting sqref="J4">
    <cfRule type="expression" dxfId="57" priority="1">
      <formula>K4&lt;&gt;SUM(AE4:AJ4)</formula>
    </cfRule>
  </conditionalFormatting>
  <conditionalFormatting sqref="K4:K19">
    <cfRule type="cellIs" dxfId="56" priority="2" operator="equal">
      <formula>0</formula>
    </cfRule>
  </conditionalFormatting>
  <conditionalFormatting sqref="AB4:AB19">
    <cfRule type="cellIs" dxfId="55" priority="3" operator="equal">
      <formula>0</formula>
    </cfRule>
  </conditionalFormatting>
  <conditionalFormatting sqref="E4:H19">
    <cfRule type="expression" dxfId="54" priority="4">
      <formula>AG4&gt;0</formula>
    </cfRule>
  </conditionalFormatting>
  <conditionalFormatting sqref="E4:H19">
    <cfRule type="expression" dxfId="53" priority="5">
      <formula>P4&gt;0</formula>
    </cfRule>
  </conditionalFormatting>
  <conditionalFormatting sqref="T4:T19 U4:U19 V4:W19 Z4:Z19 U29">
    <cfRule type="cellIs" dxfId="52" priority="6" stopIfTrue="1" operator="equal">
      <formula>0</formula>
    </cfRule>
  </conditionalFormatting>
  <conditionalFormatting sqref="K4:K19">
    <cfRule type="cellIs" dxfId="51" priority="7" stopIfTrue="1" operator="equal">
      <formula>"n/a"</formula>
    </cfRule>
  </conditionalFormatting>
  <conditionalFormatting sqref="P4:S19">
    <cfRule type="cellIs" dxfId="50" priority="8" stopIfTrue="1" operator="lessThanOrEqual">
      <formula>-1</formula>
    </cfRule>
  </conditionalFormatting>
  <conditionalFormatting sqref="V25:W27">
    <cfRule type="cellIs" dxfId="49" priority="9" stopIfTrue="1" operator="equal">
      <formula>-500</formula>
    </cfRule>
  </conditionalFormatting>
  <conditionalFormatting sqref="T25:T27">
    <cfRule type="cellIs" dxfId="48" priority="10" stopIfTrue="1" operator="greaterThan">
      <formula>$V$25</formula>
    </cfRule>
  </conditionalFormatting>
  <conditionalFormatting sqref="AA4:AA19">
    <cfRule type="cellIs" dxfId="47" priority="11" stopIfTrue="1" operator="equal">
      <formula>"Star"</formula>
    </cfRule>
  </conditionalFormatting>
  <conditionalFormatting sqref="AA4:AA19">
    <cfRule type="cellIs" dxfId="46" priority="12" stopIfTrue="1" operator="equal">
      <formula>AB4</formula>
    </cfRule>
  </conditionalFormatting>
  <conditionalFormatting sqref="I4:I19">
    <cfRule type="cellIs" dxfId="45" priority="13" stopIfTrue="1" operator="equal">
      <formula>0</formula>
    </cfRule>
  </conditionalFormatting>
  <conditionalFormatting sqref="I4:I19">
    <cfRule type="cellIs" dxfId="44" priority="14" stopIfTrue="1" operator="equal">
      <formula>"Player type quantity surpassed"</formula>
    </cfRule>
  </conditionalFormatting>
  <conditionalFormatting sqref="J5">
    <cfRule type="expression" dxfId="43" priority="15">
      <formula>K5&lt;&gt;SUM(AE5:AJ5)</formula>
    </cfRule>
  </conditionalFormatting>
  <conditionalFormatting sqref="J6">
    <cfRule type="expression" dxfId="42" priority="16">
      <formula>K6&lt;&gt;SUM(AE6:AJ6)</formula>
    </cfRule>
  </conditionalFormatting>
  <conditionalFormatting sqref="J7">
    <cfRule type="expression" dxfId="41" priority="17">
      <formula>K7&lt;&gt;SUM(AE7:AJ7)</formula>
    </cfRule>
  </conditionalFormatting>
  <conditionalFormatting sqref="J8">
    <cfRule type="expression" dxfId="40" priority="18">
      <formula>K8&lt;&gt;SUM(AE8:AJ8)</formula>
    </cfRule>
  </conditionalFormatting>
  <conditionalFormatting sqref="J9">
    <cfRule type="expression" dxfId="39" priority="19">
      <formula>K9&lt;&gt;SUM(AE9:AJ9)</formula>
    </cfRule>
  </conditionalFormatting>
  <conditionalFormatting sqref="J10">
    <cfRule type="expression" dxfId="38" priority="20">
      <formula>K10&lt;&gt;SUM(AE10:AJ10)</formula>
    </cfRule>
  </conditionalFormatting>
  <conditionalFormatting sqref="J11">
    <cfRule type="expression" dxfId="37" priority="21">
      <formula>K11&lt;&gt;SUM(AE11:AJ11)</formula>
    </cfRule>
  </conditionalFormatting>
  <conditionalFormatting sqref="J12">
    <cfRule type="expression" dxfId="36" priority="22">
      <formula>K12&lt;&gt;SUM(AE12:AJ12)</formula>
    </cfRule>
  </conditionalFormatting>
  <conditionalFormatting sqref="J13">
    <cfRule type="expression" dxfId="35" priority="23">
      <formula>K13&lt;&gt;SUM(AE13:AJ13)</formula>
    </cfRule>
  </conditionalFormatting>
  <conditionalFormatting sqref="J14">
    <cfRule type="expression" dxfId="34" priority="24">
      <formula>K14&lt;&gt;SUM(AE14:AJ14)</formula>
    </cfRule>
  </conditionalFormatting>
  <conditionalFormatting sqref="J15">
    <cfRule type="expression" dxfId="33" priority="25">
      <formula>K15&lt;&gt;SUM(AE15:AJ15)</formula>
    </cfRule>
  </conditionalFormatting>
  <conditionalFormatting sqref="J16">
    <cfRule type="expression" dxfId="32" priority="26">
      <formula>K16&lt;&gt;SUM(AE16:AJ16)</formula>
    </cfRule>
  </conditionalFormatting>
  <conditionalFormatting sqref="J17">
    <cfRule type="expression" dxfId="31" priority="27">
      <formula>K17&lt;&gt;SUM(AE17:AJ17)</formula>
    </cfRule>
  </conditionalFormatting>
  <conditionalFormatting sqref="J18">
    <cfRule type="expression" dxfId="30" priority="28">
      <formula>K18&lt;&gt;SUM(AE18:AJ18)</formula>
    </cfRule>
  </conditionalFormatting>
  <conditionalFormatting sqref="J19">
    <cfRule type="expression" dxfId="29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TC!$D$28:$D$49</formula1>
    </dataValidation>
  </dataValidations>
  <printOptions horizontalCentered="1"/>
  <pageMargins left="0.25" right="0.25" top="0.75" bottom="0.75" header="0" footer="0"/>
  <pageSetup fitToHeight="0" pageOrder="overThenDown"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W51"/>
  <sheetViews>
    <sheetView showGridLines="0" tabSelected="1" workbookViewId="0">
      <selection activeCell="AB25" sqref="AB25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20.8554687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337" t="s">
        <v>3</v>
      </c>
      <c r="Q2" s="329"/>
      <c r="R2" s="329"/>
      <c r="S2" s="330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14</v>
      </c>
      <c r="J3" s="21" t="s">
        <v>16</v>
      </c>
      <c r="K3" s="22" t="s">
        <v>0</v>
      </c>
      <c r="L3" s="23" t="s">
        <v>17</v>
      </c>
      <c r="M3" s="24" t="s">
        <v>19</v>
      </c>
      <c r="N3" s="24" t="s">
        <v>20</v>
      </c>
      <c r="O3" s="25" t="s">
        <v>21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23</v>
      </c>
      <c r="U3" s="30" t="s">
        <v>24</v>
      </c>
      <c r="V3" s="30" t="s">
        <v>9</v>
      </c>
      <c r="W3" s="30" t="s">
        <v>25</v>
      </c>
      <c r="X3" s="31" t="s">
        <v>26</v>
      </c>
      <c r="Y3" s="25" t="s">
        <v>27</v>
      </c>
      <c r="Z3" s="32" t="s">
        <v>10</v>
      </c>
      <c r="AA3" s="33" t="s">
        <v>11</v>
      </c>
      <c r="AB3" s="34" t="s">
        <v>28</v>
      </c>
      <c r="AC3" s="4"/>
      <c r="AD3" s="13" t="s">
        <v>29</v>
      </c>
      <c r="AE3" s="20" t="s">
        <v>19</v>
      </c>
      <c r="AF3" s="35" t="s">
        <v>30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31</v>
      </c>
      <c r="AL3" s="39" t="s">
        <v>32</v>
      </c>
      <c r="AM3" s="4"/>
      <c r="AN3" s="338" t="s">
        <v>33</v>
      </c>
      <c r="AO3" s="315"/>
      <c r="AP3" s="315"/>
      <c r="AQ3" s="315"/>
      <c r="AR3" s="339" t="s">
        <v>34</v>
      </c>
      <c r="AS3" s="315"/>
      <c r="AT3" s="315"/>
      <c r="AU3" s="315"/>
      <c r="AV3" s="315"/>
      <c r="AW3" s="12"/>
    </row>
    <row r="4" spans="1:49" ht="12.75">
      <c r="A4" s="2"/>
      <c r="B4" s="40">
        <v>1</v>
      </c>
      <c r="C4" s="72" t="s">
        <v>334</v>
      </c>
      <c r="D4" s="42" t="s">
        <v>335</v>
      </c>
      <c r="E4" s="43">
        <f>IFERROR(VLOOKUP($I$24&amp;$D4,'Database-Hidden'!$C$2:$J$121,4,FALSE)-P4+AG4,"")</f>
        <v>3</v>
      </c>
      <c r="F4" s="44">
        <f>IFERROR(VLOOKUP($I$24&amp;$D4,'Database-Hidden'!$C$2:$J$121,5,FALSE)-Q4+AH4,"")</f>
        <v>5</v>
      </c>
      <c r="G4" s="44">
        <f>IFERROR(VLOOKUP($I$24&amp;$D4,'Database-Hidden'!$C$2:$J$121,6,FALSE)-R4+AI4,"")</f>
        <v>1</v>
      </c>
      <c r="H4" s="45">
        <f>IFERROR(VLOOKUP($I$24&amp;$D4,'Database-Hidden'!$C$2:$J$121,7,FALSE)-S4+AJ4,"")</f>
        <v>9</v>
      </c>
      <c r="I4" s="46" t="str">
        <f>IFERROR(VLOOKUP($I$24&amp;$D4,'Database-Hidden'!$C$2:$J$121,8,FALSE),"")</f>
        <v>Mighty Blow, Regeneration</v>
      </c>
      <c r="J4" s="47" t="s">
        <v>43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>
        <v>2</v>
      </c>
      <c r="X4" s="52"/>
      <c r="Y4" s="52"/>
      <c r="Z4" s="56">
        <v>2</v>
      </c>
      <c r="AA4" s="57">
        <f t="shared" ref="AA4:AA19" si="1">2*T4+U4+3*V4+2*W4+5*Z4</f>
        <v>14</v>
      </c>
      <c r="AB4" s="58">
        <f t="shared" ref="AB4:AB19" si="2">IF(L4=1,0,AD4+(20000*O4)+(20000*AE4)+(30000*AF4)+(30000*AG4)+(50000*AH4)+(40000*AI4)+(50000*AJ4)+AK4)</f>
        <v>140000</v>
      </c>
      <c r="AC4" s="4"/>
      <c r="AD4" s="59">
        <f>IFERROR(VLOOKUP($I$24&amp;D4,'Database-Hidden'!$C$2:$E$121,3,FALSE),"")</f>
        <v>120000</v>
      </c>
      <c r="AE4" s="60">
        <v>1</v>
      </c>
      <c r="AF4" s="62"/>
      <c r="AG4" s="62"/>
      <c r="AH4" s="62"/>
      <c r="AI4" s="62"/>
      <c r="AJ4" s="62"/>
      <c r="AK4" s="63"/>
      <c r="AL4" s="64" t="str">
        <f>IF(LEFT($D4,6)&lt;&gt;"Star: ","",VLOOKUP(RIGHT($D4,LEN($D4)-6),'Star Players-Hidden'!$A$3:$AK$69,37,FALSE))</f>
        <v/>
      </c>
      <c r="AM4" s="4"/>
      <c r="AN4" s="65" t="s">
        <v>39</v>
      </c>
      <c r="AO4" s="66">
        <v>0</v>
      </c>
      <c r="AP4" s="4"/>
      <c r="AQ4" s="4"/>
      <c r="AR4" s="67"/>
      <c r="AS4" s="68"/>
      <c r="AT4" s="68"/>
      <c r="AU4" s="65" t="s">
        <v>42</v>
      </c>
      <c r="AV4" s="69">
        <v>0</v>
      </c>
      <c r="AW4" s="70"/>
    </row>
    <row r="5" spans="1:49" ht="12.75">
      <c r="A5" s="2"/>
      <c r="B5" s="71">
        <v>2</v>
      </c>
      <c r="C5" s="72" t="s">
        <v>337</v>
      </c>
      <c r="D5" s="73" t="s">
        <v>335</v>
      </c>
      <c r="E5" s="75">
        <f>IFERROR(VLOOKUP($I$24&amp;$D5,'Database-Hidden'!$C$2:$J$121,4,FALSE)-P5+AG5,"")</f>
        <v>3</v>
      </c>
      <c r="F5" s="76">
        <f>IFERROR(VLOOKUP($I$24&amp;$D5,'Database-Hidden'!$C$2:$J$121,5,FALSE)-Q5+AH5,"")</f>
        <v>5</v>
      </c>
      <c r="G5" s="76">
        <f>IFERROR(VLOOKUP($I$24&amp;$D5,'Database-Hidden'!$C$2:$J$121,6,FALSE)-R5+AI5,"")</f>
        <v>1</v>
      </c>
      <c r="H5" s="77">
        <f>IFERROR(VLOOKUP($I$24&amp;$D5,'Database-Hidden'!$C$2:$J$121,7,FALSE)-S5+AJ5,"")</f>
        <v>9</v>
      </c>
      <c r="I5" s="78" t="str">
        <f>IFERROR(VLOOKUP($I$24&amp;$D5,'Database-Hidden'!$C$2:$J$121,8,FALSE),"")</f>
        <v>Mighty Blow, Regeneration</v>
      </c>
      <c r="J5" s="79" t="s">
        <v>338</v>
      </c>
      <c r="K5" s="80">
        <f t="shared" si="0"/>
        <v>2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/>
      <c r="W5" s="89">
        <v>3</v>
      </c>
      <c r="X5" s="85"/>
      <c r="Y5" s="85"/>
      <c r="Z5" s="90">
        <v>2</v>
      </c>
      <c r="AA5" s="91">
        <f t="shared" si="1"/>
        <v>16</v>
      </c>
      <c r="AB5" s="58">
        <f t="shared" si="2"/>
        <v>170000</v>
      </c>
      <c r="AC5" s="4"/>
      <c r="AD5" s="92">
        <f>IFERROR(VLOOKUP($I$24&amp;D5,'Database-Hidden'!$C$2:$E$121,3,FALSE),"")</f>
        <v>120000</v>
      </c>
      <c r="AE5" s="93">
        <v>1</v>
      </c>
      <c r="AF5" s="94">
        <v>1</v>
      </c>
      <c r="AG5" s="94"/>
      <c r="AH5" s="94"/>
      <c r="AI5" s="94"/>
      <c r="AJ5" s="94"/>
      <c r="AK5" s="63"/>
      <c r="AL5" s="64" t="str">
        <f>IF(LEFT($D5,6)&lt;&gt;"Star: ","",VLOOKUP(RIGHT($D5,LEN($D5)-6),'Star Players-Hidden'!$A$3:$AK$69,37,FALSE))</f>
        <v/>
      </c>
      <c r="AM5" s="1"/>
      <c r="AN5" s="95" t="s">
        <v>47</v>
      </c>
      <c r="AO5" s="96" t="s">
        <v>48</v>
      </c>
      <c r="AP5" s="98" t="s">
        <v>49</v>
      </c>
      <c r="AQ5" s="99" t="s">
        <v>50</v>
      </c>
      <c r="AR5" s="100" t="s">
        <v>51</v>
      </c>
      <c r="AS5" s="98" t="s">
        <v>52</v>
      </c>
      <c r="AT5" s="101" t="s">
        <v>53</v>
      </c>
      <c r="AU5" s="101" t="s">
        <v>54</v>
      </c>
      <c r="AV5" s="103" t="s">
        <v>2</v>
      </c>
      <c r="AW5" s="104"/>
    </row>
    <row r="6" spans="1:49" ht="12.75">
      <c r="A6" s="2"/>
      <c r="B6" s="71">
        <v>3</v>
      </c>
      <c r="C6" s="72"/>
      <c r="D6" s="73"/>
      <c r="E6" s="75" t="str">
        <f>IFERROR(VLOOKUP($I$24&amp;$D6,'Database-Hidden'!$C$2:$J$121,4,FALSE)-P6+AG6,"")</f>
        <v/>
      </c>
      <c r="F6" s="76" t="str">
        <f>IFERROR(VLOOKUP($I$24&amp;$D6,'Database-Hidden'!$C$2:$J$121,5,FALSE)-Q6+AH6,"")</f>
        <v/>
      </c>
      <c r="G6" s="76" t="str">
        <f>IFERROR(VLOOKUP($I$24&amp;$D6,'Database-Hidden'!$C$2:$J$121,6,FALSE)-R6+AI6,"")</f>
        <v/>
      </c>
      <c r="H6" s="77" t="str">
        <f>IFERROR(VLOOKUP($I$24&amp;$D6,'Database-Hidden'!$C$2:$J$121,7,FALSE)-S6+AJ6,"")</f>
        <v/>
      </c>
      <c r="I6" s="78" t="str">
        <f>IFERROR(VLOOKUP($I$24&amp;$D6,'Database-Hidden'!$C$2:$J$121,8,FALSE),"")</f>
        <v/>
      </c>
      <c r="J6" s="106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8"/>
      <c r="X6" s="85"/>
      <c r="Y6" s="85"/>
      <c r="Z6" s="90"/>
      <c r="AA6" s="91">
        <f t="shared" si="1"/>
        <v>0</v>
      </c>
      <c r="AB6" s="58"/>
      <c r="AC6" s="4"/>
      <c r="AD6" s="92" t="str">
        <f>IFERROR(VLOOKUP($I$24&amp;D6,'Database-Hidden'!$C$2:$E$121,3,FALSE),"")</f>
        <v/>
      </c>
      <c r="AE6" s="93"/>
      <c r="AF6" s="107"/>
      <c r="AG6" s="107"/>
      <c r="AH6" s="107"/>
      <c r="AI6" s="107"/>
      <c r="AJ6" s="107"/>
      <c r="AK6" s="63"/>
      <c r="AL6" s="64" t="str">
        <f>IF(LEFT($D6,6)&lt;&gt;"Star: ","",VLOOKUP(RIGHT($D6,LEN($D6)-6),'Star Players-Hidden'!$A$3:$AK$69,37,FALSE))</f>
        <v/>
      </c>
      <c r="AM6" s="4"/>
      <c r="AN6" s="108" t="s">
        <v>57</v>
      </c>
      <c r="AO6" s="109">
        <v>60000</v>
      </c>
      <c r="AP6" s="110">
        <v>0</v>
      </c>
      <c r="AQ6" s="112" t="s">
        <v>152</v>
      </c>
      <c r="AR6" s="133" t="s">
        <v>64</v>
      </c>
      <c r="AS6" s="115" t="s">
        <v>74</v>
      </c>
      <c r="AT6" s="118">
        <v>0</v>
      </c>
      <c r="AU6" s="116">
        <v>2</v>
      </c>
      <c r="AV6" s="119">
        <v>0</v>
      </c>
      <c r="AW6" s="117"/>
    </row>
    <row r="7" spans="1:49" ht="12.75">
      <c r="A7" s="2"/>
      <c r="B7" s="71">
        <v>4</v>
      </c>
      <c r="C7" s="72" t="s">
        <v>340</v>
      </c>
      <c r="D7" s="73" t="s">
        <v>341</v>
      </c>
      <c r="E7" s="75">
        <f>IFERROR(VLOOKUP($I$24&amp;$D7,'Database-Hidden'!$C$2:$J$121,4,FALSE)-P7+AG7,"")</f>
        <v>6</v>
      </c>
      <c r="F7" s="76">
        <f>IFERROR(VLOOKUP($I$24&amp;$D7,'Database-Hidden'!$C$2:$J$121,5,FALSE)-Q7+AH7,"")</f>
        <v>3</v>
      </c>
      <c r="G7" s="76">
        <f>IFERROR(VLOOKUP($I$24&amp;$D7,'Database-Hidden'!$C$2:$J$121,6,FALSE)-R7+AI7,"")</f>
        <v>4</v>
      </c>
      <c r="H7" s="77">
        <f>IFERROR(VLOOKUP($I$24&amp;$D7,'Database-Hidden'!$C$2:$J$121,7,FALSE)-S7+AJ7,"")</f>
        <v>8</v>
      </c>
      <c r="I7" s="78" t="str">
        <f>IFERROR(VLOOKUP($I$24&amp;$D7,'Database-Hidden'!$C$2:$J$121,8,FALSE),"")</f>
        <v>Block, Regeneration</v>
      </c>
      <c r="J7" s="243" t="s">
        <v>343</v>
      </c>
      <c r="K7" s="80">
        <f t="shared" si="0"/>
        <v>2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9">
        <v>3</v>
      </c>
      <c r="W7" s="89">
        <v>2</v>
      </c>
      <c r="X7" s="85"/>
      <c r="Y7" s="85"/>
      <c r="Z7" s="90">
        <v>1</v>
      </c>
      <c r="AA7" s="91">
        <f t="shared" si="1"/>
        <v>18</v>
      </c>
      <c r="AB7" s="58">
        <f t="shared" si="2"/>
        <v>150000</v>
      </c>
      <c r="AC7" s="4"/>
      <c r="AD7" s="120">
        <f>IFERROR(VLOOKUP($I$24&amp;D7,'Database-Hidden'!$C$2:$E$121,3,FALSE),"")</f>
        <v>90000</v>
      </c>
      <c r="AE7" s="93">
        <v>1</v>
      </c>
      <c r="AF7" s="107"/>
      <c r="AG7" s="107"/>
      <c r="AH7" s="107"/>
      <c r="AI7" s="94">
        <v>1</v>
      </c>
      <c r="AJ7" s="107"/>
      <c r="AK7" s="63"/>
      <c r="AL7" s="64" t="str">
        <f>IF(LEFT($D7,6)&lt;&gt;"Star: ","",VLOOKUP(RIGHT($D7,LEN($D7)-6),'Star Players-Hidden'!$A$3:$AK$69,37,FALSE))</f>
        <v/>
      </c>
      <c r="AM7" s="4"/>
      <c r="AN7" s="121" t="s">
        <v>63</v>
      </c>
      <c r="AO7" s="131">
        <v>80000</v>
      </c>
      <c r="AP7" s="132">
        <v>70000</v>
      </c>
      <c r="AQ7" s="138" t="s">
        <v>152</v>
      </c>
      <c r="AR7" s="133" t="s">
        <v>60</v>
      </c>
      <c r="AS7" s="134" t="s">
        <v>61</v>
      </c>
      <c r="AT7" s="135">
        <v>1</v>
      </c>
      <c r="AU7" s="136">
        <v>1</v>
      </c>
      <c r="AV7" s="137">
        <v>1</v>
      </c>
      <c r="AW7" s="130"/>
    </row>
    <row r="8" spans="1:49" ht="12.75">
      <c r="A8" s="2"/>
      <c r="B8" s="71">
        <v>5</v>
      </c>
      <c r="C8" s="72" t="s">
        <v>344</v>
      </c>
      <c r="D8" s="73" t="s">
        <v>341</v>
      </c>
      <c r="E8" s="75">
        <f>IFERROR(VLOOKUP($I$24&amp;$D8,'Database-Hidden'!$C$2:$J$121,4,FALSE)-P8+AG8,"")</f>
        <v>6</v>
      </c>
      <c r="F8" s="76">
        <f>IFERROR(VLOOKUP($I$24&amp;$D8,'Database-Hidden'!$C$2:$J$121,5,FALSE)-Q8+AH8,"")</f>
        <v>3</v>
      </c>
      <c r="G8" s="76">
        <f>IFERROR(VLOOKUP($I$24&amp;$D8,'Database-Hidden'!$C$2:$J$121,6,FALSE)-R8+AI8,"")</f>
        <v>3</v>
      </c>
      <c r="H8" s="77">
        <f>IFERROR(VLOOKUP($I$24&amp;$D8,'Database-Hidden'!$C$2:$J$121,7,FALSE)-S8+AJ8,"")</f>
        <v>8</v>
      </c>
      <c r="I8" s="78" t="str">
        <f>IFERROR(VLOOKUP($I$24&amp;$D8,'Database-Hidden'!$C$2:$J$121,8,FALSE),"")</f>
        <v>Block, Regeneration</v>
      </c>
      <c r="J8" s="79" t="s">
        <v>43</v>
      </c>
      <c r="K8" s="80">
        <f t="shared" si="0"/>
        <v>1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9">
        <v>2</v>
      </c>
      <c r="W8" s="89">
        <v>1</v>
      </c>
      <c r="X8" s="85"/>
      <c r="Y8" s="85"/>
      <c r="Z8" s="90">
        <v>1</v>
      </c>
      <c r="AA8" s="91">
        <f t="shared" si="1"/>
        <v>13</v>
      </c>
      <c r="AB8" s="58">
        <f t="shared" si="2"/>
        <v>110000</v>
      </c>
      <c r="AC8" s="4"/>
      <c r="AD8" s="120">
        <f>IFERROR(VLOOKUP($I$24&amp;D8,'Database-Hidden'!$C$2:$E$121,3,FALSE),"")</f>
        <v>90000</v>
      </c>
      <c r="AE8" s="93">
        <v>1</v>
      </c>
      <c r="AF8" s="107"/>
      <c r="AG8" s="107"/>
      <c r="AH8" s="107"/>
      <c r="AI8" s="107"/>
      <c r="AJ8" s="107"/>
      <c r="AK8" s="63"/>
      <c r="AL8" s="64" t="str">
        <f>IF(LEFT($D8,6)&lt;&gt;"Star: ","",VLOOKUP(RIGHT($D8,LEN($D8)-6),'Star Players-Hidden'!$A$3:$AK$69,37,FALSE))</f>
        <v/>
      </c>
      <c r="AM8" s="4"/>
      <c r="AN8" s="121" t="s">
        <v>69</v>
      </c>
      <c r="AO8" s="131">
        <v>80000</v>
      </c>
      <c r="AP8" s="132">
        <v>0</v>
      </c>
      <c r="AQ8" s="138" t="s">
        <v>152</v>
      </c>
      <c r="AR8" s="133" t="s">
        <v>150</v>
      </c>
      <c r="AS8" s="134" t="s">
        <v>61</v>
      </c>
      <c r="AT8" s="135">
        <v>2</v>
      </c>
      <c r="AU8" s="136">
        <v>1</v>
      </c>
      <c r="AV8" s="137">
        <v>1</v>
      </c>
      <c r="AW8" s="130"/>
    </row>
    <row r="9" spans="1:49" ht="12.75">
      <c r="A9" s="2"/>
      <c r="B9" s="71">
        <v>6</v>
      </c>
      <c r="C9" s="172" t="s">
        <v>347</v>
      </c>
      <c r="D9" s="73" t="s">
        <v>348</v>
      </c>
      <c r="E9" s="75">
        <f>IFERROR(VLOOKUP($I$24&amp;$D9,'Database-Hidden'!$C$2:$J$121,4,FALSE)-P9+AG9,"")</f>
        <v>7</v>
      </c>
      <c r="F9" s="76">
        <f>IFERROR(VLOOKUP($I$24&amp;$D9,'Database-Hidden'!$C$2:$J$121,5,FALSE)-Q9+AH9,"")</f>
        <v>3</v>
      </c>
      <c r="G9" s="76">
        <f>IFERROR(VLOOKUP($I$24&amp;$D9,'Database-Hidden'!$C$2:$J$121,6,FALSE)-R9+AI9,"")</f>
        <v>2</v>
      </c>
      <c r="H9" s="77">
        <f>IFERROR(VLOOKUP($I$24&amp;$D9,'Database-Hidden'!$C$2:$J$121,7,FALSE)-S9+AJ9,"")</f>
        <v>7</v>
      </c>
      <c r="I9" s="78" t="str">
        <f>IFERROR(VLOOKUP($I$24&amp;$D9,'Database-Hidden'!$C$2:$J$121,8,FALSE),"")</f>
        <v>Dodge</v>
      </c>
      <c r="J9" s="79" t="s">
        <v>55</v>
      </c>
      <c r="K9" s="80">
        <f t="shared" si="0"/>
        <v>1</v>
      </c>
      <c r="L9" s="81"/>
      <c r="M9" s="81"/>
      <c r="N9" s="82"/>
      <c r="O9" s="83"/>
      <c r="P9" s="84"/>
      <c r="Q9" s="85"/>
      <c r="R9" s="140">
        <v>1</v>
      </c>
      <c r="S9" s="244"/>
      <c r="T9" s="87"/>
      <c r="U9" s="89">
        <v>1</v>
      </c>
      <c r="V9" s="88"/>
      <c r="W9" s="88"/>
      <c r="X9" s="85"/>
      <c r="Y9" s="85"/>
      <c r="Z9" s="90">
        <v>1</v>
      </c>
      <c r="AA9" s="91">
        <f t="shared" si="1"/>
        <v>6</v>
      </c>
      <c r="AB9" s="58">
        <f t="shared" si="2"/>
        <v>90000</v>
      </c>
      <c r="AC9" s="4"/>
      <c r="AD9" s="120">
        <f>IFERROR(VLOOKUP($I$24&amp;D9,'Database-Hidden'!$C$2:$E$121,3,FALSE),"")</f>
        <v>70000</v>
      </c>
      <c r="AE9" s="93">
        <v>1</v>
      </c>
      <c r="AF9" s="94"/>
      <c r="AG9" s="107"/>
      <c r="AH9" s="107"/>
      <c r="AI9" s="107"/>
      <c r="AJ9" s="107"/>
      <c r="AK9" s="63"/>
      <c r="AL9" s="64" t="str">
        <f>IF(LEFT($D9,6)&lt;&gt;"Star: ","",VLOOKUP(RIGHT($D9,LEN($D9)-6),'Star Players-Hidden'!$A$3:$AK$69,37,FALSE))</f>
        <v/>
      </c>
      <c r="AM9" s="4"/>
      <c r="AN9" s="121" t="s">
        <v>72</v>
      </c>
      <c r="AO9" s="131">
        <v>60000</v>
      </c>
      <c r="AP9" s="132">
        <v>140000</v>
      </c>
      <c r="AQ9" s="138" t="s">
        <v>152</v>
      </c>
      <c r="AR9" s="133" t="s">
        <v>76</v>
      </c>
      <c r="AS9" s="134" t="s">
        <v>61</v>
      </c>
      <c r="AT9" s="135">
        <v>1</v>
      </c>
      <c r="AU9" s="136">
        <v>2</v>
      </c>
      <c r="AV9" s="137">
        <v>1</v>
      </c>
      <c r="AW9" s="130"/>
    </row>
    <row r="10" spans="1:49" ht="12.75">
      <c r="A10" s="2"/>
      <c r="B10" s="256">
        <v>7</v>
      </c>
      <c r="C10" s="257" t="s">
        <v>350</v>
      </c>
      <c r="D10" s="258" t="s">
        <v>348</v>
      </c>
      <c r="E10" s="75">
        <f>IFERROR(VLOOKUP($I$24&amp;$D10,'Database-Hidden'!$C$2:$J$121,4,FALSE)-P10+AG10,"")</f>
        <v>7</v>
      </c>
      <c r="F10" s="76">
        <f>IFERROR(VLOOKUP($I$24&amp;$D10,'Database-Hidden'!$C$2:$J$121,5,FALSE)-Q10+AH10,"")</f>
        <v>3</v>
      </c>
      <c r="G10" s="76">
        <f>IFERROR(VLOOKUP($I$24&amp;$D10,'Database-Hidden'!$C$2:$J$121,6,FALSE)-R10+AI10,"")</f>
        <v>3</v>
      </c>
      <c r="H10" s="77">
        <f>IFERROR(VLOOKUP($I$24&amp;$D10,'Database-Hidden'!$C$2:$J$121,7,FALSE)-S10+AJ10,"")</f>
        <v>7</v>
      </c>
      <c r="I10" s="78" t="str">
        <f>IFERROR(VLOOKUP($I$24&amp;$D10,'Database-Hidden'!$C$2:$J$121,8,FALSE),"")</f>
        <v>Dodge</v>
      </c>
      <c r="J10" s="79" t="s">
        <v>351</v>
      </c>
      <c r="K10" s="80">
        <f t="shared" si="0"/>
        <v>2</v>
      </c>
      <c r="L10" s="81"/>
      <c r="M10" s="81"/>
      <c r="N10" s="81"/>
      <c r="O10" s="83"/>
      <c r="P10" s="84"/>
      <c r="Q10" s="85"/>
      <c r="R10" s="85"/>
      <c r="S10" s="86"/>
      <c r="T10" s="87"/>
      <c r="U10" s="89">
        <v>1</v>
      </c>
      <c r="V10" s="89">
        <v>3</v>
      </c>
      <c r="W10" s="89">
        <v>1</v>
      </c>
      <c r="X10" s="85"/>
      <c r="Y10" s="85"/>
      <c r="Z10" s="90">
        <v>1</v>
      </c>
      <c r="AA10" s="91">
        <f t="shared" si="1"/>
        <v>17</v>
      </c>
      <c r="AB10" s="58">
        <f t="shared" si="2"/>
        <v>110000</v>
      </c>
      <c r="AC10" s="4"/>
      <c r="AD10" s="120">
        <f>IFERROR(VLOOKUP($I$24&amp;D10,'Database-Hidden'!$C$2:$E$121,3,FALSE),"")</f>
        <v>70000</v>
      </c>
      <c r="AE10" s="93">
        <v>2</v>
      </c>
      <c r="AF10" s="94"/>
      <c r="AG10" s="107"/>
      <c r="AH10" s="107"/>
      <c r="AI10" s="107"/>
      <c r="AJ10" s="107"/>
      <c r="AK10" s="63"/>
      <c r="AL10" s="64" t="str">
        <f>IF(LEFT($D10,6)&lt;&gt;"Star: ","",VLOOKUP(RIGHT($D10,LEN($D10)-6),'Star Players-Hidden'!$A$3:$AK$69,37,FALSE))</f>
        <v/>
      </c>
      <c r="AM10" s="4"/>
      <c r="AN10" s="121" t="s">
        <v>78</v>
      </c>
      <c r="AO10" s="131">
        <v>60000</v>
      </c>
      <c r="AP10" s="132">
        <v>40000</v>
      </c>
      <c r="AQ10" s="138" t="s">
        <v>152</v>
      </c>
      <c r="AR10" s="133" t="s">
        <v>65</v>
      </c>
      <c r="AS10" s="134" t="s">
        <v>74</v>
      </c>
      <c r="AT10" s="135">
        <v>1</v>
      </c>
      <c r="AU10" s="136">
        <v>1</v>
      </c>
      <c r="AV10" s="137">
        <v>0</v>
      </c>
      <c r="AW10" s="130"/>
    </row>
    <row r="11" spans="1:49" ht="12.75">
      <c r="A11" s="2"/>
      <c r="B11" s="71">
        <v>8</v>
      </c>
      <c r="C11" s="259" t="s">
        <v>352</v>
      </c>
      <c r="D11" s="73" t="s">
        <v>348</v>
      </c>
      <c r="E11" s="75">
        <f>IFERROR(VLOOKUP($I$24&amp;$D11,'Database-Hidden'!$C$2:$J$121,4,FALSE)-P11+AG11,"")</f>
        <v>7</v>
      </c>
      <c r="F11" s="76">
        <f>IFERROR(VLOOKUP($I$24&amp;$D11,'Database-Hidden'!$C$2:$J$121,5,FALSE)-Q11+AH11,"")</f>
        <v>3</v>
      </c>
      <c r="G11" s="76">
        <f>IFERROR(VLOOKUP($I$24&amp;$D11,'Database-Hidden'!$C$2:$J$121,6,FALSE)-R11+AI11,"")</f>
        <v>3</v>
      </c>
      <c r="H11" s="77">
        <f>IFERROR(VLOOKUP($I$24&amp;$D11,'Database-Hidden'!$C$2:$J$121,7,FALSE)-S11+AJ11,"")</f>
        <v>7</v>
      </c>
      <c r="I11" s="78" t="str">
        <f>IFERROR(VLOOKUP($I$24&amp;$D11,'Database-Hidden'!$C$2:$J$121,8,FALSE),"")</f>
        <v>Dodge</v>
      </c>
      <c r="J11" s="79" t="s">
        <v>43</v>
      </c>
      <c r="K11" s="80">
        <f t="shared" si="0"/>
        <v>1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9">
        <v>3</v>
      </c>
      <c r="W11" s="89">
        <v>2</v>
      </c>
      <c r="X11" s="85"/>
      <c r="Y11" s="85"/>
      <c r="Z11" s="90"/>
      <c r="AA11" s="91">
        <f t="shared" si="1"/>
        <v>13</v>
      </c>
      <c r="AB11" s="58">
        <f t="shared" si="2"/>
        <v>100000</v>
      </c>
      <c r="AC11" s="4"/>
      <c r="AD11" s="120">
        <f>IFERROR(VLOOKUP($I$24&amp;D11,'Database-Hidden'!$C$2:$E$121,3,FALSE),"")</f>
        <v>70000</v>
      </c>
      <c r="AE11" s="139"/>
      <c r="AF11" s="94">
        <v>1</v>
      </c>
      <c r="AG11" s="107"/>
      <c r="AH11" s="107"/>
      <c r="AI11" s="107"/>
      <c r="AJ11" s="107"/>
      <c r="AK11" s="63"/>
      <c r="AL11" s="64" t="str">
        <f>IF(LEFT($D11,6)&lt;&gt;"Star: ","",VLOOKUP(RIGHT($D11,LEN($D11)-6),'Star Players-Hidden'!$A$3:$AK$69,37,FALSE))</f>
        <v/>
      </c>
      <c r="AM11" s="4"/>
      <c r="AN11" s="121" t="s">
        <v>82</v>
      </c>
      <c r="AO11" s="131">
        <v>40000</v>
      </c>
      <c r="AP11" s="132">
        <v>0</v>
      </c>
      <c r="AQ11" s="138" t="s">
        <v>152</v>
      </c>
      <c r="AR11" s="133" t="s">
        <v>73</v>
      </c>
      <c r="AS11" s="134" t="s">
        <v>66</v>
      </c>
      <c r="AT11" s="135">
        <v>1</v>
      </c>
      <c r="AU11" s="136">
        <v>2</v>
      </c>
      <c r="AV11" s="137">
        <v>-1</v>
      </c>
      <c r="AW11" s="130"/>
    </row>
    <row r="12" spans="1:49" ht="12.75">
      <c r="A12" s="2"/>
      <c r="B12" s="71">
        <v>9</v>
      </c>
      <c r="C12" s="72" t="s">
        <v>354</v>
      </c>
      <c r="D12" s="73" t="s">
        <v>348</v>
      </c>
      <c r="E12" s="75">
        <f>IFERROR(VLOOKUP($I$24&amp;$D12,'Database-Hidden'!$C$2:$J$121,4,FALSE)-P12+AG12,"")</f>
        <v>7</v>
      </c>
      <c r="F12" s="76">
        <f>IFERROR(VLOOKUP($I$24&amp;$D12,'Database-Hidden'!$C$2:$J$121,5,FALSE)-Q12+AH12,"")</f>
        <v>3</v>
      </c>
      <c r="G12" s="76">
        <f>IFERROR(VLOOKUP($I$24&amp;$D12,'Database-Hidden'!$C$2:$J$121,6,FALSE)-R12+AI12,"")</f>
        <v>3</v>
      </c>
      <c r="H12" s="77">
        <f>IFERROR(VLOOKUP($I$24&amp;$D12,'Database-Hidden'!$C$2:$J$121,7,FALSE)-S12+AJ12,"")</f>
        <v>7</v>
      </c>
      <c r="I12" s="78" t="str">
        <f>IFERROR(VLOOKUP($I$24&amp;$D12,'Database-Hidden'!$C$2:$J$121,8,FALSE),"")</f>
        <v>Dodge</v>
      </c>
      <c r="J12" s="106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>
        <v>1</v>
      </c>
      <c r="V12" s="88"/>
      <c r="W12" s="89"/>
      <c r="X12" s="85"/>
      <c r="Y12" s="85"/>
      <c r="Z12" s="90"/>
      <c r="AA12" s="91">
        <f t="shared" si="1"/>
        <v>1</v>
      </c>
      <c r="AB12" s="58">
        <f t="shared" si="2"/>
        <v>70000</v>
      </c>
      <c r="AC12" s="4"/>
      <c r="AD12" s="120">
        <f>IFERROR(VLOOKUP($I$24&amp;D12,'Database-Hidden'!$C$2:$E$121,3,FALSE),"")</f>
        <v>70000</v>
      </c>
      <c r="AE12" s="139"/>
      <c r="AF12" s="107"/>
      <c r="AG12" s="107"/>
      <c r="AH12" s="107"/>
      <c r="AI12" s="107"/>
      <c r="AJ12" s="107"/>
      <c r="AK12" s="63"/>
      <c r="AL12" s="64" t="str">
        <f>IF(LEFT($D12,6)&lt;&gt;"Star: ","",VLOOKUP(RIGHT($D12,LEN($D12)-6),'Star Players-Hidden'!$A$3:$AK$69,37,FALSE))</f>
        <v/>
      </c>
      <c r="AM12" s="4"/>
      <c r="AN12" s="121" t="s">
        <v>87</v>
      </c>
      <c r="AO12" s="122"/>
      <c r="AP12" s="123"/>
      <c r="AQ12" s="124"/>
      <c r="AR12" s="125"/>
      <c r="AS12" s="126"/>
      <c r="AT12" s="127"/>
      <c r="AU12" s="128"/>
      <c r="AV12" s="129"/>
      <c r="AW12" s="130"/>
    </row>
    <row r="13" spans="1:49" ht="12.75">
      <c r="A13" s="2"/>
      <c r="B13" s="71">
        <v>10</v>
      </c>
      <c r="C13" s="72"/>
      <c r="D13" s="73"/>
      <c r="E13" s="75" t="str">
        <f>IFERROR(VLOOKUP($I$24&amp;$D13,'Database-Hidden'!$C$2:$J$121,4,FALSE)-P13+AG13,"")</f>
        <v/>
      </c>
      <c r="F13" s="76" t="str">
        <f>IFERROR(VLOOKUP($I$24&amp;$D13,'Database-Hidden'!$C$2:$J$121,5,FALSE)-Q13+AH13,"")</f>
        <v/>
      </c>
      <c r="G13" s="76" t="str">
        <f>IFERROR(VLOOKUP($I$24&amp;$D13,'Database-Hidden'!$C$2:$J$121,6,FALSE)-R13+AI13,"")</f>
        <v/>
      </c>
      <c r="H13" s="77" t="str">
        <f>IFERROR(VLOOKUP($I$24&amp;$D13,'Database-Hidden'!$C$2:$J$121,7,FALSE)-S13+AJ13,"")</f>
        <v/>
      </c>
      <c r="I13" s="78" t="str">
        <f>IFERROR(VLOOKUP($I$24&amp;$D13,'Database-Hidden'!$C$2:$J$121,8,FALSE),"")</f>
        <v/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/>
      <c r="X13" s="85"/>
      <c r="Y13" s="85"/>
      <c r="Z13" s="90"/>
      <c r="AA13" s="91">
        <f t="shared" si="1"/>
        <v>0</v>
      </c>
      <c r="AB13" s="58"/>
      <c r="AC13" s="4"/>
      <c r="AD13" s="120" t="str">
        <f>IFERROR(VLOOKUP($I$24&amp;D13,'Database-Hidden'!$C$2:$E$121,3,FALSE),"")</f>
        <v/>
      </c>
      <c r="AE13" s="139"/>
      <c r="AF13" s="94"/>
      <c r="AG13" s="107"/>
      <c r="AH13" s="107"/>
      <c r="AI13" s="107"/>
      <c r="AJ13" s="107"/>
      <c r="AK13" s="63"/>
      <c r="AL13" s="64" t="str">
        <f>IF(LEFT($D13,6)&lt;&gt;"Star: ","",VLOOKUP(RIGHT($D13,LEN($D13)-6),'Star Players-Hidden'!$A$3:$AK$69,37,FALSE))</f>
        <v/>
      </c>
      <c r="AM13" s="4"/>
      <c r="AN13" s="121" t="s">
        <v>95</v>
      </c>
      <c r="AO13" s="122"/>
      <c r="AP13" s="123"/>
      <c r="AQ13" s="124"/>
      <c r="AR13" s="125"/>
      <c r="AS13" s="126"/>
      <c r="AT13" s="127"/>
      <c r="AU13" s="128"/>
      <c r="AV13" s="129"/>
      <c r="AW13" s="130"/>
    </row>
    <row r="14" spans="1:49" ht="12.75">
      <c r="A14" s="2"/>
      <c r="B14" s="71">
        <v>11</v>
      </c>
      <c r="C14" s="72"/>
      <c r="D14" s="73"/>
      <c r="E14" s="75" t="str">
        <f>IFERROR(VLOOKUP($I$24&amp;$D14,'Database-Hidden'!$C$2:$J$121,4,FALSE)-P14+AG14,"")</f>
        <v/>
      </c>
      <c r="F14" s="76" t="str">
        <f>IFERROR(VLOOKUP($I$24&amp;$D14,'Database-Hidden'!$C$2:$J$121,5,FALSE)-Q14+AH14,"")</f>
        <v/>
      </c>
      <c r="G14" s="76" t="str">
        <f>IFERROR(VLOOKUP($I$24&amp;$D14,'Database-Hidden'!$C$2:$J$121,6,FALSE)-R14+AI14,"")</f>
        <v/>
      </c>
      <c r="H14" s="77" t="str">
        <f>IFERROR(VLOOKUP($I$24&amp;$D14,'Database-Hidden'!$C$2:$J$121,7,FALSE)-S14+AJ14,"")</f>
        <v/>
      </c>
      <c r="I14" s="78" t="str">
        <f>IFERROR(VLOOKUP($I$24&amp;$D14,'Database-Hidden'!$C$2:$J$121,8,FALSE),"")</f>
        <v/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/>
      <c r="X14" s="85"/>
      <c r="Y14" s="85"/>
      <c r="Z14" s="90"/>
      <c r="AA14" s="91">
        <f t="shared" si="1"/>
        <v>0</v>
      </c>
      <c r="AB14" s="58"/>
      <c r="AC14" s="4"/>
      <c r="AD14" s="120" t="str">
        <f>IFERROR(VLOOKUP($I$24&amp;D14,'Database-Hidden'!$C$2:$E$121,3,FALSE),"")</f>
        <v/>
      </c>
      <c r="AE14" s="93"/>
      <c r="AF14" s="107"/>
      <c r="AG14" s="107"/>
      <c r="AH14" s="107"/>
      <c r="AI14" s="107"/>
      <c r="AJ14" s="107"/>
      <c r="AK14" s="63"/>
      <c r="AL14" s="64" t="str">
        <f>IF(LEFT($D14,6)&lt;&gt;"Star: ","",VLOOKUP(RIGHT($D14,LEN($D14)-6),'Star Players-Hidden'!$A$3:$AK$69,37,FALSE))</f>
        <v/>
      </c>
      <c r="AM14" s="4"/>
      <c r="AN14" s="121" t="s">
        <v>98</v>
      </c>
      <c r="AO14" s="131">
        <v>70000</v>
      </c>
      <c r="AP14" s="132">
        <v>0</v>
      </c>
      <c r="AQ14" s="138" t="s">
        <v>152</v>
      </c>
      <c r="AR14" s="133" t="s">
        <v>150</v>
      </c>
      <c r="AS14" s="134" t="s">
        <v>61</v>
      </c>
      <c r="AT14" s="135">
        <v>2</v>
      </c>
      <c r="AU14" s="136">
        <v>1</v>
      </c>
      <c r="AV14" s="137">
        <v>1</v>
      </c>
      <c r="AW14" s="130"/>
    </row>
    <row r="15" spans="1:49" ht="12.75">
      <c r="A15" s="2"/>
      <c r="B15" s="71">
        <v>12</v>
      </c>
      <c r="C15" s="72"/>
      <c r="D15" s="73"/>
      <c r="E15" s="75" t="str">
        <f>IFERROR(VLOOKUP($I$24&amp;$D15,'Database-Hidden'!$C$2:$J$121,4,FALSE)-P15+AG15,"")</f>
        <v/>
      </c>
      <c r="F15" s="76" t="str">
        <f>IFERROR(VLOOKUP($I$24&amp;$D15,'Database-Hidden'!$C$2:$J$121,5,FALSE)-Q15+AH15,"")</f>
        <v/>
      </c>
      <c r="G15" s="76" t="str">
        <f>IFERROR(VLOOKUP($I$24&amp;$D15,'Database-Hidden'!$C$2:$J$121,6,FALSE)-R15+AI15,"")</f>
        <v/>
      </c>
      <c r="H15" s="77" t="str">
        <f>IFERROR(VLOOKUP($I$24&amp;$D15,'Database-Hidden'!$C$2:$J$121,7,FALSE)-S15+AJ15,"")</f>
        <v/>
      </c>
      <c r="I15" s="78" t="str">
        <f>IFERROR(VLOOKUP($I$24&amp;$D15,'Database-Hidden'!$C$2:$J$121,8,FALSE),"")</f>
        <v/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85"/>
      <c r="Y15" s="85"/>
      <c r="Z15" s="90"/>
      <c r="AA15" s="91">
        <f t="shared" si="1"/>
        <v>0</v>
      </c>
      <c r="AB15" s="58"/>
      <c r="AC15" s="4"/>
      <c r="AD15" s="120" t="str">
        <f>IFERROR(VLOOKUP($I$24&amp;D15,'Database-Hidden'!$C$2:$E$121,3,FALSE),"")</f>
        <v/>
      </c>
      <c r="AE15" s="93"/>
      <c r="AF15" s="107"/>
      <c r="AG15" s="107"/>
      <c r="AH15" s="107"/>
      <c r="AI15" s="107"/>
      <c r="AJ15" s="107"/>
      <c r="AK15" s="63"/>
      <c r="AL15" s="64" t="str">
        <f>IF(LEFT($D15,6)&lt;&gt;"Star: ","",VLOOKUP(RIGHT($D15,LEN($D15)-6),'Star Players-Hidden'!$A$3:$AK$69,37,FALSE))</f>
        <v/>
      </c>
      <c r="AM15" s="4"/>
      <c r="AN15" s="121" t="s">
        <v>102</v>
      </c>
      <c r="AO15" s="131">
        <v>40000</v>
      </c>
      <c r="AP15" s="132">
        <v>0</v>
      </c>
      <c r="AQ15" s="138" t="s">
        <v>152</v>
      </c>
      <c r="AR15" s="133" t="s">
        <v>79</v>
      </c>
      <c r="AS15" s="134" t="s">
        <v>74</v>
      </c>
      <c r="AT15" s="135">
        <v>2</v>
      </c>
      <c r="AU15" s="136">
        <v>2</v>
      </c>
      <c r="AV15" s="137">
        <v>-1</v>
      </c>
      <c r="AW15" s="130"/>
    </row>
    <row r="16" spans="1:49" ht="12.75">
      <c r="A16" s="2"/>
      <c r="B16" s="71">
        <v>13</v>
      </c>
      <c r="C16" s="72" t="s">
        <v>358</v>
      </c>
      <c r="D16" s="73" t="s">
        <v>359</v>
      </c>
      <c r="E16" s="75">
        <f>IFERROR(VLOOKUP($I$24&amp;$D16,'Database-Hidden'!$C$2:$J$121,4,FALSE)-P16+AG16,"")</f>
        <v>4</v>
      </c>
      <c r="F16" s="76">
        <f>IFERROR(VLOOKUP($I$24&amp;$D16,'Database-Hidden'!$C$2:$J$121,5,FALSE)-Q16+AH16,"")</f>
        <v>3</v>
      </c>
      <c r="G16" s="76">
        <f>IFERROR(VLOOKUP($I$24&amp;$D16,'Database-Hidden'!$C$2:$J$121,6,FALSE)-R16+AI16,"")</f>
        <v>2</v>
      </c>
      <c r="H16" s="77">
        <f>IFERROR(VLOOKUP($I$24&amp;$D16,'Database-Hidden'!$C$2:$J$121,7,FALSE)-S16+AJ16,"")</f>
        <v>8</v>
      </c>
      <c r="I16" s="78" t="str">
        <f>IFERROR(VLOOKUP($I$24&amp;$D16,'Database-Hidden'!$C$2:$J$121,8,FALSE),"")</f>
        <v>Regeneration</v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>
        <v>2</v>
      </c>
      <c r="X16" s="85"/>
      <c r="Y16" s="85"/>
      <c r="Z16" s="90"/>
      <c r="AA16" s="91">
        <f t="shared" si="1"/>
        <v>4</v>
      </c>
      <c r="AB16" s="58">
        <f t="shared" si="2"/>
        <v>40000</v>
      </c>
      <c r="AC16" s="4"/>
      <c r="AD16" s="120">
        <f>IFERROR(VLOOKUP($I$24&amp;D16,'Database-Hidden'!$C$2:$E$121,3,FALSE),"")</f>
        <v>40000</v>
      </c>
      <c r="AE16" s="93"/>
      <c r="AF16" s="107"/>
      <c r="AG16" s="107"/>
      <c r="AH16" s="107"/>
      <c r="AI16" s="107"/>
      <c r="AJ16" s="107"/>
      <c r="AK16" s="63"/>
      <c r="AL16" s="64" t="str">
        <f>IF(LEFT($D16,6)&lt;&gt;"Star: ","",VLOOKUP(RIGHT($D16,LEN($D16)-6),'Star Players-Hidden'!$A$3:$AK$69,37,FALSE))</f>
        <v/>
      </c>
      <c r="AM16" s="4"/>
      <c r="AN16" s="121" t="s">
        <v>105</v>
      </c>
      <c r="AO16" s="122"/>
      <c r="AP16" s="123"/>
      <c r="AQ16" s="124"/>
      <c r="AR16" s="125"/>
      <c r="AS16" s="126"/>
      <c r="AT16" s="127"/>
      <c r="AU16" s="128"/>
      <c r="AV16" s="129"/>
      <c r="AW16" s="130"/>
    </row>
    <row r="17" spans="1:49" ht="12.75">
      <c r="A17" s="2"/>
      <c r="B17" s="71">
        <v>14</v>
      </c>
      <c r="C17" s="72"/>
      <c r="D17" s="73"/>
      <c r="E17" s="75" t="str">
        <f>IFERROR(VLOOKUP($I$24&amp;$D17,'Database-Hidden'!$C$2:$J$121,4,FALSE)-P17+AG17,"")</f>
        <v/>
      </c>
      <c r="F17" s="76" t="str">
        <f>IFERROR(VLOOKUP($I$24&amp;$D17,'Database-Hidden'!$C$2:$J$121,5,FALSE)-Q17+AH17,"")</f>
        <v/>
      </c>
      <c r="G17" s="76" t="str">
        <f>IFERROR(VLOOKUP($I$24&amp;$D17,'Database-Hidden'!$C$2:$J$121,6,FALSE)-R17+AI17,"")</f>
        <v/>
      </c>
      <c r="H17" s="77" t="str">
        <f>IFERROR(VLOOKUP($I$24&amp;$D17,'Database-Hidden'!$C$2:$J$121,7,FALSE)-S17+AJ17,"")</f>
        <v/>
      </c>
      <c r="I17" s="78" t="str">
        <f>IFERROR(VLOOKUP($I$24&amp;$D17,'Database-Hidden'!$C$2:$J$121,8,FALSE),"")</f>
        <v/>
      </c>
      <c r="J17" s="79" t="s">
        <v>109</v>
      </c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>
        <v>1</v>
      </c>
      <c r="X17" s="85"/>
      <c r="Y17" s="140">
        <v>2</v>
      </c>
      <c r="Z17" s="90"/>
      <c r="AA17" s="91">
        <f t="shared" si="1"/>
        <v>2</v>
      </c>
      <c r="AB17" s="58"/>
      <c r="AC17" s="4"/>
      <c r="AD17" s="120" t="str">
        <f>IFERROR(VLOOKUP($I$24&amp;D17,'Database-Hidden'!$C$2:$E$121,3,FALSE),"")</f>
        <v/>
      </c>
      <c r="AE17" s="93"/>
      <c r="AF17" s="107"/>
      <c r="AG17" s="107"/>
      <c r="AH17" s="107"/>
      <c r="AI17" s="107"/>
      <c r="AJ17" s="107"/>
      <c r="AK17" s="63"/>
      <c r="AL17" s="64" t="str">
        <f>IF(LEFT($D17,6)&lt;&gt;"Star: ","",VLOOKUP(RIGHT($D17,LEN($D17)-6),'Star Players-Hidden'!$A$3:$AK$69,37,FALSE))</f>
        <v/>
      </c>
      <c r="AM17" s="4"/>
      <c r="AN17" s="141" t="s">
        <v>108</v>
      </c>
      <c r="AO17" s="142"/>
      <c r="AP17" s="143"/>
      <c r="AQ17" s="144"/>
      <c r="AR17" s="125"/>
      <c r="AS17" s="146"/>
      <c r="AT17" s="147"/>
      <c r="AU17" s="149"/>
      <c r="AV17" s="150"/>
      <c r="AW17" s="130"/>
    </row>
    <row r="18" spans="1:49" ht="12.75">
      <c r="A18" s="2"/>
      <c r="B18" s="71">
        <v>15</v>
      </c>
      <c r="C18" s="72" t="s">
        <v>360</v>
      </c>
      <c r="D18" s="73" t="s">
        <v>359</v>
      </c>
      <c r="E18" s="75">
        <f>IFERROR(VLOOKUP($I$24&amp;$D18,'Database-Hidden'!$C$2:$J$121,4,FALSE)-P18+AG18,"")</f>
        <v>4</v>
      </c>
      <c r="F18" s="76">
        <f>IFERROR(VLOOKUP($I$24&amp;$D18,'Database-Hidden'!$C$2:$J$121,5,FALSE)-Q18+AH18,"")</f>
        <v>3</v>
      </c>
      <c r="G18" s="76">
        <f>IFERROR(VLOOKUP($I$24&amp;$D18,'Database-Hidden'!$C$2:$J$121,6,FALSE)-R18+AI18,"")</f>
        <v>2</v>
      </c>
      <c r="H18" s="77">
        <f>IFERROR(VLOOKUP($I$24&amp;$D18,'Database-Hidden'!$C$2:$J$121,7,FALSE)-S18+AJ18,"")</f>
        <v>8</v>
      </c>
      <c r="I18" s="78" t="str">
        <f>IFERROR(VLOOKUP($I$24&amp;$D18,'Database-Hidden'!$C$2:$J$121,8,FALSE),"")</f>
        <v>Regeneration</v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85"/>
      <c r="Z18" s="90"/>
      <c r="AA18" s="91">
        <f t="shared" si="1"/>
        <v>0</v>
      </c>
      <c r="AB18" s="58">
        <f t="shared" si="2"/>
        <v>40000</v>
      </c>
      <c r="AC18" s="4"/>
      <c r="AD18" s="120">
        <f>IFERROR(VLOOKUP($I$24&amp;D18,'Database-Hidden'!$C$2:$E$121,3,FALSE),"")</f>
        <v>40000</v>
      </c>
      <c r="AE18" s="93"/>
      <c r="AF18" s="94"/>
      <c r="AG18" s="107"/>
      <c r="AH18" s="107"/>
      <c r="AI18" s="107"/>
      <c r="AJ18" s="107"/>
      <c r="AK18" s="63"/>
      <c r="AL18" s="64" t="str">
        <f>IF(LEFT($D18,6)&lt;&gt;"Star: ","",VLOOKUP(RIGHT($D18,LEN($D18)-6),'Star Players-Hidden'!$A$3:$AK$69,37,FALSE))</f>
        <v/>
      </c>
      <c r="AM18" s="4"/>
      <c r="AN18" s="157" t="s">
        <v>35</v>
      </c>
      <c r="AO18" s="160">
        <f>AO4+SUM(AO6:AO17)-SUM(AP6:AP17)-SUM(AQ6:AQ17)</f>
        <v>240000</v>
      </c>
      <c r="AP18" s="4"/>
      <c r="AQ18" s="4"/>
      <c r="AR18" s="68"/>
      <c r="AS18" s="157" t="s">
        <v>35</v>
      </c>
      <c r="AT18" s="162">
        <f t="shared" ref="AT18:AU18" si="3">SUM(AT6:AT17)</f>
        <v>10</v>
      </c>
      <c r="AU18" s="164">
        <f t="shared" si="3"/>
        <v>12</v>
      </c>
      <c r="AV18" s="168">
        <f>AV4+SUM(AV6:AV17)</f>
        <v>2</v>
      </c>
      <c r="AW18" s="5"/>
    </row>
    <row r="19" spans="1:49" ht="12.75">
      <c r="A19" s="2"/>
      <c r="B19" s="170">
        <v>16</v>
      </c>
      <c r="C19" s="172" t="s">
        <v>361</v>
      </c>
      <c r="D19" s="174" t="s">
        <v>362</v>
      </c>
      <c r="E19" s="176">
        <f>IFERROR(VLOOKUP($I$24&amp;$D19,'Database-Hidden'!$C$2:$J$121,4,FALSE)-P19+AG19,"")</f>
        <v>5</v>
      </c>
      <c r="F19" s="177">
        <f>IFERROR(VLOOKUP($I$24&amp;$D19,'Database-Hidden'!$C$2:$J$121,5,FALSE)-Q19+AH19,"")</f>
        <v>3</v>
      </c>
      <c r="G19" s="177">
        <f>IFERROR(VLOOKUP($I$24&amp;$D19,'Database-Hidden'!$C$2:$J$121,6,FALSE)-R19+AI19,"")</f>
        <v>2</v>
      </c>
      <c r="H19" s="178">
        <f>IFERROR(VLOOKUP($I$24&amp;$D19,'Database-Hidden'!$C$2:$J$121,7,FALSE)-S19+AJ19,"")</f>
        <v>7</v>
      </c>
      <c r="I19" s="180" t="str">
        <f>IFERROR(VLOOKUP($I$24&amp;$D19,'Database-Hidden'!$C$2:$J$121,8,FALSE),"")</f>
        <v>Regeneration, Thick Skull</v>
      </c>
      <c r="J19" s="182"/>
      <c r="K19" s="186">
        <f t="shared" si="0"/>
        <v>0</v>
      </c>
      <c r="L19" s="188"/>
      <c r="M19" s="188"/>
      <c r="N19" s="187"/>
      <c r="O19" s="189"/>
      <c r="P19" s="190"/>
      <c r="Q19" s="191"/>
      <c r="R19" s="191"/>
      <c r="S19" s="192"/>
      <c r="T19" s="193"/>
      <c r="U19" s="194"/>
      <c r="V19" s="194"/>
      <c r="W19" s="195"/>
      <c r="X19" s="191"/>
      <c r="Y19" s="191"/>
      <c r="Z19" s="196"/>
      <c r="AA19" s="197">
        <f t="shared" si="1"/>
        <v>0</v>
      </c>
      <c r="AB19" s="58">
        <f t="shared" si="2"/>
        <v>40000</v>
      </c>
      <c r="AC19" s="4"/>
      <c r="AD19" s="198">
        <f>IFERROR(VLOOKUP($I$24&amp;D19,'Database-Hidden'!$C$2:$E$121,3,FALSE),"")</f>
        <v>40000</v>
      </c>
      <c r="AE19" s="199"/>
      <c r="AF19" s="200"/>
      <c r="AG19" s="200"/>
      <c r="AH19" s="200"/>
      <c r="AI19" s="200"/>
      <c r="AJ19" s="200"/>
      <c r="AK19" s="201"/>
      <c r="AL19" s="202" t="str">
        <f>IF(LEFT($D19,6)&lt;&gt;"Star: ","",VLOOKUP(RIGHT($D19,LEN($D19)-6),'Star Players-Hidden'!$A$3:$AK$69,37,FALSE))</f>
        <v/>
      </c>
      <c r="AM19" s="4"/>
      <c r="AV19" s="203"/>
    </row>
    <row r="20" spans="1:49" ht="12.75">
      <c r="B20" s="328"/>
      <c r="C20" s="329"/>
      <c r="D20" s="330"/>
      <c r="E20" s="311" t="s">
        <v>118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3"/>
      <c r="AB20" s="204">
        <f>SUM(AB4:AB19)</f>
        <v>1060000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8"/>
      <c r="AO20" s="68"/>
      <c r="AP20" s="68"/>
      <c r="AQ20" s="68"/>
      <c r="AR20" s="68"/>
      <c r="AS20" s="68"/>
      <c r="AT20" s="68"/>
      <c r="AU20" s="68"/>
      <c r="AV20" s="205"/>
      <c r="AW20" s="68"/>
    </row>
    <row r="21" spans="1:49" ht="12.75">
      <c r="A21" s="2"/>
      <c r="B21" s="317"/>
      <c r="C21" s="315"/>
      <c r="D21" s="316"/>
      <c r="E21" s="333" t="s">
        <v>119</v>
      </c>
      <c r="F21" s="315"/>
      <c r="G21" s="315"/>
      <c r="H21" s="334"/>
      <c r="I21" s="314" t="s">
        <v>154</v>
      </c>
      <c r="J21" s="315"/>
      <c r="K21" s="316"/>
      <c r="L21" s="322" t="s">
        <v>121</v>
      </c>
      <c r="M21" s="319"/>
      <c r="N21" s="319"/>
      <c r="O21" s="319"/>
      <c r="P21" s="319"/>
      <c r="Q21" s="319"/>
      <c r="R21" s="319"/>
      <c r="S21" s="323"/>
      <c r="T21" s="206">
        <v>4</v>
      </c>
      <c r="U21" s="207" t="s">
        <v>36</v>
      </c>
      <c r="V21" s="321">
        <f>IFERROR(VLOOKUP(I24,'Database-Hidden'!N2:O28,2,FALSE),"")</f>
        <v>70000</v>
      </c>
      <c r="W21" s="319"/>
      <c r="X21" s="319"/>
      <c r="Y21" s="319"/>
      <c r="Z21" s="319"/>
      <c r="AA21" s="320"/>
      <c r="AB21" s="208">
        <f t="shared" ref="AB21:AB25" si="4">T21*V21</f>
        <v>280000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27" t="s">
        <v>122</v>
      </c>
      <c r="AO21" s="313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317"/>
      <c r="C22" s="315"/>
      <c r="D22" s="316"/>
      <c r="E22" s="315"/>
      <c r="F22" s="315"/>
      <c r="G22" s="315"/>
      <c r="H22" s="334"/>
      <c r="I22" s="317"/>
      <c r="J22" s="315"/>
      <c r="K22" s="316"/>
      <c r="L22" s="309" t="s">
        <v>123</v>
      </c>
      <c r="M22" s="304"/>
      <c r="N22" s="304"/>
      <c r="O22" s="304"/>
      <c r="P22" s="304"/>
      <c r="Q22" s="304"/>
      <c r="R22" s="304"/>
      <c r="S22" s="310"/>
      <c r="T22" s="211">
        <f>AV18</f>
        <v>2</v>
      </c>
      <c r="U22" s="210" t="s">
        <v>36</v>
      </c>
      <c r="V22" s="306">
        <v>10000</v>
      </c>
      <c r="W22" s="304"/>
      <c r="X22" s="304"/>
      <c r="Y22" s="304"/>
      <c r="Z22" s="304"/>
      <c r="AA22" s="307"/>
      <c r="AB22" s="212">
        <f t="shared" si="4"/>
        <v>20000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213" t="s">
        <v>124</v>
      </c>
      <c r="AO22" s="214">
        <f>AO18</f>
        <v>240000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317"/>
      <c r="C23" s="315"/>
      <c r="D23" s="316"/>
      <c r="E23" s="319"/>
      <c r="F23" s="319"/>
      <c r="G23" s="319"/>
      <c r="H23" s="335"/>
      <c r="I23" s="318"/>
      <c r="J23" s="319"/>
      <c r="K23" s="320"/>
      <c r="L23" s="347" t="s">
        <v>126</v>
      </c>
      <c r="M23" s="304"/>
      <c r="N23" s="304"/>
      <c r="O23" s="304"/>
      <c r="P23" s="304"/>
      <c r="Q23" s="304"/>
      <c r="R23" s="304"/>
      <c r="S23" s="310"/>
      <c r="T23" s="215">
        <v>0</v>
      </c>
      <c r="U23" s="216" t="s">
        <v>36</v>
      </c>
      <c r="V23" s="306">
        <v>10000</v>
      </c>
      <c r="W23" s="304"/>
      <c r="X23" s="304"/>
      <c r="Y23" s="304"/>
      <c r="Z23" s="304"/>
      <c r="AA23" s="307"/>
      <c r="AB23" s="212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217" t="s">
        <v>127</v>
      </c>
      <c r="AO23" s="218">
        <f>COUNTA(AR6:AR17)*10000</f>
        <v>80000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317"/>
      <c r="C24" s="315"/>
      <c r="D24" s="316"/>
      <c r="E24" s="340" t="s">
        <v>128</v>
      </c>
      <c r="F24" s="304"/>
      <c r="G24" s="304"/>
      <c r="H24" s="341"/>
      <c r="I24" s="308" t="s">
        <v>365</v>
      </c>
      <c r="J24" s="304"/>
      <c r="K24" s="307"/>
      <c r="L24" s="309" t="s">
        <v>130</v>
      </c>
      <c r="M24" s="304"/>
      <c r="N24" s="304"/>
      <c r="O24" s="304"/>
      <c r="P24" s="304"/>
      <c r="Q24" s="304"/>
      <c r="R24" s="304"/>
      <c r="S24" s="310"/>
      <c r="T24" s="215">
        <v>0</v>
      </c>
      <c r="U24" s="216" t="s">
        <v>36</v>
      </c>
      <c r="V24" s="306">
        <v>10000</v>
      </c>
      <c r="W24" s="304"/>
      <c r="X24" s="304"/>
      <c r="Y24" s="304"/>
      <c r="Z24" s="304"/>
      <c r="AA24" s="307"/>
      <c r="AB24" s="212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217" t="s">
        <v>53</v>
      </c>
      <c r="AO24" s="218">
        <f>AT18*5000</f>
        <v>50000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317"/>
      <c r="C25" s="315"/>
      <c r="D25" s="316"/>
      <c r="E25" s="340" t="str">
        <f>IFERROR(IF(VLOOKUP(I24,'Database-Hidden'!X2:Y28,2,FALSE)="Yes","NECROMANCER","HEAD COACH"),"HEAD COACH")</f>
        <v>NECROMANCER</v>
      </c>
      <c r="F25" s="304"/>
      <c r="G25" s="304"/>
      <c r="H25" s="341"/>
      <c r="I25" s="308" t="s">
        <v>366</v>
      </c>
      <c r="J25" s="304"/>
      <c r="K25" s="307"/>
      <c r="L25" s="346" t="str">
        <f>IFERROR(IF(VLOOKUP(I24,'Database-Hidden'!X2:Y28,1,FALSE)&lt;&gt;"","",""),"APOTHECARY")</f>
        <v/>
      </c>
      <c r="M25" s="304"/>
      <c r="N25" s="304"/>
      <c r="O25" s="304"/>
      <c r="P25" s="304"/>
      <c r="Q25" s="304"/>
      <c r="R25" s="304"/>
      <c r="S25" s="341"/>
      <c r="T25" s="215">
        <v>0</v>
      </c>
      <c r="U25" s="210" t="str">
        <f>IF(L25&lt;&gt;"","x","")</f>
        <v/>
      </c>
      <c r="V25" s="306" t="str">
        <f>IF(L25&lt;&gt;"",50000,"")</f>
        <v/>
      </c>
      <c r="W25" s="304"/>
      <c r="X25" s="304"/>
      <c r="Y25" s="304"/>
      <c r="Z25" s="304"/>
      <c r="AA25" s="307"/>
      <c r="AB25" s="212"/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219" t="s">
        <v>134</v>
      </c>
      <c r="AO25" s="220">
        <f>AU18*5000</f>
        <v>60000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317"/>
      <c r="C26" s="315"/>
      <c r="D26" s="316"/>
      <c r="E26" s="340" t="s">
        <v>135</v>
      </c>
      <c r="F26" s="304"/>
      <c r="G26" s="304"/>
      <c r="H26" s="304"/>
      <c r="I26" s="343">
        <f>AB20+AB28</f>
        <v>1360000</v>
      </c>
      <c r="J26" s="304"/>
      <c r="K26" s="304"/>
      <c r="L26" s="346" t="s">
        <v>136</v>
      </c>
      <c r="M26" s="304"/>
      <c r="N26" s="304"/>
      <c r="O26" s="304"/>
      <c r="P26" s="304"/>
      <c r="Q26" s="304"/>
      <c r="R26" s="304"/>
      <c r="S26" s="341"/>
      <c r="T26" s="215">
        <v>0</v>
      </c>
      <c r="U26" s="210" t="s">
        <v>36</v>
      </c>
      <c r="V26" s="306">
        <f>IF(I24="Halfling",200000,600000)</f>
        <v>600000</v>
      </c>
      <c r="W26" s="304"/>
      <c r="X26" s="304"/>
      <c r="Y26" s="304"/>
      <c r="Z26" s="304"/>
      <c r="AA26" s="307"/>
      <c r="AB26" s="212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221" t="s">
        <v>35</v>
      </c>
      <c r="AO26" s="222">
        <v>430000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317"/>
      <c r="C27" s="315"/>
      <c r="D27" s="316"/>
      <c r="E27" s="336" t="s">
        <v>137</v>
      </c>
      <c r="F27" s="325"/>
      <c r="G27" s="325"/>
      <c r="H27" s="325"/>
      <c r="I27" s="342">
        <f>AO18</f>
        <v>240000</v>
      </c>
      <c r="J27" s="325"/>
      <c r="K27" s="325"/>
      <c r="L27" s="324" t="s">
        <v>138</v>
      </c>
      <c r="M27" s="325"/>
      <c r="N27" s="325"/>
      <c r="O27" s="325"/>
      <c r="P27" s="325"/>
      <c r="Q27" s="325"/>
      <c r="R27" s="325"/>
      <c r="S27" s="326"/>
      <c r="T27" s="223">
        <v>0</v>
      </c>
      <c r="U27" s="224" t="s">
        <v>36</v>
      </c>
      <c r="V27" s="344">
        <f>IF(I24="Goblin",100000,200000)</f>
        <v>200000</v>
      </c>
      <c r="W27" s="325"/>
      <c r="X27" s="325"/>
      <c r="Y27" s="325"/>
      <c r="Z27" s="325"/>
      <c r="AA27" s="345"/>
      <c r="AB27" s="212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331"/>
      <c r="C28" s="305"/>
      <c r="D28" s="332"/>
      <c r="E28" s="311" t="s">
        <v>139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3"/>
      <c r="AB28" s="204">
        <f>SUM(AB21:AB27)</f>
        <v>300000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25"/>
      <c r="D29" s="225"/>
      <c r="E29" s="226"/>
      <c r="F29" s="4"/>
      <c r="G29" s="4"/>
      <c r="H29" s="4"/>
      <c r="I29" s="227"/>
      <c r="J29" s="228"/>
      <c r="K29" s="4"/>
      <c r="L29" s="229"/>
      <c r="M29" s="229"/>
      <c r="N29" s="229"/>
      <c r="O29" s="229"/>
      <c r="P29" s="229"/>
      <c r="Q29" s="229"/>
      <c r="R29" s="229"/>
      <c r="S29" s="229"/>
      <c r="T29" s="230"/>
      <c r="U29" s="231"/>
      <c r="V29" s="9"/>
      <c r="W29" s="232"/>
      <c r="X29" s="232"/>
      <c r="Y29" s="232"/>
      <c r="Z29" s="232"/>
      <c r="AA29" s="232"/>
      <c r="AB29" s="23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34">
        <f>MATCH(I24,'Database-Hidden'!A2:A121,0)</f>
        <v>104</v>
      </c>
      <c r="D30" s="234" t="str">
        <f t="shared" ref="D30:D39" si="6">I30&amp;IF(COUNTIF(D$4:D$19,I30)&gt;E30," (Too Many)","")</f>
        <v>Skeleton</v>
      </c>
      <c r="E30" s="235">
        <f t="array" ref="E30">IFERROR(IF(INDEX('Database-Hidden'!$A$2:$B$121,$C30,1)=$I$24,INDEX('Database-Hidden'!$A$2:$D$121,$C30,4),""),"")</f>
        <v>16</v>
      </c>
      <c r="I30" s="234" t="str">
        <f t="array" ref="I30">IFERROR(IF(INDEX('Database-Hidden'!$A$2:$B$121,$C30,1)=$I$24,INDEX('Database-Hidden'!$A$2:$B$121,$C30,2),""),"")</f>
        <v>Skeleton</v>
      </c>
      <c r="AV30" s="203"/>
    </row>
    <row r="31" spans="1:49" ht="17.25" hidden="1" customHeight="1">
      <c r="C31" s="234">
        <f t="shared" ref="C31:C39" si="7">C30+1</f>
        <v>105</v>
      </c>
      <c r="D31" s="234" t="str">
        <f t="shared" si="6"/>
        <v>Zombie</v>
      </c>
      <c r="E31" s="235">
        <f t="array" ref="E31">IFERROR(IF(INDEX('Database-Hidden'!$A$2:$B$121,$C31,1)=$I$24,INDEX('Database-Hidden'!$A$2:$D$121,$C31,4),""),"")</f>
        <v>16</v>
      </c>
      <c r="I31" s="234" t="str">
        <f t="array" ref="I31">IFERROR(IF(INDEX('Database-Hidden'!$A$2:$B$121,$C31,1)=$I$24,INDEX('Database-Hidden'!$A$2:$B$121,$C31,2),""),"")</f>
        <v>Zombie</v>
      </c>
      <c r="AV31" s="203"/>
    </row>
    <row r="32" spans="1:49" ht="17.25" hidden="1" customHeight="1">
      <c r="C32" s="234">
        <f t="shared" si="7"/>
        <v>106</v>
      </c>
      <c r="D32" s="234" t="str">
        <f t="shared" si="6"/>
        <v>Ghoul</v>
      </c>
      <c r="E32" s="235">
        <f t="array" ref="E32">IFERROR(IF(INDEX('Database-Hidden'!$A$2:$B$121,$C32,1)=$I$24,INDEX('Database-Hidden'!$A$2:$D$121,$C32,4),""),"")</f>
        <v>4</v>
      </c>
      <c r="I32" s="234" t="str">
        <f t="array" ref="I32">IFERROR(IF(INDEX('Database-Hidden'!$A$2:$B$121,$C32,1)=$I$24,INDEX('Database-Hidden'!$A$2:$B$121,$C32,2),""),"")</f>
        <v>Ghoul</v>
      </c>
      <c r="AV32" s="203"/>
    </row>
    <row r="33" spans="3:48" ht="17.25" hidden="1" customHeight="1">
      <c r="C33" s="234">
        <f t="shared" si="7"/>
        <v>107</v>
      </c>
      <c r="D33" s="234" t="str">
        <f t="shared" si="6"/>
        <v>Wight</v>
      </c>
      <c r="E33" s="235">
        <f t="array" ref="E33">IFERROR(IF(INDEX('Database-Hidden'!$A$2:$B$121,$C33,1)=$I$24,INDEX('Database-Hidden'!$A$2:$D$121,$C33,4),""),"")</f>
        <v>2</v>
      </c>
      <c r="I33" s="234" t="str">
        <f t="array" ref="I33">IFERROR(IF(INDEX('Database-Hidden'!$A$2:$B$121,$C33,1)=$I$24,INDEX('Database-Hidden'!$A$2:$B$121,$C33,2),""),"")</f>
        <v>Wight</v>
      </c>
      <c r="AV33" s="203"/>
    </row>
    <row r="34" spans="3:48" ht="17.25" hidden="1" customHeight="1">
      <c r="C34" s="234">
        <f t="shared" si="7"/>
        <v>108</v>
      </c>
      <c r="D34" s="234" t="str">
        <f t="shared" si="6"/>
        <v>Mummy</v>
      </c>
      <c r="E34" s="235">
        <f t="array" ref="E34">IFERROR(IF(INDEX('Database-Hidden'!$A$2:$B$121,$C34,1)=$I$24,INDEX('Database-Hidden'!$A$2:$D$121,$C34,4),""),"")</f>
        <v>2</v>
      </c>
      <c r="I34" s="234" t="str">
        <f t="array" ref="I34">IFERROR(IF(INDEX('Database-Hidden'!$A$2:$B$121,$C34,1)=$I$24,INDEX('Database-Hidden'!$A$2:$B$121,$C34,2),""),"")</f>
        <v>Mummy</v>
      </c>
      <c r="AV34" s="203"/>
    </row>
    <row r="35" spans="3:48" ht="17.25" hidden="1" customHeight="1">
      <c r="C35" s="234">
        <f t="shared" si="7"/>
        <v>109</v>
      </c>
      <c r="D35" s="234" t="str">
        <f t="shared" si="6"/>
        <v/>
      </c>
      <c r="E35" s="235" t="str">
        <f t="array" ref="E35">IFERROR(IF(INDEX('Database-Hidden'!$A$2:$B$121,$C35,1)=$I$24,INDEX('Database-Hidden'!$A$2:$D$121,$C35,4),""),"")</f>
        <v/>
      </c>
      <c r="I35" s="234" t="str">
        <f t="array" ref="I35">IFERROR(IF(INDEX('Database-Hidden'!$A$2:$B$121,$C35,1)=$I$24,INDEX('Database-Hidden'!$A$2:$B$121,$C35,2),""),"")</f>
        <v/>
      </c>
      <c r="AV35" s="203"/>
    </row>
    <row r="36" spans="3:48" ht="17.25" hidden="1" customHeight="1">
      <c r="C36" s="234">
        <f t="shared" si="7"/>
        <v>110</v>
      </c>
      <c r="D36" s="234" t="str">
        <f t="shared" si="6"/>
        <v/>
      </c>
      <c r="E36" s="235" t="str">
        <f t="array" ref="E36">IFERROR(IF(INDEX('Database-Hidden'!$A$2:$B$121,$C36,1)=$I$24,INDEX('Database-Hidden'!$A$2:$D$121,$C36,4),""),"")</f>
        <v/>
      </c>
      <c r="I36" s="234" t="str">
        <f t="array" ref="I36">IFERROR(IF(INDEX('Database-Hidden'!$A$2:$B$121,$C36,1)=$I$24,INDEX('Database-Hidden'!$A$2:$B$121,$C36,2),""),"")</f>
        <v/>
      </c>
      <c r="AV36" s="203"/>
    </row>
    <row r="37" spans="3:48" ht="17.25" hidden="1" customHeight="1">
      <c r="C37" s="234">
        <f t="shared" si="7"/>
        <v>111</v>
      </c>
      <c r="D37" s="234" t="str">
        <f t="shared" si="6"/>
        <v/>
      </c>
      <c r="E37" s="235" t="str">
        <f t="array" ref="E37">IFERROR(IF(INDEX('Database-Hidden'!$A$2:$B$121,$C37,1)=$I$24,INDEX('Database-Hidden'!$A$2:$D$121,$C37,4),""),"")</f>
        <v/>
      </c>
      <c r="I37" s="234" t="str">
        <f t="array" ref="I37">IFERROR(IF(INDEX('Database-Hidden'!$A$2:$B$121,$C37,1)=$I$24,INDEX('Database-Hidden'!$A$2:$B$121,$C37,2),""),"")</f>
        <v/>
      </c>
      <c r="AV37" s="203"/>
    </row>
    <row r="38" spans="3:48" ht="17.25" hidden="1" customHeight="1">
      <c r="C38" s="234">
        <f t="shared" si="7"/>
        <v>112</v>
      </c>
      <c r="D38" s="234" t="str">
        <f t="shared" si="6"/>
        <v/>
      </c>
      <c r="E38" s="235" t="str">
        <f t="array" ref="E38">IFERROR(IF(INDEX('Database-Hidden'!$A$2:$B$121,$C38,1)=$I$24,INDEX('Database-Hidden'!$A$2:$D$121,$C38,4),""),"")</f>
        <v/>
      </c>
      <c r="I38" s="234" t="str">
        <f t="array" ref="I38">IFERROR(IF(INDEX('Database-Hidden'!$A$2:$B$121,$C38,1)=$I$24,INDEX('Database-Hidden'!$A$2:$B$121,$C38,2),""),"")</f>
        <v/>
      </c>
      <c r="AV38" s="203"/>
    </row>
    <row r="39" spans="3:48" ht="17.25" hidden="1" customHeight="1">
      <c r="C39" s="234">
        <f t="shared" si="7"/>
        <v>113</v>
      </c>
      <c r="D39" s="234" t="str">
        <f t="shared" si="6"/>
        <v/>
      </c>
      <c r="E39" s="235" t="str">
        <f t="array" ref="E39">IFERROR(IF(INDEX('Database-Hidden'!$A$2:$B$121,$C39,1)=$I$24,INDEX('Database-Hidden'!$A$2:$D$121,$C39,4),""),"")</f>
        <v/>
      </c>
      <c r="I39" s="234" t="str">
        <f t="array" ref="I39">IFERROR(IF(INDEX('Database-Hidden'!$A$2:$B$121,$C39,1)=$I$24,INDEX('Database-Hidden'!$A$2:$B$121,$C39,2),""),"")</f>
        <v/>
      </c>
      <c r="AV39" s="203"/>
    </row>
    <row r="40" spans="3:48" ht="17.25" hidden="1" customHeight="1">
      <c r="C40" s="236">
        <f>MATCH(I24,'Star Players-Hidden'!D2:AD2,0)</f>
        <v>24</v>
      </c>
      <c r="D40" s="236" t="str">
        <f t="shared" ref="D40:D51" ca="1" si="8">I40&amp;IF(COUNTIF(D$4:D$19,I40)&gt;1," (Too Many)","")</f>
        <v>Star: Count Luther Von Drakenborg</v>
      </c>
      <c r="E40" s="237"/>
      <c r="F40" s="237"/>
      <c r="G40" s="237"/>
      <c r="H40" s="237"/>
      <c r="I40" s="236" t="str">
        <f ca="1">IFERROR(__xludf.DUMMYFUNCTION("FILTER({""Star: ""&amp;'Star Players-Hidden'!A3:A69},INDEX('Star Players-Hidden'!D3:AD69,0,C40)&lt;&gt;"""",{'Star Players-Hidden'!C3:C69=""""}+{'Star Players-Hidden'!C3:C69=I21})"),"Star: Count Luther Von Drakenborg")</f>
        <v>Star: Count Luther Von Drakenborg</v>
      </c>
      <c r="AV40" s="203"/>
    </row>
    <row r="41" spans="3:48" ht="17.25" hidden="1" customHeight="1">
      <c r="C41" s="234"/>
      <c r="D41" s="234" t="str">
        <f t="shared" ca="1" si="8"/>
        <v>Star: Hack Enslash</v>
      </c>
      <c r="I41" s="238" t="str">
        <f ca="1">IFERROR(__xludf.DUMMYFUNCTION("""COMPUTED_VALUE"""),"Star: Hack Enslash")</f>
        <v>Star: Hack Enslash</v>
      </c>
      <c r="AV41" s="203"/>
    </row>
    <row r="42" spans="3:48" ht="17.25" hidden="1" customHeight="1">
      <c r="C42" s="234"/>
      <c r="D42" s="234" t="str">
        <f t="shared" ca="1" si="8"/>
        <v>Star: J Earlice</v>
      </c>
      <c r="I42" s="234" t="str">
        <f ca="1">IFERROR(__xludf.DUMMYFUNCTION("""COMPUTED_VALUE"""),"Star: J Earlice")</f>
        <v>Star: J Earlice</v>
      </c>
      <c r="AV42" s="203"/>
    </row>
    <row r="43" spans="3:48" ht="17.25" hidden="1" customHeight="1">
      <c r="C43" s="234"/>
      <c r="D43" s="234" t="str">
        <f t="shared" ca="1" si="8"/>
        <v>Star: Ramtut III</v>
      </c>
      <c r="I43" s="234" t="str">
        <f ca="1">IFERROR(__xludf.DUMMYFUNCTION("""COMPUTED_VALUE"""),"Star: Ramtut III")</f>
        <v>Star: Ramtut III</v>
      </c>
      <c r="AV43" s="203"/>
    </row>
    <row r="44" spans="3:48" ht="17.25" hidden="1" customHeight="1">
      <c r="C44" s="234"/>
      <c r="D44" s="234" t="str">
        <f t="shared" ca="1" si="8"/>
        <v>Star: Setekh</v>
      </c>
      <c r="I44" s="234" t="str">
        <f ca="1">IFERROR(__xludf.DUMMYFUNCTION("""COMPUTED_VALUE"""),"Star: Setekh")</f>
        <v>Star: Setekh</v>
      </c>
      <c r="AV44" s="203"/>
    </row>
    <row r="45" spans="3:48" ht="17.25" hidden="1" customHeight="1">
      <c r="C45" s="234"/>
      <c r="D45" s="234" t="str">
        <f t="shared" ca="1" si="8"/>
        <v>Star: Sinnedbad</v>
      </c>
      <c r="I45" s="234" t="str">
        <f ca="1">IFERROR(__xludf.DUMMYFUNCTION("""COMPUTED_VALUE"""),"Star: Sinnedbad")</f>
        <v>Star: Sinnedbad</v>
      </c>
      <c r="AV45" s="203"/>
    </row>
    <row r="46" spans="3:48" ht="17.25" hidden="1" customHeight="1">
      <c r="C46" s="234"/>
      <c r="D46" s="234" t="str">
        <f t="shared" si="8"/>
        <v/>
      </c>
      <c r="I46" s="234"/>
      <c r="AV46" s="203"/>
    </row>
    <row r="47" spans="3:48" ht="17.25" hidden="1" customHeight="1">
      <c r="C47" s="234"/>
      <c r="D47" s="234" t="str">
        <f t="shared" si="8"/>
        <v/>
      </c>
      <c r="I47" s="234"/>
      <c r="AV47" s="203"/>
    </row>
    <row r="48" spans="3:48" ht="17.25" hidden="1" customHeight="1">
      <c r="C48" s="234"/>
      <c r="D48" s="234" t="str">
        <f t="shared" si="8"/>
        <v/>
      </c>
      <c r="I48" s="234"/>
      <c r="AV48" s="203"/>
    </row>
    <row r="49" spans="3:48" ht="17.25" hidden="1" customHeight="1">
      <c r="C49" s="234"/>
      <c r="D49" s="234" t="str">
        <f t="shared" si="8"/>
        <v/>
      </c>
      <c r="I49" s="234"/>
      <c r="AV49" s="203"/>
    </row>
    <row r="50" spans="3:48" ht="17.25" hidden="1" customHeight="1">
      <c r="C50" s="234"/>
      <c r="D50" s="234" t="str">
        <f t="shared" si="8"/>
        <v/>
      </c>
      <c r="I50" s="234"/>
      <c r="AV50" s="203"/>
    </row>
    <row r="51" spans="3:48" ht="17.25" hidden="1" customHeight="1">
      <c r="C51" s="234"/>
      <c r="D51" s="234" t="str">
        <f t="shared" si="8"/>
        <v/>
      </c>
      <c r="I51" s="234"/>
      <c r="AV51" s="203"/>
    </row>
  </sheetData>
  <mergeCells count="31">
    <mergeCell ref="B20:D28"/>
    <mergeCell ref="P2:S2"/>
    <mergeCell ref="AN3:AQ3"/>
    <mergeCell ref="AR3:AV3"/>
    <mergeCell ref="L22:S22"/>
    <mergeCell ref="L23:S23"/>
    <mergeCell ref="V22:AA22"/>
    <mergeCell ref="V23:AA23"/>
    <mergeCell ref="E20:AA20"/>
    <mergeCell ref="V25:AA25"/>
    <mergeCell ref="L25:S25"/>
    <mergeCell ref="I27:K27"/>
    <mergeCell ref="I21:K23"/>
    <mergeCell ref="E21:H23"/>
    <mergeCell ref="E25:H25"/>
    <mergeCell ref="E24:H24"/>
    <mergeCell ref="I24:K24"/>
    <mergeCell ref="I25:K25"/>
    <mergeCell ref="E26:H26"/>
    <mergeCell ref="I26:K26"/>
    <mergeCell ref="V26:AA26"/>
    <mergeCell ref="L26:S26"/>
    <mergeCell ref="V24:AA24"/>
    <mergeCell ref="L24:S24"/>
    <mergeCell ref="V21:AA21"/>
    <mergeCell ref="L21:S21"/>
    <mergeCell ref="AN21:AO21"/>
    <mergeCell ref="E28:AA28"/>
    <mergeCell ref="L27:S27"/>
    <mergeCell ref="V27:AA27"/>
    <mergeCell ref="E27:H27"/>
  </mergeCells>
  <conditionalFormatting sqref="J4">
    <cfRule type="expression" dxfId="28" priority="1">
      <formula>K4&lt;&gt;SUM(AE4:AJ4)</formula>
    </cfRule>
  </conditionalFormatting>
  <conditionalFormatting sqref="K4:K19">
    <cfRule type="cellIs" dxfId="27" priority="2" operator="equal">
      <formula>0</formula>
    </cfRule>
  </conditionalFormatting>
  <conditionalFormatting sqref="AB4:AB19">
    <cfRule type="cellIs" dxfId="26" priority="3" operator="equal">
      <formula>0</formula>
    </cfRule>
  </conditionalFormatting>
  <conditionalFormatting sqref="E4:H19">
    <cfRule type="expression" dxfId="25" priority="4">
      <formula>AG4&gt;0</formula>
    </cfRule>
  </conditionalFormatting>
  <conditionalFormatting sqref="E4:H19">
    <cfRule type="expression" dxfId="24" priority="5">
      <formula>P4&gt;0</formula>
    </cfRule>
  </conditionalFormatting>
  <conditionalFormatting sqref="T4:T19 U4:U19 V4:W19 Z4:Z19 U29">
    <cfRule type="cellIs" dxfId="23" priority="6" stopIfTrue="1" operator="equal">
      <formula>0</formula>
    </cfRule>
  </conditionalFormatting>
  <conditionalFormatting sqref="K4:K19">
    <cfRule type="cellIs" dxfId="22" priority="7" stopIfTrue="1" operator="equal">
      <formula>"n/a"</formula>
    </cfRule>
  </conditionalFormatting>
  <conditionalFormatting sqref="P4:S19">
    <cfRule type="cellIs" dxfId="21" priority="8" stopIfTrue="1" operator="lessThanOrEqual">
      <formula>-1</formula>
    </cfRule>
  </conditionalFormatting>
  <conditionalFormatting sqref="V25:W27">
    <cfRule type="cellIs" dxfId="20" priority="9" stopIfTrue="1" operator="equal">
      <formula>-500</formula>
    </cfRule>
  </conditionalFormatting>
  <conditionalFormatting sqref="T25:T27">
    <cfRule type="cellIs" dxfId="19" priority="10" stopIfTrue="1" operator="greaterThan">
      <formula>$V$25</formula>
    </cfRule>
  </conditionalFormatting>
  <conditionalFormatting sqref="AA4:AA19">
    <cfRule type="cellIs" dxfId="18" priority="11" stopIfTrue="1" operator="equal">
      <formula>"Star"</formula>
    </cfRule>
  </conditionalFormatting>
  <conditionalFormatting sqref="AA4:AA19">
    <cfRule type="cellIs" dxfId="17" priority="12" stopIfTrue="1" operator="equal">
      <formula>AB4</formula>
    </cfRule>
  </conditionalFormatting>
  <conditionalFormatting sqref="I4:I19">
    <cfRule type="cellIs" dxfId="16" priority="13" stopIfTrue="1" operator="equal">
      <formula>0</formula>
    </cfRule>
  </conditionalFormatting>
  <conditionalFormatting sqref="I4:I19">
    <cfRule type="cellIs" dxfId="15" priority="14" stopIfTrue="1" operator="equal">
      <formula>"Player type quantity surpassed"</formula>
    </cfRule>
  </conditionalFormatting>
  <conditionalFormatting sqref="J5">
    <cfRule type="expression" dxfId="14" priority="15">
      <formula>K5&lt;&gt;SUM(AE5:AJ5)</formula>
    </cfRule>
  </conditionalFormatting>
  <conditionalFormatting sqref="J6">
    <cfRule type="expression" dxfId="13" priority="16">
      <formula>K6&lt;&gt;SUM(AE6:AJ6)</formula>
    </cfRule>
  </conditionalFormatting>
  <conditionalFormatting sqref="J7">
    <cfRule type="expression" dxfId="12" priority="17">
      <formula>K7&lt;&gt;SUM(AE7:AJ7)</formula>
    </cfRule>
  </conditionalFormatting>
  <conditionalFormatting sqref="J8">
    <cfRule type="expression" dxfId="11" priority="18">
      <formula>K8&lt;&gt;SUM(AE8:AJ8)</formula>
    </cfRule>
  </conditionalFormatting>
  <conditionalFormatting sqref="J9">
    <cfRule type="expression" dxfId="10" priority="19">
      <formula>K9&lt;&gt;SUM(AE9:AJ9)</formula>
    </cfRule>
  </conditionalFormatting>
  <conditionalFormatting sqref="J10">
    <cfRule type="expression" dxfId="9" priority="20">
      <formula>K10&lt;&gt;SUM(AE10:AJ10)</formula>
    </cfRule>
  </conditionalFormatting>
  <conditionalFormatting sqref="J11">
    <cfRule type="expression" dxfId="8" priority="21">
      <formula>K11&lt;&gt;SUM(AE11:AJ11)</formula>
    </cfRule>
  </conditionalFormatting>
  <conditionalFormatting sqref="J12">
    <cfRule type="expression" dxfId="7" priority="22">
      <formula>K12&lt;&gt;SUM(AE12:AJ12)</formula>
    </cfRule>
  </conditionalFormatting>
  <conditionalFormatting sqref="J13">
    <cfRule type="expression" dxfId="6" priority="23">
      <formula>K13&lt;&gt;SUM(AE13:AJ13)</formula>
    </cfRule>
  </conditionalFormatting>
  <conditionalFormatting sqref="J14">
    <cfRule type="expression" dxfId="5" priority="24">
      <formula>K14&lt;&gt;SUM(AE14:AJ14)</formula>
    </cfRule>
  </conditionalFormatting>
  <conditionalFormatting sqref="J15">
    <cfRule type="expression" dxfId="4" priority="25">
      <formula>K15&lt;&gt;SUM(AE15:AJ15)</formula>
    </cfRule>
  </conditionalFormatting>
  <conditionalFormatting sqref="J16">
    <cfRule type="expression" dxfId="3" priority="26">
      <formula>K16&lt;&gt;SUM(AE16:AJ16)</formula>
    </cfRule>
  </conditionalFormatting>
  <conditionalFormatting sqref="J17">
    <cfRule type="expression" dxfId="2" priority="27">
      <formula>K17&lt;&gt;SUM(AE17:AJ17)</formula>
    </cfRule>
  </conditionalFormatting>
  <conditionalFormatting sqref="J18">
    <cfRule type="expression" dxfId="1" priority="28">
      <formula>K18&lt;&gt;SUM(AE18:AJ18)</formula>
    </cfRule>
  </conditionalFormatting>
  <conditionalFormatting sqref="J19">
    <cfRule type="expression" dxfId="0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howErrorMessage="1" sqref="D4:D19">
      <formula1>TL!$D$28:$D$49</formula1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</dataValidations>
  <printOptions horizontalCentered="1"/>
  <pageMargins left="0.7" right="0.7" top="0.75" bottom="0.75" header="0" footer="0"/>
  <pageSetup scale="73" pageOrder="overThenDown"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K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.75" customHeight="1"/>
  <cols>
    <col min="1" max="1" width="25.85546875" customWidth="1"/>
    <col min="2" max="2" width="14.28515625" customWidth="1"/>
    <col min="3" max="3" width="17.85546875" customWidth="1"/>
    <col min="4" max="30" width="3.28515625" customWidth="1"/>
    <col min="31" max="31" width="62.140625" customWidth="1"/>
    <col min="32" max="32" width="10.42578125" customWidth="1"/>
    <col min="33" max="36" width="5.42578125" customWidth="1"/>
    <col min="37" max="37" width="10.7109375" customWidth="1"/>
  </cols>
  <sheetData>
    <row r="1" spans="1:37" ht="15.75" customHeight="1">
      <c r="A1" s="260" t="s">
        <v>367</v>
      </c>
      <c r="B1" s="275" t="s">
        <v>389</v>
      </c>
      <c r="C1" s="275" t="s">
        <v>368</v>
      </c>
      <c r="D1" s="276" t="s">
        <v>363</v>
      </c>
      <c r="E1" s="276" t="s">
        <v>369</v>
      </c>
      <c r="F1" s="276" t="s">
        <v>202</v>
      </c>
      <c r="G1" s="276" t="s">
        <v>129</v>
      </c>
      <c r="H1" s="276" t="s">
        <v>203</v>
      </c>
      <c r="I1" s="276" t="s">
        <v>211</v>
      </c>
      <c r="J1" s="276" t="s">
        <v>370</v>
      </c>
      <c r="K1" s="276" t="s">
        <v>371</v>
      </c>
      <c r="L1" s="276" t="s">
        <v>304</v>
      </c>
      <c r="M1" s="276" t="s">
        <v>372</v>
      </c>
      <c r="N1" s="276" t="s">
        <v>373</v>
      </c>
      <c r="O1" s="276" t="s">
        <v>374</v>
      </c>
      <c r="P1" s="276" t="s">
        <v>375</v>
      </c>
      <c r="Q1" s="276" t="s">
        <v>38</v>
      </c>
      <c r="R1" s="276" t="s">
        <v>270</v>
      </c>
      <c r="S1" s="276" t="s">
        <v>376</v>
      </c>
      <c r="T1" s="276" t="s">
        <v>131</v>
      </c>
      <c r="U1" s="276" t="s">
        <v>329</v>
      </c>
      <c r="V1" s="276" t="s">
        <v>184</v>
      </c>
      <c r="W1" s="276" t="s">
        <v>314</v>
      </c>
      <c r="X1" s="276" t="s">
        <v>377</v>
      </c>
      <c r="Y1" s="276" t="s">
        <v>268</v>
      </c>
      <c r="Z1" s="276" t="s">
        <v>378</v>
      </c>
      <c r="AA1" s="276" t="s">
        <v>365</v>
      </c>
      <c r="AB1" s="276" t="s">
        <v>379</v>
      </c>
      <c r="AC1" s="276" t="s">
        <v>380</v>
      </c>
      <c r="AD1" s="276" t="s">
        <v>272</v>
      </c>
      <c r="AE1" s="261" t="s">
        <v>4</v>
      </c>
      <c r="AF1" s="262" t="s">
        <v>381</v>
      </c>
      <c r="AG1" s="263" t="s">
        <v>5</v>
      </c>
      <c r="AH1" s="263" t="s">
        <v>6</v>
      </c>
      <c r="AI1" s="263" t="s">
        <v>7</v>
      </c>
      <c r="AJ1" s="263" t="s">
        <v>8</v>
      </c>
      <c r="AK1" s="263" t="s">
        <v>32</v>
      </c>
    </row>
    <row r="2" spans="1:37" ht="15.75" customHeight="1">
      <c r="A2" s="264"/>
      <c r="B2" s="264"/>
      <c r="C2" s="264"/>
      <c r="D2" s="265" t="s">
        <v>363</v>
      </c>
      <c r="E2" s="265" t="s">
        <v>369</v>
      </c>
      <c r="F2" s="265" t="s">
        <v>202</v>
      </c>
      <c r="G2" s="265" t="s">
        <v>129</v>
      </c>
      <c r="H2" s="265" t="s">
        <v>203</v>
      </c>
      <c r="I2" s="265" t="s">
        <v>211</v>
      </c>
      <c r="J2" s="265" t="s">
        <v>370</v>
      </c>
      <c r="K2" s="265" t="s">
        <v>371</v>
      </c>
      <c r="L2" s="265" t="s">
        <v>304</v>
      </c>
      <c r="M2" s="265" t="s">
        <v>372</v>
      </c>
      <c r="N2" s="265" t="s">
        <v>373</v>
      </c>
      <c r="O2" s="265" t="s">
        <v>374</v>
      </c>
      <c r="P2" s="265" t="s">
        <v>375</v>
      </c>
      <c r="Q2" s="265" t="s">
        <v>38</v>
      </c>
      <c r="R2" s="265" t="s">
        <v>270</v>
      </c>
      <c r="S2" s="265" t="s">
        <v>376</v>
      </c>
      <c r="T2" s="265" t="s">
        <v>131</v>
      </c>
      <c r="U2" s="265" t="s">
        <v>329</v>
      </c>
      <c r="V2" s="265" t="s">
        <v>184</v>
      </c>
      <c r="W2" s="265" t="s">
        <v>314</v>
      </c>
      <c r="X2" s="265" t="s">
        <v>377</v>
      </c>
      <c r="Y2" s="265" t="s">
        <v>268</v>
      </c>
      <c r="Z2" s="265" t="s">
        <v>378</v>
      </c>
      <c r="AA2" s="265" t="s">
        <v>365</v>
      </c>
      <c r="AB2" s="265" t="s">
        <v>379</v>
      </c>
      <c r="AC2" s="265" t="s">
        <v>380</v>
      </c>
      <c r="AD2" s="265" t="s">
        <v>272</v>
      </c>
      <c r="AE2" s="266"/>
      <c r="AF2" s="267"/>
      <c r="AG2" s="268"/>
      <c r="AH2" s="268"/>
      <c r="AI2" s="268"/>
      <c r="AJ2" s="268"/>
      <c r="AK2" s="268"/>
    </row>
    <row r="3" spans="1:37" ht="15.75" customHeight="1">
      <c r="A3" s="269" t="s">
        <v>382</v>
      </c>
      <c r="B3" s="70"/>
      <c r="C3" s="70"/>
      <c r="D3" s="205"/>
      <c r="E3" s="205"/>
      <c r="F3" s="205"/>
      <c r="G3" s="205"/>
      <c r="H3" s="205"/>
      <c r="I3" s="205"/>
      <c r="J3" s="70" t="s">
        <v>383</v>
      </c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70" t="s">
        <v>384</v>
      </c>
      <c r="AF3" s="271">
        <v>60000</v>
      </c>
      <c r="AG3" s="272">
        <v>6</v>
      </c>
      <c r="AH3" s="272">
        <v>3</v>
      </c>
      <c r="AI3" s="272">
        <v>3</v>
      </c>
      <c r="AJ3" s="272">
        <v>8</v>
      </c>
      <c r="AK3" s="273">
        <f t="shared" ref="AK3:AK24" si="0">IF(AF3=0,0,IF(AF3&lt;=100000,20000,IF(AF3&lt;=150000,30000,IF(AF3&lt;=200000,40000,IF(AF3&lt;=300000,50000,60000)))))</f>
        <v>20000</v>
      </c>
    </row>
    <row r="4" spans="1:37" ht="15.75" customHeight="1">
      <c r="A4" s="269" t="s">
        <v>385</v>
      </c>
      <c r="B4" s="70"/>
      <c r="C4" s="70"/>
      <c r="D4" s="70" t="s">
        <v>383</v>
      </c>
      <c r="E4" s="205"/>
      <c r="F4" s="205"/>
      <c r="G4" s="205"/>
      <c r="H4" s="205"/>
      <c r="I4" s="205"/>
      <c r="J4" s="205"/>
      <c r="K4" s="205"/>
      <c r="L4" s="205"/>
      <c r="M4" s="70" t="s">
        <v>383</v>
      </c>
      <c r="N4" s="205"/>
      <c r="O4" s="205"/>
      <c r="P4" s="205"/>
      <c r="Q4" s="205"/>
      <c r="R4" s="205"/>
      <c r="S4" s="205"/>
      <c r="T4" s="205"/>
      <c r="U4" s="205"/>
      <c r="V4" s="70" t="s">
        <v>383</v>
      </c>
      <c r="W4" s="205"/>
      <c r="X4" s="205"/>
      <c r="Y4" s="205"/>
      <c r="Z4" s="205"/>
      <c r="AA4" s="205"/>
      <c r="AB4" s="205"/>
      <c r="AC4" s="205"/>
      <c r="AD4" s="205"/>
      <c r="AE4" s="274" t="s">
        <v>386</v>
      </c>
      <c r="AF4" s="271">
        <v>290000</v>
      </c>
      <c r="AG4" s="272">
        <v>6</v>
      </c>
      <c r="AH4" s="272">
        <v>5</v>
      </c>
      <c r="AI4" s="272">
        <v>2</v>
      </c>
      <c r="AJ4" s="272">
        <v>9</v>
      </c>
      <c r="AK4" s="273">
        <f t="shared" si="0"/>
        <v>50000</v>
      </c>
    </row>
    <row r="5" spans="1:37" ht="15.75" customHeight="1">
      <c r="A5" s="269" t="s">
        <v>387</v>
      </c>
      <c r="B5" s="70"/>
      <c r="C5" s="70"/>
      <c r="D5" s="205"/>
      <c r="E5" s="205"/>
      <c r="F5" s="70"/>
      <c r="G5" s="205"/>
      <c r="H5" s="205"/>
      <c r="I5" s="205"/>
      <c r="J5" s="205"/>
      <c r="K5" s="205"/>
      <c r="L5" s="205"/>
      <c r="M5" s="205"/>
      <c r="N5" s="70" t="s">
        <v>383</v>
      </c>
      <c r="O5" s="205"/>
      <c r="P5" s="205"/>
      <c r="Q5" s="205"/>
      <c r="R5" s="205"/>
      <c r="S5" s="205"/>
      <c r="T5" s="205"/>
      <c r="U5" s="70"/>
      <c r="V5" s="70"/>
      <c r="W5" s="205"/>
      <c r="X5" s="205"/>
      <c r="Y5" s="205"/>
      <c r="Z5" s="205"/>
      <c r="AA5" s="205"/>
      <c r="AB5" s="205"/>
      <c r="AC5" s="205"/>
      <c r="AD5" s="205"/>
      <c r="AE5" s="274" t="s">
        <v>388</v>
      </c>
      <c r="AF5" s="271">
        <v>160000</v>
      </c>
      <c r="AG5" s="272">
        <v>8</v>
      </c>
      <c r="AH5" s="272">
        <v>3</v>
      </c>
      <c r="AI5" s="272">
        <v>4</v>
      </c>
      <c r="AJ5" s="272">
        <v>7</v>
      </c>
      <c r="AK5" s="273">
        <f t="shared" si="0"/>
        <v>40000</v>
      </c>
    </row>
    <row r="6" spans="1:37" ht="15.75" customHeight="1">
      <c r="A6" s="269" t="s">
        <v>390</v>
      </c>
      <c r="B6" s="205"/>
      <c r="C6" s="205"/>
      <c r="D6" s="205"/>
      <c r="E6" s="205"/>
      <c r="F6" s="205"/>
      <c r="G6" s="205"/>
      <c r="H6" s="70" t="s">
        <v>383</v>
      </c>
      <c r="I6" s="205"/>
      <c r="J6" s="205"/>
      <c r="K6" s="205"/>
      <c r="L6" s="70" t="s">
        <v>383</v>
      </c>
      <c r="M6" s="205"/>
      <c r="N6" s="205"/>
      <c r="O6" s="205"/>
      <c r="P6" s="205"/>
      <c r="Q6" s="205"/>
      <c r="R6" s="205"/>
      <c r="S6" s="205"/>
      <c r="T6" s="205"/>
      <c r="U6" s="205"/>
      <c r="V6" s="70" t="s">
        <v>383</v>
      </c>
      <c r="W6" s="70" t="s">
        <v>383</v>
      </c>
      <c r="X6" s="205"/>
      <c r="Y6" s="205"/>
      <c r="Z6" s="205"/>
      <c r="AA6" s="205"/>
      <c r="AB6" s="70" t="s">
        <v>383</v>
      </c>
      <c r="AC6" s="205"/>
      <c r="AD6" s="205"/>
      <c r="AE6" s="274" t="s">
        <v>391</v>
      </c>
      <c r="AF6" s="271">
        <v>60000</v>
      </c>
      <c r="AG6" s="272">
        <v>6</v>
      </c>
      <c r="AH6" s="272">
        <v>2</v>
      </c>
      <c r="AI6" s="272">
        <v>3</v>
      </c>
      <c r="AJ6" s="272">
        <v>7</v>
      </c>
      <c r="AK6" s="273">
        <f t="shared" si="0"/>
        <v>20000</v>
      </c>
    </row>
    <row r="7" spans="1:37" ht="15.75" customHeight="1">
      <c r="A7" s="269" t="s">
        <v>392</v>
      </c>
      <c r="B7" s="205"/>
      <c r="C7" s="205"/>
      <c r="D7" s="205"/>
      <c r="E7" s="205"/>
      <c r="F7" s="205"/>
      <c r="G7" s="205"/>
      <c r="H7" s="205"/>
      <c r="I7" s="205"/>
      <c r="J7" s="70" t="s">
        <v>383</v>
      </c>
      <c r="K7" s="205"/>
      <c r="L7" s="205"/>
      <c r="M7" s="205"/>
      <c r="N7" s="205"/>
      <c r="O7" s="205"/>
      <c r="P7" s="205"/>
      <c r="Q7" s="205"/>
      <c r="R7" s="205"/>
      <c r="S7" s="205"/>
      <c r="T7" s="70" t="s">
        <v>383</v>
      </c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74" t="s">
        <v>393</v>
      </c>
      <c r="AF7" s="271">
        <v>60000</v>
      </c>
      <c r="AG7" s="272">
        <v>4</v>
      </c>
      <c r="AH7" s="272">
        <v>3</v>
      </c>
      <c r="AI7" s="272">
        <v>2</v>
      </c>
      <c r="AJ7" s="272">
        <v>9</v>
      </c>
      <c r="AK7" s="273">
        <f t="shared" si="0"/>
        <v>20000</v>
      </c>
    </row>
    <row r="8" spans="1:37" ht="15.75" customHeight="1">
      <c r="A8" s="269" t="s">
        <v>394</v>
      </c>
      <c r="B8" s="70" t="s">
        <v>411</v>
      </c>
      <c r="C8" s="205"/>
      <c r="D8" s="205"/>
      <c r="E8" s="205"/>
      <c r="F8" s="70" t="s">
        <v>383</v>
      </c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70" t="s">
        <v>383</v>
      </c>
      <c r="V8" s="70" t="s">
        <v>383</v>
      </c>
      <c r="W8" s="205"/>
      <c r="X8" s="205"/>
      <c r="Y8" s="205"/>
      <c r="Z8" s="205"/>
      <c r="AA8" s="205"/>
      <c r="AB8" s="205"/>
      <c r="AC8" s="205"/>
      <c r="AD8" s="205"/>
      <c r="AE8" s="274" t="s">
        <v>395</v>
      </c>
      <c r="AF8" s="271">
        <v>290000</v>
      </c>
      <c r="AG8" s="272">
        <v>5</v>
      </c>
      <c r="AH8" s="272">
        <v>5</v>
      </c>
      <c r="AI8" s="272">
        <v>2</v>
      </c>
      <c r="AJ8" s="272">
        <v>9</v>
      </c>
      <c r="AK8" s="273">
        <f t="shared" si="0"/>
        <v>50000</v>
      </c>
    </row>
    <row r="9" spans="1:37" ht="15.75" customHeight="1">
      <c r="A9" s="269" t="s">
        <v>413</v>
      </c>
      <c r="B9" s="205"/>
      <c r="C9" s="205"/>
      <c r="D9" s="205"/>
      <c r="E9" s="205"/>
      <c r="F9" s="205"/>
      <c r="G9" s="205"/>
      <c r="H9" s="205"/>
      <c r="I9" s="205"/>
      <c r="J9" s="205"/>
      <c r="K9" s="205"/>
      <c r="L9" s="205"/>
      <c r="M9" s="70" t="s">
        <v>383</v>
      </c>
      <c r="N9" s="205"/>
      <c r="O9" s="70" t="s">
        <v>383</v>
      </c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74" t="s">
        <v>416</v>
      </c>
      <c r="AF9" s="271">
        <v>140000</v>
      </c>
      <c r="AG9" s="272">
        <v>5</v>
      </c>
      <c r="AH9" s="272">
        <v>3</v>
      </c>
      <c r="AI9" s="272">
        <v>3</v>
      </c>
      <c r="AJ9" s="272">
        <v>6</v>
      </c>
      <c r="AK9" s="273">
        <f t="shared" si="0"/>
        <v>30000</v>
      </c>
    </row>
    <row r="10" spans="1:37" ht="15.75" customHeight="1">
      <c r="A10" s="269" t="s">
        <v>396</v>
      </c>
      <c r="B10" s="205"/>
      <c r="C10" s="205"/>
      <c r="D10" s="205"/>
      <c r="E10" s="205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70" t="s">
        <v>383</v>
      </c>
      <c r="T10" s="205"/>
      <c r="U10" s="205"/>
      <c r="V10" s="205"/>
      <c r="W10" s="205"/>
      <c r="X10" s="205"/>
      <c r="Y10" s="205"/>
      <c r="Z10" s="70"/>
      <c r="AA10" s="70" t="s">
        <v>383</v>
      </c>
      <c r="AB10" s="70"/>
      <c r="AC10" s="70" t="s">
        <v>383</v>
      </c>
      <c r="AD10" s="205"/>
      <c r="AE10" s="274" t="s">
        <v>397</v>
      </c>
      <c r="AF10" s="271">
        <v>390000</v>
      </c>
      <c r="AG10" s="272">
        <v>6</v>
      </c>
      <c r="AH10" s="272">
        <v>5</v>
      </c>
      <c r="AI10" s="272">
        <v>4</v>
      </c>
      <c r="AJ10" s="272">
        <v>9</v>
      </c>
      <c r="AK10" s="273">
        <f t="shared" si="0"/>
        <v>60000</v>
      </c>
    </row>
    <row r="11" spans="1:37" ht="15.75" customHeight="1">
      <c r="A11" s="269" t="s">
        <v>398</v>
      </c>
      <c r="B11" s="205"/>
      <c r="C11" s="205"/>
      <c r="D11" s="205"/>
      <c r="E11" s="205"/>
      <c r="F11" s="205"/>
      <c r="G11" s="205"/>
      <c r="H11" s="70" t="s">
        <v>383</v>
      </c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70"/>
      <c r="AC11" s="70" t="s">
        <v>383</v>
      </c>
      <c r="AD11" s="205"/>
      <c r="AE11" s="274" t="s">
        <v>399</v>
      </c>
      <c r="AF11" s="271">
        <v>120000</v>
      </c>
      <c r="AG11" s="272">
        <v>6</v>
      </c>
      <c r="AH11" s="272">
        <v>3</v>
      </c>
      <c r="AI11" s="272">
        <v>3</v>
      </c>
      <c r="AJ11" s="272">
        <v>8</v>
      </c>
      <c r="AK11" s="273">
        <f t="shared" si="0"/>
        <v>30000</v>
      </c>
    </row>
    <row r="12" spans="1:37" ht="15.75" customHeight="1">
      <c r="A12" s="269" t="s">
        <v>400</v>
      </c>
      <c r="B12" s="205"/>
      <c r="C12" s="205"/>
      <c r="D12" s="205"/>
      <c r="E12" s="205"/>
      <c r="F12" s="205"/>
      <c r="G12" s="205"/>
      <c r="H12" s="205"/>
      <c r="I12" s="205"/>
      <c r="J12" s="205"/>
      <c r="K12" s="205"/>
      <c r="L12" s="205"/>
      <c r="M12" s="70" t="s">
        <v>383</v>
      </c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74" t="s">
        <v>401</v>
      </c>
      <c r="AF12" s="271">
        <v>300000</v>
      </c>
      <c r="AG12" s="272">
        <v>2</v>
      </c>
      <c r="AH12" s="272">
        <v>7</v>
      </c>
      <c r="AI12" s="272">
        <v>1</v>
      </c>
      <c r="AJ12" s="272">
        <v>10</v>
      </c>
      <c r="AK12" s="273">
        <f t="shared" si="0"/>
        <v>50000</v>
      </c>
    </row>
    <row r="13" spans="1:37" ht="15.75" customHeight="1">
      <c r="A13" s="269" t="s">
        <v>402</v>
      </c>
      <c r="B13" s="205"/>
      <c r="C13" s="205"/>
      <c r="D13" s="205"/>
      <c r="E13" s="70" t="s">
        <v>383</v>
      </c>
      <c r="F13" s="205"/>
      <c r="G13" s="205"/>
      <c r="H13" s="205"/>
      <c r="I13" s="205"/>
      <c r="J13" s="205"/>
      <c r="K13" s="70" t="s">
        <v>383</v>
      </c>
      <c r="L13" s="205"/>
      <c r="M13" s="205"/>
      <c r="N13" s="70" t="s">
        <v>383</v>
      </c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70" t="s">
        <v>383</v>
      </c>
      <c r="AE13" s="274" t="s">
        <v>403</v>
      </c>
      <c r="AF13" s="271">
        <v>150000</v>
      </c>
      <c r="AG13" s="272">
        <v>7</v>
      </c>
      <c r="AH13" s="272">
        <v>3</v>
      </c>
      <c r="AI13" s="272">
        <v>4</v>
      </c>
      <c r="AJ13" s="272">
        <v>7</v>
      </c>
      <c r="AK13" s="273">
        <f t="shared" si="0"/>
        <v>30000</v>
      </c>
    </row>
    <row r="14" spans="1:37" ht="15.75" customHeight="1">
      <c r="A14" s="269" t="s">
        <v>404</v>
      </c>
      <c r="B14" s="70"/>
      <c r="C14" s="70"/>
      <c r="D14" s="205"/>
      <c r="E14" s="205"/>
      <c r="F14" s="205"/>
      <c r="G14" s="205"/>
      <c r="H14" s="70"/>
      <c r="I14" s="70" t="s">
        <v>383</v>
      </c>
      <c r="J14" s="205"/>
      <c r="K14" s="70" t="s">
        <v>383</v>
      </c>
      <c r="L14" s="205"/>
      <c r="M14" s="205"/>
      <c r="N14" s="70" t="s">
        <v>383</v>
      </c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70" t="s">
        <v>383</v>
      </c>
      <c r="AE14" s="274" t="s">
        <v>405</v>
      </c>
      <c r="AF14" s="271">
        <v>200000</v>
      </c>
      <c r="AG14" s="272">
        <v>8</v>
      </c>
      <c r="AH14" s="272">
        <v>3</v>
      </c>
      <c r="AI14" s="272">
        <v>4</v>
      </c>
      <c r="AJ14" s="272">
        <v>7</v>
      </c>
      <c r="AK14" s="273">
        <f t="shared" si="0"/>
        <v>40000</v>
      </c>
    </row>
    <row r="15" spans="1:37" ht="15.75" customHeight="1">
      <c r="A15" s="269" t="s">
        <v>406</v>
      </c>
      <c r="B15" s="205"/>
      <c r="C15" s="205"/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70" t="s">
        <v>383</v>
      </c>
      <c r="Z15" s="205"/>
      <c r="AA15" s="205"/>
      <c r="AB15" s="70" t="s">
        <v>383</v>
      </c>
      <c r="AC15" s="205"/>
      <c r="AD15" s="205"/>
      <c r="AE15" s="274" t="s">
        <v>407</v>
      </c>
      <c r="AF15" s="271">
        <v>100000</v>
      </c>
      <c r="AG15" s="272">
        <v>4</v>
      </c>
      <c r="AH15" s="272">
        <v>7</v>
      </c>
      <c r="AI15" s="272">
        <v>3</v>
      </c>
      <c r="AJ15" s="272">
        <v>7</v>
      </c>
      <c r="AK15" s="273">
        <f t="shared" si="0"/>
        <v>20000</v>
      </c>
    </row>
    <row r="16" spans="1:37" ht="15.75" customHeight="1">
      <c r="A16" s="269" t="s">
        <v>408</v>
      </c>
      <c r="B16" s="205"/>
      <c r="C16" s="205"/>
      <c r="D16" s="205"/>
      <c r="E16" s="205"/>
      <c r="F16" s="205"/>
      <c r="G16" s="205"/>
      <c r="H16" s="205"/>
      <c r="I16" s="205"/>
      <c r="J16" s="70" t="s">
        <v>383</v>
      </c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74" t="s">
        <v>409</v>
      </c>
      <c r="AF16" s="271">
        <v>130000</v>
      </c>
      <c r="AG16" s="272">
        <v>5</v>
      </c>
      <c r="AH16" s="272">
        <v>3</v>
      </c>
      <c r="AI16" s="272">
        <v>2</v>
      </c>
      <c r="AJ16" s="272">
        <v>8</v>
      </c>
      <c r="AK16" s="273">
        <f t="shared" si="0"/>
        <v>30000</v>
      </c>
    </row>
    <row r="17" spans="1:37" ht="15.75" customHeight="1">
      <c r="A17" s="269" t="s">
        <v>410</v>
      </c>
      <c r="B17" s="205"/>
      <c r="C17" s="205"/>
      <c r="D17" s="205"/>
      <c r="E17" s="205"/>
      <c r="F17" s="205"/>
      <c r="G17" s="205"/>
      <c r="H17" s="205"/>
      <c r="I17" s="205"/>
      <c r="J17" s="205"/>
      <c r="K17" s="205"/>
      <c r="L17" s="70" t="s">
        <v>383</v>
      </c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74" t="s">
        <v>412</v>
      </c>
      <c r="AF17" s="271">
        <v>80000</v>
      </c>
      <c r="AG17" s="272">
        <v>4</v>
      </c>
      <c r="AH17" s="272">
        <v>7</v>
      </c>
      <c r="AI17" s="272">
        <v>3</v>
      </c>
      <c r="AJ17" s="272">
        <v>7</v>
      </c>
      <c r="AK17" s="273">
        <f t="shared" si="0"/>
        <v>20000</v>
      </c>
    </row>
    <row r="18" spans="1:37" ht="15.75" customHeight="1">
      <c r="A18" s="269" t="s">
        <v>414</v>
      </c>
      <c r="B18" s="205"/>
      <c r="C18" s="205"/>
      <c r="D18" s="205"/>
      <c r="E18" s="205"/>
      <c r="F18" s="205"/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70" t="s">
        <v>383</v>
      </c>
      <c r="Y18" s="70"/>
      <c r="Z18" s="205"/>
      <c r="AA18" s="205"/>
      <c r="AB18" s="205"/>
      <c r="AC18" s="205"/>
      <c r="AD18" s="205"/>
      <c r="AE18" s="274" t="s">
        <v>415</v>
      </c>
      <c r="AF18" s="271">
        <v>170000</v>
      </c>
      <c r="AG18" s="272">
        <v>7</v>
      </c>
      <c r="AH18" s="272">
        <v>3</v>
      </c>
      <c r="AI18" s="272">
        <v>3</v>
      </c>
      <c r="AJ18" s="272">
        <v>7</v>
      </c>
      <c r="AK18" s="273">
        <f t="shared" si="0"/>
        <v>40000</v>
      </c>
    </row>
    <row r="19" spans="1:37" ht="15.75" customHeight="1">
      <c r="A19" s="269" t="s">
        <v>417</v>
      </c>
      <c r="B19" s="205"/>
      <c r="C19" s="205"/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70" t="s">
        <v>383</v>
      </c>
      <c r="Z19" s="205"/>
      <c r="AA19" s="205"/>
      <c r="AB19" s="70" t="s">
        <v>383</v>
      </c>
      <c r="AC19" s="205"/>
      <c r="AD19" s="205"/>
      <c r="AE19" s="274" t="s">
        <v>418</v>
      </c>
      <c r="AF19" s="271">
        <v>210000</v>
      </c>
      <c r="AG19" s="272">
        <v>7</v>
      </c>
      <c r="AH19" s="272">
        <v>4</v>
      </c>
      <c r="AI19" s="272">
        <v>3</v>
      </c>
      <c r="AJ19" s="272">
        <v>8</v>
      </c>
      <c r="AK19" s="273">
        <f t="shared" si="0"/>
        <v>50000</v>
      </c>
    </row>
    <row r="20" spans="1:37" ht="15.75" customHeight="1">
      <c r="A20" s="269" t="s">
        <v>419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70" t="s">
        <v>383</v>
      </c>
      <c r="Z20" s="205"/>
      <c r="AA20" s="205"/>
      <c r="AB20" s="205"/>
      <c r="AC20" s="205"/>
      <c r="AD20" s="205"/>
      <c r="AE20" s="274" t="s">
        <v>420</v>
      </c>
      <c r="AF20" s="271">
        <v>190000</v>
      </c>
      <c r="AG20" s="272">
        <v>5</v>
      </c>
      <c r="AH20" s="272">
        <v>4</v>
      </c>
      <c r="AI20" s="272">
        <v>2</v>
      </c>
      <c r="AJ20" s="272">
        <v>8</v>
      </c>
      <c r="AK20" s="273">
        <f t="shared" si="0"/>
        <v>40000</v>
      </c>
    </row>
    <row r="21" spans="1:37" ht="15.75" customHeight="1">
      <c r="A21" s="269" t="s">
        <v>421</v>
      </c>
      <c r="B21" s="205"/>
      <c r="C21" s="205"/>
      <c r="D21" s="205"/>
      <c r="E21" s="205"/>
      <c r="F21" s="70" t="s">
        <v>383</v>
      </c>
      <c r="G21" s="70" t="s">
        <v>383</v>
      </c>
      <c r="H21" s="205"/>
      <c r="I21" s="205"/>
      <c r="J21" s="205"/>
      <c r="K21" s="205"/>
      <c r="L21" s="205"/>
      <c r="M21" s="205"/>
      <c r="N21" s="205"/>
      <c r="O21" s="205"/>
      <c r="P21" s="205"/>
      <c r="Q21" s="70" t="s">
        <v>383</v>
      </c>
      <c r="R21" s="205"/>
      <c r="S21" s="205"/>
      <c r="T21" s="205"/>
      <c r="U21" s="70" t="s">
        <v>383</v>
      </c>
      <c r="V21" s="205"/>
      <c r="W21" s="205"/>
      <c r="X21" s="205"/>
      <c r="Y21" s="205"/>
      <c r="Z21" s="205"/>
      <c r="AA21" s="205"/>
      <c r="AB21" s="205"/>
      <c r="AC21" s="205"/>
      <c r="AD21" s="205"/>
      <c r="AE21" s="274" t="s">
        <v>422</v>
      </c>
      <c r="AF21" s="271">
        <v>310000</v>
      </c>
      <c r="AG21" s="272">
        <v>6</v>
      </c>
      <c r="AH21" s="272">
        <v>6</v>
      </c>
      <c r="AI21" s="272">
        <v>2</v>
      </c>
      <c r="AJ21" s="272">
        <v>8</v>
      </c>
      <c r="AK21" s="273">
        <f t="shared" si="0"/>
        <v>60000</v>
      </c>
    </row>
    <row r="22" spans="1:37" ht="15.75" customHeight="1">
      <c r="A22" s="269" t="s">
        <v>423</v>
      </c>
      <c r="B22" s="205"/>
      <c r="C22" s="205"/>
      <c r="D22" s="205"/>
      <c r="E22" s="70" t="s">
        <v>383</v>
      </c>
      <c r="F22" s="205"/>
      <c r="G22" s="205"/>
      <c r="H22" s="205"/>
      <c r="I22" s="205"/>
      <c r="J22" s="205"/>
      <c r="K22" s="205"/>
      <c r="L22" s="205"/>
      <c r="M22" s="205"/>
      <c r="N22" s="205"/>
      <c r="O22" s="70" t="s">
        <v>383</v>
      </c>
      <c r="P22" s="205"/>
      <c r="Q22" s="205"/>
      <c r="R22" s="205"/>
      <c r="S22" s="205"/>
      <c r="T22" s="205"/>
      <c r="U22" s="205"/>
      <c r="V22" s="205"/>
      <c r="W22" s="205"/>
      <c r="X22" s="70" t="s">
        <v>383</v>
      </c>
      <c r="Y22" s="205"/>
      <c r="Z22" s="205"/>
      <c r="AA22" s="205"/>
      <c r="AB22" s="205"/>
      <c r="AC22" s="205"/>
      <c r="AD22" s="205"/>
      <c r="AE22" s="274" t="s">
        <v>424</v>
      </c>
      <c r="AF22" s="271">
        <v>320000</v>
      </c>
      <c r="AG22" s="272">
        <v>7</v>
      </c>
      <c r="AH22" s="272">
        <v>4</v>
      </c>
      <c r="AI22" s="272">
        <v>4</v>
      </c>
      <c r="AJ22" s="272">
        <v>8</v>
      </c>
      <c r="AK22" s="273">
        <f t="shared" si="0"/>
        <v>60000</v>
      </c>
    </row>
    <row r="23" spans="1:37" ht="15.75" customHeight="1">
      <c r="A23" s="269" t="s">
        <v>425</v>
      </c>
      <c r="B23" s="205"/>
      <c r="C23" s="205"/>
      <c r="D23" s="205"/>
      <c r="E23" s="205"/>
      <c r="F23" s="205"/>
      <c r="G23" s="205"/>
      <c r="H23" s="205"/>
      <c r="I23" s="205"/>
      <c r="J23" s="70" t="s">
        <v>383</v>
      </c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74" t="s">
        <v>426</v>
      </c>
      <c r="AF23" s="271">
        <v>220000</v>
      </c>
      <c r="AG23" s="272">
        <v>5</v>
      </c>
      <c r="AH23" s="272">
        <v>4</v>
      </c>
      <c r="AI23" s="272">
        <v>3</v>
      </c>
      <c r="AJ23" s="272">
        <v>8</v>
      </c>
      <c r="AK23" s="273">
        <f t="shared" si="0"/>
        <v>50000</v>
      </c>
    </row>
    <row r="24" spans="1:37" ht="15.75" customHeight="1">
      <c r="A24" s="269" t="s">
        <v>411</v>
      </c>
      <c r="B24" s="260" t="s">
        <v>394</v>
      </c>
      <c r="C24" s="205"/>
      <c r="D24" s="205"/>
      <c r="E24" s="205"/>
      <c r="F24" s="70" t="s">
        <v>383</v>
      </c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70" t="s">
        <v>383</v>
      </c>
      <c r="V24" s="70" t="s">
        <v>383</v>
      </c>
      <c r="W24" s="205"/>
      <c r="X24" s="205"/>
      <c r="Y24" s="205"/>
      <c r="Z24" s="205"/>
      <c r="AA24" s="205"/>
      <c r="AB24" s="205"/>
      <c r="AC24" s="205"/>
      <c r="AD24" s="205"/>
      <c r="AE24" s="274" t="s">
        <v>427</v>
      </c>
      <c r="AF24" s="271">
        <v>0</v>
      </c>
      <c r="AG24" s="272">
        <v>6</v>
      </c>
      <c r="AH24" s="272">
        <v>2</v>
      </c>
      <c r="AI24" s="272">
        <v>4</v>
      </c>
      <c r="AJ24" s="272">
        <v>7</v>
      </c>
      <c r="AK24" s="273">
        <f t="shared" si="0"/>
        <v>0</v>
      </c>
    </row>
    <row r="25" spans="1:37" ht="15.75" customHeight="1">
      <c r="A25" s="269" t="s">
        <v>428</v>
      </c>
      <c r="B25" s="277"/>
      <c r="C25" s="205"/>
      <c r="D25" s="205"/>
      <c r="F25" s="70" t="s">
        <v>383</v>
      </c>
      <c r="G25" s="70"/>
      <c r="H25" s="70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70" t="s">
        <v>383</v>
      </c>
      <c r="V25" s="205"/>
      <c r="W25" s="205"/>
      <c r="X25" s="205"/>
      <c r="Y25" s="205"/>
      <c r="Z25" s="205"/>
      <c r="AA25" s="205"/>
      <c r="AB25" s="205"/>
      <c r="AC25" s="205"/>
      <c r="AD25" s="205"/>
      <c r="AE25" s="274" t="s">
        <v>429</v>
      </c>
      <c r="AF25" s="271">
        <v>210000</v>
      </c>
      <c r="AG25" s="272">
        <v>5</v>
      </c>
      <c r="AH25" s="272">
        <v>3</v>
      </c>
      <c r="AI25" s="272">
        <v>4</v>
      </c>
      <c r="AJ25" s="272">
        <v>9</v>
      </c>
      <c r="AK25" s="273">
        <f>IF(AF25&lt;=100000,20000,IF(AF25&lt;=150000,30000,IF(AF25&lt;=200000,40000,IF(AF25&lt;=300000,50000,60000))))</f>
        <v>50000</v>
      </c>
    </row>
    <row r="26" spans="1:37" ht="15.75" customHeight="1">
      <c r="A26" s="269" t="s">
        <v>430</v>
      </c>
      <c r="B26" s="205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70" t="s">
        <v>383</v>
      </c>
      <c r="Q26" s="205"/>
      <c r="R26" s="205"/>
      <c r="S26" s="70" t="s">
        <v>383</v>
      </c>
      <c r="T26" s="205"/>
      <c r="U26" s="205"/>
      <c r="V26" s="205"/>
      <c r="W26" s="205"/>
      <c r="X26" s="205"/>
      <c r="Y26" s="205"/>
      <c r="Z26" s="70"/>
      <c r="AA26" s="70" t="s">
        <v>383</v>
      </c>
      <c r="AB26" s="205"/>
      <c r="AC26" s="205"/>
      <c r="AD26" s="205"/>
      <c r="AE26" s="274" t="s">
        <v>431</v>
      </c>
      <c r="AF26" s="271">
        <v>120000</v>
      </c>
      <c r="AG26" s="272">
        <v>6</v>
      </c>
      <c r="AH26" s="272">
        <v>3</v>
      </c>
      <c r="AI26" s="272">
        <v>2</v>
      </c>
      <c r="AJ26" s="272">
        <v>7</v>
      </c>
      <c r="AK26" s="273">
        <f t="shared" ref="AK26:AK40" si="1">IF(AF26=0,0,IF(AF26&lt;=100000,20000,IF(AF26&lt;=150000,30000,IF(AF26&lt;=200000,40000,IF(AF26&lt;=300000,50000,60000)))))</f>
        <v>30000</v>
      </c>
    </row>
    <row r="27" spans="1:37" ht="15.75" customHeight="1">
      <c r="A27" s="269" t="s">
        <v>432</v>
      </c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70" t="s">
        <v>383</v>
      </c>
      <c r="Z27" s="205"/>
      <c r="AA27" s="205"/>
      <c r="AB27" s="205"/>
      <c r="AC27" s="205"/>
      <c r="AD27" s="205"/>
      <c r="AE27" s="274" t="s">
        <v>433</v>
      </c>
      <c r="AF27" s="271">
        <v>200000</v>
      </c>
      <c r="AG27" s="272">
        <v>9</v>
      </c>
      <c r="AH27" s="272">
        <v>3</v>
      </c>
      <c r="AI27" s="272">
        <v>4</v>
      </c>
      <c r="AJ27" s="272">
        <v>7</v>
      </c>
      <c r="AK27" s="273">
        <f t="shared" si="1"/>
        <v>40000</v>
      </c>
    </row>
    <row r="28" spans="1:37" ht="15.75" customHeight="1">
      <c r="A28" s="269" t="s">
        <v>434</v>
      </c>
      <c r="B28" s="205"/>
      <c r="C28" s="205"/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70" t="s">
        <v>383</v>
      </c>
      <c r="Z28" s="205"/>
      <c r="AA28" s="205"/>
      <c r="AB28" s="205"/>
      <c r="AC28" s="205"/>
      <c r="AD28" s="205"/>
      <c r="AE28" s="274" t="s">
        <v>435</v>
      </c>
      <c r="AF28" s="271">
        <v>340000</v>
      </c>
      <c r="AG28" s="272">
        <v>6</v>
      </c>
      <c r="AH28" s="272">
        <v>6</v>
      </c>
      <c r="AI28" s="272">
        <v>3</v>
      </c>
      <c r="AJ28" s="272">
        <v>8</v>
      </c>
      <c r="AK28" s="273">
        <f t="shared" si="1"/>
        <v>60000</v>
      </c>
    </row>
    <row r="29" spans="1:37" ht="15.75" customHeight="1">
      <c r="A29" s="269" t="s">
        <v>436</v>
      </c>
      <c r="B29" s="70"/>
      <c r="C29" s="70"/>
      <c r="D29" s="70" t="s">
        <v>383</v>
      </c>
      <c r="E29" s="205"/>
      <c r="F29" s="205"/>
      <c r="G29" s="205"/>
      <c r="H29" s="205"/>
      <c r="I29" s="205"/>
      <c r="J29" s="205"/>
      <c r="K29" s="205"/>
      <c r="L29" s="205"/>
      <c r="M29" s="205"/>
      <c r="N29" s="205"/>
      <c r="O29" s="70" t="s">
        <v>383</v>
      </c>
      <c r="P29" s="205"/>
      <c r="Q29" s="205"/>
      <c r="R29" s="70" t="s">
        <v>383</v>
      </c>
      <c r="S29" s="205"/>
      <c r="T29" s="70" t="s">
        <v>383</v>
      </c>
      <c r="U29" s="205"/>
      <c r="V29" s="205"/>
      <c r="W29" s="205"/>
      <c r="X29" s="70" t="s">
        <v>383</v>
      </c>
      <c r="Y29" s="205"/>
      <c r="Z29" s="70" t="s">
        <v>383</v>
      </c>
      <c r="AA29" s="205"/>
      <c r="AB29" s="70"/>
      <c r="AC29" s="70" t="s">
        <v>383</v>
      </c>
      <c r="AD29" s="205"/>
      <c r="AE29" s="274" t="s">
        <v>437</v>
      </c>
      <c r="AF29" s="271">
        <v>110000</v>
      </c>
      <c r="AG29" s="272">
        <v>6</v>
      </c>
      <c r="AH29" s="272">
        <v>3</v>
      </c>
      <c r="AI29" s="272">
        <v>3</v>
      </c>
      <c r="AJ29" s="272">
        <v>8</v>
      </c>
      <c r="AK29" s="273">
        <f t="shared" si="1"/>
        <v>30000</v>
      </c>
    </row>
    <row r="30" spans="1:37" ht="15.75" customHeight="1">
      <c r="A30" s="269" t="s">
        <v>438</v>
      </c>
      <c r="B30" s="205"/>
      <c r="C30" s="205"/>
      <c r="D30" s="205"/>
      <c r="E30" s="205"/>
      <c r="F30" s="205"/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  <c r="R30" s="70" t="s">
        <v>383</v>
      </c>
      <c r="S30" s="205"/>
      <c r="T30" s="205"/>
      <c r="U30" s="205"/>
      <c r="V30" s="205"/>
      <c r="W30" s="205"/>
      <c r="X30" s="205"/>
      <c r="Y30" s="205"/>
      <c r="Z30" s="70" t="s">
        <v>383</v>
      </c>
      <c r="AA30" s="205"/>
      <c r="AB30" s="205"/>
      <c r="AC30" s="205"/>
      <c r="AD30" s="205"/>
      <c r="AE30" s="274" t="s">
        <v>439</v>
      </c>
      <c r="AF30" s="271">
        <v>170000</v>
      </c>
      <c r="AG30" s="272">
        <v>8</v>
      </c>
      <c r="AH30" s="272">
        <v>2</v>
      </c>
      <c r="AI30" s="272">
        <v>3</v>
      </c>
      <c r="AJ30" s="272">
        <v>7</v>
      </c>
      <c r="AK30" s="273">
        <f t="shared" si="1"/>
        <v>40000</v>
      </c>
    </row>
    <row r="31" spans="1:37" ht="15.75" customHeight="1">
      <c r="A31" s="269" t="s">
        <v>440</v>
      </c>
      <c r="B31" s="205"/>
      <c r="C31" s="205"/>
      <c r="D31" s="205"/>
      <c r="E31" s="205"/>
      <c r="F31" s="205"/>
      <c r="G31" s="205"/>
      <c r="H31" s="70"/>
      <c r="I31" s="70" t="s">
        <v>383</v>
      </c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  <c r="Z31" s="205"/>
      <c r="AA31" s="205"/>
      <c r="AB31" s="205"/>
      <c r="AC31" s="205"/>
      <c r="AD31" s="205"/>
      <c r="AE31" s="274" t="s">
        <v>451</v>
      </c>
      <c r="AF31" s="271">
        <v>210000</v>
      </c>
      <c r="AG31" s="272">
        <v>7</v>
      </c>
      <c r="AH31" s="272">
        <v>3</v>
      </c>
      <c r="AI31" s="272">
        <v>4</v>
      </c>
      <c r="AJ31" s="272">
        <v>7</v>
      </c>
      <c r="AK31" s="273">
        <f t="shared" si="1"/>
        <v>50000</v>
      </c>
    </row>
    <row r="32" spans="1:37" ht="15.75" customHeight="1">
      <c r="A32" s="269" t="s">
        <v>441</v>
      </c>
      <c r="B32" s="205"/>
      <c r="C32" s="205"/>
      <c r="D32" s="205"/>
      <c r="E32" s="205"/>
      <c r="F32" s="205"/>
      <c r="G32" s="70" t="s">
        <v>383</v>
      </c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5"/>
      <c r="AC32" s="205"/>
      <c r="AD32" s="205"/>
      <c r="AE32" s="274" t="s">
        <v>442</v>
      </c>
      <c r="AF32" s="271">
        <v>330000</v>
      </c>
      <c r="AG32" s="272">
        <v>6</v>
      </c>
      <c r="AH32" s="272">
        <v>5</v>
      </c>
      <c r="AI32" s="272">
        <v>2</v>
      </c>
      <c r="AJ32" s="272">
        <v>9</v>
      </c>
      <c r="AK32" s="273">
        <f t="shared" si="1"/>
        <v>60000</v>
      </c>
    </row>
    <row r="33" spans="1:37" ht="15.75" customHeight="1">
      <c r="A33" s="269" t="s">
        <v>443</v>
      </c>
      <c r="B33" s="205"/>
      <c r="C33" s="205"/>
      <c r="D33" s="205"/>
      <c r="E33" s="205"/>
      <c r="F33" s="205"/>
      <c r="G33" s="205"/>
      <c r="H33" s="70"/>
      <c r="I33" s="70" t="s">
        <v>383</v>
      </c>
      <c r="J33" s="205"/>
      <c r="K33" s="70" t="s">
        <v>383</v>
      </c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5"/>
      <c r="Y33" s="205"/>
      <c r="Z33" s="205"/>
      <c r="AA33" s="205"/>
      <c r="AB33" s="205"/>
      <c r="AC33" s="205"/>
      <c r="AD33" s="205"/>
      <c r="AE33" s="274" t="s">
        <v>444</v>
      </c>
      <c r="AF33" s="271">
        <v>260000</v>
      </c>
      <c r="AG33" s="272">
        <v>7</v>
      </c>
      <c r="AH33" s="272">
        <v>4</v>
      </c>
      <c r="AI33" s="272">
        <v>4</v>
      </c>
      <c r="AJ33" s="272">
        <v>8</v>
      </c>
      <c r="AK33" s="273">
        <f t="shared" si="1"/>
        <v>50000</v>
      </c>
    </row>
    <row r="34" spans="1:37" ht="15.75" customHeight="1">
      <c r="A34" s="269" t="s">
        <v>445</v>
      </c>
      <c r="B34" s="205"/>
      <c r="C34" s="205"/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70" t="s">
        <v>383</v>
      </c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74" t="s">
        <v>446</v>
      </c>
      <c r="AF34" s="271">
        <v>130000</v>
      </c>
      <c r="AG34" s="272">
        <v>7</v>
      </c>
      <c r="AH34" s="272">
        <v>2</v>
      </c>
      <c r="AI34" s="272">
        <v>3</v>
      </c>
      <c r="AJ34" s="272">
        <v>7</v>
      </c>
      <c r="AK34" s="273">
        <f t="shared" si="1"/>
        <v>30000</v>
      </c>
    </row>
    <row r="35" spans="1:37" ht="15.75" customHeight="1">
      <c r="A35" s="269" t="s">
        <v>447</v>
      </c>
      <c r="B35" s="205"/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70" t="s">
        <v>383</v>
      </c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74" t="s">
        <v>448</v>
      </c>
      <c r="AF35" s="271">
        <v>330000</v>
      </c>
      <c r="AG35" s="272">
        <v>5</v>
      </c>
      <c r="AH35" s="272">
        <v>6</v>
      </c>
      <c r="AI35" s="272">
        <v>1</v>
      </c>
      <c r="AJ35" s="272">
        <v>8</v>
      </c>
      <c r="AK35" s="273">
        <f t="shared" si="1"/>
        <v>60000</v>
      </c>
    </row>
    <row r="36" spans="1:37" ht="15.75" customHeight="1">
      <c r="A36" s="269" t="s">
        <v>449</v>
      </c>
      <c r="B36" s="205"/>
      <c r="C36" s="205"/>
      <c r="D36" s="205"/>
      <c r="E36" s="205"/>
      <c r="F36" s="205"/>
      <c r="G36" s="205"/>
      <c r="H36" s="70"/>
      <c r="I36" s="70" t="s">
        <v>383</v>
      </c>
      <c r="J36" s="205"/>
      <c r="K36" s="205"/>
      <c r="L36" s="205"/>
      <c r="M36" s="205"/>
      <c r="N36" s="205"/>
      <c r="O36" s="205"/>
      <c r="P36" s="70" t="s">
        <v>383</v>
      </c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74" t="s">
        <v>450</v>
      </c>
      <c r="AF36" s="271">
        <v>220000</v>
      </c>
      <c r="AG36" s="272">
        <v>7</v>
      </c>
      <c r="AH36" s="272">
        <v>3</v>
      </c>
      <c r="AI36" s="272">
        <v>3</v>
      </c>
      <c r="AJ36" s="272">
        <v>7</v>
      </c>
      <c r="AK36" s="273">
        <f t="shared" si="1"/>
        <v>50000</v>
      </c>
    </row>
    <row r="37" spans="1:37" ht="15.75" customHeight="1">
      <c r="A37" s="269" t="s">
        <v>452</v>
      </c>
      <c r="B37" s="205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70" t="s">
        <v>383</v>
      </c>
      <c r="T37" s="205"/>
      <c r="U37" s="205"/>
      <c r="V37" s="205"/>
      <c r="W37" s="205"/>
      <c r="X37" s="205"/>
      <c r="Y37" s="205"/>
      <c r="Z37" s="70"/>
      <c r="AA37" s="70" t="s">
        <v>383</v>
      </c>
      <c r="AB37" s="70"/>
      <c r="AC37" s="70" t="s">
        <v>383</v>
      </c>
      <c r="AD37" s="205"/>
      <c r="AE37" s="274" t="s">
        <v>453</v>
      </c>
      <c r="AF37" s="271">
        <v>180000</v>
      </c>
      <c r="AG37" s="272">
        <v>8</v>
      </c>
      <c r="AH37" s="272">
        <v>3</v>
      </c>
      <c r="AI37" s="272">
        <v>3</v>
      </c>
      <c r="AJ37" s="272">
        <v>7</v>
      </c>
      <c r="AK37" s="273">
        <f t="shared" si="1"/>
        <v>40000</v>
      </c>
    </row>
    <row r="38" spans="1:37" ht="15.75" customHeight="1">
      <c r="A38" s="269" t="s">
        <v>454</v>
      </c>
      <c r="B38" s="205"/>
      <c r="C38" s="205"/>
      <c r="D38" s="205"/>
      <c r="E38" s="205"/>
      <c r="F38" s="205"/>
      <c r="G38" s="205"/>
      <c r="H38" s="205"/>
      <c r="I38" s="205"/>
      <c r="J38" s="205"/>
      <c r="K38" s="70" t="s">
        <v>383</v>
      </c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70" t="s">
        <v>383</v>
      </c>
      <c r="AE38" s="274" t="s">
        <v>455</v>
      </c>
      <c r="AF38" s="271">
        <v>260000</v>
      </c>
      <c r="AG38" s="272">
        <v>8</v>
      </c>
      <c r="AH38" s="272">
        <v>3</v>
      </c>
      <c r="AI38" s="272">
        <v>5</v>
      </c>
      <c r="AJ38" s="272">
        <v>7</v>
      </c>
      <c r="AK38" s="273">
        <f t="shared" si="1"/>
        <v>50000</v>
      </c>
    </row>
    <row r="39" spans="1:37" ht="15.75" customHeight="1">
      <c r="A39" s="269" t="s">
        <v>456</v>
      </c>
      <c r="B39" s="70"/>
      <c r="C39" s="70"/>
      <c r="D39" s="70" t="s">
        <v>383</v>
      </c>
      <c r="E39" s="70" t="s">
        <v>383</v>
      </c>
      <c r="F39" s="205"/>
      <c r="G39" s="205"/>
      <c r="H39" s="205"/>
      <c r="I39" s="205"/>
      <c r="J39" s="205"/>
      <c r="K39" s="70"/>
      <c r="L39" s="205"/>
      <c r="M39" s="70" t="s">
        <v>383</v>
      </c>
      <c r="N39" s="205"/>
      <c r="O39" s="70" t="s">
        <v>383</v>
      </c>
      <c r="P39" s="205"/>
      <c r="Q39" s="205"/>
      <c r="R39" s="205"/>
      <c r="S39" s="205"/>
      <c r="T39" s="70" t="s">
        <v>383</v>
      </c>
      <c r="U39" s="205"/>
      <c r="V39" s="205"/>
      <c r="W39" s="205"/>
      <c r="X39" s="70"/>
      <c r="Y39" s="205"/>
      <c r="Z39" s="205"/>
      <c r="AA39" s="205"/>
      <c r="AB39" s="205"/>
      <c r="AC39" s="205"/>
      <c r="AD39" s="70"/>
      <c r="AE39" s="274" t="s">
        <v>457</v>
      </c>
      <c r="AF39" s="271">
        <v>220000</v>
      </c>
      <c r="AG39" s="272">
        <v>6</v>
      </c>
      <c r="AH39" s="272">
        <v>4</v>
      </c>
      <c r="AI39" s="272">
        <v>3</v>
      </c>
      <c r="AJ39" s="272">
        <v>8</v>
      </c>
      <c r="AK39" s="273">
        <f t="shared" si="1"/>
        <v>50000</v>
      </c>
    </row>
    <row r="40" spans="1:37" ht="15.75" customHeight="1">
      <c r="A40" s="269" t="s">
        <v>458</v>
      </c>
      <c r="B40" s="205"/>
      <c r="C40" s="205"/>
      <c r="D40" s="205"/>
      <c r="E40" s="205"/>
      <c r="F40" s="205"/>
      <c r="G40" s="205"/>
      <c r="H40" s="205"/>
      <c r="I40" s="205"/>
      <c r="J40" s="205"/>
      <c r="K40" s="70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  <c r="X40" s="70" t="s">
        <v>383</v>
      </c>
      <c r="Y40" s="205"/>
      <c r="Z40" s="205"/>
      <c r="AA40" s="205"/>
      <c r="AB40" s="205"/>
      <c r="AC40" s="205"/>
      <c r="AD40" s="70"/>
      <c r="AE40" s="274" t="s">
        <v>459</v>
      </c>
      <c r="AF40" s="271">
        <v>270000</v>
      </c>
      <c r="AG40" s="272">
        <v>6</v>
      </c>
      <c r="AH40" s="272">
        <v>5</v>
      </c>
      <c r="AI40" s="272">
        <v>1</v>
      </c>
      <c r="AJ40" s="272">
        <v>9</v>
      </c>
      <c r="AK40" s="273">
        <f t="shared" si="1"/>
        <v>50000</v>
      </c>
    </row>
    <row r="41" spans="1:37" ht="15.75" customHeight="1">
      <c r="A41" s="269" t="s">
        <v>460</v>
      </c>
      <c r="B41" s="277"/>
      <c r="C41" s="205"/>
      <c r="D41" s="205"/>
      <c r="E41" s="205"/>
      <c r="F41" s="70"/>
      <c r="G41" s="70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Y41" s="70" t="s">
        <v>383</v>
      </c>
      <c r="Z41" s="205"/>
      <c r="AA41" s="205"/>
      <c r="AB41" s="70" t="s">
        <v>383</v>
      </c>
      <c r="AC41" s="205"/>
      <c r="AD41" s="205"/>
      <c r="AE41" s="274" t="s">
        <v>461</v>
      </c>
      <c r="AF41" s="271">
        <v>130000</v>
      </c>
      <c r="AG41" s="272">
        <v>5</v>
      </c>
      <c r="AH41" s="272">
        <v>7</v>
      </c>
      <c r="AI41" s="272">
        <v>2</v>
      </c>
      <c r="AJ41" s="272">
        <v>9</v>
      </c>
      <c r="AK41" s="273">
        <f>IF(AF41&lt;=100000,20000,IF(AF41&lt;=150000,30000,IF(AF41&lt;=200000,40000,IF(AF41&lt;=300000,50000,60000))))</f>
        <v>30000</v>
      </c>
    </row>
    <row r="42" spans="1:37" ht="15.75" customHeight="1">
      <c r="A42" s="269" t="s">
        <v>462</v>
      </c>
      <c r="B42" s="205"/>
      <c r="C42" s="205"/>
      <c r="D42" s="205"/>
      <c r="E42" s="205"/>
      <c r="F42" s="70" t="s">
        <v>383</v>
      </c>
      <c r="G42" s="205"/>
      <c r="H42" s="70" t="s">
        <v>383</v>
      </c>
      <c r="I42" s="205"/>
      <c r="J42" s="205"/>
      <c r="K42" s="205"/>
      <c r="L42" s="205"/>
      <c r="M42" s="205"/>
      <c r="N42" s="205"/>
      <c r="O42" s="205"/>
      <c r="P42" s="205"/>
      <c r="Q42" s="70"/>
      <c r="R42" s="205"/>
      <c r="S42" s="205"/>
      <c r="T42" s="205"/>
      <c r="U42" s="70" t="s">
        <v>383</v>
      </c>
      <c r="V42" s="205"/>
      <c r="W42" s="205"/>
      <c r="X42" s="205"/>
      <c r="Y42" s="205"/>
      <c r="Z42" s="205"/>
      <c r="AA42" s="205"/>
      <c r="AB42" s="205"/>
      <c r="AC42" s="205"/>
      <c r="AD42" s="205"/>
      <c r="AE42" s="274" t="s">
        <v>463</v>
      </c>
      <c r="AF42" s="271">
        <v>150000</v>
      </c>
      <c r="AG42" s="272">
        <v>6</v>
      </c>
      <c r="AH42" s="272">
        <v>3</v>
      </c>
      <c r="AI42" s="272">
        <v>3</v>
      </c>
      <c r="AJ42" s="272">
        <v>9</v>
      </c>
      <c r="AK42" s="273">
        <f t="shared" ref="AK42:AK69" si="2">IF(AF42=0,0,IF(AF42&lt;=100000,20000,IF(AF42&lt;=150000,30000,IF(AF42&lt;=200000,40000,IF(AF42&lt;=300000,50000,60000)))))</f>
        <v>30000</v>
      </c>
    </row>
    <row r="43" spans="1:37" ht="15.75" customHeight="1">
      <c r="A43" s="269" t="s">
        <v>464</v>
      </c>
      <c r="B43" s="205"/>
      <c r="C43" s="205"/>
      <c r="D43" s="205"/>
      <c r="E43" s="205"/>
      <c r="F43" s="70" t="s">
        <v>383</v>
      </c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70"/>
      <c r="R43" s="205"/>
      <c r="S43" s="205"/>
      <c r="T43" s="205"/>
      <c r="U43" s="70" t="s">
        <v>383</v>
      </c>
      <c r="V43" s="205"/>
      <c r="W43" s="205"/>
      <c r="X43" s="205"/>
      <c r="Y43" s="205"/>
      <c r="Z43" s="205"/>
      <c r="AA43" s="205"/>
      <c r="AB43" s="205"/>
      <c r="AC43" s="205"/>
      <c r="AD43" s="205"/>
      <c r="AE43" s="274" t="s">
        <v>465</v>
      </c>
      <c r="AF43" s="271">
        <v>300000</v>
      </c>
      <c r="AG43" s="272">
        <v>5</v>
      </c>
      <c r="AH43" s="272">
        <v>5</v>
      </c>
      <c r="AI43" s="272">
        <v>3</v>
      </c>
      <c r="AJ43" s="272">
        <v>9</v>
      </c>
      <c r="AK43" s="273">
        <f t="shared" si="2"/>
        <v>50000</v>
      </c>
    </row>
    <row r="44" spans="1:37" ht="15.75" customHeight="1">
      <c r="A44" s="269" t="s">
        <v>466</v>
      </c>
      <c r="B44" s="205"/>
      <c r="C44" s="205"/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70" t="s">
        <v>383</v>
      </c>
      <c r="S44" s="205"/>
      <c r="T44" s="205"/>
      <c r="U44" s="205"/>
      <c r="V44" s="205"/>
      <c r="W44" s="205"/>
      <c r="X44" s="205"/>
      <c r="Y44" s="205"/>
      <c r="Z44" s="70" t="s">
        <v>383</v>
      </c>
      <c r="AA44" s="205"/>
      <c r="AB44" s="205"/>
      <c r="AC44" s="205"/>
      <c r="AD44" s="205"/>
      <c r="AE44" s="274" t="s">
        <v>467</v>
      </c>
      <c r="AF44" s="271">
        <v>220000</v>
      </c>
      <c r="AG44" s="272">
        <v>8</v>
      </c>
      <c r="AH44" s="272">
        <v>3</v>
      </c>
      <c r="AI44" s="272">
        <v>3</v>
      </c>
      <c r="AJ44" s="272">
        <v>8</v>
      </c>
      <c r="AK44" s="273">
        <f t="shared" si="2"/>
        <v>50000</v>
      </c>
    </row>
    <row r="45" spans="1:37" ht="15.75" customHeight="1">
      <c r="A45" s="269" t="s">
        <v>468</v>
      </c>
      <c r="B45" s="260" t="s">
        <v>487</v>
      </c>
      <c r="C45" s="205"/>
      <c r="D45" s="205"/>
      <c r="E45" s="205"/>
      <c r="F45" s="70"/>
      <c r="G45" s="205"/>
      <c r="H45" s="205"/>
      <c r="I45" s="205"/>
      <c r="J45" s="205"/>
      <c r="K45" s="70" t="s">
        <v>383</v>
      </c>
      <c r="L45" s="70"/>
      <c r="M45" s="205"/>
      <c r="N45" s="70" t="s">
        <v>383</v>
      </c>
      <c r="O45" s="205"/>
      <c r="P45" s="205"/>
      <c r="Q45" s="205"/>
      <c r="R45" s="205"/>
      <c r="S45" s="205"/>
      <c r="T45" s="205"/>
      <c r="U45" s="70"/>
      <c r="V45" s="205"/>
      <c r="W45" s="205"/>
      <c r="X45" s="205"/>
      <c r="Y45" s="205"/>
      <c r="Z45" s="205"/>
      <c r="AA45" s="205"/>
      <c r="AB45" s="205"/>
      <c r="AC45" s="205"/>
      <c r="AD45" s="70" t="s">
        <v>383</v>
      </c>
      <c r="AE45" s="274" t="s">
        <v>469</v>
      </c>
      <c r="AF45" s="271">
        <v>390000</v>
      </c>
      <c r="AG45" s="272">
        <v>7</v>
      </c>
      <c r="AH45" s="272">
        <v>3</v>
      </c>
      <c r="AI45" s="272">
        <v>4</v>
      </c>
      <c r="AJ45" s="272">
        <v>8</v>
      </c>
      <c r="AK45" s="273">
        <f t="shared" si="2"/>
        <v>60000</v>
      </c>
    </row>
    <row r="46" spans="1:37" ht="15.75" customHeight="1">
      <c r="A46" s="269" t="s">
        <v>470</v>
      </c>
      <c r="B46" s="205"/>
      <c r="C46" s="205"/>
      <c r="D46" s="205"/>
      <c r="E46" s="205"/>
      <c r="F46" s="70"/>
      <c r="G46" s="205"/>
      <c r="H46" s="205"/>
      <c r="I46" s="205"/>
      <c r="J46" s="205"/>
      <c r="K46" s="205"/>
      <c r="L46" s="70" t="s">
        <v>383</v>
      </c>
      <c r="M46" s="205"/>
      <c r="N46" s="205"/>
      <c r="O46" s="205"/>
      <c r="P46" s="205"/>
      <c r="Q46" s="205"/>
      <c r="R46" s="205"/>
      <c r="S46" s="205"/>
      <c r="T46" s="205"/>
      <c r="U46" s="70"/>
      <c r="V46" s="205"/>
      <c r="W46" s="205"/>
      <c r="X46" s="205"/>
      <c r="Y46" s="205"/>
      <c r="Z46" s="205"/>
      <c r="AA46" s="205"/>
      <c r="AB46" s="205"/>
      <c r="AC46" s="205"/>
      <c r="AD46" s="205"/>
      <c r="AE46" s="274" t="s">
        <v>471</v>
      </c>
      <c r="AF46" s="271">
        <v>170000</v>
      </c>
      <c r="AG46" s="272">
        <v>6</v>
      </c>
      <c r="AH46" s="272">
        <v>4</v>
      </c>
      <c r="AI46" s="272">
        <v>3</v>
      </c>
      <c r="AJ46" s="272">
        <v>8</v>
      </c>
      <c r="AK46" s="273">
        <f t="shared" si="2"/>
        <v>40000</v>
      </c>
    </row>
    <row r="47" spans="1:37" ht="15.75" customHeight="1">
      <c r="A47" s="269" t="s">
        <v>472</v>
      </c>
      <c r="B47" s="205"/>
      <c r="C47" s="205"/>
      <c r="D47" s="205"/>
      <c r="E47" s="205"/>
      <c r="F47" s="70" t="s">
        <v>383</v>
      </c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70"/>
      <c r="R47" s="205"/>
      <c r="S47" s="205"/>
      <c r="T47" s="205"/>
      <c r="U47" s="70" t="s">
        <v>383</v>
      </c>
      <c r="V47" s="205"/>
      <c r="W47" s="205"/>
      <c r="X47" s="205"/>
      <c r="Y47" s="205"/>
      <c r="Z47" s="205"/>
      <c r="AA47" s="205"/>
      <c r="AB47" s="205"/>
      <c r="AC47" s="205"/>
      <c r="AD47" s="205"/>
      <c r="AE47" s="274" t="s">
        <v>473</v>
      </c>
      <c r="AF47" s="271">
        <v>130000</v>
      </c>
      <c r="AG47" s="272">
        <v>5</v>
      </c>
      <c r="AH47" s="272">
        <v>4</v>
      </c>
      <c r="AI47" s="272">
        <v>3</v>
      </c>
      <c r="AJ47" s="272">
        <v>8</v>
      </c>
      <c r="AK47" s="273">
        <f t="shared" si="2"/>
        <v>30000</v>
      </c>
    </row>
    <row r="48" spans="1:37" ht="15.75" customHeight="1">
      <c r="A48" s="269" t="s">
        <v>474</v>
      </c>
      <c r="B48" s="205"/>
      <c r="C48" s="205"/>
      <c r="D48" s="205"/>
      <c r="E48" s="70" t="s">
        <v>383</v>
      </c>
      <c r="F48" s="205"/>
      <c r="G48" s="205"/>
      <c r="H48" s="205"/>
      <c r="I48" s="205"/>
      <c r="J48" s="205"/>
      <c r="K48" s="205"/>
      <c r="L48" s="205"/>
      <c r="M48" s="205"/>
      <c r="N48" s="205"/>
      <c r="O48" s="70" t="s">
        <v>383</v>
      </c>
      <c r="P48" s="205"/>
      <c r="Q48" s="205"/>
      <c r="R48" s="205"/>
      <c r="S48" s="205"/>
      <c r="T48" s="205"/>
      <c r="U48" s="205"/>
      <c r="V48" s="205"/>
      <c r="W48" s="205"/>
      <c r="X48" s="70" t="s">
        <v>383</v>
      </c>
      <c r="Y48" s="205"/>
      <c r="Z48" s="205"/>
      <c r="AA48" s="205"/>
      <c r="AB48" s="205"/>
      <c r="AC48" s="205"/>
      <c r="AD48" s="205"/>
      <c r="AE48" s="274" t="s">
        <v>475</v>
      </c>
      <c r="AF48" s="271">
        <v>260000</v>
      </c>
      <c r="AG48" s="272">
        <v>4</v>
      </c>
      <c r="AH48" s="272">
        <v>5</v>
      </c>
      <c r="AI48" s="272">
        <v>2</v>
      </c>
      <c r="AJ48" s="272">
        <v>9</v>
      </c>
      <c r="AK48" s="273">
        <f t="shared" si="2"/>
        <v>50000</v>
      </c>
    </row>
    <row r="49" spans="1:37" ht="15.75" customHeight="1">
      <c r="A49" s="269" t="s">
        <v>476</v>
      </c>
      <c r="B49" s="70"/>
      <c r="C49" s="70"/>
      <c r="D49" s="70" t="s">
        <v>383</v>
      </c>
      <c r="E49" s="70" t="s">
        <v>383</v>
      </c>
      <c r="F49" s="70" t="s">
        <v>383</v>
      </c>
      <c r="G49" s="70" t="s">
        <v>383</v>
      </c>
      <c r="H49" s="70" t="s">
        <v>383</v>
      </c>
      <c r="I49" s="70" t="s">
        <v>383</v>
      </c>
      <c r="J49" s="70" t="s">
        <v>383</v>
      </c>
      <c r="K49" s="70" t="s">
        <v>383</v>
      </c>
      <c r="L49" s="70" t="s">
        <v>383</v>
      </c>
      <c r="M49" s="70" t="s">
        <v>383</v>
      </c>
      <c r="N49" s="70" t="s">
        <v>383</v>
      </c>
      <c r="O49" s="70" t="s">
        <v>383</v>
      </c>
      <c r="P49" s="205"/>
      <c r="Q49" s="70" t="s">
        <v>383</v>
      </c>
      <c r="R49" s="70" t="s">
        <v>383</v>
      </c>
      <c r="S49" s="205"/>
      <c r="T49" s="70" t="s">
        <v>383</v>
      </c>
      <c r="U49" s="70" t="s">
        <v>383</v>
      </c>
      <c r="V49" s="70" t="s">
        <v>383</v>
      </c>
      <c r="W49" s="70" t="s">
        <v>383</v>
      </c>
      <c r="X49" s="70" t="s">
        <v>383</v>
      </c>
      <c r="Y49" s="70" t="s">
        <v>383</v>
      </c>
      <c r="Z49" s="70" t="s">
        <v>383</v>
      </c>
      <c r="AA49" s="205"/>
      <c r="AB49" s="70" t="s">
        <v>383</v>
      </c>
      <c r="AC49" s="70" t="s">
        <v>383</v>
      </c>
      <c r="AD49" s="70" t="s">
        <v>383</v>
      </c>
      <c r="AE49" s="274" t="s">
        <v>477</v>
      </c>
      <c r="AF49" s="271">
        <v>430000</v>
      </c>
      <c r="AG49" s="272">
        <v>6</v>
      </c>
      <c r="AH49" s="272">
        <v>6</v>
      </c>
      <c r="AI49" s="272">
        <v>3</v>
      </c>
      <c r="AJ49" s="272">
        <v>10</v>
      </c>
      <c r="AK49" s="273">
        <f t="shared" si="2"/>
        <v>60000</v>
      </c>
    </row>
    <row r="50" spans="1:37" ht="15.75" customHeight="1">
      <c r="A50" s="269" t="s">
        <v>478</v>
      </c>
      <c r="B50" s="205"/>
      <c r="C50" s="205"/>
      <c r="D50" s="205"/>
      <c r="E50" s="205"/>
      <c r="F50" s="205"/>
      <c r="G50" s="70" t="s">
        <v>383</v>
      </c>
      <c r="H50" s="205"/>
      <c r="I50" s="205"/>
      <c r="J50" s="205"/>
      <c r="K50" s="205"/>
      <c r="L50" s="70" t="s">
        <v>383</v>
      </c>
      <c r="M50" s="205"/>
      <c r="N50" s="205"/>
      <c r="O50" s="205"/>
      <c r="P50" s="205"/>
      <c r="Q50" s="205"/>
      <c r="R50" s="205"/>
      <c r="S50" s="205"/>
      <c r="T50" s="205"/>
      <c r="U50" s="205"/>
      <c r="V50" s="70" t="s">
        <v>383</v>
      </c>
      <c r="W50" s="205"/>
      <c r="X50" s="205"/>
      <c r="Y50" s="205"/>
      <c r="Z50" s="205"/>
      <c r="AA50" s="205"/>
      <c r="AB50" s="70" t="s">
        <v>383</v>
      </c>
      <c r="AC50" s="205"/>
      <c r="AD50" s="205"/>
      <c r="AE50" s="274" t="s">
        <v>479</v>
      </c>
      <c r="AF50" s="271">
        <v>130000</v>
      </c>
      <c r="AG50" s="272">
        <v>6</v>
      </c>
      <c r="AH50" s="272">
        <v>2</v>
      </c>
      <c r="AI50" s="272">
        <v>3</v>
      </c>
      <c r="AJ50" s="272">
        <v>7</v>
      </c>
      <c r="AK50" s="273">
        <f t="shared" si="2"/>
        <v>30000</v>
      </c>
    </row>
    <row r="51" spans="1:37" ht="15.75" customHeight="1">
      <c r="A51" s="269" t="s">
        <v>480</v>
      </c>
      <c r="B51" s="205"/>
      <c r="C51" s="205"/>
      <c r="D51" s="205"/>
      <c r="E51" s="205"/>
      <c r="F51" s="205"/>
      <c r="G51" s="205"/>
      <c r="H51" s="205"/>
      <c r="I51" s="205"/>
      <c r="J51" s="205"/>
      <c r="K51" s="70" t="s">
        <v>383</v>
      </c>
      <c r="L51" s="205"/>
      <c r="M51" s="205"/>
      <c r="N51" s="70" t="s">
        <v>383</v>
      </c>
      <c r="O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  <c r="Z51" s="205"/>
      <c r="AA51" s="205"/>
      <c r="AB51" s="205"/>
      <c r="AC51" s="205"/>
      <c r="AD51" s="205"/>
      <c r="AE51" s="274" t="s">
        <v>481</v>
      </c>
      <c r="AF51" s="271">
        <v>230000</v>
      </c>
      <c r="AG51" s="272">
        <v>7</v>
      </c>
      <c r="AH51" s="272">
        <v>4</v>
      </c>
      <c r="AI51" s="272">
        <v>4</v>
      </c>
      <c r="AJ51" s="272">
        <v>8</v>
      </c>
      <c r="AK51" s="273">
        <f t="shared" si="2"/>
        <v>50000</v>
      </c>
    </row>
    <row r="52" spans="1:37" ht="15.75" customHeight="1">
      <c r="A52" s="269" t="s">
        <v>482</v>
      </c>
      <c r="B52" s="205"/>
      <c r="C52" s="205"/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70" t="s">
        <v>383</v>
      </c>
      <c r="S52" s="205"/>
      <c r="T52" s="205"/>
      <c r="U52" s="205"/>
      <c r="V52" s="205"/>
      <c r="W52" s="205"/>
      <c r="X52" s="205"/>
      <c r="Y52" s="205"/>
      <c r="Z52" s="70" t="s">
        <v>383</v>
      </c>
      <c r="AA52" s="205"/>
      <c r="AB52" s="205"/>
      <c r="AC52" s="205"/>
      <c r="AD52" s="205"/>
      <c r="AE52" s="274" t="s">
        <v>483</v>
      </c>
      <c r="AF52" s="271">
        <v>250000</v>
      </c>
      <c r="AG52" s="272">
        <v>8</v>
      </c>
      <c r="AH52" s="272">
        <v>2</v>
      </c>
      <c r="AI52" s="272">
        <v>4</v>
      </c>
      <c r="AJ52" s="272">
        <v>7</v>
      </c>
      <c r="AK52" s="273">
        <f t="shared" si="2"/>
        <v>50000</v>
      </c>
    </row>
    <row r="53" spans="1:37" ht="15.75" customHeight="1">
      <c r="A53" s="269" t="s">
        <v>484</v>
      </c>
      <c r="B53" s="205"/>
      <c r="C53" s="205"/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70" t="s">
        <v>383</v>
      </c>
      <c r="Q53" s="205"/>
      <c r="R53" s="205"/>
      <c r="S53" s="70" t="s">
        <v>383</v>
      </c>
      <c r="T53" s="205"/>
      <c r="U53" s="205"/>
      <c r="V53" s="205"/>
      <c r="W53" s="205"/>
      <c r="X53" s="205"/>
      <c r="Y53" s="205"/>
      <c r="Z53" s="70"/>
      <c r="AA53" s="70" t="s">
        <v>383</v>
      </c>
      <c r="AB53" s="205"/>
      <c r="AC53" s="205"/>
      <c r="AD53" s="205"/>
      <c r="AE53" s="274" t="s">
        <v>485</v>
      </c>
      <c r="AF53" s="271">
        <v>380000</v>
      </c>
      <c r="AG53" s="272">
        <v>7</v>
      </c>
      <c r="AH53" s="272">
        <v>3</v>
      </c>
      <c r="AI53" s="272">
        <v>3</v>
      </c>
      <c r="AJ53" s="272">
        <v>7</v>
      </c>
      <c r="AK53" s="273">
        <f t="shared" si="2"/>
        <v>60000</v>
      </c>
    </row>
    <row r="54" spans="1:37" ht="15.75" customHeight="1">
      <c r="A54" s="269" t="s">
        <v>486</v>
      </c>
      <c r="B54" s="205"/>
      <c r="C54" s="205"/>
      <c r="D54" s="205"/>
      <c r="E54" s="205"/>
      <c r="F54" s="205"/>
      <c r="G54" s="70" t="s">
        <v>383</v>
      </c>
      <c r="H54" s="205"/>
      <c r="I54" s="205"/>
      <c r="J54" s="205"/>
      <c r="K54" s="205"/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  <c r="X54" s="205"/>
      <c r="Y54" s="205"/>
      <c r="Z54" s="205"/>
      <c r="AA54" s="205"/>
      <c r="AB54" s="205"/>
      <c r="AC54" s="205"/>
      <c r="AD54" s="205"/>
      <c r="AE54" s="274" t="s">
        <v>488</v>
      </c>
      <c r="AF54" s="271">
        <v>200000</v>
      </c>
      <c r="AG54" s="272">
        <v>7</v>
      </c>
      <c r="AH54" s="272">
        <v>3</v>
      </c>
      <c r="AI54" s="272">
        <v>3</v>
      </c>
      <c r="AJ54" s="272">
        <v>7</v>
      </c>
      <c r="AK54" s="273">
        <f t="shared" si="2"/>
        <v>40000</v>
      </c>
    </row>
    <row r="55" spans="1:37" ht="15.75" customHeight="1">
      <c r="A55" s="269" t="s">
        <v>489</v>
      </c>
      <c r="B55" s="205"/>
      <c r="C55" s="205"/>
      <c r="D55" s="205"/>
      <c r="E55" s="205"/>
      <c r="F55" s="205"/>
      <c r="G55" s="205"/>
      <c r="H55" s="205"/>
      <c r="I55" s="205"/>
      <c r="J55" s="205"/>
      <c r="K55" s="205"/>
      <c r="L55" s="70" t="s">
        <v>383</v>
      </c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70" t="s">
        <v>383</v>
      </c>
      <c r="X55" s="205"/>
      <c r="Y55" s="205"/>
      <c r="Z55" s="205"/>
      <c r="AA55" s="205"/>
      <c r="AB55" s="205"/>
      <c r="AC55" s="205"/>
      <c r="AD55" s="205"/>
      <c r="AE55" s="274" t="s">
        <v>490</v>
      </c>
      <c r="AF55" s="271">
        <v>270000</v>
      </c>
      <c r="AG55" s="272">
        <v>4</v>
      </c>
      <c r="AH55" s="272">
        <v>6</v>
      </c>
      <c r="AI55" s="272">
        <v>1</v>
      </c>
      <c r="AJ55" s="272">
        <v>9</v>
      </c>
      <c r="AK55" s="273">
        <f t="shared" si="2"/>
        <v>50000</v>
      </c>
    </row>
    <row r="56" spans="1:37" ht="15.75" customHeight="1">
      <c r="A56" s="269" t="s">
        <v>491</v>
      </c>
      <c r="B56" s="70"/>
      <c r="C56" s="70"/>
      <c r="D56" s="70" t="s">
        <v>383</v>
      </c>
      <c r="E56" s="205"/>
      <c r="F56" s="205"/>
      <c r="G56" s="205"/>
      <c r="H56" s="70"/>
      <c r="I56" s="70" t="s">
        <v>383</v>
      </c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5"/>
      <c r="Y56" s="205"/>
      <c r="Z56" s="205"/>
      <c r="AA56" s="205"/>
      <c r="AB56" s="205"/>
      <c r="AC56" s="205"/>
      <c r="AD56" s="205"/>
      <c r="AE56" s="274" t="s">
        <v>492</v>
      </c>
      <c r="AF56" s="271">
        <v>250000</v>
      </c>
      <c r="AG56" s="272">
        <v>8</v>
      </c>
      <c r="AH56" s="272">
        <v>3</v>
      </c>
      <c r="AI56" s="272">
        <v>5</v>
      </c>
      <c r="AJ56" s="272">
        <v>7</v>
      </c>
      <c r="AK56" s="273">
        <f t="shared" si="2"/>
        <v>50000</v>
      </c>
    </row>
    <row r="57" spans="1:37" ht="15.75" customHeight="1">
      <c r="A57" s="269" t="s">
        <v>493</v>
      </c>
      <c r="B57" s="205"/>
      <c r="C57" s="205"/>
      <c r="D57" s="205"/>
      <c r="E57" s="205"/>
      <c r="F57" s="205"/>
      <c r="G57" s="205"/>
      <c r="H57" s="205"/>
      <c r="I57" s="205"/>
      <c r="J57" s="205"/>
      <c r="K57" s="205"/>
      <c r="L57" s="70" t="s">
        <v>383</v>
      </c>
      <c r="M57" s="205"/>
      <c r="N57" s="205"/>
      <c r="O57" s="205"/>
      <c r="P57" s="205"/>
      <c r="Q57" s="205"/>
      <c r="R57" s="205"/>
      <c r="S57" s="205"/>
      <c r="T57" s="205"/>
      <c r="U57" s="205"/>
      <c r="V57" s="70" t="s">
        <v>383</v>
      </c>
      <c r="W57" s="70" t="s">
        <v>383</v>
      </c>
      <c r="X57" s="205"/>
      <c r="Y57" s="205"/>
      <c r="Z57" s="205"/>
      <c r="AA57" s="205"/>
      <c r="AB57" s="205"/>
      <c r="AC57" s="205"/>
      <c r="AD57" s="205"/>
      <c r="AE57" s="274" t="s">
        <v>494</v>
      </c>
      <c r="AF57" s="271">
        <v>150000</v>
      </c>
      <c r="AG57" s="272">
        <v>7</v>
      </c>
      <c r="AH57" s="272">
        <v>2</v>
      </c>
      <c r="AI57" s="272">
        <v>3</v>
      </c>
      <c r="AJ57" s="272">
        <v>7</v>
      </c>
      <c r="AK57" s="273">
        <f t="shared" si="2"/>
        <v>30000</v>
      </c>
    </row>
    <row r="58" spans="1:37" ht="15.75" customHeight="1">
      <c r="A58" s="269" t="s">
        <v>495</v>
      </c>
      <c r="B58" s="205"/>
      <c r="C58" s="205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70" t="s">
        <v>383</v>
      </c>
      <c r="Q58" s="205"/>
      <c r="R58" s="205"/>
      <c r="S58" s="70" t="s">
        <v>383</v>
      </c>
      <c r="T58" s="205"/>
      <c r="U58" s="205"/>
      <c r="V58" s="205"/>
      <c r="W58" s="205"/>
      <c r="X58" s="205"/>
      <c r="Y58" s="205"/>
      <c r="Z58" s="70"/>
      <c r="AA58" s="70" t="s">
        <v>383</v>
      </c>
      <c r="AB58" s="205"/>
      <c r="AC58" s="205"/>
      <c r="AD58" s="205"/>
      <c r="AE58" s="274" t="s">
        <v>496</v>
      </c>
      <c r="AF58" s="271">
        <v>220000</v>
      </c>
      <c r="AG58" s="272">
        <v>6</v>
      </c>
      <c r="AH58" s="272">
        <v>4</v>
      </c>
      <c r="AI58" s="272">
        <v>2</v>
      </c>
      <c r="AJ58" s="272">
        <v>8</v>
      </c>
      <c r="AK58" s="273">
        <f t="shared" si="2"/>
        <v>50000</v>
      </c>
    </row>
    <row r="59" spans="1:37" ht="15.75" customHeight="1">
      <c r="A59" s="269" t="s">
        <v>497</v>
      </c>
      <c r="B59" s="205"/>
      <c r="C59" s="205"/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70" t="s">
        <v>383</v>
      </c>
      <c r="Q59" s="205"/>
      <c r="R59" s="205"/>
      <c r="S59" s="205"/>
      <c r="T59" s="205"/>
      <c r="U59" s="205"/>
      <c r="V59" s="205"/>
      <c r="W59" s="205"/>
      <c r="X59" s="205"/>
      <c r="Y59" s="205"/>
      <c r="Z59" s="70"/>
      <c r="AA59" s="70" t="s">
        <v>383</v>
      </c>
      <c r="AB59" s="205"/>
      <c r="AC59" s="205"/>
      <c r="AD59" s="205"/>
      <c r="AE59" s="274" t="s">
        <v>498</v>
      </c>
      <c r="AF59" s="271">
        <v>80000</v>
      </c>
      <c r="AG59" s="272">
        <v>6</v>
      </c>
      <c r="AH59" s="272">
        <v>3</v>
      </c>
      <c r="AI59" s="272">
        <v>2</v>
      </c>
      <c r="AJ59" s="272">
        <v>7</v>
      </c>
      <c r="AK59" s="273">
        <f t="shared" si="2"/>
        <v>20000</v>
      </c>
    </row>
    <row r="60" spans="1:37" ht="15.75" customHeight="1">
      <c r="A60" s="269" t="s">
        <v>499</v>
      </c>
      <c r="B60" s="205"/>
      <c r="C60" s="205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  <c r="X60" s="205"/>
      <c r="Y60" s="70" t="s">
        <v>383</v>
      </c>
      <c r="Z60" s="205"/>
      <c r="AA60" s="205"/>
      <c r="AB60" s="70" t="s">
        <v>383</v>
      </c>
      <c r="AC60" s="205"/>
      <c r="AD60" s="205"/>
      <c r="AE60" s="274" t="s">
        <v>500</v>
      </c>
      <c r="AF60" s="271">
        <v>160000</v>
      </c>
      <c r="AG60" s="272">
        <v>9</v>
      </c>
      <c r="AH60" s="272">
        <v>2</v>
      </c>
      <c r="AI60" s="272">
        <v>4</v>
      </c>
      <c r="AJ60" s="272">
        <v>7</v>
      </c>
      <c r="AK60" s="273">
        <f t="shared" si="2"/>
        <v>40000</v>
      </c>
    </row>
    <row r="61" spans="1:37" ht="15.75" customHeight="1">
      <c r="A61" s="269" t="s">
        <v>501</v>
      </c>
      <c r="B61" s="205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70" t="s">
        <v>383</v>
      </c>
      <c r="S61" s="205"/>
      <c r="T61" s="205"/>
      <c r="U61" s="205"/>
      <c r="V61" s="205"/>
      <c r="W61" s="205"/>
      <c r="X61" s="205"/>
      <c r="Y61" s="205"/>
      <c r="Z61" s="70" t="s">
        <v>383</v>
      </c>
      <c r="AA61" s="205"/>
      <c r="AB61" s="205"/>
      <c r="AC61" s="205"/>
      <c r="AD61" s="205"/>
      <c r="AE61" s="274" t="s">
        <v>502</v>
      </c>
      <c r="AF61" s="271">
        <v>250000</v>
      </c>
      <c r="AG61" s="272">
        <v>7</v>
      </c>
      <c r="AH61" s="272">
        <v>4</v>
      </c>
      <c r="AI61" s="272">
        <v>1</v>
      </c>
      <c r="AJ61" s="272">
        <v>9</v>
      </c>
      <c r="AK61" s="273">
        <f t="shared" si="2"/>
        <v>50000</v>
      </c>
    </row>
    <row r="62" spans="1:37" ht="15.75" customHeight="1">
      <c r="A62" s="269" t="s">
        <v>503</v>
      </c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70" t="s">
        <v>383</v>
      </c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74" t="s">
        <v>504</v>
      </c>
      <c r="AF62" s="271">
        <v>180000</v>
      </c>
      <c r="AG62" s="272">
        <v>6</v>
      </c>
      <c r="AH62" s="272">
        <v>3</v>
      </c>
      <c r="AI62" s="272">
        <v>4</v>
      </c>
      <c r="AJ62" s="272">
        <v>8</v>
      </c>
      <c r="AK62" s="273">
        <f t="shared" si="2"/>
        <v>40000</v>
      </c>
    </row>
    <row r="63" spans="1:37" ht="15.75" customHeight="1">
      <c r="A63" s="269" t="s">
        <v>505</v>
      </c>
      <c r="B63" s="205"/>
      <c r="C63" s="205"/>
      <c r="D63" s="205"/>
      <c r="E63" s="205"/>
      <c r="F63" s="205"/>
      <c r="G63" s="205"/>
      <c r="H63" s="70" t="s">
        <v>383</v>
      </c>
      <c r="I63" s="205"/>
      <c r="J63" s="205"/>
      <c r="K63" s="205"/>
      <c r="L63" s="205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70" t="s">
        <v>383</v>
      </c>
      <c r="X63" s="205"/>
      <c r="Y63" s="205"/>
      <c r="Z63" s="205"/>
      <c r="AA63" s="205"/>
      <c r="AB63" s="205"/>
      <c r="AC63" s="205"/>
      <c r="AD63" s="205"/>
      <c r="AE63" s="274" t="s">
        <v>473</v>
      </c>
      <c r="AF63" s="271">
        <v>100000</v>
      </c>
      <c r="AG63" s="272">
        <v>5</v>
      </c>
      <c r="AH63" s="272">
        <v>3</v>
      </c>
      <c r="AI63" s="272">
        <v>3</v>
      </c>
      <c r="AJ63" s="272">
        <v>9</v>
      </c>
      <c r="AK63" s="273">
        <f t="shared" si="2"/>
        <v>20000</v>
      </c>
    </row>
    <row r="64" spans="1:37" ht="15.75" customHeight="1">
      <c r="A64" s="269" t="s">
        <v>487</v>
      </c>
      <c r="B64" s="260" t="s">
        <v>468</v>
      </c>
      <c r="C64" s="205"/>
      <c r="D64" s="205"/>
      <c r="E64" s="205"/>
      <c r="F64" s="70"/>
      <c r="G64" s="205"/>
      <c r="H64" s="205"/>
      <c r="I64" s="205"/>
      <c r="J64" s="205"/>
      <c r="K64" s="70" t="s">
        <v>383</v>
      </c>
      <c r="L64" s="70"/>
      <c r="M64" s="205"/>
      <c r="N64" s="70" t="s">
        <v>383</v>
      </c>
      <c r="O64" s="205"/>
      <c r="P64" s="205"/>
      <c r="Q64" s="205"/>
      <c r="R64" s="205"/>
      <c r="S64" s="205"/>
      <c r="T64" s="205"/>
      <c r="U64" s="70"/>
      <c r="V64" s="205"/>
      <c r="W64" s="205"/>
      <c r="X64" s="205"/>
      <c r="Y64" s="205"/>
      <c r="Z64" s="205"/>
      <c r="AA64" s="205"/>
      <c r="AB64" s="205"/>
      <c r="AC64" s="205"/>
      <c r="AD64" s="70" t="s">
        <v>383</v>
      </c>
      <c r="AE64" s="274" t="s">
        <v>506</v>
      </c>
      <c r="AF64" s="271">
        <v>0</v>
      </c>
      <c r="AG64" s="272">
        <v>7</v>
      </c>
      <c r="AH64" s="272">
        <v>3</v>
      </c>
      <c r="AI64" s="272">
        <v>5</v>
      </c>
      <c r="AJ64" s="272">
        <v>7</v>
      </c>
      <c r="AK64" s="273">
        <f t="shared" si="2"/>
        <v>0</v>
      </c>
    </row>
    <row r="65" spans="1:37" ht="15.75" customHeight="1">
      <c r="A65" s="269" t="s">
        <v>507</v>
      </c>
      <c r="B65" s="205"/>
      <c r="C65" s="205"/>
      <c r="D65" s="205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  <c r="R65" s="205"/>
      <c r="S65" s="205"/>
      <c r="T65" s="205"/>
      <c r="U65" s="205"/>
      <c r="V65" s="205"/>
      <c r="W65" s="70" t="s">
        <v>383</v>
      </c>
      <c r="X65" s="205"/>
      <c r="Y65" s="205"/>
      <c r="Z65" s="205"/>
      <c r="AA65" s="205"/>
      <c r="AB65" s="205"/>
      <c r="AC65" s="205"/>
      <c r="AD65" s="205"/>
      <c r="AE65" s="274" t="s">
        <v>508</v>
      </c>
      <c r="AF65" s="271">
        <v>150000</v>
      </c>
      <c r="AG65" s="272">
        <v>6</v>
      </c>
      <c r="AH65" s="272">
        <v>4</v>
      </c>
      <c r="AI65" s="272">
        <v>3</v>
      </c>
      <c r="AJ65" s="272">
        <v>9</v>
      </c>
      <c r="AK65" s="273">
        <f t="shared" si="2"/>
        <v>30000</v>
      </c>
    </row>
    <row r="66" spans="1:37" ht="15.75" customHeight="1">
      <c r="A66" s="269" t="s">
        <v>509</v>
      </c>
      <c r="B66" s="205"/>
      <c r="C66" s="205"/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5"/>
      <c r="Q66" s="205"/>
      <c r="R66" s="205"/>
      <c r="S66" s="205"/>
      <c r="T66" s="70" t="s">
        <v>383</v>
      </c>
      <c r="U66" s="70" t="s">
        <v>383</v>
      </c>
      <c r="V66" s="205"/>
      <c r="W66" s="205"/>
      <c r="X66" s="205"/>
      <c r="Y66" s="205"/>
      <c r="Z66" s="205"/>
      <c r="AA66" s="205"/>
      <c r="AB66" s="70"/>
      <c r="AC66" s="70" t="s">
        <v>383</v>
      </c>
      <c r="AD66" s="205"/>
      <c r="AE66" s="274" t="s">
        <v>510</v>
      </c>
      <c r="AF66" s="271">
        <v>240000</v>
      </c>
      <c r="AG66" s="272">
        <v>8</v>
      </c>
      <c r="AH66" s="272">
        <v>4</v>
      </c>
      <c r="AI66" s="272">
        <v>3</v>
      </c>
      <c r="AJ66" s="272">
        <v>8</v>
      </c>
      <c r="AK66" s="273">
        <f t="shared" si="2"/>
        <v>50000</v>
      </c>
    </row>
    <row r="67" spans="1:37" ht="15.75" customHeight="1">
      <c r="A67" s="269" t="s">
        <v>511</v>
      </c>
      <c r="B67" s="70"/>
      <c r="C67" s="70"/>
      <c r="D67" s="70" t="s">
        <v>383</v>
      </c>
      <c r="E67" s="70" t="s">
        <v>383</v>
      </c>
      <c r="F67" s="205"/>
      <c r="G67" s="205"/>
      <c r="H67" s="205"/>
      <c r="I67" s="205"/>
      <c r="J67" s="205"/>
      <c r="K67" s="205"/>
      <c r="L67" s="205"/>
      <c r="M67" s="70" t="s">
        <v>383</v>
      </c>
      <c r="N67" s="205"/>
      <c r="O67" s="205"/>
      <c r="P67" s="205"/>
      <c r="Q67" s="205"/>
      <c r="R67" s="205"/>
      <c r="S67" s="205"/>
      <c r="T67" s="205"/>
      <c r="U67" s="205"/>
      <c r="V67" s="205"/>
      <c r="W67" s="205"/>
      <c r="X67" s="205"/>
      <c r="Y67" s="205"/>
      <c r="Z67" s="205"/>
      <c r="AA67" s="205"/>
      <c r="AB67" s="205"/>
      <c r="AC67" s="205"/>
      <c r="AD67" s="70" t="s">
        <v>383</v>
      </c>
      <c r="AE67" s="274" t="s">
        <v>512</v>
      </c>
      <c r="AF67" s="271">
        <v>150000</v>
      </c>
      <c r="AG67" s="272">
        <v>5</v>
      </c>
      <c r="AH67" s="272">
        <v>4</v>
      </c>
      <c r="AI67" s="272">
        <v>3</v>
      </c>
      <c r="AJ67" s="272">
        <v>8</v>
      </c>
      <c r="AK67" s="273">
        <f t="shared" si="2"/>
        <v>30000</v>
      </c>
    </row>
    <row r="68" spans="1:37" ht="15.75" customHeight="1">
      <c r="A68" s="269" t="s">
        <v>513</v>
      </c>
      <c r="B68" s="70"/>
      <c r="C68" s="70"/>
      <c r="D68" s="70" t="s">
        <v>383</v>
      </c>
      <c r="E68" s="205"/>
      <c r="F68" s="205"/>
      <c r="G68" s="205"/>
      <c r="H68" s="70"/>
      <c r="I68" s="70" t="s">
        <v>383</v>
      </c>
      <c r="J68" s="205"/>
      <c r="K68" s="205"/>
      <c r="L68" s="205"/>
      <c r="M68" s="70" t="s">
        <v>383</v>
      </c>
      <c r="N68" s="70" t="s">
        <v>383</v>
      </c>
      <c r="O68" s="70" t="s">
        <v>383</v>
      </c>
      <c r="P68" s="205"/>
      <c r="Q68" s="205"/>
      <c r="R68" s="205"/>
      <c r="S68" s="205"/>
      <c r="T68" s="70" t="s">
        <v>383</v>
      </c>
      <c r="U68" s="205"/>
      <c r="V68" s="205"/>
      <c r="W68" s="205"/>
      <c r="X68" s="205"/>
      <c r="Y68" s="205"/>
      <c r="Z68" s="205"/>
      <c r="AA68" s="205"/>
      <c r="AB68" s="205"/>
      <c r="AC68" s="205"/>
      <c r="AD68" s="70" t="s">
        <v>383</v>
      </c>
      <c r="AE68" s="274" t="s">
        <v>514</v>
      </c>
      <c r="AF68" s="271">
        <v>270000</v>
      </c>
      <c r="AG68" s="272">
        <v>6</v>
      </c>
      <c r="AH68" s="272">
        <v>4</v>
      </c>
      <c r="AI68" s="272">
        <v>3</v>
      </c>
      <c r="AJ68" s="272">
        <v>8</v>
      </c>
      <c r="AK68" s="273">
        <f t="shared" si="2"/>
        <v>50000</v>
      </c>
    </row>
    <row r="69" spans="1:37" ht="15.75" customHeight="1">
      <c r="A69" s="269" t="s">
        <v>515</v>
      </c>
      <c r="B69" s="205"/>
      <c r="C69" s="205"/>
      <c r="D69" s="205"/>
      <c r="E69" s="205"/>
      <c r="F69" s="205"/>
      <c r="G69" s="70" t="s">
        <v>383</v>
      </c>
      <c r="H69" s="70" t="s">
        <v>383</v>
      </c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205"/>
      <c r="AA69" s="205"/>
      <c r="AB69" s="205"/>
      <c r="AC69" s="205"/>
      <c r="AD69" s="205"/>
      <c r="AE69" s="274" t="s">
        <v>516</v>
      </c>
      <c r="AF69" s="271">
        <v>90000</v>
      </c>
      <c r="AG69" s="272">
        <v>4</v>
      </c>
      <c r="AH69" s="272">
        <v>4</v>
      </c>
      <c r="AI69" s="272">
        <v>3</v>
      </c>
      <c r="AJ69" s="272">
        <v>9</v>
      </c>
      <c r="AK69" s="273">
        <f t="shared" si="2"/>
        <v>20000</v>
      </c>
    </row>
  </sheetData>
  <autoFilter ref="A2:AK69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M138"/>
  <sheetViews>
    <sheetView workbookViewId="0"/>
  </sheetViews>
  <sheetFormatPr defaultColWidth="14.42578125" defaultRowHeight="15.75" customHeight="1"/>
  <cols>
    <col min="1" max="1" width="17.5703125" customWidth="1"/>
    <col min="2" max="2" width="16.7109375" customWidth="1"/>
    <col min="3" max="3" width="28" customWidth="1"/>
    <col min="4" max="4" width="4.7109375" customWidth="1"/>
    <col min="5" max="5" width="7.7109375" customWidth="1"/>
    <col min="6" max="6" width="4" customWidth="1"/>
    <col min="7" max="7" width="3.5703125" customWidth="1"/>
    <col min="8" max="8" width="3.85546875" customWidth="1"/>
    <col min="9" max="9" width="3.5703125" customWidth="1"/>
    <col min="10" max="10" width="94.140625" customWidth="1"/>
    <col min="11" max="11" width="7.5703125" customWidth="1"/>
    <col min="12" max="12" width="7.42578125" customWidth="1"/>
    <col min="13" max="13" width="4.7109375" customWidth="1"/>
    <col min="14" max="14" width="17.5703125" customWidth="1"/>
    <col min="15" max="15" width="11" customWidth="1"/>
    <col min="16" max="16" width="3.7109375" customWidth="1"/>
    <col min="17" max="17" width="14" customWidth="1"/>
    <col min="18" max="18" width="12.28515625" customWidth="1"/>
    <col min="19" max="19" width="12.85546875" customWidth="1"/>
    <col min="20" max="20" width="14" customWidth="1"/>
    <col min="21" max="21" width="17.85546875" customWidth="1"/>
    <col min="22" max="22" width="16" customWidth="1"/>
    <col min="24" max="24" width="17.5703125" customWidth="1"/>
    <col min="25" max="25" width="27.7109375" customWidth="1"/>
    <col min="26" max="27" width="17.5703125" customWidth="1"/>
    <col min="28" max="28" width="16.7109375" customWidth="1"/>
    <col min="29" max="29" width="28" customWidth="1"/>
    <col min="30" max="30" width="8" customWidth="1"/>
    <col min="31" max="31" width="6.28515625" customWidth="1"/>
    <col min="32" max="32" width="8.140625" customWidth="1"/>
    <col min="33" max="33" width="7.85546875" customWidth="1"/>
    <col min="34" max="34" width="8.28515625" customWidth="1"/>
    <col min="35" max="35" width="7.85546875" customWidth="1"/>
    <col min="36" max="36" width="6.28515625" customWidth="1"/>
    <col min="37" max="37" width="8.140625" customWidth="1"/>
    <col min="38" max="38" width="7.85546875" customWidth="1"/>
    <col min="39" max="39" width="8.28515625" customWidth="1"/>
  </cols>
  <sheetData>
    <row r="1" spans="1:39" ht="15.75" customHeight="1">
      <c r="A1" s="278" t="s">
        <v>37</v>
      </c>
      <c r="B1" s="278" t="s">
        <v>517</v>
      </c>
      <c r="C1" s="279" t="s">
        <v>518</v>
      </c>
      <c r="D1" s="279" t="s">
        <v>519</v>
      </c>
      <c r="E1" s="280" t="s">
        <v>381</v>
      </c>
      <c r="F1" s="281" t="s">
        <v>5</v>
      </c>
      <c r="G1" s="281" t="s">
        <v>6</v>
      </c>
      <c r="H1" s="281" t="s">
        <v>7</v>
      </c>
      <c r="I1" s="281" t="s">
        <v>8</v>
      </c>
      <c r="J1" s="278" t="s">
        <v>4</v>
      </c>
      <c r="K1" s="281" t="s">
        <v>520</v>
      </c>
      <c r="L1" s="281" t="s">
        <v>521</v>
      </c>
      <c r="N1" s="278" t="s">
        <v>522</v>
      </c>
      <c r="O1" s="282" t="s">
        <v>523</v>
      </c>
      <c r="P1" s="283"/>
      <c r="Q1" s="278" t="s">
        <v>524</v>
      </c>
      <c r="R1" s="278" t="s">
        <v>525</v>
      </c>
      <c r="S1" s="278" t="s">
        <v>526</v>
      </c>
      <c r="T1" s="278" t="s">
        <v>527</v>
      </c>
      <c r="U1" s="278" t="s">
        <v>528</v>
      </c>
      <c r="V1" s="278" t="s">
        <v>529</v>
      </c>
      <c r="X1" s="278" t="s">
        <v>530</v>
      </c>
      <c r="Y1" s="278" t="s">
        <v>531</v>
      </c>
      <c r="Z1" s="283"/>
      <c r="AA1" s="283"/>
      <c r="AB1" s="283"/>
      <c r="AC1" s="284"/>
      <c r="AD1" s="350" t="s">
        <v>532</v>
      </c>
      <c r="AE1" s="304"/>
      <c r="AF1" s="304"/>
      <c r="AG1" s="304"/>
      <c r="AH1" s="310"/>
      <c r="AI1" s="350" t="s">
        <v>533</v>
      </c>
      <c r="AJ1" s="304"/>
      <c r="AK1" s="304"/>
      <c r="AL1" s="304"/>
      <c r="AM1" s="310"/>
    </row>
    <row r="2" spans="1:39" ht="15.75" customHeight="1">
      <c r="A2" s="269" t="s">
        <v>363</v>
      </c>
      <c r="B2" s="269" t="s">
        <v>346</v>
      </c>
      <c r="C2" s="285" t="str">
        <f t="shared" ref="C2:C121" si="0">A2&amp;B2</f>
        <v>AmazonLinewoman</v>
      </c>
      <c r="D2" s="285">
        <v>16</v>
      </c>
      <c r="E2" s="286">
        <v>50000</v>
      </c>
      <c r="F2" s="260">
        <v>6</v>
      </c>
      <c r="G2" s="260">
        <v>3</v>
      </c>
      <c r="H2" s="260">
        <v>3</v>
      </c>
      <c r="I2" s="260">
        <v>7</v>
      </c>
      <c r="J2" s="269" t="s">
        <v>186</v>
      </c>
      <c r="K2" s="260" t="s">
        <v>534</v>
      </c>
      <c r="L2" s="260" t="s">
        <v>535</v>
      </c>
      <c r="N2" s="269" t="s">
        <v>363</v>
      </c>
      <c r="O2" s="286">
        <v>50000</v>
      </c>
      <c r="Q2" s="269" t="s">
        <v>55</v>
      </c>
      <c r="R2" s="269" t="s">
        <v>536</v>
      </c>
      <c r="S2" s="269" t="s">
        <v>537</v>
      </c>
      <c r="T2" s="269" t="s">
        <v>264</v>
      </c>
      <c r="U2" s="269" t="s">
        <v>538</v>
      </c>
      <c r="V2" s="269" t="s">
        <v>539</v>
      </c>
      <c r="X2" s="269" t="s">
        <v>375</v>
      </c>
      <c r="Y2" s="269" t="s">
        <v>540</v>
      </c>
      <c r="Z2" s="284"/>
      <c r="AA2" s="278" t="s">
        <v>37</v>
      </c>
      <c r="AB2" s="278" t="s">
        <v>517</v>
      </c>
      <c r="AC2" s="278" t="s">
        <v>518</v>
      </c>
      <c r="AD2" s="281" t="s">
        <v>524</v>
      </c>
      <c r="AE2" s="281" t="s">
        <v>525</v>
      </c>
      <c r="AF2" s="281" t="s">
        <v>526</v>
      </c>
      <c r="AG2" s="281" t="s">
        <v>527</v>
      </c>
      <c r="AH2" s="281" t="s">
        <v>528</v>
      </c>
      <c r="AI2" s="281" t="s">
        <v>524</v>
      </c>
      <c r="AJ2" s="281" t="s">
        <v>525</v>
      </c>
      <c r="AK2" s="281" t="s">
        <v>526</v>
      </c>
      <c r="AL2" s="281" t="s">
        <v>527</v>
      </c>
      <c r="AM2" s="281" t="s">
        <v>528</v>
      </c>
    </row>
    <row r="3" spans="1:39" ht="15.75" customHeight="1">
      <c r="A3" s="269" t="s">
        <v>363</v>
      </c>
      <c r="B3" s="269" t="s">
        <v>221</v>
      </c>
      <c r="C3" s="285" t="str">
        <f t="shared" si="0"/>
        <v>AmazonThrower</v>
      </c>
      <c r="D3" s="285">
        <v>2</v>
      </c>
      <c r="E3" s="286">
        <v>70000</v>
      </c>
      <c r="F3" s="260">
        <v>6</v>
      </c>
      <c r="G3" s="260">
        <v>3</v>
      </c>
      <c r="H3" s="260">
        <v>3</v>
      </c>
      <c r="I3" s="260">
        <v>7</v>
      </c>
      <c r="J3" s="269" t="s">
        <v>544</v>
      </c>
      <c r="K3" s="260" t="s">
        <v>545</v>
      </c>
      <c r="L3" s="260" t="s">
        <v>546</v>
      </c>
      <c r="N3" s="269" t="s">
        <v>369</v>
      </c>
      <c r="O3" s="287">
        <v>70000</v>
      </c>
      <c r="Q3" s="269" t="s">
        <v>547</v>
      </c>
      <c r="R3" s="269" t="s">
        <v>548</v>
      </c>
      <c r="S3" s="269" t="s">
        <v>549</v>
      </c>
      <c r="T3" s="269" t="s">
        <v>550</v>
      </c>
      <c r="U3" s="269" t="s">
        <v>551</v>
      </c>
      <c r="V3" s="269" t="s">
        <v>552</v>
      </c>
      <c r="X3" s="269" t="s">
        <v>376</v>
      </c>
      <c r="Y3" s="269" t="s">
        <v>553</v>
      </c>
      <c r="Z3" s="269"/>
      <c r="AA3" s="269" t="s">
        <v>363</v>
      </c>
      <c r="AB3" s="269" t="s">
        <v>346</v>
      </c>
      <c r="AC3" t="str">
        <f t="shared" ref="AC3:AC122" si="1">AA3&amp;AB3</f>
        <v>AmazonLinewoman</v>
      </c>
      <c r="AD3" s="288" t="s">
        <v>534</v>
      </c>
      <c r="AE3" s="203" t="s">
        <v>554</v>
      </c>
      <c r="AF3" s="203" t="s">
        <v>554</v>
      </c>
      <c r="AG3" s="203"/>
      <c r="AH3" s="289"/>
      <c r="AI3" s="203"/>
      <c r="AJ3" s="203" t="s">
        <v>555</v>
      </c>
      <c r="AK3" s="203" t="s">
        <v>20</v>
      </c>
      <c r="AL3" s="203" t="s">
        <v>556</v>
      </c>
      <c r="AM3" s="289"/>
    </row>
    <row r="4" spans="1:39" ht="15.75" customHeight="1">
      <c r="A4" s="269" t="s">
        <v>363</v>
      </c>
      <c r="B4" s="269" t="s">
        <v>81</v>
      </c>
      <c r="C4" s="285" t="str">
        <f t="shared" si="0"/>
        <v>AmazonCatcher</v>
      </c>
      <c r="D4" s="285">
        <v>2</v>
      </c>
      <c r="E4" s="286">
        <v>70000</v>
      </c>
      <c r="F4" s="260">
        <v>6</v>
      </c>
      <c r="G4" s="260">
        <v>3</v>
      </c>
      <c r="H4" s="260">
        <v>3</v>
      </c>
      <c r="I4" s="260">
        <v>7</v>
      </c>
      <c r="J4" s="269" t="s">
        <v>557</v>
      </c>
      <c r="K4" s="260" t="s">
        <v>558</v>
      </c>
      <c r="L4" s="260" t="s">
        <v>559</v>
      </c>
      <c r="N4" s="269" t="s">
        <v>202</v>
      </c>
      <c r="O4" s="286">
        <v>60000</v>
      </c>
      <c r="Q4" s="269" t="s">
        <v>560</v>
      </c>
      <c r="R4" s="269" t="s">
        <v>561</v>
      </c>
      <c r="S4" s="269" t="s">
        <v>43</v>
      </c>
      <c r="T4" s="269" t="s">
        <v>562</v>
      </c>
      <c r="U4" s="269" t="s">
        <v>563</v>
      </c>
      <c r="V4" s="269" t="s">
        <v>564</v>
      </c>
      <c r="X4" s="269" t="s">
        <v>329</v>
      </c>
      <c r="Y4" s="269" t="s">
        <v>540</v>
      </c>
      <c r="Z4" s="269"/>
      <c r="AA4" s="269" t="s">
        <v>363</v>
      </c>
      <c r="AB4" s="269" t="s">
        <v>221</v>
      </c>
      <c r="AC4" t="str">
        <f t="shared" si="1"/>
        <v>AmazonThrower</v>
      </c>
      <c r="AD4" s="288" t="s">
        <v>534</v>
      </c>
      <c r="AE4" s="203"/>
      <c r="AF4" s="203" t="s">
        <v>554</v>
      </c>
      <c r="AG4" s="203" t="s">
        <v>556</v>
      </c>
      <c r="AH4" s="289"/>
      <c r="AI4" s="203"/>
      <c r="AJ4" s="203" t="s">
        <v>555</v>
      </c>
      <c r="AK4" s="203" t="s">
        <v>20</v>
      </c>
      <c r="AL4" s="203" t="s">
        <v>556</v>
      </c>
      <c r="AM4" s="289"/>
    </row>
    <row r="5" spans="1:39" ht="15.75" customHeight="1">
      <c r="A5" s="269" t="s">
        <v>363</v>
      </c>
      <c r="B5" s="269" t="s">
        <v>68</v>
      </c>
      <c r="C5" s="285" t="str">
        <f t="shared" si="0"/>
        <v>AmazonBlitzer</v>
      </c>
      <c r="D5" s="285">
        <v>4</v>
      </c>
      <c r="E5" s="286">
        <v>90000</v>
      </c>
      <c r="F5" s="260">
        <v>6</v>
      </c>
      <c r="G5" s="260">
        <v>3</v>
      </c>
      <c r="H5" s="260">
        <v>3</v>
      </c>
      <c r="I5" s="260">
        <v>7</v>
      </c>
      <c r="J5" s="269" t="s">
        <v>541</v>
      </c>
      <c r="K5" s="260" t="s">
        <v>542</v>
      </c>
      <c r="L5" s="260" t="s">
        <v>543</v>
      </c>
      <c r="N5" s="269" t="s">
        <v>129</v>
      </c>
      <c r="O5" s="286">
        <v>70000</v>
      </c>
      <c r="Q5" s="269" t="s">
        <v>565</v>
      </c>
      <c r="R5" s="269" t="s">
        <v>186</v>
      </c>
      <c r="S5" s="269" t="s">
        <v>189</v>
      </c>
      <c r="T5" s="269" t="s">
        <v>172</v>
      </c>
      <c r="U5" s="269" t="s">
        <v>566</v>
      </c>
      <c r="V5" s="269" t="s">
        <v>567</v>
      </c>
      <c r="X5" s="269" t="s">
        <v>365</v>
      </c>
      <c r="Y5" s="269" t="s">
        <v>553</v>
      </c>
      <c r="Z5" s="269"/>
      <c r="AA5" s="269" t="s">
        <v>363</v>
      </c>
      <c r="AB5" s="269" t="s">
        <v>81</v>
      </c>
      <c r="AC5" t="str">
        <f t="shared" si="1"/>
        <v>AmazonCatcher</v>
      </c>
      <c r="AD5" s="288" t="s">
        <v>534</v>
      </c>
      <c r="AE5" s="203" t="s">
        <v>555</v>
      </c>
      <c r="AF5" s="203" t="s">
        <v>554</v>
      </c>
      <c r="AG5" s="203"/>
      <c r="AH5" s="289"/>
      <c r="AI5" s="203"/>
      <c r="AJ5" s="203"/>
      <c r="AK5" s="203" t="s">
        <v>20</v>
      </c>
      <c r="AL5" s="203" t="s">
        <v>556</v>
      </c>
      <c r="AM5" s="289"/>
    </row>
    <row r="6" spans="1:39" ht="15.75" customHeight="1">
      <c r="A6" s="269" t="s">
        <v>369</v>
      </c>
      <c r="B6" s="290" t="s">
        <v>92</v>
      </c>
      <c r="C6" s="285" t="str">
        <f t="shared" si="0"/>
        <v>BretonnianLineman</v>
      </c>
      <c r="D6" s="291">
        <v>16</v>
      </c>
      <c r="E6" s="292">
        <v>40000</v>
      </c>
      <c r="F6" s="293">
        <v>6</v>
      </c>
      <c r="G6" s="293">
        <v>3</v>
      </c>
      <c r="H6" s="293">
        <v>2</v>
      </c>
      <c r="I6" s="293">
        <v>7</v>
      </c>
      <c r="J6" s="290" t="s">
        <v>565</v>
      </c>
      <c r="K6" s="293" t="s">
        <v>534</v>
      </c>
      <c r="L6" s="293" t="s">
        <v>535</v>
      </c>
      <c r="N6" s="269" t="s">
        <v>203</v>
      </c>
      <c r="O6" s="286">
        <v>70000</v>
      </c>
      <c r="Q6" s="269" t="s">
        <v>170</v>
      </c>
      <c r="R6" s="269" t="s">
        <v>569</v>
      </c>
      <c r="S6" s="269" t="s">
        <v>71</v>
      </c>
      <c r="T6" s="269" t="s">
        <v>570</v>
      </c>
      <c r="U6" s="269" t="s">
        <v>571</v>
      </c>
      <c r="V6" s="269" t="s">
        <v>572</v>
      </c>
      <c r="X6" s="269"/>
      <c r="Y6" s="269"/>
      <c r="Z6" s="269"/>
      <c r="AA6" s="269" t="s">
        <v>363</v>
      </c>
      <c r="AB6" s="269" t="s">
        <v>68</v>
      </c>
      <c r="AC6" t="str">
        <f t="shared" si="1"/>
        <v>AmazonBlitzer</v>
      </c>
      <c r="AD6" s="288" t="s">
        <v>534</v>
      </c>
      <c r="AE6" s="203"/>
      <c r="AF6" s="203" t="s">
        <v>20</v>
      </c>
      <c r="AG6" s="203"/>
      <c r="AH6" s="289"/>
      <c r="AI6" s="203"/>
      <c r="AJ6" s="203" t="s">
        <v>555</v>
      </c>
      <c r="AK6" s="203" t="s">
        <v>554</v>
      </c>
      <c r="AL6" s="203" t="s">
        <v>556</v>
      </c>
      <c r="AM6" s="289"/>
    </row>
    <row r="7" spans="1:39" ht="15.75" customHeight="1">
      <c r="A7" s="269" t="s">
        <v>369</v>
      </c>
      <c r="B7" s="290" t="s">
        <v>573</v>
      </c>
      <c r="C7" s="285" t="str">
        <f t="shared" si="0"/>
        <v>BretonnianYeoman</v>
      </c>
      <c r="D7" s="291">
        <v>4</v>
      </c>
      <c r="E7" s="292">
        <v>70000</v>
      </c>
      <c r="F7" s="293">
        <v>6</v>
      </c>
      <c r="G7" s="293">
        <v>3</v>
      </c>
      <c r="H7" s="293">
        <v>3</v>
      </c>
      <c r="I7" s="293">
        <v>8</v>
      </c>
      <c r="J7" s="290" t="s">
        <v>165</v>
      </c>
      <c r="K7" s="293" t="s">
        <v>542</v>
      </c>
      <c r="L7" s="293" t="s">
        <v>543</v>
      </c>
      <c r="N7" s="269" t="s">
        <v>38</v>
      </c>
      <c r="O7" s="287">
        <v>70000</v>
      </c>
      <c r="Q7" s="269" t="s">
        <v>578</v>
      </c>
      <c r="R7" s="269" t="s">
        <v>196</v>
      </c>
      <c r="S7" s="269" t="s">
        <v>188</v>
      </c>
      <c r="T7" s="269" t="s">
        <v>527</v>
      </c>
      <c r="U7" s="269" t="s">
        <v>576</v>
      </c>
      <c r="V7" s="269" t="s">
        <v>577</v>
      </c>
      <c r="X7" s="269"/>
      <c r="Y7" s="269"/>
      <c r="Z7" s="269"/>
      <c r="AA7" s="269" t="s">
        <v>369</v>
      </c>
      <c r="AB7" s="290" t="s">
        <v>92</v>
      </c>
      <c r="AC7" t="str">
        <f t="shared" si="1"/>
        <v>BretonnianLineman</v>
      </c>
      <c r="AD7" s="288" t="s">
        <v>534</v>
      </c>
      <c r="AE7" s="203" t="s">
        <v>554</v>
      </c>
      <c r="AF7" s="203" t="s">
        <v>554</v>
      </c>
      <c r="AG7" s="203"/>
      <c r="AH7" s="289"/>
      <c r="AI7" s="203"/>
      <c r="AJ7" s="203" t="s">
        <v>555</v>
      </c>
      <c r="AK7" s="203" t="s">
        <v>20</v>
      </c>
      <c r="AL7" s="203" t="s">
        <v>556</v>
      </c>
      <c r="AM7" s="289"/>
    </row>
    <row r="8" spans="1:39" ht="15.75" customHeight="1">
      <c r="A8" s="269" t="s">
        <v>369</v>
      </c>
      <c r="B8" s="290" t="s">
        <v>68</v>
      </c>
      <c r="C8" s="285" t="str">
        <f t="shared" si="0"/>
        <v>BretonnianBlitzer</v>
      </c>
      <c r="D8" s="291">
        <v>4</v>
      </c>
      <c r="E8" s="292">
        <v>110000</v>
      </c>
      <c r="F8" s="293">
        <v>7</v>
      </c>
      <c r="G8" s="293">
        <v>3</v>
      </c>
      <c r="H8" s="293">
        <v>3</v>
      </c>
      <c r="I8" s="293">
        <v>8</v>
      </c>
      <c r="J8" s="290" t="s">
        <v>574</v>
      </c>
      <c r="K8" s="293" t="s">
        <v>575</v>
      </c>
      <c r="L8" s="293" t="s">
        <v>20</v>
      </c>
      <c r="N8" s="269" t="s">
        <v>211</v>
      </c>
      <c r="O8" s="286">
        <v>50000</v>
      </c>
      <c r="Q8" s="269" t="s">
        <v>579</v>
      </c>
      <c r="R8" s="269" t="s">
        <v>229</v>
      </c>
      <c r="S8" s="269" t="s">
        <v>580</v>
      </c>
      <c r="T8" s="269" t="s">
        <v>581</v>
      </c>
      <c r="U8" s="269" t="s">
        <v>582</v>
      </c>
      <c r="V8" s="269" t="s">
        <v>583</v>
      </c>
      <c r="X8" s="269"/>
      <c r="Y8" s="269"/>
      <c r="Z8" s="269"/>
      <c r="AA8" s="269" t="s">
        <v>369</v>
      </c>
      <c r="AB8" s="290" t="s">
        <v>573</v>
      </c>
      <c r="AC8" t="str">
        <f t="shared" si="1"/>
        <v>BretonnianYeoman</v>
      </c>
      <c r="AD8" s="288" t="s">
        <v>534</v>
      </c>
      <c r="AE8" s="203"/>
      <c r="AF8" s="203" t="s">
        <v>20</v>
      </c>
      <c r="AG8" s="203"/>
      <c r="AH8" s="289"/>
      <c r="AI8" s="203"/>
      <c r="AJ8" s="203" t="s">
        <v>555</v>
      </c>
      <c r="AK8" s="203" t="s">
        <v>554</v>
      </c>
      <c r="AL8" s="203" t="s">
        <v>556</v>
      </c>
      <c r="AM8" s="289"/>
    </row>
    <row r="9" spans="1:39" ht="15.75" customHeight="1">
      <c r="A9" s="269" t="s">
        <v>202</v>
      </c>
      <c r="B9" s="269" t="s">
        <v>142</v>
      </c>
      <c r="C9" s="285" t="str">
        <f t="shared" si="0"/>
        <v>ChaosBeastman</v>
      </c>
      <c r="D9" s="285">
        <v>16</v>
      </c>
      <c r="E9" s="286">
        <v>60000</v>
      </c>
      <c r="F9" s="260">
        <v>6</v>
      </c>
      <c r="G9" s="260">
        <v>3</v>
      </c>
      <c r="H9" s="260">
        <v>3</v>
      </c>
      <c r="I9" s="260">
        <v>8</v>
      </c>
      <c r="J9" s="269" t="s">
        <v>576</v>
      </c>
      <c r="K9" s="260" t="s">
        <v>584</v>
      </c>
      <c r="L9" s="260" t="s">
        <v>543</v>
      </c>
      <c r="N9" s="269" t="s">
        <v>370</v>
      </c>
      <c r="O9" s="286">
        <v>50000</v>
      </c>
      <c r="Q9" s="269" t="s">
        <v>588</v>
      </c>
      <c r="R9" s="269" t="s">
        <v>585</v>
      </c>
      <c r="S9" s="269" t="s">
        <v>290</v>
      </c>
      <c r="U9" s="269" t="s">
        <v>586</v>
      </c>
      <c r="V9" s="269" t="s">
        <v>587</v>
      </c>
      <c r="X9" s="269"/>
      <c r="Y9" s="269"/>
      <c r="Z9" s="269"/>
      <c r="AA9" s="269" t="s">
        <v>369</v>
      </c>
      <c r="AB9" s="290" t="s">
        <v>68</v>
      </c>
      <c r="AC9" t="str">
        <f t="shared" si="1"/>
        <v>BretonnianBlitzer</v>
      </c>
      <c r="AD9" s="288" t="s">
        <v>534</v>
      </c>
      <c r="AE9" s="203" t="s">
        <v>555</v>
      </c>
      <c r="AF9" s="203"/>
      <c r="AG9" s="203" t="s">
        <v>556</v>
      </c>
      <c r="AH9" s="289"/>
      <c r="AI9" s="203"/>
      <c r="AJ9" s="203" t="s">
        <v>554</v>
      </c>
      <c r="AK9" s="203" t="s">
        <v>20</v>
      </c>
      <c r="AL9" s="203"/>
      <c r="AM9" s="289"/>
    </row>
    <row r="10" spans="1:39" ht="15.75" customHeight="1">
      <c r="A10" s="269" t="s">
        <v>202</v>
      </c>
      <c r="B10" s="269" t="s">
        <v>178</v>
      </c>
      <c r="C10" s="285" t="str">
        <f t="shared" si="0"/>
        <v>ChaosChaos Warrior</v>
      </c>
      <c r="D10" s="285">
        <v>4</v>
      </c>
      <c r="E10" s="286">
        <v>100000</v>
      </c>
      <c r="F10" s="260">
        <v>5</v>
      </c>
      <c r="G10" s="260">
        <v>4</v>
      </c>
      <c r="H10" s="260">
        <v>3</v>
      </c>
      <c r="I10" s="260">
        <v>9</v>
      </c>
      <c r="K10" s="260" t="s">
        <v>584</v>
      </c>
      <c r="L10" s="260" t="s">
        <v>543</v>
      </c>
      <c r="N10" s="269" t="s">
        <v>371</v>
      </c>
      <c r="O10" s="286">
        <v>50000</v>
      </c>
      <c r="Q10" s="269" t="s">
        <v>593</v>
      </c>
      <c r="R10" s="269" t="s">
        <v>589</v>
      </c>
      <c r="S10" s="269" t="s">
        <v>590</v>
      </c>
      <c r="U10" s="269" t="s">
        <v>591</v>
      </c>
      <c r="V10" s="269" t="s">
        <v>592</v>
      </c>
      <c r="X10" s="269"/>
      <c r="Y10" s="269"/>
      <c r="Z10" s="269"/>
      <c r="AA10" s="269" t="s">
        <v>202</v>
      </c>
      <c r="AB10" s="269" t="s">
        <v>142</v>
      </c>
      <c r="AC10" t="str">
        <f t="shared" si="1"/>
        <v>ChaosBeastman</v>
      </c>
      <c r="AD10" s="288" t="s">
        <v>534</v>
      </c>
      <c r="AE10" s="203"/>
      <c r="AF10" s="203" t="s">
        <v>20</v>
      </c>
      <c r="AG10" s="203"/>
      <c r="AH10" s="289" t="s">
        <v>17</v>
      </c>
      <c r="AI10" s="203"/>
      <c r="AJ10" s="203" t="s">
        <v>555</v>
      </c>
      <c r="AK10" s="203" t="s">
        <v>554</v>
      </c>
      <c r="AL10" s="203" t="s">
        <v>556</v>
      </c>
      <c r="AM10" s="289"/>
    </row>
    <row r="11" spans="1:39" ht="15.75" customHeight="1">
      <c r="A11" s="269" t="s">
        <v>202</v>
      </c>
      <c r="B11" s="269" t="s">
        <v>111</v>
      </c>
      <c r="C11" s="285" t="str">
        <f t="shared" si="0"/>
        <v>ChaosMinotaur</v>
      </c>
      <c r="D11" s="285">
        <v>1</v>
      </c>
      <c r="E11" s="286">
        <v>150000</v>
      </c>
      <c r="F11" s="260">
        <v>5</v>
      </c>
      <c r="G11" s="260">
        <v>5</v>
      </c>
      <c r="H11" s="260">
        <v>2</v>
      </c>
      <c r="I11" s="260">
        <v>8</v>
      </c>
      <c r="J11" s="269" t="s">
        <v>594</v>
      </c>
      <c r="K11" s="260" t="s">
        <v>595</v>
      </c>
      <c r="L11" s="260" t="s">
        <v>575</v>
      </c>
      <c r="N11" s="269" t="s">
        <v>304</v>
      </c>
      <c r="O11" s="286">
        <v>60000</v>
      </c>
      <c r="Q11" s="269" t="s">
        <v>103</v>
      </c>
      <c r="R11" s="269" t="s">
        <v>596</v>
      </c>
      <c r="S11" s="269" t="s">
        <v>597</v>
      </c>
      <c r="U11" s="269" t="s">
        <v>598</v>
      </c>
      <c r="V11" s="269" t="s">
        <v>599</v>
      </c>
      <c r="X11" s="269"/>
      <c r="Y11" s="269"/>
      <c r="Z11" s="269"/>
      <c r="AA11" s="269" t="s">
        <v>202</v>
      </c>
      <c r="AB11" s="269" t="s">
        <v>178</v>
      </c>
      <c r="AC11" t="str">
        <f t="shared" si="1"/>
        <v>ChaosChaos Warrior</v>
      </c>
      <c r="AD11" s="288" t="s">
        <v>534</v>
      </c>
      <c r="AE11" s="203"/>
      <c r="AF11" s="203" t="s">
        <v>20</v>
      </c>
      <c r="AG11" s="203"/>
      <c r="AH11" s="289" t="s">
        <v>17</v>
      </c>
      <c r="AI11" s="203"/>
      <c r="AJ11" s="203" t="s">
        <v>555</v>
      </c>
      <c r="AK11" s="203" t="s">
        <v>554</v>
      </c>
      <c r="AL11" s="203" t="s">
        <v>556</v>
      </c>
      <c r="AM11" s="289"/>
    </row>
    <row r="12" spans="1:39" ht="15.75" customHeight="1">
      <c r="A12" s="269" t="s">
        <v>129</v>
      </c>
      <c r="B12" s="269" t="s">
        <v>89</v>
      </c>
      <c r="C12" s="285" t="str">
        <f t="shared" si="0"/>
        <v>Chaos DwarfHobgoblin</v>
      </c>
      <c r="D12" s="285">
        <v>16</v>
      </c>
      <c r="E12" s="286">
        <v>40000</v>
      </c>
      <c r="F12" s="260">
        <v>6</v>
      </c>
      <c r="G12" s="260">
        <v>3</v>
      </c>
      <c r="H12" s="260">
        <v>3</v>
      </c>
      <c r="I12" s="260">
        <v>7</v>
      </c>
      <c r="K12" s="260" t="s">
        <v>534</v>
      </c>
      <c r="L12" s="260" t="s">
        <v>535</v>
      </c>
      <c r="N12" s="269" t="s">
        <v>372</v>
      </c>
      <c r="O12" s="286">
        <v>60000</v>
      </c>
      <c r="Q12" s="269" t="s">
        <v>93</v>
      </c>
      <c r="T12" s="269"/>
      <c r="V12" s="269" t="s">
        <v>600</v>
      </c>
      <c r="X12" s="269"/>
      <c r="Y12" s="269"/>
      <c r="Z12" s="269"/>
      <c r="AA12" s="269" t="s">
        <v>202</v>
      </c>
      <c r="AB12" s="269" t="s">
        <v>111</v>
      </c>
      <c r="AC12" t="str">
        <f t="shared" si="1"/>
        <v>ChaosMinotaur</v>
      </c>
      <c r="AD12" s="288"/>
      <c r="AE12" s="203"/>
      <c r="AF12" s="203" t="s">
        <v>20</v>
      </c>
      <c r="AG12" s="203"/>
      <c r="AH12" s="289" t="s">
        <v>17</v>
      </c>
      <c r="AI12" s="203" t="s">
        <v>534</v>
      </c>
      <c r="AJ12" s="203" t="s">
        <v>555</v>
      </c>
      <c r="AK12" s="203"/>
      <c r="AL12" s="203" t="s">
        <v>556</v>
      </c>
      <c r="AM12" s="289"/>
    </row>
    <row r="13" spans="1:39" ht="15.75" customHeight="1">
      <c r="A13" s="269" t="s">
        <v>129</v>
      </c>
      <c r="B13" s="269" t="s">
        <v>41</v>
      </c>
      <c r="C13" s="285" t="str">
        <f t="shared" si="0"/>
        <v>Chaos DwarfBlocker</v>
      </c>
      <c r="D13" s="285">
        <v>6</v>
      </c>
      <c r="E13" s="286">
        <v>70000</v>
      </c>
      <c r="F13" s="260">
        <v>4</v>
      </c>
      <c r="G13" s="260">
        <v>3</v>
      </c>
      <c r="H13" s="260">
        <v>2</v>
      </c>
      <c r="I13" s="260">
        <v>9</v>
      </c>
      <c r="J13" s="269" t="s">
        <v>601</v>
      </c>
      <c r="K13" s="260" t="s">
        <v>542</v>
      </c>
      <c r="L13" s="260" t="s">
        <v>602</v>
      </c>
      <c r="N13" s="269" t="s">
        <v>373</v>
      </c>
      <c r="O13" s="286">
        <v>50000</v>
      </c>
      <c r="Q13" s="269" t="s">
        <v>228</v>
      </c>
      <c r="V13" s="269" t="s">
        <v>603</v>
      </c>
      <c r="X13" s="269"/>
      <c r="Y13" s="269"/>
      <c r="Z13" s="269"/>
      <c r="AA13" s="269" t="s">
        <v>129</v>
      </c>
      <c r="AB13" s="269" t="s">
        <v>89</v>
      </c>
      <c r="AC13" t="str">
        <f t="shared" si="1"/>
        <v>Chaos DwarfHobgoblin</v>
      </c>
      <c r="AD13" s="288" t="s">
        <v>534</v>
      </c>
      <c r="AE13" s="203" t="s">
        <v>554</v>
      </c>
      <c r="AF13" s="203" t="s">
        <v>554</v>
      </c>
      <c r="AG13" s="203"/>
      <c r="AH13" s="289"/>
      <c r="AI13" s="203"/>
      <c r="AJ13" s="203" t="s">
        <v>555</v>
      </c>
      <c r="AK13" s="203" t="s">
        <v>20</v>
      </c>
      <c r="AL13" s="203" t="s">
        <v>556</v>
      </c>
      <c r="AM13" s="289"/>
    </row>
    <row r="14" spans="1:39" ht="15.75" customHeight="1">
      <c r="A14" s="269" t="s">
        <v>129</v>
      </c>
      <c r="B14" s="269" t="s">
        <v>113</v>
      </c>
      <c r="C14" s="285" t="str">
        <f t="shared" si="0"/>
        <v>Chaos DwarfBull Centaur</v>
      </c>
      <c r="D14" s="285">
        <v>2</v>
      </c>
      <c r="E14" s="286">
        <v>130000</v>
      </c>
      <c r="F14" s="260">
        <v>6</v>
      </c>
      <c r="G14" s="260">
        <v>4</v>
      </c>
      <c r="H14" s="260">
        <v>2</v>
      </c>
      <c r="I14" s="260">
        <v>9</v>
      </c>
      <c r="J14" s="269" t="s">
        <v>604</v>
      </c>
      <c r="K14" s="260" t="s">
        <v>542</v>
      </c>
      <c r="L14" s="260" t="s">
        <v>543</v>
      </c>
      <c r="N14" s="269" t="s">
        <v>374</v>
      </c>
      <c r="O14" s="286">
        <v>50000</v>
      </c>
      <c r="Q14" s="269" t="s">
        <v>165</v>
      </c>
      <c r="V14" s="269" t="s">
        <v>605</v>
      </c>
      <c r="X14" s="269"/>
      <c r="Y14" s="269"/>
      <c r="Z14" s="269"/>
      <c r="AA14" s="269" t="s">
        <v>129</v>
      </c>
      <c r="AB14" s="269" t="s">
        <v>41</v>
      </c>
      <c r="AC14" t="str">
        <f t="shared" si="1"/>
        <v>Chaos DwarfBlocker</v>
      </c>
      <c r="AD14" s="288" t="s">
        <v>534</v>
      </c>
      <c r="AE14" s="203"/>
      <c r="AF14" s="203" t="s">
        <v>20</v>
      </c>
      <c r="AG14" s="203"/>
      <c r="AH14" s="289"/>
      <c r="AI14" s="203"/>
      <c r="AJ14" s="203" t="s">
        <v>555</v>
      </c>
      <c r="AK14" s="203"/>
      <c r="AL14" s="203" t="s">
        <v>556</v>
      </c>
      <c r="AM14" s="289" t="s">
        <v>17</v>
      </c>
    </row>
    <row r="15" spans="1:39" ht="15.75" customHeight="1">
      <c r="A15" s="269" t="s">
        <v>129</v>
      </c>
      <c r="B15" s="269" t="s">
        <v>111</v>
      </c>
      <c r="C15" s="285" t="str">
        <f t="shared" si="0"/>
        <v>Chaos DwarfMinotaur</v>
      </c>
      <c r="D15" s="285">
        <v>1</v>
      </c>
      <c r="E15" s="286">
        <v>150000</v>
      </c>
      <c r="F15" s="260">
        <v>5</v>
      </c>
      <c r="G15" s="260">
        <v>5</v>
      </c>
      <c r="H15" s="260">
        <v>2</v>
      </c>
      <c r="I15" s="260">
        <v>8</v>
      </c>
      <c r="J15" s="269" t="s">
        <v>594</v>
      </c>
      <c r="K15" s="260" t="s">
        <v>20</v>
      </c>
      <c r="L15" s="260" t="s">
        <v>606</v>
      </c>
      <c r="N15" s="269" t="s">
        <v>375</v>
      </c>
      <c r="O15" s="286">
        <v>70000</v>
      </c>
      <c r="V15" s="269" t="s">
        <v>607</v>
      </c>
      <c r="X15" s="269"/>
      <c r="Y15" s="269"/>
      <c r="Z15" s="269"/>
      <c r="AA15" s="269" t="s">
        <v>129</v>
      </c>
      <c r="AB15" s="269" t="s">
        <v>113</v>
      </c>
      <c r="AC15" t="str">
        <f t="shared" si="1"/>
        <v>Chaos DwarfBull Centaur</v>
      </c>
      <c r="AD15" s="288" t="s">
        <v>534</v>
      </c>
      <c r="AE15" s="203"/>
      <c r="AF15" s="203" t="s">
        <v>20</v>
      </c>
      <c r="AG15" s="203"/>
      <c r="AH15" s="289"/>
      <c r="AI15" s="203"/>
      <c r="AJ15" s="203" t="s">
        <v>555</v>
      </c>
      <c r="AK15" s="203"/>
      <c r="AL15" s="203" t="s">
        <v>556</v>
      </c>
      <c r="AM15" s="289" t="s">
        <v>17</v>
      </c>
    </row>
    <row r="16" spans="1:39" ht="15.75" customHeight="1">
      <c r="A16" s="269" t="s">
        <v>203</v>
      </c>
      <c r="B16" s="269" t="s">
        <v>162</v>
      </c>
      <c r="C16" s="285" t="str">
        <f t="shared" si="0"/>
        <v>Chaos PactMarauder</v>
      </c>
      <c r="D16" s="269">
        <v>12</v>
      </c>
      <c r="E16" s="286">
        <v>50000</v>
      </c>
      <c r="F16" s="260">
        <v>6</v>
      </c>
      <c r="G16" s="260">
        <v>3</v>
      </c>
      <c r="H16" s="260">
        <v>3</v>
      </c>
      <c r="I16" s="260">
        <v>8</v>
      </c>
      <c r="K16" s="294" t="s">
        <v>608</v>
      </c>
      <c r="L16" s="203" t="s">
        <v>555</v>
      </c>
      <c r="N16" s="269" t="s">
        <v>270</v>
      </c>
      <c r="O16" s="286">
        <v>60000</v>
      </c>
      <c r="V16" s="269" t="s">
        <v>609</v>
      </c>
      <c r="X16" s="269"/>
      <c r="Y16" s="269"/>
      <c r="Z16" s="269"/>
      <c r="AA16" s="269" t="s">
        <v>129</v>
      </c>
      <c r="AB16" s="269" t="s">
        <v>111</v>
      </c>
      <c r="AC16" t="str">
        <f t="shared" si="1"/>
        <v>Chaos DwarfMinotaur</v>
      </c>
      <c r="AD16" s="288"/>
      <c r="AE16" s="203" t="s">
        <v>554</v>
      </c>
      <c r="AF16" s="203" t="s">
        <v>20</v>
      </c>
      <c r="AG16" s="203"/>
      <c r="AH16" s="289"/>
      <c r="AI16" s="203" t="s">
        <v>534</v>
      </c>
      <c r="AJ16" s="203" t="s">
        <v>555</v>
      </c>
      <c r="AK16" s="203"/>
      <c r="AL16" s="203" t="s">
        <v>556</v>
      </c>
      <c r="AM16" s="289"/>
    </row>
    <row r="17" spans="1:39" ht="15.75" customHeight="1">
      <c r="A17" s="269" t="s">
        <v>203</v>
      </c>
      <c r="B17" s="269" t="s">
        <v>610</v>
      </c>
      <c r="C17" s="285" t="str">
        <f t="shared" si="0"/>
        <v>Chaos PactGoblin Renegade</v>
      </c>
      <c r="D17" s="269">
        <v>1</v>
      </c>
      <c r="E17" s="286">
        <v>40000</v>
      </c>
      <c r="F17" s="260">
        <v>6</v>
      </c>
      <c r="G17" s="260">
        <v>2</v>
      </c>
      <c r="H17" s="260">
        <v>3</v>
      </c>
      <c r="I17" s="260">
        <v>7</v>
      </c>
      <c r="J17" s="269" t="s">
        <v>611</v>
      </c>
      <c r="K17" s="203" t="s">
        <v>612</v>
      </c>
      <c r="L17" s="294" t="s">
        <v>613</v>
      </c>
      <c r="M17" s="269"/>
      <c r="N17" s="269" t="s">
        <v>376</v>
      </c>
      <c r="O17" s="286">
        <v>70000</v>
      </c>
      <c r="V17" s="269" t="s">
        <v>614</v>
      </c>
      <c r="X17" s="269"/>
      <c r="Y17" s="269"/>
      <c r="Z17" s="269"/>
      <c r="AA17" s="269" t="s">
        <v>203</v>
      </c>
      <c r="AB17" s="269" t="s">
        <v>162</v>
      </c>
      <c r="AC17" t="str">
        <f t="shared" si="1"/>
        <v>Chaos PactMarauder</v>
      </c>
      <c r="AD17" s="295" t="s">
        <v>534</v>
      </c>
      <c r="AE17" s="203"/>
      <c r="AF17" s="260" t="s">
        <v>20</v>
      </c>
      <c r="AG17" s="260" t="s">
        <v>556</v>
      </c>
      <c r="AH17" s="296" t="s">
        <v>17</v>
      </c>
      <c r="AI17" s="203"/>
      <c r="AJ17" s="260" t="s">
        <v>555</v>
      </c>
      <c r="AK17" s="203"/>
      <c r="AL17" s="203"/>
      <c r="AM17" s="289"/>
    </row>
    <row r="18" spans="1:39" ht="15.75" customHeight="1">
      <c r="A18" s="269" t="s">
        <v>203</v>
      </c>
      <c r="B18" s="269" t="s">
        <v>615</v>
      </c>
      <c r="C18" s="285" t="str">
        <f t="shared" si="0"/>
        <v>Chaos PactSkaven Renegade</v>
      </c>
      <c r="D18" s="269">
        <v>1</v>
      </c>
      <c r="E18" s="286">
        <v>50000</v>
      </c>
      <c r="F18" s="260">
        <v>7</v>
      </c>
      <c r="G18" s="260">
        <v>3</v>
      </c>
      <c r="H18" s="260">
        <v>3</v>
      </c>
      <c r="I18" s="260">
        <v>7</v>
      </c>
      <c r="J18" s="269" t="s">
        <v>552</v>
      </c>
      <c r="K18" s="294" t="s">
        <v>616</v>
      </c>
      <c r="L18" s="294" t="s">
        <v>535</v>
      </c>
      <c r="M18" s="269"/>
      <c r="N18" s="269" t="s">
        <v>131</v>
      </c>
      <c r="O18" s="286">
        <v>60000</v>
      </c>
      <c r="V18" s="269" t="s">
        <v>617</v>
      </c>
      <c r="X18" s="269"/>
      <c r="Y18" s="269"/>
      <c r="Z18" s="269"/>
      <c r="AA18" s="269" t="s">
        <v>203</v>
      </c>
      <c r="AB18" s="269" t="s">
        <v>610</v>
      </c>
      <c r="AC18" t="str">
        <f t="shared" si="1"/>
        <v>Chaos PactGoblin Renegade</v>
      </c>
      <c r="AD18" s="288"/>
      <c r="AE18" s="260" t="s">
        <v>555</v>
      </c>
      <c r="AF18" s="203"/>
      <c r="AG18" s="203"/>
      <c r="AH18" s="296" t="s">
        <v>17</v>
      </c>
      <c r="AI18" s="260" t="s">
        <v>534</v>
      </c>
      <c r="AJ18" s="203"/>
      <c r="AK18" s="260" t="s">
        <v>20</v>
      </c>
      <c r="AL18" s="260" t="s">
        <v>556</v>
      </c>
      <c r="AM18" s="289"/>
    </row>
    <row r="19" spans="1:39" ht="15.75" customHeight="1">
      <c r="A19" s="269" t="s">
        <v>203</v>
      </c>
      <c r="B19" s="269" t="s">
        <v>144</v>
      </c>
      <c r="C19" s="285" t="str">
        <f t="shared" si="0"/>
        <v>Chaos PactDark Elf Renegade</v>
      </c>
      <c r="D19" s="269">
        <v>1</v>
      </c>
      <c r="E19" s="286">
        <v>70000</v>
      </c>
      <c r="F19" s="260">
        <v>6</v>
      </c>
      <c r="G19" s="260">
        <v>3</v>
      </c>
      <c r="H19" s="260">
        <v>4</v>
      </c>
      <c r="I19" s="260">
        <v>8</v>
      </c>
      <c r="J19" s="269" t="s">
        <v>552</v>
      </c>
      <c r="K19" s="203" t="s">
        <v>618</v>
      </c>
      <c r="L19" s="294" t="s">
        <v>559</v>
      </c>
      <c r="M19" s="269"/>
      <c r="N19" s="269" t="s">
        <v>329</v>
      </c>
      <c r="O19" s="286">
        <v>70000</v>
      </c>
      <c r="V19" s="269" t="s">
        <v>619</v>
      </c>
      <c r="X19" s="269"/>
      <c r="Y19" s="269"/>
      <c r="Z19" s="269"/>
      <c r="AA19" s="269" t="s">
        <v>203</v>
      </c>
      <c r="AB19" s="269" t="s">
        <v>615</v>
      </c>
      <c r="AC19" t="str">
        <f t="shared" si="1"/>
        <v>Chaos PactSkaven Renegade</v>
      </c>
      <c r="AD19" s="295" t="s">
        <v>534</v>
      </c>
      <c r="AE19" s="203"/>
      <c r="AF19" s="203"/>
      <c r="AG19" s="203"/>
      <c r="AH19" s="296" t="s">
        <v>17</v>
      </c>
      <c r="AI19" s="203"/>
      <c r="AJ19" s="260" t="s">
        <v>555</v>
      </c>
      <c r="AK19" s="260" t="s">
        <v>20</v>
      </c>
      <c r="AL19" s="260" t="s">
        <v>556</v>
      </c>
      <c r="AM19" s="289"/>
    </row>
    <row r="20" spans="1:39" ht="15.75" customHeight="1">
      <c r="A20" s="269" t="s">
        <v>203</v>
      </c>
      <c r="B20" s="269" t="s">
        <v>157</v>
      </c>
      <c r="C20" s="285" t="str">
        <f t="shared" si="0"/>
        <v>Chaos PactOrc Renegade</v>
      </c>
      <c r="D20" s="269">
        <v>1</v>
      </c>
      <c r="E20" s="286">
        <v>50000</v>
      </c>
      <c r="F20" s="260">
        <v>5</v>
      </c>
      <c r="G20" s="260">
        <v>3</v>
      </c>
      <c r="H20" s="260">
        <v>3</v>
      </c>
      <c r="I20" s="260">
        <v>9</v>
      </c>
      <c r="J20" s="269" t="s">
        <v>552</v>
      </c>
      <c r="K20" s="260" t="s">
        <v>616</v>
      </c>
      <c r="L20" s="260" t="s">
        <v>535</v>
      </c>
      <c r="M20" s="269"/>
      <c r="N20" s="269" t="s">
        <v>184</v>
      </c>
      <c r="O20" s="286">
        <v>70000</v>
      </c>
      <c r="V20" s="269" t="s">
        <v>620</v>
      </c>
      <c r="X20" s="269"/>
      <c r="Y20" s="269"/>
      <c r="Z20" s="269"/>
      <c r="AA20" s="269" t="s">
        <v>203</v>
      </c>
      <c r="AB20" s="269" t="s">
        <v>144</v>
      </c>
      <c r="AC20" t="str">
        <f t="shared" si="1"/>
        <v>Chaos PactDark Elf Renegade</v>
      </c>
      <c r="AD20" s="295" t="s">
        <v>534</v>
      </c>
      <c r="AE20" s="260" t="s">
        <v>555</v>
      </c>
      <c r="AF20" s="203"/>
      <c r="AG20" s="203"/>
      <c r="AH20" s="296" t="s">
        <v>17</v>
      </c>
      <c r="AI20" s="203"/>
      <c r="AJ20" s="203"/>
      <c r="AK20" s="260" t="s">
        <v>20</v>
      </c>
      <c r="AL20" s="260" t="s">
        <v>556</v>
      </c>
      <c r="AM20" s="289"/>
    </row>
    <row r="21" spans="1:39" ht="15.75" customHeight="1">
      <c r="A21" s="269" t="s">
        <v>203</v>
      </c>
      <c r="B21" s="269" t="s">
        <v>193</v>
      </c>
      <c r="C21" s="285" t="str">
        <f t="shared" si="0"/>
        <v>Chaos PactTroll</v>
      </c>
      <c r="D21" s="269">
        <v>1</v>
      </c>
      <c r="E21" s="286">
        <v>110000</v>
      </c>
      <c r="F21" s="260">
        <v>4</v>
      </c>
      <c r="G21" s="260">
        <v>5</v>
      </c>
      <c r="H21" s="260">
        <v>1</v>
      </c>
      <c r="I21" s="260">
        <v>9</v>
      </c>
      <c r="J21" s="269" t="s">
        <v>621</v>
      </c>
      <c r="K21" s="294" t="s">
        <v>20</v>
      </c>
      <c r="L21" s="203" t="s">
        <v>606</v>
      </c>
      <c r="M21" s="269"/>
      <c r="N21" s="269" t="s">
        <v>314</v>
      </c>
      <c r="O21" s="286">
        <v>60000</v>
      </c>
      <c r="V21" s="269" t="s">
        <v>622</v>
      </c>
      <c r="X21" s="269"/>
      <c r="Y21" s="269"/>
      <c r="Z21" s="269"/>
      <c r="AA21" s="269" t="s">
        <v>203</v>
      </c>
      <c r="AB21" s="269" t="s">
        <v>157</v>
      </c>
      <c r="AC21" t="str">
        <f t="shared" si="1"/>
        <v>Chaos PactOrc Renegade</v>
      </c>
      <c r="AD21" s="295" t="s">
        <v>534</v>
      </c>
      <c r="AE21" s="260"/>
      <c r="AF21" s="203"/>
      <c r="AG21" s="203"/>
      <c r="AH21" s="296" t="s">
        <v>17</v>
      </c>
      <c r="AI21" s="203"/>
      <c r="AJ21" s="260" t="s">
        <v>555</v>
      </c>
      <c r="AK21" s="260" t="s">
        <v>20</v>
      </c>
      <c r="AL21" s="260" t="s">
        <v>556</v>
      </c>
      <c r="AM21" s="289"/>
    </row>
    <row r="22" spans="1:39" ht="15.75" customHeight="1">
      <c r="A22" s="269" t="s">
        <v>203</v>
      </c>
      <c r="B22" s="269" t="s">
        <v>184</v>
      </c>
      <c r="C22" s="285" t="str">
        <f t="shared" si="0"/>
        <v>Chaos PactOgre</v>
      </c>
      <c r="D22" s="269">
        <v>1</v>
      </c>
      <c r="E22" s="286">
        <v>140000</v>
      </c>
      <c r="F22" s="260">
        <v>5</v>
      </c>
      <c r="G22" s="260">
        <v>5</v>
      </c>
      <c r="H22" s="260">
        <v>2</v>
      </c>
      <c r="I22" s="260">
        <v>9</v>
      </c>
      <c r="J22" s="269" t="s">
        <v>623</v>
      </c>
      <c r="K22" s="294" t="s">
        <v>20</v>
      </c>
      <c r="L22" s="203" t="s">
        <v>606</v>
      </c>
      <c r="M22" s="269"/>
      <c r="N22" s="269" t="s">
        <v>377</v>
      </c>
      <c r="O22" s="287">
        <v>60000</v>
      </c>
      <c r="V22" s="269" t="s">
        <v>624</v>
      </c>
      <c r="X22" s="269"/>
      <c r="Y22" s="269"/>
      <c r="Z22" s="269"/>
      <c r="AA22" s="269" t="s">
        <v>203</v>
      </c>
      <c r="AB22" s="269" t="s">
        <v>193</v>
      </c>
      <c r="AC22" t="str">
        <f t="shared" si="1"/>
        <v>Chaos PactTroll</v>
      </c>
      <c r="AD22" s="288"/>
      <c r="AE22" s="203"/>
      <c r="AF22" s="260" t="s">
        <v>20</v>
      </c>
      <c r="AG22" s="203"/>
      <c r="AH22" s="289"/>
      <c r="AI22" s="260" t="s">
        <v>534</v>
      </c>
      <c r="AJ22" s="260" t="s">
        <v>555</v>
      </c>
      <c r="AK22" s="203"/>
      <c r="AL22" s="260" t="s">
        <v>556</v>
      </c>
      <c r="AM22" s="296" t="s">
        <v>17</v>
      </c>
    </row>
    <row r="23" spans="1:39" ht="15.75" customHeight="1">
      <c r="A23" s="269" t="s">
        <v>203</v>
      </c>
      <c r="B23" s="269" t="s">
        <v>111</v>
      </c>
      <c r="C23" s="285" t="str">
        <f t="shared" si="0"/>
        <v>Chaos PactMinotaur</v>
      </c>
      <c r="D23" s="269">
        <v>1</v>
      </c>
      <c r="E23" s="286">
        <v>150000</v>
      </c>
      <c r="F23" s="260">
        <v>5</v>
      </c>
      <c r="G23" s="260">
        <v>5</v>
      </c>
      <c r="H23" s="260">
        <v>2</v>
      </c>
      <c r="I23" s="260">
        <v>8</v>
      </c>
      <c r="J23" s="269" t="s">
        <v>625</v>
      </c>
      <c r="K23" s="294" t="s">
        <v>20</v>
      </c>
      <c r="L23" s="203" t="s">
        <v>606</v>
      </c>
      <c r="N23" s="269" t="s">
        <v>268</v>
      </c>
      <c r="O23" s="286">
        <v>60000</v>
      </c>
      <c r="V23" s="269" t="s">
        <v>626</v>
      </c>
      <c r="X23" s="269"/>
      <c r="Y23" s="269"/>
      <c r="Z23" s="269"/>
      <c r="AA23" s="269" t="s">
        <v>203</v>
      </c>
      <c r="AB23" s="269" t="s">
        <v>184</v>
      </c>
      <c r="AC23" t="str">
        <f t="shared" si="1"/>
        <v>Chaos PactOgre</v>
      </c>
      <c r="AD23" s="288"/>
      <c r="AE23" s="203"/>
      <c r="AF23" s="260" t="s">
        <v>20</v>
      </c>
      <c r="AG23" s="203"/>
      <c r="AH23" s="289"/>
      <c r="AI23" s="260" t="s">
        <v>534</v>
      </c>
      <c r="AJ23" s="260" t="s">
        <v>555</v>
      </c>
      <c r="AK23" s="203"/>
      <c r="AL23" s="260" t="s">
        <v>556</v>
      </c>
      <c r="AM23" s="296" t="s">
        <v>17</v>
      </c>
    </row>
    <row r="24" spans="1:39" ht="15.75" customHeight="1">
      <c r="A24" s="269" t="s">
        <v>38</v>
      </c>
      <c r="B24" s="269" t="s">
        <v>22</v>
      </c>
      <c r="C24" s="285" t="str">
        <f t="shared" si="0"/>
        <v>Daemons of KhornePit Fighter</v>
      </c>
      <c r="D24" s="285">
        <v>16</v>
      </c>
      <c r="E24" s="286">
        <v>60000</v>
      </c>
      <c r="F24" s="260">
        <v>6</v>
      </c>
      <c r="G24" s="260">
        <v>3</v>
      </c>
      <c r="H24" s="260">
        <v>3</v>
      </c>
      <c r="I24" s="260">
        <v>8</v>
      </c>
      <c r="J24" s="269" t="s">
        <v>568</v>
      </c>
      <c r="K24" s="260" t="s">
        <v>545</v>
      </c>
      <c r="L24" s="260" t="s">
        <v>546</v>
      </c>
      <c r="N24" s="269" t="s">
        <v>378</v>
      </c>
      <c r="O24" s="286">
        <v>50000</v>
      </c>
      <c r="V24" s="269" t="s">
        <v>627</v>
      </c>
      <c r="X24" s="269"/>
      <c r="Y24" s="269"/>
      <c r="Z24" s="269"/>
      <c r="AA24" s="269" t="s">
        <v>203</v>
      </c>
      <c r="AB24" s="269" t="s">
        <v>111</v>
      </c>
      <c r="AC24" t="str">
        <f t="shared" si="1"/>
        <v>Chaos PactMinotaur</v>
      </c>
      <c r="AD24" s="288"/>
      <c r="AE24" s="203"/>
      <c r="AF24" s="260" t="s">
        <v>20</v>
      </c>
      <c r="AG24" s="203"/>
      <c r="AH24" s="289"/>
      <c r="AI24" s="260" t="s">
        <v>534</v>
      </c>
      <c r="AJ24" s="260" t="s">
        <v>555</v>
      </c>
      <c r="AK24" s="203"/>
      <c r="AL24" s="260" t="s">
        <v>556</v>
      </c>
      <c r="AM24" s="296" t="s">
        <v>17</v>
      </c>
    </row>
    <row r="25" spans="1:39" ht="15.75" customHeight="1">
      <c r="A25" s="269" t="s">
        <v>38</v>
      </c>
      <c r="B25" s="269" t="s">
        <v>18</v>
      </c>
      <c r="C25" s="285" t="str">
        <f t="shared" si="0"/>
        <v>Daemons of KhorneBloodletter</v>
      </c>
      <c r="D25" s="285">
        <v>4</v>
      </c>
      <c r="E25" s="286">
        <v>80000</v>
      </c>
      <c r="F25" s="260">
        <v>6</v>
      </c>
      <c r="G25" s="260">
        <v>3</v>
      </c>
      <c r="H25" s="260">
        <v>3</v>
      </c>
      <c r="I25" s="260">
        <v>7</v>
      </c>
      <c r="J25" s="269" t="s">
        <v>628</v>
      </c>
      <c r="K25" s="260" t="s">
        <v>629</v>
      </c>
      <c r="L25" s="260" t="s">
        <v>556</v>
      </c>
      <c r="N25" s="269" t="s">
        <v>365</v>
      </c>
      <c r="O25" s="287">
        <v>70000</v>
      </c>
      <c r="V25" s="269" t="s">
        <v>630</v>
      </c>
      <c r="X25" s="269"/>
      <c r="Y25" s="269"/>
      <c r="Z25" s="269"/>
      <c r="AA25" s="269" t="s">
        <v>38</v>
      </c>
      <c r="AB25" s="269" t="s">
        <v>22</v>
      </c>
      <c r="AC25" t="str">
        <f t="shared" si="1"/>
        <v>Daemons of KhornePit Fighter</v>
      </c>
      <c r="AD25" s="288" t="s">
        <v>534</v>
      </c>
      <c r="AE25" s="203"/>
      <c r="AF25" s="203" t="s">
        <v>554</v>
      </c>
      <c r="AG25" s="203" t="s">
        <v>556</v>
      </c>
      <c r="AH25" s="289"/>
      <c r="AI25" s="203"/>
      <c r="AJ25" s="203" t="s">
        <v>555</v>
      </c>
      <c r="AK25" s="203" t="s">
        <v>20</v>
      </c>
      <c r="AL25" s="203"/>
      <c r="AM25" s="289"/>
    </row>
    <row r="26" spans="1:39" ht="15.75" customHeight="1">
      <c r="A26" s="269" t="s">
        <v>38</v>
      </c>
      <c r="B26" s="269" t="s">
        <v>15</v>
      </c>
      <c r="C26" s="285" t="str">
        <f t="shared" si="0"/>
        <v>Daemons of KhorneHerald</v>
      </c>
      <c r="D26" s="285">
        <v>2</v>
      </c>
      <c r="E26" s="286">
        <v>90000</v>
      </c>
      <c r="F26" s="260">
        <v>6</v>
      </c>
      <c r="G26" s="260">
        <v>3</v>
      </c>
      <c r="H26" s="260">
        <v>3</v>
      </c>
      <c r="I26" s="260">
        <v>8</v>
      </c>
      <c r="J26" s="269" t="s">
        <v>631</v>
      </c>
      <c r="K26" s="260" t="s">
        <v>542</v>
      </c>
      <c r="L26" s="260" t="s">
        <v>543</v>
      </c>
      <c r="N26" s="269" t="s">
        <v>379</v>
      </c>
      <c r="O26" s="286">
        <v>70000</v>
      </c>
      <c r="V26" s="269" t="s">
        <v>632</v>
      </c>
      <c r="X26" s="269"/>
      <c r="Y26" s="269"/>
      <c r="Z26" s="269"/>
      <c r="AA26" s="269" t="s">
        <v>38</v>
      </c>
      <c r="AB26" s="269" t="s">
        <v>18</v>
      </c>
      <c r="AC26" t="str">
        <f t="shared" si="1"/>
        <v>Daemons of KhorneBloodletter</v>
      </c>
      <c r="AD26" s="288" t="s">
        <v>534</v>
      </c>
      <c r="AE26" s="203" t="s">
        <v>555</v>
      </c>
      <c r="AF26" s="203" t="s">
        <v>20</v>
      </c>
      <c r="AG26" s="203"/>
      <c r="AH26" s="289"/>
      <c r="AI26" s="203"/>
      <c r="AJ26" s="203" t="s">
        <v>554</v>
      </c>
      <c r="AK26" s="203" t="s">
        <v>554</v>
      </c>
      <c r="AL26" s="203" t="s">
        <v>556</v>
      </c>
      <c r="AM26" s="289"/>
    </row>
    <row r="27" spans="1:39" ht="15.75" customHeight="1">
      <c r="A27" s="269" t="s">
        <v>38</v>
      </c>
      <c r="B27" s="269" t="s">
        <v>13</v>
      </c>
      <c r="C27" s="285" t="str">
        <f t="shared" si="0"/>
        <v>Daemons of KhorneBloodthirster</v>
      </c>
      <c r="D27" s="285">
        <v>1</v>
      </c>
      <c r="E27" s="286">
        <v>180000</v>
      </c>
      <c r="F27" s="260">
        <v>6</v>
      </c>
      <c r="G27" s="260">
        <v>5</v>
      </c>
      <c r="H27" s="260">
        <v>1</v>
      </c>
      <c r="I27" s="260">
        <v>9</v>
      </c>
      <c r="J27" s="269" t="s">
        <v>633</v>
      </c>
      <c r="K27" s="260" t="s">
        <v>20</v>
      </c>
      <c r="L27" s="260" t="s">
        <v>575</v>
      </c>
      <c r="N27" s="269" t="s">
        <v>380</v>
      </c>
      <c r="O27" s="287">
        <v>70000</v>
      </c>
      <c r="V27" s="269" t="s">
        <v>634</v>
      </c>
      <c r="X27" s="269"/>
      <c r="Y27" s="269"/>
      <c r="Z27" s="269"/>
      <c r="AA27" s="269" t="s">
        <v>38</v>
      </c>
      <c r="AB27" s="269" t="s">
        <v>15</v>
      </c>
      <c r="AC27" t="str">
        <f t="shared" si="1"/>
        <v>Daemons of KhorneHerald</v>
      </c>
      <c r="AD27" s="288" t="s">
        <v>534</v>
      </c>
      <c r="AE27" s="203"/>
      <c r="AF27" s="203" t="s">
        <v>20</v>
      </c>
      <c r="AG27" s="203"/>
      <c r="AH27" s="289"/>
      <c r="AI27" s="203"/>
      <c r="AJ27" s="203" t="s">
        <v>555</v>
      </c>
      <c r="AK27" s="203" t="s">
        <v>554</v>
      </c>
      <c r="AL27" s="203" t="s">
        <v>556</v>
      </c>
      <c r="AM27" s="289"/>
    </row>
    <row r="28" spans="1:39" ht="15.75" customHeight="1">
      <c r="A28" s="269" t="s">
        <v>211</v>
      </c>
      <c r="B28" s="269" t="s">
        <v>92</v>
      </c>
      <c r="C28" s="285" t="str">
        <f t="shared" si="0"/>
        <v>Dark ElfLineman</v>
      </c>
      <c r="D28" s="285">
        <v>16</v>
      </c>
      <c r="E28" s="286">
        <v>70000</v>
      </c>
      <c r="F28" s="260">
        <v>6</v>
      </c>
      <c r="G28" s="260">
        <v>3</v>
      </c>
      <c r="H28" s="260">
        <v>4</v>
      </c>
      <c r="I28" s="260">
        <v>8</v>
      </c>
      <c r="K28" s="260" t="s">
        <v>558</v>
      </c>
      <c r="L28" s="260" t="s">
        <v>559</v>
      </c>
      <c r="N28" s="269" t="s">
        <v>272</v>
      </c>
      <c r="O28" s="287">
        <v>50000</v>
      </c>
      <c r="V28" s="269" t="s">
        <v>635</v>
      </c>
      <c r="X28" s="269"/>
      <c r="Y28" s="269"/>
      <c r="Z28" s="269"/>
      <c r="AA28" s="269" t="s">
        <v>38</v>
      </c>
      <c r="AB28" s="269" t="s">
        <v>13</v>
      </c>
      <c r="AC28" t="str">
        <f t="shared" si="1"/>
        <v>Daemons of KhorneBloodthirster</v>
      </c>
      <c r="AD28" s="288"/>
      <c r="AE28" s="203" t="s">
        <v>554</v>
      </c>
      <c r="AF28" s="203" t="s">
        <v>20</v>
      </c>
      <c r="AG28" s="203"/>
      <c r="AH28" s="289"/>
      <c r="AI28" s="203" t="s">
        <v>534</v>
      </c>
      <c r="AJ28" s="203" t="s">
        <v>555</v>
      </c>
      <c r="AK28" s="203"/>
      <c r="AL28" s="203" t="s">
        <v>556</v>
      </c>
      <c r="AM28" s="289"/>
    </row>
    <row r="29" spans="1:39" ht="15.75" customHeight="1">
      <c r="A29" s="269" t="s">
        <v>211</v>
      </c>
      <c r="B29" s="269" t="s">
        <v>169</v>
      </c>
      <c r="C29" s="285" t="str">
        <f t="shared" si="0"/>
        <v>Dark ElfRunner</v>
      </c>
      <c r="D29" s="285">
        <v>2</v>
      </c>
      <c r="E29" s="286">
        <v>80000</v>
      </c>
      <c r="F29" s="260">
        <v>7</v>
      </c>
      <c r="G29" s="260">
        <v>3</v>
      </c>
      <c r="H29" s="260">
        <v>4</v>
      </c>
      <c r="I29" s="260">
        <v>7</v>
      </c>
      <c r="J29" s="269" t="s">
        <v>636</v>
      </c>
      <c r="K29" s="260" t="s">
        <v>575</v>
      </c>
      <c r="L29" s="260" t="s">
        <v>20</v>
      </c>
      <c r="X29" s="269"/>
      <c r="Y29" s="269"/>
      <c r="Z29" s="269"/>
      <c r="AA29" s="269" t="s">
        <v>211</v>
      </c>
      <c r="AB29" s="269" t="s">
        <v>92</v>
      </c>
      <c r="AC29" t="str">
        <f t="shared" si="1"/>
        <v>Dark ElfLineman</v>
      </c>
      <c r="AD29" s="288" t="s">
        <v>534</v>
      </c>
      <c r="AE29" s="203" t="s">
        <v>555</v>
      </c>
      <c r="AF29" s="203" t="s">
        <v>554</v>
      </c>
      <c r="AG29" s="203"/>
      <c r="AH29" s="289"/>
      <c r="AI29" s="203"/>
      <c r="AJ29" s="203"/>
      <c r="AK29" s="203" t="s">
        <v>20</v>
      </c>
      <c r="AL29" s="203" t="s">
        <v>556</v>
      </c>
      <c r="AM29" s="289"/>
    </row>
    <row r="30" spans="1:39" ht="15.75" customHeight="1">
      <c r="A30" s="269" t="s">
        <v>211</v>
      </c>
      <c r="B30" s="269" t="s">
        <v>185</v>
      </c>
      <c r="C30" s="285" t="str">
        <f t="shared" si="0"/>
        <v>Dark ElfAssassin</v>
      </c>
      <c r="D30" s="285">
        <v>2</v>
      </c>
      <c r="E30" s="286">
        <v>90000</v>
      </c>
      <c r="F30" s="260">
        <v>6</v>
      </c>
      <c r="G30" s="260">
        <v>3</v>
      </c>
      <c r="H30" s="260">
        <v>4</v>
      </c>
      <c r="I30" s="260">
        <v>7</v>
      </c>
      <c r="J30" s="269" t="s">
        <v>637</v>
      </c>
      <c r="K30" s="260" t="s">
        <v>558</v>
      </c>
      <c r="L30" s="260" t="s">
        <v>559</v>
      </c>
      <c r="X30" s="269"/>
      <c r="Y30" s="269"/>
      <c r="Z30" s="269"/>
      <c r="AA30" s="269" t="s">
        <v>211</v>
      </c>
      <c r="AB30" s="269" t="s">
        <v>169</v>
      </c>
      <c r="AC30" t="str">
        <f t="shared" si="1"/>
        <v>Dark ElfRunner</v>
      </c>
      <c r="AD30" s="288" t="s">
        <v>534</v>
      </c>
      <c r="AE30" s="203" t="s">
        <v>555</v>
      </c>
      <c r="AF30" s="203"/>
      <c r="AG30" s="203" t="s">
        <v>556</v>
      </c>
      <c r="AH30" s="289"/>
      <c r="AI30" s="203"/>
      <c r="AJ30" s="203" t="s">
        <v>554</v>
      </c>
      <c r="AK30" s="203" t="s">
        <v>20</v>
      </c>
      <c r="AL30" s="203"/>
      <c r="AM30" s="289"/>
    </row>
    <row r="31" spans="1:39" ht="15.75" customHeight="1">
      <c r="A31" s="269" t="s">
        <v>211</v>
      </c>
      <c r="B31" s="269" t="s">
        <v>68</v>
      </c>
      <c r="C31" s="285" t="str">
        <f t="shared" si="0"/>
        <v>Dark ElfBlitzer</v>
      </c>
      <c r="D31" s="285">
        <v>4</v>
      </c>
      <c r="E31" s="286">
        <v>100000</v>
      </c>
      <c r="F31" s="260">
        <v>7</v>
      </c>
      <c r="G31" s="260">
        <v>3</v>
      </c>
      <c r="H31" s="260">
        <v>4</v>
      </c>
      <c r="I31" s="260">
        <v>8</v>
      </c>
      <c r="J31" s="269" t="s">
        <v>55</v>
      </c>
      <c r="K31" s="260" t="s">
        <v>558</v>
      </c>
      <c r="L31" s="260" t="s">
        <v>559</v>
      </c>
      <c r="X31" s="269"/>
      <c r="Y31" s="269"/>
      <c r="Z31" s="269"/>
      <c r="AA31" s="269" t="s">
        <v>211</v>
      </c>
      <c r="AB31" s="269" t="s">
        <v>185</v>
      </c>
      <c r="AC31" t="str">
        <f t="shared" si="1"/>
        <v>Dark ElfAssassin</v>
      </c>
      <c r="AD31" s="288" t="s">
        <v>534</v>
      </c>
      <c r="AE31" s="203" t="s">
        <v>555</v>
      </c>
      <c r="AF31" s="203" t="s">
        <v>554</v>
      </c>
      <c r="AG31" s="203"/>
      <c r="AH31" s="289"/>
      <c r="AI31" s="203"/>
      <c r="AJ31" s="203"/>
      <c r="AK31" s="203" t="s">
        <v>20</v>
      </c>
      <c r="AL31" s="203" t="s">
        <v>556</v>
      </c>
      <c r="AM31" s="289"/>
    </row>
    <row r="32" spans="1:39" ht="15.75" customHeight="1">
      <c r="A32" s="269" t="s">
        <v>211</v>
      </c>
      <c r="B32" s="269" t="s">
        <v>207</v>
      </c>
      <c r="C32" s="285" t="str">
        <f t="shared" si="0"/>
        <v>Dark ElfWitch Elf</v>
      </c>
      <c r="D32" s="285">
        <v>2</v>
      </c>
      <c r="E32" s="286">
        <v>110000</v>
      </c>
      <c r="F32" s="260">
        <v>7</v>
      </c>
      <c r="G32" s="260">
        <v>3</v>
      </c>
      <c r="H32" s="260">
        <v>4</v>
      </c>
      <c r="I32" s="260">
        <v>7</v>
      </c>
      <c r="J32" s="269" t="s">
        <v>638</v>
      </c>
      <c r="K32" s="260" t="s">
        <v>558</v>
      </c>
      <c r="L32" s="260" t="s">
        <v>559</v>
      </c>
      <c r="X32" s="269"/>
      <c r="Y32" s="269"/>
      <c r="Z32" s="269"/>
      <c r="AA32" s="269" t="s">
        <v>211</v>
      </c>
      <c r="AB32" s="269" t="s">
        <v>68</v>
      </c>
      <c r="AC32" t="str">
        <f t="shared" si="1"/>
        <v>Dark ElfBlitzer</v>
      </c>
      <c r="AD32" s="288" t="s">
        <v>534</v>
      </c>
      <c r="AE32" s="203" t="s">
        <v>555</v>
      </c>
      <c r="AF32" s="203" t="s">
        <v>554</v>
      </c>
      <c r="AG32" s="203"/>
      <c r="AH32" s="289"/>
      <c r="AI32" s="203"/>
      <c r="AJ32" s="203"/>
      <c r="AK32" s="203" t="s">
        <v>20</v>
      </c>
      <c r="AL32" s="203" t="s">
        <v>556</v>
      </c>
      <c r="AM32" s="289"/>
    </row>
    <row r="33" spans="1:39" ht="15.75" customHeight="1">
      <c r="A33" s="269" t="s">
        <v>370</v>
      </c>
      <c r="B33" s="269" t="s">
        <v>41</v>
      </c>
      <c r="C33" s="285" t="str">
        <f t="shared" si="0"/>
        <v>DwarfBlocker</v>
      </c>
      <c r="D33" s="285">
        <v>16</v>
      </c>
      <c r="E33" s="286">
        <v>70000</v>
      </c>
      <c r="F33" s="260">
        <v>4</v>
      </c>
      <c r="G33" s="260">
        <v>3</v>
      </c>
      <c r="H33" s="260">
        <v>2</v>
      </c>
      <c r="I33" s="260">
        <v>9</v>
      </c>
      <c r="J33" s="269" t="s">
        <v>601</v>
      </c>
      <c r="K33" s="260" t="s">
        <v>542</v>
      </c>
      <c r="L33" s="260" t="s">
        <v>543</v>
      </c>
      <c r="O33" s="297"/>
      <c r="X33" s="269"/>
      <c r="Y33" s="269"/>
      <c r="Z33" s="269"/>
      <c r="AA33" s="269" t="s">
        <v>211</v>
      </c>
      <c r="AB33" s="269" t="s">
        <v>207</v>
      </c>
      <c r="AC33" t="str">
        <f t="shared" si="1"/>
        <v>Dark ElfWitch Elf</v>
      </c>
      <c r="AD33" s="288" t="s">
        <v>534</v>
      </c>
      <c r="AE33" s="203" t="s">
        <v>555</v>
      </c>
      <c r="AF33" s="203" t="s">
        <v>554</v>
      </c>
      <c r="AG33" s="203"/>
      <c r="AH33" s="289"/>
      <c r="AI33" s="203"/>
      <c r="AJ33" s="203"/>
      <c r="AK33" s="203" t="s">
        <v>20</v>
      </c>
      <c r="AL33" s="203" t="s">
        <v>556</v>
      </c>
      <c r="AM33" s="289"/>
    </row>
    <row r="34" spans="1:39" ht="15.75" customHeight="1">
      <c r="A34" s="269" t="s">
        <v>370</v>
      </c>
      <c r="B34" s="269" t="s">
        <v>169</v>
      </c>
      <c r="C34" s="285" t="str">
        <f t="shared" si="0"/>
        <v>DwarfRunner</v>
      </c>
      <c r="D34" s="285">
        <v>2</v>
      </c>
      <c r="E34" s="286">
        <v>80000</v>
      </c>
      <c r="F34" s="260">
        <v>6</v>
      </c>
      <c r="G34" s="260">
        <v>3</v>
      </c>
      <c r="H34" s="260">
        <v>3</v>
      </c>
      <c r="I34" s="260">
        <v>8</v>
      </c>
      <c r="J34" s="269" t="s">
        <v>639</v>
      </c>
      <c r="K34" s="260" t="s">
        <v>545</v>
      </c>
      <c r="L34" s="260" t="s">
        <v>546</v>
      </c>
      <c r="O34" s="297"/>
      <c r="X34" s="269"/>
      <c r="Y34" s="269"/>
      <c r="Z34" s="269"/>
      <c r="AA34" s="269" t="s">
        <v>370</v>
      </c>
      <c r="AB34" s="269" t="s">
        <v>41</v>
      </c>
      <c r="AC34" t="str">
        <f t="shared" si="1"/>
        <v>DwarfBlocker</v>
      </c>
      <c r="AD34" s="288" t="s">
        <v>534</v>
      </c>
      <c r="AE34" s="203"/>
      <c r="AF34" s="203" t="s">
        <v>20</v>
      </c>
      <c r="AG34" s="203"/>
      <c r="AH34" s="289"/>
      <c r="AI34" s="203"/>
      <c r="AJ34" s="203" t="s">
        <v>555</v>
      </c>
      <c r="AK34" s="203"/>
      <c r="AL34" s="203" t="s">
        <v>556</v>
      </c>
      <c r="AM34" s="289"/>
    </row>
    <row r="35" spans="1:39" ht="15.75" customHeight="1">
      <c r="A35" s="269" t="s">
        <v>370</v>
      </c>
      <c r="B35" s="269" t="s">
        <v>68</v>
      </c>
      <c r="C35" s="285" t="str">
        <f t="shared" si="0"/>
        <v>DwarfBlitzer</v>
      </c>
      <c r="D35" s="285">
        <v>2</v>
      </c>
      <c r="E35" s="286">
        <v>80000</v>
      </c>
      <c r="F35" s="260">
        <v>5</v>
      </c>
      <c r="G35" s="260">
        <v>3</v>
      </c>
      <c r="H35" s="260">
        <v>3</v>
      </c>
      <c r="I35" s="260">
        <v>9</v>
      </c>
      <c r="J35" s="269" t="s">
        <v>640</v>
      </c>
      <c r="K35" s="260" t="s">
        <v>542</v>
      </c>
      <c r="L35" s="260" t="s">
        <v>543</v>
      </c>
      <c r="O35" s="297"/>
      <c r="X35" s="269"/>
      <c r="Y35" s="269"/>
      <c r="Z35" s="269"/>
      <c r="AA35" s="269" t="s">
        <v>370</v>
      </c>
      <c r="AB35" s="269" t="s">
        <v>169</v>
      </c>
      <c r="AC35" t="str">
        <f t="shared" si="1"/>
        <v>DwarfRunner</v>
      </c>
      <c r="AD35" s="288" t="s">
        <v>534</v>
      </c>
      <c r="AE35" s="203"/>
      <c r="AF35" s="203" t="s">
        <v>554</v>
      </c>
      <c r="AG35" s="203" t="s">
        <v>556</v>
      </c>
      <c r="AH35" s="289"/>
      <c r="AI35" s="203"/>
      <c r="AJ35" s="203" t="s">
        <v>555</v>
      </c>
      <c r="AK35" s="203" t="s">
        <v>20</v>
      </c>
      <c r="AL35" s="203"/>
      <c r="AM35" s="289"/>
    </row>
    <row r="36" spans="1:39" ht="15.75" customHeight="1">
      <c r="A36" s="269" t="s">
        <v>370</v>
      </c>
      <c r="B36" s="269" t="s">
        <v>641</v>
      </c>
      <c r="C36" s="285" t="str">
        <f t="shared" si="0"/>
        <v>DwarfTroll Slayer</v>
      </c>
      <c r="D36" s="285">
        <v>2</v>
      </c>
      <c r="E36" s="286">
        <v>90000</v>
      </c>
      <c r="F36" s="260">
        <v>5</v>
      </c>
      <c r="G36" s="260">
        <v>3</v>
      </c>
      <c r="H36" s="260">
        <v>2</v>
      </c>
      <c r="I36" s="260">
        <v>8</v>
      </c>
      <c r="J36" s="269" t="s">
        <v>642</v>
      </c>
      <c r="K36" s="260" t="s">
        <v>542</v>
      </c>
      <c r="L36" s="260" t="s">
        <v>543</v>
      </c>
      <c r="O36" s="297"/>
      <c r="X36" s="269"/>
      <c r="Y36" s="269"/>
      <c r="Z36" s="269"/>
      <c r="AA36" s="269" t="s">
        <v>370</v>
      </c>
      <c r="AB36" s="269" t="s">
        <v>68</v>
      </c>
      <c r="AC36" t="str">
        <f t="shared" si="1"/>
        <v>DwarfBlitzer</v>
      </c>
      <c r="AD36" s="288" t="s">
        <v>534</v>
      </c>
      <c r="AE36" s="203"/>
      <c r="AF36" s="203" t="s">
        <v>20</v>
      </c>
      <c r="AG36" s="203"/>
      <c r="AH36" s="289"/>
      <c r="AI36" s="203"/>
      <c r="AJ36" s="203" t="s">
        <v>555</v>
      </c>
      <c r="AK36" s="203"/>
      <c r="AL36" s="203" t="s">
        <v>556</v>
      </c>
      <c r="AM36" s="289"/>
    </row>
    <row r="37" spans="1:39" ht="15.75" customHeight="1">
      <c r="A37" s="269" t="s">
        <v>370</v>
      </c>
      <c r="B37" s="269" t="s">
        <v>643</v>
      </c>
      <c r="C37" s="285" t="str">
        <f t="shared" si="0"/>
        <v>DwarfDeathroller</v>
      </c>
      <c r="D37" s="285">
        <v>1</v>
      </c>
      <c r="E37" s="286">
        <v>160000</v>
      </c>
      <c r="F37" s="260">
        <v>4</v>
      </c>
      <c r="G37" s="260">
        <v>7</v>
      </c>
      <c r="H37" s="260">
        <v>1</v>
      </c>
      <c r="I37" s="260">
        <v>10</v>
      </c>
      <c r="J37" s="269" t="s">
        <v>644</v>
      </c>
      <c r="K37" s="260" t="s">
        <v>20</v>
      </c>
      <c r="L37" s="260" t="s">
        <v>575</v>
      </c>
      <c r="O37" s="297"/>
      <c r="X37" s="269"/>
      <c r="Y37" s="269"/>
      <c r="Z37" s="269"/>
      <c r="AA37" s="269" t="s">
        <v>370</v>
      </c>
      <c r="AB37" s="269" t="s">
        <v>641</v>
      </c>
      <c r="AC37" t="str">
        <f t="shared" si="1"/>
        <v>DwarfTroll Slayer</v>
      </c>
      <c r="AD37" s="288" t="s">
        <v>534</v>
      </c>
      <c r="AE37" s="203"/>
      <c r="AF37" s="203" t="s">
        <v>20</v>
      </c>
      <c r="AG37" s="203"/>
      <c r="AH37" s="289"/>
      <c r="AI37" s="203"/>
      <c r="AJ37" s="203" t="s">
        <v>555</v>
      </c>
      <c r="AK37" s="203"/>
      <c r="AL37" s="203" t="s">
        <v>556</v>
      </c>
      <c r="AM37" s="289"/>
    </row>
    <row r="38" spans="1:39" ht="15.75" customHeight="1">
      <c r="A38" s="269" t="s">
        <v>371</v>
      </c>
      <c r="B38" s="269" t="s">
        <v>92</v>
      </c>
      <c r="C38" s="285" t="str">
        <f t="shared" si="0"/>
        <v>ElfLineman</v>
      </c>
      <c r="D38" s="285">
        <v>16</v>
      </c>
      <c r="E38" s="286">
        <v>60000</v>
      </c>
      <c r="F38" s="260">
        <v>6</v>
      </c>
      <c r="G38" s="260">
        <v>3</v>
      </c>
      <c r="H38" s="260">
        <v>4</v>
      </c>
      <c r="I38" s="260">
        <v>7</v>
      </c>
      <c r="K38" s="260" t="s">
        <v>558</v>
      </c>
      <c r="L38" s="260" t="s">
        <v>559</v>
      </c>
      <c r="O38" s="297"/>
      <c r="X38" s="269"/>
      <c r="Y38" s="269"/>
      <c r="Z38" s="269"/>
      <c r="AA38" s="269" t="s">
        <v>370</v>
      </c>
      <c r="AB38" s="269" t="s">
        <v>643</v>
      </c>
      <c r="AC38" t="str">
        <f t="shared" si="1"/>
        <v>DwarfDeathroller</v>
      </c>
      <c r="AD38" s="288"/>
      <c r="AE38" s="203" t="s">
        <v>554</v>
      </c>
      <c r="AF38" s="203" t="s">
        <v>20</v>
      </c>
      <c r="AG38" s="203"/>
      <c r="AH38" s="289"/>
      <c r="AI38" s="203" t="s">
        <v>534</v>
      </c>
      <c r="AJ38" s="203" t="s">
        <v>555</v>
      </c>
      <c r="AK38" s="203"/>
      <c r="AL38" s="203" t="s">
        <v>556</v>
      </c>
      <c r="AM38" s="289"/>
    </row>
    <row r="39" spans="1:39" ht="15.75" customHeight="1">
      <c r="A39" s="269" t="s">
        <v>371</v>
      </c>
      <c r="B39" s="269" t="s">
        <v>221</v>
      </c>
      <c r="C39" s="285" t="str">
        <f t="shared" si="0"/>
        <v>ElfThrower</v>
      </c>
      <c r="D39" s="285">
        <v>2</v>
      </c>
      <c r="E39" s="286">
        <v>70000</v>
      </c>
      <c r="F39" s="260">
        <v>6</v>
      </c>
      <c r="G39" s="260">
        <v>3</v>
      </c>
      <c r="H39" s="260">
        <v>4</v>
      </c>
      <c r="I39" s="260">
        <v>7</v>
      </c>
      <c r="J39" s="269" t="s">
        <v>646</v>
      </c>
      <c r="K39" s="260" t="s">
        <v>575</v>
      </c>
      <c r="L39" s="260" t="s">
        <v>559</v>
      </c>
      <c r="O39" s="297"/>
      <c r="X39" s="269"/>
      <c r="Y39" s="269"/>
      <c r="Z39" s="269"/>
      <c r="AA39" s="269" t="s">
        <v>371</v>
      </c>
      <c r="AB39" s="269" t="s">
        <v>92</v>
      </c>
      <c r="AC39" t="str">
        <f t="shared" si="1"/>
        <v>ElfLineman</v>
      </c>
      <c r="AD39" s="288" t="s">
        <v>534</v>
      </c>
      <c r="AE39" s="203" t="s">
        <v>555</v>
      </c>
      <c r="AF39" s="203" t="s">
        <v>554</v>
      </c>
      <c r="AG39" s="203"/>
      <c r="AH39" s="289"/>
      <c r="AI39" s="203"/>
      <c r="AJ39" s="203"/>
      <c r="AK39" s="203" t="s">
        <v>20</v>
      </c>
      <c r="AL39" s="203" t="s">
        <v>556</v>
      </c>
      <c r="AM39" s="289"/>
    </row>
    <row r="40" spans="1:39" ht="15.75" customHeight="1">
      <c r="A40" s="269" t="s">
        <v>371</v>
      </c>
      <c r="B40" s="269" t="s">
        <v>81</v>
      </c>
      <c r="C40" s="285" t="str">
        <f t="shared" si="0"/>
        <v>ElfCatcher</v>
      </c>
      <c r="D40" s="285">
        <v>4</v>
      </c>
      <c r="E40" s="286">
        <v>100000</v>
      </c>
      <c r="F40" s="260">
        <v>8</v>
      </c>
      <c r="G40" s="260">
        <v>3</v>
      </c>
      <c r="H40" s="260">
        <v>4</v>
      </c>
      <c r="I40" s="260">
        <v>7</v>
      </c>
      <c r="J40" s="269" t="s">
        <v>645</v>
      </c>
      <c r="K40" s="260" t="s">
        <v>558</v>
      </c>
      <c r="L40" s="260" t="s">
        <v>559</v>
      </c>
      <c r="O40" s="297"/>
      <c r="X40" s="269"/>
      <c r="Y40" s="269"/>
      <c r="Z40" s="269"/>
      <c r="AA40" s="269" t="s">
        <v>371</v>
      </c>
      <c r="AB40" s="269" t="s">
        <v>221</v>
      </c>
      <c r="AC40" t="str">
        <f t="shared" si="1"/>
        <v>ElfThrower</v>
      </c>
      <c r="AD40" s="288" t="s">
        <v>534</v>
      </c>
      <c r="AE40" s="203" t="s">
        <v>555</v>
      </c>
      <c r="AF40" s="203"/>
      <c r="AG40" s="203" t="s">
        <v>556</v>
      </c>
      <c r="AH40" s="289"/>
      <c r="AI40" s="203"/>
      <c r="AJ40" s="203"/>
      <c r="AK40" s="203" t="s">
        <v>20</v>
      </c>
      <c r="AL40" s="203" t="s">
        <v>556</v>
      </c>
      <c r="AM40" s="289"/>
    </row>
    <row r="41" spans="1:39" ht="15.75" customHeight="1">
      <c r="A41" s="269" t="s">
        <v>371</v>
      </c>
      <c r="B41" s="269" t="s">
        <v>68</v>
      </c>
      <c r="C41" s="285" t="str">
        <f t="shared" si="0"/>
        <v>ElfBlitzer</v>
      </c>
      <c r="D41" s="285">
        <v>2</v>
      </c>
      <c r="E41" s="286">
        <v>110000</v>
      </c>
      <c r="F41" s="260">
        <v>7</v>
      </c>
      <c r="G41" s="260">
        <v>3</v>
      </c>
      <c r="H41" s="260">
        <v>4</v>
      </c>
      <c r="I41" s="260">
        <v>8</v>
      </c>
      <c r="J41" s="269" t="s">
        <v>647</v>
      </c>
      <c r="K41" s="260" t="s">
        <v>558</v>
      </c>
      <c r="L41" s="260" t="s">
        <v>559</v>
      </c>
      <c r="O41" s="297"/>
      <c r="X41" s="269"/>
      <c r="Y41" s="269"/>
      <c r="Z41" s="269"/>
      <c r="AA41" s="269" t="s">
        <v>371</v>
      </c>
      <c r="AB41" s="269" t="s">
        <v>81</v>
      </c>
      <c r="AC41" t="str">
        <f t="shared" si="1"/>
        <v>ElfCatcher</v>
      </c>
      <c r="AD41" s="288" t="s">
        <v>534</v>
      </c>
      <c r="AE41" s="203" t="s">
        <v>555</v>
      </c>
      <c r="AF41" s="203" t="s">
        <v>554</v>
      </c>
      <c r="AG41" s="203"/>
      <c r="AH41" s="289"/>
      <c r="AI41" s="203"/>
      <c r="AJ41" s="203"/>
      <c r="AK41" s="203" t="s">
        <v>20</v>
      </c>
      <c r="AL41" s="203" t="s">
        <v>556</v>
      </c>
      <c r="AM41" s="289"/>
    </row>
    <row r="42" spans="1:39" ht="15.75" customHeight="1">
      <c r="A42" s="269" t="s">
        <v>304</v>
      </c>
      <c r="B42" s="269" t="s">
        <v>304</v>
      </c>
      <c r="C42" s="285" t="str">
        <f t="shared" si="0"/>
        <v>GoblinGoblin</v>
      </c>
      <c r="D42" s="285">
        <v>16</v>
      </c>
      <c r="E42" s="286">
        <v>40000</v>
      </c>
      <c r="F42" s="260">
        <v>6</v>
      </c>
      <c r="G42" s="260">
        <v>2</v>
      </c>
      <c r="H42" s="260">
        <v>3</v>
      </c>
      <c r="I42" s="260">
        <v>7</v>
      </c>
      <c r="J42" s="269" t="s">
        <v>648</v>
      </c>
      <c r="K42" s="260" t="s">
        <v>555</v>
      </c>
      <c r="L42" s="260" t="s">
        <v>613</v>
      </c>
      <c r="O42" s="297"/>
      <c r="X42" s="269"/>
      <c r="Y42" s="269"/>
      <c r="Z42" s="269"/>
      <c r="AA42" s="269" t="s">
        <v>371</v>
      </c>
      <c r="AB42" s="269" t="s">
        <v>68</v>
      </c>
      <c r="AC42" t="str">
        <f t="shared" si="1"/>
        <v>ElfBlitzer</v>
      </c>
      <c r="AD42" s="288" t="s">
        <v>534</v>
      </c>
      <c r="AE42" s="203" t="s">
        <v>555</v>
      </c>
      <c r="AF42" s="203" t="s">
        <v>554</v>
      </c>
      <c r="AG42" s="203"/>
      <c r="AH42" s="289"/>
      <c r="AI42" s="203"/>
      <c r="AJ42" s="203"/>
      <c r="AK42" s="203" t="s">
        <v>20</v>
      </c>
      <c r="AL42" s="203" t="s">
        <v>556</v>
      </c>
      <c r="AM42" s="289"/>
    </row>
    <row r="43" spans="1:39" ht="15.75" customHeight="1">
      <c r="A43" s="269" t="s">
        <v>304</v>
      </c>
      <c r="B43" s="269" t="s">
        <v>649</v>
      </c>
      <c r="C43" s="285" t="str">
        <f t="shared" si="0"/>
        <v>GoblinDoom Diver</v>
      </c>
      <c r="D43" s="285">
        <v>1</v>
      </c>
      <c r="E43" s="286">
        <v>60000</v>
      </c>
      <c r="F43" s="260">
        <v>6</v>
      </c>
      <c r="G43" s="260">
        <v>2</v>
      </c>
      <c r="H43" s="260">
        <v>3</v>
      </c>
      <c r="I43" s="260">
        <v>7</v>
      </c>
      <c r="J43" s="269" t="s">
        <v>651</v>
      </c>
      <c r="K43" s="260" t="s">
        <v>555</v>
      </c>
      <c r="L43" s="260" t="s">
        <v>613</v>
      </c>
      <c r="O43" s="297"/>
      <c r="X43" s="269"/>
      <c r="Y43" s="269"/>
      <c r="Z43" s="269"/>
      <c r="AA43" s="269" t="s">
        <v>304</v>
      </c>
      <c r="AB43" s="269" t="s">
        <v>304</v>
      </c>
      <c r="AC43" t="str">
        <f t="shared" si="1"/>
        <v>GoblinGoblin</v>
      </c>
      <c r="AD43" s="288"/>
      <c r="AE43" s="203" t="s">
        <v>555</v>
      </c>
      <c r="AF43" s="203" t="s">
        <v>554</v>
      </c>
      <c r="AG43" s="203"/>
      <c r="AH43" s="289"/>
      <c r="AI43" s="203" t="s">
        <v>534</v>
      </c>
      <c r="AJ43" s="203"/>
      <c r="AK43" s="203" t="s">
        <v>20</v>
      </c>
      <c r="AL43" s="203" t="s">
        <v>556</v>
      </c>
      <c r="AM43" s="289"/>
    </row>
    <row r="44" spans="1:39" ht="15.75" customHeight="1">
      <c r="A44" s="269" t="s">
        <v>304</v>
      </c>
      <c r="B44" s="269" t="s">
        <v>652</v>
      </c>
      <c r="C44" s="285" t="str">
        <f t="shared" si="0"/>
        <v>GoblinBomma</v>
      </c>
      <c r="D44" s="285">
        <v>1</v>
      </c>
      <c r="E44" s="286">
        <v>40000</v>
      </c>
      <c r="F44" s="260">
        <v>6</v>
      </c>
      <c r="G44" s="260">
        <v>2</v>
      </c>
      <c r="H44" s="260">
        <v>3</v>
      </c>
      <c r="I44" s="260">
        <v>7</v>
      </c>
      <c r="J44" s="269" t="s">
        <v>653</v>
      </c>
      <c r="K44" s="260" t="s">
        <v>555</v>
      </c>
      <c r="L44" s="260" t="s">
        <v>613</v>
      </c>
      <c r="O44" s="297"/>
      <c r="X44" s="269"/>
      <c r="Y44" s="269"/>
      <c r="Z44" s="269"/>
      <c r="AA44" s="269" t="s">
        <v>304</v>
      </c>
      <c r="AB44" s="269" t="s">
        <v>649</v>
      </c>
      <c r="AC44" t="str">
        <f t="shared" si="1"/>
        <v>GoblinDoom Diver</v>
      </c>
      <c r="AD44" s="288"/>
      <c r="AE44" s="203" t="s">
        <v>555</v>
      </c>
      <c r="AF44" s="203" t="s">
        <v>554</v>
      </c>
      <c r="AG44" s="203"/>
      <c r="AH44" s="289"/>
      <c r="AI44" s="203" t="s">
        <v>534</v>
      </c>
      <c r="AJ44" s="203"/>
      <c r="AK44" s="203" t="s">
        <v>20</v>
      </c>
      <c r="AL44" s="203" t="s">
        <v>556</v>
      </c>
    </row>
    <row r="45" spans="1:39" ht="15.75" customHeight="1">
      <c r="A45" s="269" t="s">
        <v>304</v>
      </c>
      <c r="B45" s="269" t="s">
        <v>654</v>
      </c>
      <c r="C45" s="285" t="str">
        <f t="shared" si="0"/>
        <v>GoblinLooney</v>
      </c>
      <c r="D45" s="285">
        <v>1</v>
      </c>
      <c r="E45" s="286">
        <v>40000</v>
      </c>
      <c r="F45" s="260">
        <v>6</v>
      </c>
      <c r="G45" s="260">
        <v>2</v>
      </c>
      <c r="H45" s="260">
        <v>3</v>
      </c>
      <c r="I45" s="260">
        <v>7</v>
      </c>
      <c r="J45" s="269" t="s">
        <v>655</v>
      </c>
      <c r="K45" s="260" t="s">
        <v>555</v>
      </c>
      <c r="L45" s="260" t="s">
        <v>613</v>
      </c>
      <c r="O45" s="297"/>
      <c r="X45" s="269"/>
      <c r="Y45" s="269"/>
      <c r="Z45" s="269"/>
      <c r="AA45" s="269" t="s">
        <v>304</v>
      </c>
      <c r="AB45" s="269" t="s">
        <v>652</v>
      </c>
      <c r="AC45" t="str">
        <f t="shared" si="1"/>
        <v>GoblinBomma</v>
      </c>
      <c r="AD45" s="288"/>
      <c r="AE45" s="203" t="s">
        <v>555</v>
      </c>
      <c r="AF45" s="203" t="s">
        <v>554</v>
      </c>
      <c r="AG45" s="203"/>
      <c r="AH45" s="289"/>
      <c r="AI45" s="203" t="s">
        <v>534</v>
      </c>
      <c r="AJ45" s="203"/>
      <c r="AK45" s="203" t="s">
        <v>20</v>
      </c>
      <c r="AL45" s="203" t="s">
        <v>556</v>
      </c>
      <c r="AM45" s="289"/>
    </row>
    <row r="46" spans="1:39" ht="15.75" customHeight="1">
      <c r="A46" s="269" t="s">
        <v>304</v>
      </c>
      <c r="B46" s="269" t="s">
        <v>656</v>
      </c>
      <c r="C46" s="285" t="str">
        <f t="shared" si="0"/>
        <v>GoblinFanatic</v>
      </c>
      <c r="D46" s="285">
        <v>1</v>
      </c>
      <c r="E46" s="286">
        <v>70000</v>
      </c>
      <c r="F46" s="260">
        <v>3</v>
      </c>
      <c r="G46" s="260">
        <v>7</v>
      </c>
      <c r="H46" s="260">
        <v>3</v>
      </c>
      <c r="I46" s="260">
        <v>7</v>
      </c>
      <c r="J46" s="269" t="s">
        <v>658</v>
      </c>
      <c r="K46" s="260" t="s">
        <v>20</v>
      </c>
      <c r="L46" s="260" t="s">
        <v>575</v>
      </c>
      <c r="O46" s="297"/>
      <c r="X46" s="269"/>
      <c r="Y46" s="269"/>
      <c r="Z46" s="269"/>
      <c r="AA46" s="269" t="s">
        <v>304</v>
      </c>
      <c r="AB46" s="269" t="s">
        <v>654</v>
      </c>
      <c r="AC46" t="str">
        <f t="shared" si="1"/>
        <v>GoblinLooney</v>
      </c>
      <c r="AD46" s="288"/>
      <c r="AE46" s="203" t="s">
        <v>555</v>
      </c>
      <c r="AF46" s="203" t="s">
        <v>554</v>
      </c>
      <c r="AG46" s="203"/>
      <c r="AH46" s="289"/>
      <c r="AI46" s="203" t="s">
        <v>534</v>
      </c>
      <c r="AJ46" s="203"/>
      <c r="AK46" s="203" t="s">
        <v>20</v>
      </c>
      <c r="AL46" s="203" t="s">
        <v>556</v>
      </c>
      <c r="AM46" s="289"/>
    </row>
    <row r="47" spans="1:39" ht="15.75" customHeight="1">
      <c r="A47" s="269" t="s">
        <v>304</v>
      </c>
      <c r="B47" s="269" t="s">
        <v>660</v>
      </c>
      <c r="C47" s="285" t="str">
        <f t="shared" si="0"/>
        <v>GoblinOoligan</v>
      </c>
      <c r="D47" s="285">
        <v>1</v>
      </c>
      <c r="E47" s="286">
        <v>70000</v>
      </c>
      <c r="F47" s="260">
        <v>6</v>
      </c>
      <c r="G47" s="260">
        <v>2</v>
      </c>
      <c r="H47" s="260">
        <v>3</v>
      </c>
      <c r="I47" s="260">
        <v>7</v>
      </c>
      <c r="J47" s="269" t="s">
        <v>650</v>
      </c>
      <c r="K47" s="260" t="s">
        <v>555</v>
      </c>
      <c r="L47" s="260" t="s">
        <v>613</v>
      </c>
      <c r="O47" s="297"/>
      <c r="X47" s="269"/>
      <c r="Y47" s="269"/>
      <c r="Z47" s="269"/>
      <c r="AA47" s="269" t="s">
        <v>304</v>
      </c>
      <c r="AB47" s="269" t="s">
        <v>656</v>
      </c>
      <c r="AC47" t="str">
        <f t="shared" si="1"/>
        <v>GoblinFanatic</v>
      </c>
      <c r="AD47" s="288"/>
      <c r="AE47" s="203"/>
      <c r="AF47" s="203" t="s">
        <v>20</v>
      </c>
      <c r="AG47" s="203"/>
      <c r="AH47" s="289"/>
      <c r="AI47" s="203" t="s">
        <v>534</v>
      </c>
      <c r="AJ47" s="203" t="s">
        <v>555</v>
      </c>
      <c r="AK47" s="203"/>
      <c r="AL47" s="203" t="s">
        <v>556</v>
      </c>
      <c r="AM47" s="289"/>
    </row>
    <row r="48" spans="1:39" ht="15.75" customHeight="1">
      <c r="A48" s="269" t="s">
        <v>304</v>
      </c>
      <c r="B48" s="269" t="s">
        <v>657</v>
      </c>
      <c r="C48" s="285" t="str">
        <f t="shared" si="0"/>
        <v>GoblinPogoer</v>
      </c>
      <c r="D48" s="285">
        <v>1</v>
      </c>
      <c r="E48" s="286">
        <v>70000</v>
      </c>
      <c r="F48" s="260">
        <v>7</v>
      </c>
      <c r="G48" s="260">
        <v>2</v>
      </c>
      <c r="H48" s="260">
        <v>3</v>
      </c>
      <c r="I48" s="260">
        <v>7</v>
      </c>
      <c r="J48" s="269" t="s">
        <v>659</v>
      </c>
      <c r="K48" s="260" t="s">
        <v>555</v>
      </c>
      <c r="L48" s="260" t="s">
        <v>613</v>
      </c>
      <c r="O48" s="297"/>
      <c r="X48" s="269"/>
      <c r="Y48" s="269"/>
      <c r="Z48" s="269"/>
      <c r="AA48" s="269" t="s">
        <v>304</v>
      </c>
      <c r="AB48" s="269" t="s">
        <v>660</v>
      </c>
      <c r="AC48" t="str">
        <f t="shared" si="1"/>
        <v>GoblinOoligan</v>
      </c>
      <c r="AD48" s="288"/>
      <c r="AE48" s="203" t="s">
        <v>555</v>
      </c>
      <c r="AF48" s="203" t="s">
        <v>554</v>
      </c>
      <c r="AG48" s="203"/>
      <c r="AH48" s="289"/>
      <c r="AI48" s="203" t="s">
        <v>534</v>
      </c>
      <c r="AJ48" s="203"/>
      <c r="AK48" s="203" t="s">
        <v>20</v>
      </c>
      <c r="AL48" s="203" t="s">
        <v>556</v>
      </c>
      <c r="AM48" s="289"/>
    </row>
    <row r="49" spans="1:39" ht="15.75" customHeight="1">
      <c r="A49" s="269" t="s">
        <v>304</v>
      </c>
      <c r="B49" s="269" t="s">
        <v>193</v>
      </c>
      <c r="C49" s="285" t="str">
        <f t="shared" si="0"/>
        <v>GoblinTroll</v>
      </c>
      <c r="D49" s="285">
        <v>2</v>
      </c>
      <c r="E49" s="286">
        <v>110000</v>
      </c>
      <c r="F49" s="260">
        <v>4</v>
      </c>
      <c r="G49" s="260">
        <v>5</v>
      </c>
      <c r="H49" s="260">
        <v>1</v>
      </c>
      <c r="I49" s="260">
        <v>9</v>
      </c>
      <c r="J49" s="269" t="s">
        <v>621</v>
      </c>
      <c r="K49" s="260" t="s">
        <v>20</v>
      </c>
      <c r="L49" s="260" t="s">
        <v>575</v>
      </c>
      <c r="O49" s="297"/>
      <c r="X49" s="269"/>
      <c r="Y49" s="269"/>
      <c r="Z49" s="269"/>
      <c r="AA49" s="269" t="s">
        <v>304</v>
      </c>
      <c r="AB49" s="269" t="s">
        <v>657</v>
      </c>
      <c r="AC49" t="str">
        <f t="shared" si="1"/>
        <v>GoblinPogoer</v>
      </c>
      <c r="AD49" s="288"/>
      <c r="AE49" s="203" t="s">
        <v>555</v>
      </c>
      <c r="AF49" s="203" t="s">
        <v>554</v>
      </c>
      <c r="AG49" s="203"/>
      <c r="AH49" s="289"/>
      <c r="AI49" s="203" t="s">
        <v>534</v>
      </c>
      <c r="AJ49" s="203"/>
      <c r="AK49" s="203" t="s">
        <v>20</v>
      </c>
      <c r="AL49" s="203" t="s">
        <v>556</v>
      </c>
      <c r="AM49" s="289"/>
    </row>
    <row r="50" spans="1:39" ht="15.75" customHeight="1">
      <c r="A50" s="269" t="s">
        <v>372</v>
      </c>
      <c r="B50" s="269" t="s">
        <v>661</v>
      </c>
      <c r="C50" s="285" t="str">
        <f t="shared" si="0"/>
        <v>HalflingHopeful</v>
      </c>
      <c r="D50" s="285">
        <v>16</v>
      </c>
      <c r="E50" s="286">
        <v>30000</v>
      </c>
      <c r="F50" s="260">
        <v>5</v>
      </c>
      <c r="G50" s="260">
        <v>2</v>
      </c>
      <c r="H50" s="260">
        <v>3</v>
      </c>
      <c r="I50" s="260">
        <v>6</v>
      </c>
      <c r="J50" s="269" t="s">
        <v>648</v>
      </c>
      <c r="K50" s="260" t="s">
        <v>555</v>
      </c>
      <c r="L50" s="260" t="s">
        <v>613</v>
      </c>
      <c r="O50" s="297"/>
      <c r="X50" s="269"/>
      <c r="Y50" s="269"/>
      <c r="Z50" s="269"/>
      <c r="AA50" s="269" t="s">
        <v>304</v>
      </c>
      <c r="AB50" s="269" t="s">
        <v>193</v>
      </c>
      <c r="AC50" t="str">
        <f t="shared" si="1"/>
        <v>GoblinTroll</v>
      </c>
      <c r="AD50" s="288"/>
      <c r="AE50" s="203" t="s">
        <v>554</v>
      </c>
      <c r="AF50" s="203" t="s">
        <v>20</v>
      </c>
      <c r="AG50" s="203"/>
      <c r="AH50" s="289"/>
      <c r="AI50" s="203" t="s">
        <v>534</v>
      </c>
      <c r="AJ50" s="203" t="s">
        <v>555</v>
      </c>
      <c r="AK50" s="203"/>
      <c r="AL50" s="203" t="s">
        <v>556</v>
      </c>
      <c r="AM50" s="289"/>
    </row>
    <row r="51" spans="1:39" ht="15.75" customHeight="1">
      <c r="A51" s="269" t="s">
        <v>372</v>
      </c>
      <c r="B51" s="269" t="s">
        <v>267</v>
      </c>
      <c r="C51" s="285" t="str">
        <f t="shared" si="0"/>
        <v>HalflingTreeman</v>
      </c>
      <c r="D51" s="285">
        <v>2</v>
      </c>
      <c r="E51" s="286">
        <v>120000</v>
      </c>
      <c r="F51" s="260">
        <v>2</v>
      </c>
      <c r="G51" s="260">
        <v>6</v>
      </c>
      <c r="H51" s="260">
        <v>1</v>
      </c>
      <c r="I51" s="260">
        <v>10</v>
      </c>
      <c r="J51" s="269" t="s">
        <v>662</v>
      </c>
      <c r="K51" s="260" t="s">
        <v>20</v>
      </c>
      <c r="L51" s="260" t="s">
        <v>575</v>
      </c>
      <c r="O51" s="297"/>
      <c r="X51" s="269"/>
      <c r="Y51" s="269"/>
      <c r="Z51" s="269"/>
      <c r="AA51" s="269" t="s">
        <v>372</v>
      </c>
      <c r="AB51" s="269" t="s">
        <v>661</v>
      </c>
      <c r="AC51" t="str">
        <f t="shared" si="1"/>
        <v>HalflingHopeful</v>
      </c>
      <c r="AD51" s="288"/>
      <c r="AE51" s="203" t="s">
        <v>555</v>
      </c>
      <c r="AF51" s="203" t="s">
        <v>554</v>
      </c>
      <c r="AG51" s="203"/>
      <c r="AH51" s="289"/>
      <c r="AI51" s="203" t="s">
        <v>534</v>
      </c>
      <c r="AJ51" s="203"/>
      <c r="AK51" s="203" t="s">
        <v>20</v>
      </c>
      <c r="AL51" s="203" t="s">
        <v>556</v>
      </c>
      <c r="AM51" s="289"/>
    </row>
    <row r="52" spans="1:39" ht="15.75" customHeight="1">
      <c r="A52" s="269" t="s">
        <v>373</v>
      </c>
      <c r="B52" s="269" t="s">
        <v>92</v>
      </c>
      <c r="C52" s="285" t="str">
        <f t="shared" si="0"/>
        <v>High ElfLineman</v>
      </c>
      <c r="D52" s="285">
        <v>16</v>
      </c>
      <c r="E52" s="286">
        <v>70000</v>
      </c>
      <c r="F52" s="260">
        <v>6</v>
      </c>
      <c r="G52" s="260">
        <v>3</v>
      </c>
      <c r="H52" s="260">
        <v>4</v>
      </c>
      <c r="I52" s="260">
        <v>8</v>
      </c>
      <c r="K52" s="260" t="s">
        <v>558</v>
      </c>
      <c r="L52" s="260" t="s">
        <v>559</v>
      </c>
      <c r="O52" s="297"/>
      <c r="X52" s="269"/>
      <c r="Y52" s="269"/>
      <c r="Z52" s="269"/>
      <c r="AA52" s="269" t="s">
        <v>372</v>
      </c>
      <c r="AB52" s="269" t="s">
        <v>267</v>
      </c>
      <c r="AC52" t="str">
        <f t="shared" si="1"/>
        <v>HalflingTreeman</v>
      </c>
      <c r="AD52" s="288"/>
      <c r="AE52" s="203" t="s">
        <v>554</v>
      </c>
      <c r="AF52" s="203" t="s">
        <v>20</v>
      </c>
      <c r="AG52" s="203"/>
      <c r="AH52" s="289"/>
      <c r="AI52" s="203" t="s">
        <v>534</v>
      </c>
      <c r="AJ52" s="203" t="s">
        <v>555</v>
      </c>
      <c r="AK52" s="203"/>
      <c r="AL52" s="203" t="s">
        <v>556</v>
      </c>
      <c r="AM52" s="289"/>
    </row>
    <row r="53" spans="1:39" ht="15.75" customHeight="1">
      <c r="A53" s="269" t="s">
        <v>373</v>
      </c>
      <c r="B53" s="269" t="s">
        <v>221</v>
      </c>
      <c r="C53" s="285" t="str">
        <f t="shared" si="0"/>
        <v>High ElfThrower</v>
      </c>
      <c r="D53" s="285">
        <v>2</v>
      </c>
      <c r="E53" s="286">
        <v>90000</v>
      </c>
      <c r="F53" s="260">
        <v>6</v>
      </c>
      <c r="G53" s="260">
        <v>3</v>
      </c>
      <c r="H53" s="260">
        <v>4</v>
      </c>
      <c r="I53" s="260">
        <v>8</v>
      </c>
      <c r="J53" s="269" t="s">
        <v>663</v>
      </c>
      <c r="K53" s="260" t="s">
        <v>575</v>
      </c>
      <c r="L53" s="260" t="s">
        <v>20</v>
      </c>
      <c r="O53" s="297"/>
      <c r="X53" s="269"/>
      <c r="Y53" s="269"/>
      <c r="Z53" s="269"/>
      <c r="AA53" s="269" t="s">
        <v>373</v>
      </c>
      <c r="AB53" s="269" t="s">
        <v>92</v>
      </c>
      <c r="AC53" t="str">
        <f t="shared" si="1"/>
        <v>High ElfLineman</v>
      </c>
      <c r="AD53" s="288" t="s">
        <v>534</v>
      </c>
      <c r="AE53" s="203" t="s">
        <v>555</v>
      </c>
      <c r="AF53" s="203" t="s">
        <v>554</v>
      </c>
      <c r="AG53" s="203"/>
      <c r="AH53" s="289"/>
      <c r="AI53" s="203"/>
      <c r="AJ53" s="203"/>
      <c r="AK53" s="203" t="s">
        <v>20</v>
      </c>
      <c r="AL53" s="203" t="s">
        <v>556</v>
      </c>
      <c r="AM53" s="289"/>
    </row>
    <row r="54" spans="1:39" ht="15.75" customHeight="1">
      <c r="A54" s="269" t="s">
        <v>373</v>
      </c>
      <c r="B54" s="269" t="s">
        <v>81</v>
      </c>
      <c r="C54" s="285" t="str">
        <f t="shared" si="0"/>
        <v>High ElfCatcher</v>
      </c>
      <c r="D54" s="285">
        <v>4</v>
      </c>
      <c r="E54" s="286">
        <v>90000</v>
      </c>
      <c r="F54" s="260">
        <v>8</v>
      </c>
      <c r="G54" s="260">
        <v>3</v>
      </c>
      <c r="H54" s="260">
        <v>4</v>
      </c>
      <c r="I54" s="260">
        <v>7</v>
      </c>
      <c r="J54" s="269" t="s">
        <v>536</v>
      </c>
      <c r="K54" s="260" t="s">
        <v>558</v>
      </c>
      <c r="L54" s="260" t="s">
        <v>559</v>
      </c>
      <c r="O54" s="297"/>
      <c r="X54" s="269"/>
      <c r="Y54" s="269"/>
      <c r="Z54" s="269"/>
      <c r="AA54" s="269" t="s">
        <v>373</v>
      </c>
      <c r="AB54" s="269" t="s">
        <v>221</v>
      </c>
      <c r="AC54" t="str">
        <f t="shared" si="1"/>
        <v>High ElfThrower</v>
      </c>
      <c r="AD54" s="288" t="s">
        <v>534</v>
      </c>
      <c r="AE54" s="203" t="s">
        <v>555</v>
      </c>
      <c r="AF54" s="203"/>
      <c r="AG54" s="203" t="s">
        <v>556</v>
      </c>
      <c r="AH54" s="289"/>
      <c r="AI54" s="203"/>
      <c r="AJ54" s="203" t="s">
        <v>554</v>
      </c>
      <c r="AK54" s="203" t="s">
        <v>20</v>
      </c>
      <c r="AL54" s="203"/>
      <c r="AM54" s="289"/>
    </row>
    <row r="55" spans="1:39" ht="15.75" customHeight="1">
      <c r="A55" s="269" t="s">
        <v>373</v>
      </c>
      <c r="B55" s="269" t="s">
        <v>68</v>
      </c>
      <c r="C55" s="285" t="str">
        <f t="shared" si="0"/>
        <v>High ElfBlitzer</v>
      </c>
      <c r="D55" s="285">
        <v>2</v>
      </c>
      <c r="E55" s="286">
        <v>100000</v>
      </c>
      <c r="F55" s="260">
        <v>7</v>
      </c>
      <c r="G55" s="260">
        <v>3</v>
      </c>
      <c r="H55" s="260">
        <v>4</v>
      </c>
      <c r="I55" s="260">
        <v>8</v>
      </c>
      <c r="J55" s="269" t="s">
        <v>55</v>
      </c>
      <c r="K55" s="260" t="s">
        <v>558</v>
      </c>
      <c r="L55" s="260" t="s">
        <v>559</v>
      </c>
      <c r="O55" s="297"/>
      <c r="X55" s="269"/>
      <c r="Y55" s="269"/>
      <c r="Z55" s="269"/>
      <c r="AA55" s="269" t="s">
        <v>373</v>
      </c>
      <c r="AB55" s="269" t="s">
        <v>81</v>
      </c>
      <c r="AC55" t="str">
        <f t="shared" si="1"/>
        <v>High ElfCatcher</v>
      </c>
      <c r="AD55" s="288" t="s">
        <v>534</v>
      </c>
      <c r="AE55" s="203" t="s">
        <v>555</v>
      </c>
      <c r="AF55" s="203" t="s">
        <v>554</v>
      </c>
      <c r="AG55" s="203"/>
      <c r="AH55" s="289"/>
      <c r="AI55" s="203"/>
      <c r="AJ55" s="203"/>
      <c r="AK55" s="203" t="s">
        <v>20</v>
      </c>
      <c r="AL55" s="203" t="s">
        <v>556</v>
      </c>
      <c r="AM55" s="289"/>
    </row>
    <row r="56" spans="1:39" ht="15.75" customHeight="1">
      <c r="A56" s="269" t="s">
        <v>374</v>
      </c>
      <c r="B56" s="269" t="s">
        <v>92</v>
      </c>
      <c r="C56" s="285" t="str">
        <f t="shared" si="0"/>
        <v>HumanLineman</v>
      </c>
      <c r="D56" s="285">
        <v>16</v>
      </c>
      <c r="E56" s="286">
        <v>50000</v>
      </c>
      <c r="F56" s="260">
        <v>6</v>
      </c>
      <c r="G56" s="260">
        <v>3</v>
      </c>
      <c r="H56" s="260">
        <v>3</v>
      </c>
      <c r="I56" s="260">
        <v>8</v>
      </c>
      <c r="K56" s="260" t="s">
        <v>534</v>
      </c>
      <c r="L56" s="260" t="s">
        <v>535</v>
      </c>
      <c r="O56" s="297"/>
      <c r="X56" s="269"/>
      <c r="Y56" s="269"/>
      <c r="Z56" s="269"/>
      <c r="AA56" s="269" t="s">
        <v>373</v>
      </c>
      <c r="AB56" s="269" t="s">
        <v>68</v>
      </c>
      <c r="AC56" t="str">
        <f t="shared" si="1"/>
        <v>High ElfBlitzer</v>
      </c>
      <c r="AD56" s="288" t="s">
        <v>534</v>
      </c>
      <c r="AE56" s="203" t="s">
        <v>555</v>
      </c>
      <c r="AF56" s="203" t="s">
        <v>554</v>
      </c>
      <c r="AG56" s="203"/>
      <c r="AH56" s="289"/>
      <c r="AI56" s="203"/>
      <c r="AJ56" s="203"/>
      <c r="AK56" s="203" t="s">
        <v>20</v>
      </c>
      <c r="AL56" s="203" t="s">
        <v>556</v>
      </c>
      <c r="AM56" s="289"/>
    </row>
    <row r="57" spans="1:39" ht="15.75" customHeight="1">
      <c r="A57" s="269" t="s">
        <v>374</v>
      </c>
      <c r="B57" s="269" t="s">
        <v>81</v>
      </c>
      <c r="C57" s="285" t="str">
        <f t="shared" si="0"/>
        <v>HumanCatcher</v>
      </c>
      <c r="D57" s="285">
        <v>4</v>
      </c>
      <c r="E57" s="286">
        <v>60000</v>
      </c>
      <c r="F57" s="260">
        <v>8</v>
      </c>
      <c r="G57" s="260">
        <v>2</v>
      </c>
      <c r="H57" s="260">
        <v>3</v>
      </c>
      <c r="I57" s="260">
        <v>7</v>
      </c>
      <c r="J57" s="269" t="s">
        <v>557</v>
      </c>
      <c r="K57" s="260" t="s">
        <v>558</v>
      </c>
      <c r="L57" s="260" t="s">
        <v>559</v>
      </c>
      <c r="O57" s="297"/>
      <c r="X57" s="269"/>
      <c r="Y57" s="269"/>
      <c r="Z57" s="269"/>
      <c r="AA57" s="269" t="s">
        <v>374</v>
      </c>
      <c r="AB57" s="269" t="s">
        <v>92</v>
      </c>
      <c r="AC57" t="str">
        <f t="shared" si="1"/>
        <v>HumanLineman</v>
      </c>
      <c r="AD57" s="288" t="s">
        <v>534</v>
      </c>
      <c r="AE57" s="203" t="s">
        <v>554</v>
      </c>
      <c r="AF57" s="203" t="s">
        <v>554</v>
      </c>
      <c r="AG57" s="203"/>
      <c r="AH57" s="289"/>
      <c r="AI57" s="203"/>
      <c r="AJ57" s="203" t="s">
        <v>555</v>
      </c>
      <c r="AK57" s="203" t="s">
        <v>20</v>
      </c>
      <c r="AL57" s="203" t="s">
        <v>556</v>
      </c>
      <c r="AM57" s="289"/>
    </row>
    <row r="58" spans="1:39" ht="15.75" customHeight="1">
      <c r="A58" s="269" t="s">
        <v>374</v>
      </c>
      <c r="B58" s="269" t="s">
        <v>221</v>
      </c>
      <c r="C58" s="285" t="str">
        <f t="shared" si="0"/>
        <v>HumanThrower</v>
      </c>
      <c r="D58" s="285">
        <v>2</v>
      </c>
      <c r="E58" s="286">
        <v>70000</v>
      </c>
      <c r="F58" s="260">
        <v>6</v>
      </c>
      <c r="G58" s="260">
        <v>3</v>
      </c>
      <c r="H58" s="260">
        <v>3</v>
      </c>
      <c r="I58" s="260">
        <v>8</v>
      </c>
      <c r="J58" s="269" t="s">
        <v>664</v>
      </c>
      <c r="K58" s="260" t="s">
        <v>545</v>
      </c>
      <c r="L58" s="260" t="s">
        <v>546</v>
      </c>
      <c r="O58" s="297"/>
      <c r="X58" s="269"/>
      <c r="Y58" s="269"/>
      <c r="Z58" s="269"/>
      <c r="AA58" s="269" t="s">
        <v>374</v>
      </c>
      <c r="AB58" s="269" t="s">
        <v>81</v>
      </c>
      <c r="AC58" t="str">
        <f t="shared" si="1"/>
        <v>HumanCatcher</v>
      </c>
      <c r="AD58" s="288" t="s">
        <v>534</v>
      </c>
      <c r="AE58" s="203" t="s">
        <v>555</v>
      </c>
      <c r="AF58" s="203" t="s">
        <v>554</v>
      </c>
      <c r="AG58" s="203"/>
      <c r="AH58" s="289"/>
      <c r="AI58" s="203"/>
      <c r="AJ58" s="203"/>
      <c r="AK58" s="203" t="s">
        <v>20</v>
      </c>
      <c r="AL58" s="203" t="s">
        <v>556</v>
      </c>
      <c r="AM58" s="289"/>
    </row>
    <row r="59" spans="1:39" ht="15.75" customHeight="1">
      <c r="A59" s="269" t="s">
        <v>374</v>
      </c>
      <c r="B59" s="269" t="s">
        <v>68</v>
      </c>
      <c r="C59" s="285" t="str">
        <f t="shared" si="0"/>
        <v>HumanBlitzer</v>
      </c>
      <c r="D59" s="285">
        <v>4</v>
      </c>
      <c r="E59" s="286">
        <v>90000</v>
      </c>
      <c r="F59" s="260">
        <v>7</v>
      </c>
      <c r="G59" s="260">
        <v>3</v>
      </c>
      <c r="H59" s="260">
        <v>3</v>
      </c>
      <c r="I59" s="260">
        <v>8</v>
      </c>
      <c r="J59" s="269" t="s">
        <v>55</v>
      </c>
      <c r="K59" s="260" t="s">
        <v>542</v>
      </c>
      <c r="L59" s="260" t="s">
        <v>543</v>
      </c>
      <c r="O59" s="297"/>
      <c r="X59" s="269"/>
      <c r="Y59" s="269"/>
      <c r="Z59" s="269"/>
      <c r="AA59" s="269" t="s">
        <v>374</v>
      </c>
      <c r="AB59" s="269" t="s">
        <v>221</v>
      </c>
      <c r="AC59" t="str">
        <f t="shared" si="1"/>
        <v>HumanThrower</v>
      </c>
      <c r="AD59" s="288" t="s">
        <v>534</v>
      </c>
      <c r="AE59" s="203"/>
      <c r="AF59" s="203" t="s">
        <v>554</v>
      </c>
      <c r="AG59" s="203" t="s">
        <v>556</v>
      </c>
      <c r="AH59" s="289"/>
      <c r="AI59" s="203"/>
      <c r="AJ59" s="203" t="s">
        <v>555</v>
      </c>
      <c r="AK59" s="203" t="s">
        <v>20</v>
      </c>
      <c r="AL59" s="203"/>
      <c r="AM59" s="289"/>
    </row>
    <row r="60" spans="1:39" ht="15.75" customHeight="1">
      <c r="A60" s="269" t="s">
        <v>374</v>
      </c>
      <c r="B60" s="269" t="s">
        <v>184</v>
      </c>
      <c r="C60" s="285" t="str">
        <f t="shared" si="0"/>
        <v>HumanOgre</v>
      </c>
      <c r="D60" s="285">
        <v>1</v>
      </c>
      <c r="E60" s="286">
        <v>140000</v>
      </c>
      <c r="F60" s="260">
        <v>5</v>
      </c>
      <c r="G60" s="260">
        <v>5</v>
      </c>
      <c r="H60" s="260">
        <v>2</v>
      </c>
      <c r="I60" s="260">
        <v>9</v>
      </c>
      <c r="J60" s="269" t="s">
        <v>665</v>
      </c>
      <c r="K60" s="260" t="s">
        <v>20</v>
      </c>
      <c r="L60" s="260" t="s">
        <v>575</v>
      </c>
      <c r="O60" s="297"/>
      <c r="X60" s="269"/>
      <c r="Y60" s="269"/>
      <c r="Z60" s="269"/>
      <c r="AA60" s="269" t="s">
        <v>374</v>
      </c>
      <c r="AB60" s="269" t="s">
        <v>68</v>
      </c>
      <c r="AC60" t="str">
        <f t="shared" si="1"/>
        <v>HumanBlitzer</v>
      </c>
      <c r="AD60" s="288" t="s">
        <v>534</v>
      </c>
      <c r="AE60" s="203"/>
      <c r="AF60" s="203" t="s">
        <v>20</v>
      </c>
      <c r="AG60" s="203"/>
      <c r="AH60" s="289"/>
      <c r="AI60" s="203"/>
      <c r="AJ60" s="203" t="s">
        <v>555</v>
      </c>
      <c r="AK60" s="203"/>
      <c r="AL60" s="203" t="s">
        <v>556</v>
      </c>
      <c r="AM60" s="289"/>
    </row>
    <row r="61" spans="1:39" ht="15.75" customHeight="1">
      <c r="A61" s="269" t="s">
        <v>375</v>
      </c>
      <c r="B61" s="269" t="s">
        <v>362</v>
      </c>
      <c r="C61" s="285" t="str">
        <f t="shared" si="0"/>
        <v>KhemriSkeleton</v>
      </c>
      <c r="D61" s="285">
        <v>16</v>
      </c>
      <c r="E61" s="286">
        <v>40000</v>
      </c>
      <c r="F61" s="260">
        <v>5</v>
      </c>
      <c r="G61" s="260">
        <v>3</v>
      </c>
      <c r="H61" s="260">
        <v>2</v>
      </c>
      <c r="I61" s="260">
        <v>7</v>
      </c>
      <c r="J61" s="269" t="s">
        <v>666</v>
      </c>
      <c r="K61" s="260" t="s">
        <v>534</v>
      </c>
      <c r="L61" s="260" t="s">
        <v>535</v>
      </c>
      <c r="O61" s="297"/>
      <c r="X61" s="269"/>
      <c r="Y61" s="269"/>
      <c r="Z61" s="269"/>
      <c r="AA61" s="269" t="s">
        <v>374</v>
      </c>
      <c r="AB61" s="269" t="s">
        <v>184</v>
      </c>
      <c r="AC61" t="str">
        <f t="shared" si="1"/>
        <v>HumanOgre</v>
      </c>
      <c r="AD61" s="288"/>
      <c r="AE61" s="203" t="s">
        <v>554</v>
      </c>
      <c r="AF61" s="203" t="s">
        <v>20</v>
      </c>
      <c r="AG61" s="203"/>
      <c r="AH61" s="289"/>
      <c r="AI61" s="203" t="s">
        <v>534</v>
      </c>
      <c r="AJ61" s="203" t="s">
        <v>555</v>
      </c>
      <c r="AK61" s="203"/>
      <c r="AL61" s="203" t="s">
        <v>556</v>
      </c>
      <c r="AM61" s="289"/>
    </row>
    <row r="62" spans="1:39" ht="15.75" customHeight="1">
      <c r="A62" s="269" t="s">
        <v>375</v>
      </c>
      <c r="B62" s="269" t="s">
        <v>671</v>
      </c>
      <c r="C62" s="285" t="str">
        <f t="shared" si="0"/>
        <v>KhemriThro-Ra</v>
      </c>
      <c r="D62" s="285">
        <v>2</v>
      </c>
      <c r="E62" s="286">
        <v>70000</v>
      </c>
      <c r="F62" s="260">
        <v>6</v>
      </c>
      <c r="G62" s="260">
        <v>3</v>
      </c>
      <c r="H62" s="260">
        <v>2</v>
      </c>
      <c r="I62" s="260">
        <v>7</v>
      </c>
      <c r="J62" s="269" t="s">
        <v>672</v>
      </c>
      <c r="K62" s="260" t="s">
        <v>545</v>
      </c>
      <c r="L62" s="260" t="s">
        <v>535</v>
      </c>
      <c r="O62" s="297"/>
      <c r="X62" s="269"/>
      <c r="Y62" s="269"/>
      <c r="Z62" s="269"/>
      <c r="AA62" s="269" t="s">
        <v>375</v>
      </c>
      <c r="AB62" s="269" t="s">
        <v>362</v>
      </c>
      <c r="AC62" t="str">
        <f t="shared" si="1"/>
        <v>KhemriSkeleton</v>
      </c>
      <c r="AD62" s="288" t="s">
        <v>534</v>
      </c>
      <c r="AE62" s="203" t="s">
        <v>554</v>
      </c>
      <c r="AF62" s="203" t="s">
        <v>554</v>
      </c>
      <c r="AG62" s="203"/>
      <c r="AH62" s="289"/>
      <c r="AI62" s="203"/>
      <c r="AJ62" s="203" t="s">
        <v>555</v>
      </c>
      <c r="AK62" s="203" t="s">
        <v>20</v>
      </c>
      <c r="AL62" s="203" t="s">
        <v>556</v>
      </c>
      <c r="AM62" s="289"/>
    </row>
    <row r="63" spans="1:39" ht="15.75" customHeight="1">
      <c r="A63" s="269" t="s">
        <v>375</v>
      </c>
      <c r="B63" s="269" t="s">
        <v>669</v>
      </c>
      <c r="C63" s="285" t="str">
        <f t="shared" si="0"/>
        <v>KhemriBlitz-Ra</v>
      </c>
      <c r="D63" s="285">
        <v>2</v>
      </c>
      <c r="E63" s="286">
        <v>90000</v>
      </c>
      <c r="F63" s="260">
        <v>6</v>
      </c>
      <c r="G63" s="260">
        <v>3</v>
      </c>
      <c r="H63" s="260">
        <v>2</v>
      </c>
      <c r="I63" s="260">
        <v>8</v>
      </c>
      <c r="J63" s="269" t="s">
        <v>670</v>
      </c>
      <c r="K63" s="260" t="s">
        <v>542</v>
      </c>
      <c r="L63" s="260" t="s">
        <v>543</v>
      </c>
      <c r="O63" s="297"/>
      <c r="X63" s="269"/>
      <c r="Y63" s="269"/>
      <c r="Z63" s="269"/>
      <c r="AA63" s="269" t="s">
        <v>375</v>
      </c>
      <c r="AB63" s="269" t="s">
        <v>671</v>
      </c>
      <c r="AC63" t="str">
        <f t="shared" si="1"/>
        <v>KhemriThro-Ra</v>
      </c>
      <c r="AD63" s="288" t="s">
        <v>534</v>
      </c>
      <c r="AE63" s="203"/>
      <c r="AF63" s="203" t="s">
        <v>554</v>
      </c>
      <c r="AG63" s="203" t="s">
        <v>556</v>
      </c>
      <c r="AH63" s="289"/>
      <c r="AI63" s="203"/>
      <c r="AJ63" s="203" t="s">
        <v>555</v>
      </c>
      <c r="AK63" s="203" t="s">
        <v>20</v>
      </c>
      <c r="AL63" s="203" t="s">
        <v>556</v>
      </c>
      <c r="AM63" s="289"/>
    </row>
    <row r="64" spans="1:39" ht="15.75" customHeight="1">
      <c r="A64" s="269" t="s">
        <v>375</v>
      </c>
      <c r="B64" s="269" t="s">
        <v>667</v>
      </c>
      <c r="C64" s="285" t="str">
        <f t="shared" si="0"/>
        <v>KhemriTomb Guardian</v>
      </c>
      <c r="D64" s="285">
        <v>4</v>
      </c>
      <c r="E64" s="286">
        <v>100000</v>
      </c>
      <c r="F64" s="260">
        <v>4</v>
      </c>
      <c r="G64" s="260">
        <v>5</v>
      </c>
      <c r="H64" s="260">
        <v>1</v>
      </c>
      <c r="I64" s="260">
        <v>9</v>
      </c>
      <c r="J64" s="269" t="s">
        <v>668</v>
      </c>
      <c r="K64" s="260" t="s">
        <v>20</v>
      </c>
      <c r="L64" s="260" t="s">
        <v>575</v>
      </c>
      <c r="O64" s="297"/>
      <c r="X64" s="269"/>
      <c r="Y64" s="269"/>
      <c r="Z64" s="269"/>
      <c r="AA64" s="269" t="s">
        <v>375</v>
      </c>
      <c r="AB64" s="269" t="s">
        <v>669</v>
      </c>
      <c r="AC64" t="str">
        <f t="shared" si="1"/>
        <v>KhemriBlitz-Ra</v>
      </c>
      <c r="AD64" s="288" t="s">
        <v>534</v>
      </c>
      <c r="AE64" s="203"/>
      <c r="AF64" s="203" t="s">
        <v>20</v>
      </c>
      <c r="AG64" s="203"/>
      <c r="AH64" s="289"/>
      <c r="AI64" s="203"/>
      <c r="AJ64" s="203" t="s">
        <v>555</v>
      </c>
      <c r="AK64" s="203"/>
      <c r="AL64" s="203" t="s">
        <v>556</v>
      </c>
      <c r="AM64" s="289"/>
    </row>
    <row r="65" spans="1:39" ht="15.75" customHeight="1">
      <c r="A65" s="269" t="s">
        <v>270</v>
      </c>
      <c r="B65" s="269" t="s">
        <v>253</v>
      </c>
      <c r="C65" s="285" t="str">
        <f t="shared" si="0"/>
        <v>LizardmanSkink</v>
      </c>
      <c r="D65" s="285">
        <v>16</v>
      </c>
      <c r="E65" s="286">
        <v>60000</v>
      </c>
      <c r="F65" s="260">
        <v>8</v>
      </c>
      <c r="G65" s="260">
        <v>2</v>
      </c>
      <c r="H65" s="260">
        <v>3</v>
      </c>
      <c r="I65" s="260">
        <v>7</v>
      </c>
      <c r="J65" s="269" t="s">
        <v>673</v>
      </c>
      <c r="K65" s="260" t="s">
        <v>555</v>
      </c>
      <c r="L65" s="260" t="s">
        <v>613</v>
      </c>
      <c r="O65" s="297"/>
      <c r="X65" s="269"/>
      <c r="Y65" s="269"/>
      <c r="Z65" s="269"/>
      <c r="AA65" s="269" t="s">
        <v>375</v>
      </c>
      <c r="AB65" s="269" t="s">
        <v>667</v>
      </c>
      <c r="AC65" t="str">
        <f t="shared" si="1"/>
        <v>KhemriTomb Guardian</v>
      </c>
      <c r="AD65" s="288"/>
      <c r="AE65" s="203" t="s">
        <v>554</v>
      </c>
      <c r="AF65" s="203" t="s">
        <v>20</v>
      </c>
      <c r="AG65" s="203"/>
      <c r="AH65" s="289"/>
      <c r="AI65" s="203" t="s">
        <v>534</v>
      </c>
      <c r="AJ65" s="203" t="s">
        <v>555</v>
      </c>
      <c r="AK65" s="203"/>
      <c r="AL65" s="203" t="s">
        <v>556</v>
      </c>
      <c r="AM65" s="289"/>
    </row>
    <row r="66" spans="1:39" ht="15.75" customHeight="1">
      <c r="A66" s="269" t="s">
        <v>270</v>
      </c>
      <c r="B66" s="269" t="s">
        <v>219</v>
      </c>
      <c r="C66" s="285" t="str">
        <f t="shared" si="0"/>
        <v>LizardmanSaurus</v>
      </c>
      <c r="D66" s="285">
        <v>6</v>
      </c>
      <c r="E66" s="286">
        <v>80000</v>
      </c>
      <c r="F66" s="260">
        <v>6</v>
      </c>
      <c r="G66" s="260">
        <v>4</v>
      </c>
      <c r="H66" s="260">
        <v>1</v>
      </c>
      <c r="I66" s="260">
        <v>9</v>
      </c>
      <c r="K66" s="260" t="s">
        <v>542</v>
      </c>
      <c r="L66" s="260" t="s">
        <v>543</v>
      </c>
      <c r="O66" s="297"/>
      <c r="X66" s="269"/>
      <c r="Y66" s="269"/>
      <c r="Z66" s="269"/>
      <c r="AA66" s="269" t="s">
        <v>270</v>
      </c>
      <c r="AB66" s="269" t="s">
        <v>253</v>
      </c>
      <c r="AC66" t="str">
        <f t="shared" si="1"/>
        <v>LizardmanSkink</v>
      </c>
      <c r="AD66" s="288"/>
      <c r="AE66" s="203" t="s">
        <v>555</v>
      </c>
      <c r="AF66" s="203" t="s">
        <v>554</v>
      </c>
      <c r="AG66" s="203"/>
      <c r="AH66" s="289"/>
      <c r="AI66" s="203" t="s">
        <v>534</v>
      </c>
      <c r="AJ66" s="203"/>
      <c r="AK66" s="203" t="s">
        <v>20</v>
      </c>
      <c r="AL66" s="203" t="s">
        <v>556</v>
      </c>
      <c r="AM66" s="289"/>
    </row>
    <row r="67" spans="1:39" ht="15.75" customHeight="1">
      <c r="A67" s="269" t="s">
        <v>270</v>
      </c>
      <c r="B67" s="269" t="s">
        <v>216</v>
      </c>
      <c r="C67" s="285" t="str">
        <f t="shared" si="0"/>
        <v>LizardmanKroxigor</v>
      </c>
      <c r="D67" s="285">
        <v>1</v>
      </c>
      <c r="E67" s="286">
        <v>140000</v>
      </c>
      <c r="F67" s="260">
        <v>6</v>
      </c>
      <c r="G67" s="260">
        <v>5</v>
      </c>
      <c r="H67" s="260">
        <v>1</v>
      </c>
      <c r="I67" s="260">
        <v>9</v>
      </c>
      <c r="J67" s="269" t="s">
        <v>674</v>
      </c>
      <c r="K67" s="260" t="s">
        <v>20</v>
      </c>
      <c r="L67" s="260" t="s">
        <v>575</v>
      </c>
      <c r="O67" s="297"/>
      <c r="X67" s="269"/>
      <c r="Y67" s="269"/>
      <c r="Z67" s="269"/>
      <c r="AA67" s="269" t="s">
        <v>270</v>
      </c>
      <c r="AB67" s="269" t="s">
        <v>219</v>
      </c>
      <c r="AC67" t="str">
        <f t="shared" si="1"/>
        <v>LizardmanSaurus</v>
      </c>
      <c r="AD67" s="288" t="s">
        <v>534</v>
      </c>
      <c r="AE67" s="203"/>
      <c r="AF67" s="203" t="s">
        <v>20</v>
      </c>
      <c r="AG67" s="203"/>
      <c r="AH67" s="289"/>
      <c r="AI67" s="203"/>
      <c r="AJ67" s="203" t="s">
        <v>555</v>
      </c>
      <c r="AK67" s="203"/>
      <c r="AL67" s="203" t="s">
        <v>556</v>
      </c>
      <c r="AM67" s="289"/>
    </row>
    <row r="68" spans="1:39" ht="15.75" customHeight="1">
      <c r="A68" s="269" t="s">
        <v>376</v>
      </c>
      <c r="B68" s="269" t="s">
        <v>359</v>
      </c>
      <c r="C68" s="285" t="str">
        <f t="shared" si="0"/>
        <v>NecromanticZombie</v>
      </c>
      <c r="D68" s="285">
        <v>16</v>
      </c>
      <c r="E68" s="286">
        <v>40000</v>
      </c>
      <c r="F68" s="260">
        <v>4</v>
      </c>
      <c r="G68" s="260">
        <v>3</v>
      </c>
      <c r="H68" s="260">
        <v>2</v>
      </c>
      <c r="I68" s="260">
        <v>8</v>
      </c>
      <c r="J68" s="269" t="s">
        <v>614</v>
      </c>
      <c r="K68" s="260" t="s">
        <v>534</v>
      </c>
      <c r="L68" s="260" t="s">
        <v>535</v>
      </c>
      <c r="O68" s="297"/>
      <c r="X68" s="269"/>
      <c r="Y68" s="269"/>
      <c r="Z68" s="269"/>
      <c r="AA68" s="269" t="s">
        <v>270</v>
      </c>
      <c r="AB68" s="269" t="s">
        <v>216</v>
      </c>
      <c r="AC68" t="str">
        <f t="shared" si="1"/>
        <v>LizardmanKroxigor</v>
      </c>
      <c r="AD68" s="288"/>
      <c r="AE68" s="203" t="s">
        <v>554</v>
      </c>
      <c r="AF68" s="203" t="s">
        <v>20</v>
      </c>
      <c r="AG68" s="203"/>
      <c r="AH68" s="289"/>
      <c r="AI68" s="203" t="s">
        <v>534</v>
      </c>
      <c r="AJ68" s="203" t="s">
        <v>555</v>
      </c>
      <c r="AK68" s="203"/>
      <c r="AL68" s="203" t="s">
        <v>556</v>
      </c>
      <c r="AM68" s="289"/>
    </row>
    <row r="69" spans="1:39" ht="15.75" customHeight="1">
      <c r="A69" s="269" t="s">
        <v>376</v>
      </c>
      <c r="B69" s="269" t="s">
        <v>348</v>
      </c>
      <c r="C69" s="285" t="str">
        <f t="shared" si="0"/>
        <v>NecromanticGhoul</v>
      </c>
      <c r="D69" s="285">
        <v>2</v>
      </c>
      <c r="E69" s="286">
        <v>70000</v>
      </c>
      <c r="F69" s="260">
        <v>7</v>
      </c>
      <c r="G69" s="260">
        <v>3</v>
      </c>
      <c r="H69" s="260">
        <v>3</v>
      </c>
      <c r="I69" s="260">
        <v>7</v>
      </c>
      <c r="J69" s="269" t="s">
        <v>186</v>
      </c>
      <c r="K69" s="260" t="s">
        <v>558</v>
      </c>
      <c r="L69" s="260" t="s">
        <v>559</v>
      </c>
      <c r="O69" s="297"/>
      <c r="X69" s="269"/>
      <c r="Y69" s="269"/>
      <c r="Z69" s="269"/>
      <c r="AA69" s="269" t="s">
        <v>376</v>
      </c>
      <c r="AB69" s="269" t="s">
        <v>359</v>
      </c>
      <c r="AC69" t="str">
        <f t="shared" si="1"/>
        <v>NecromanticZombie</v>
      </c>
      <c r="AD69" s="288" t="s">
        <v>534</v>
      </c>
      <c r="AE69" s="203" t="s">
        <v>554</v>
      </c>
      <c r="AF69" s="203" t="s">
        <v>554</v>
      </c>
      <c r="AG69" s="203"/>
      <c r="AH69" s="289"/>
      <c r="AI69" s="203"/>
      <c r="AJ69" s="203" t="s">
        <v>555</v>
      </c>
      <c r="AK69" s="203" t="s">
        <v>20</v>
      </c>
      <c r="AL69" s="203" t="s">
        <v>556</v>
      </c>
      <c r="AM69" s="289"/>
    </row>
    <row r="70" spans="1:39" ht="15.75" customHeight="1">
      <c r="A70" s="269" t="s">
        <v>376</v>
      </c>
      <c r="B70" s="269" t="s">
        <v>341</v>
      </c>
      <c r="C70" s="285" t="str">
        <f t="shared" si="0"/>
        <v>NecromanticWight</v>
      </c>
      <c r="D70" s="285">
        <v>2</v>
      </c>
      <c r="E70" s="286">
        <v>90000</v>
      </c>
      <c r="F70" s="260">
        <v>6</v>
      </c>
      <c r="G70" s="260">
        <v>3</v>
      </c>
      <c r="H70" s="260">
        <v>3</v>
      </c>
      <c r="I70" s="260">
        <v>8</v>
      </c>
      <c r="J70" s="269" t="s">
        <v>670</v>
      </c>
      <c r="K70" s="260" t="s">
        <v>542</v>
      </c>
      <c r="L70" s="260" t="s">
        <v>543</v>
      </c>
      <c r="O70" s="297"/>
      <c r="X70" s="269"/>
      <c r="Y70" s="269"/>
      <c r="Z70" s="269"/>
      <c r="AA70" s="269" t="s">
        <v>376</v>
      </c>
      <c r="AB70" s="269" t="s">
        <v>348</v>
      </c>
      <c r="AC70" t="str">
        <f t="shared" si="1"/>
        <v>NecromanticGhoul</v>
      </c>
      <c r="AD70" s="288" t="s">
        <v>534</v>
      </c>
      <c r="AE70" s="203" t="s">
        <v>555</v>
      </c>
      <c r="AF70" s="203" t="s">
        <v>554</v>
      </c>
      <c r="AG70" s="203"/>
      <c r="AH70" s="289"/>
      <c r="AI70" s="203"/>
      <c r="AJ70" s="203"/>
      <c r="AK70" s="203" t="s">
        <v>20</v>
      </c>
      <c r="AL70" s="203" t="s">
        <v>556</v>
      </c>
      <c r="AM70" s="289"/>
    </row>
    <row r="71" spans="1:39" ht="15.75" customHeight="1">
      <c r="A71" s="269" t="s">
        <v>376</v>
      </c>
      <c r="B71" s="269" t="s">
        <v>676</v>
      </c>
      <c r="C71" s="285" t="str">
        <f t="shared" si="0"/>
        <v>NecromanticFlesh Golem</v>
      </c>
      <c r="D71" s="285">
        <v>2</v>
      </c>
      <c r="E71" s="286">
        <v>110000</v>
      </c>
      <c r="F71" s="260">
        <v>4</v>
      </c>
      <c r="G71" s="260">
        <v>4</v>
      </c>
      <c r="H71" s="260">
        <v>2</v>
      </c>
      <c r="I71" s="260">
        <v>9</v>
      </c>
      <c r="J71" s="269" t="s">
        <v>677</v>
      </c>
      <c r="K71" s="260" t="s">
        <v>542</v>
      </c>
      <c r="L71" s="260" t="s">
        <v>543</v>
      </c>
      <c r="O71" s="297"/>
      <c r="X71" s="269"/>
      <c r="Y71" s="269"/>
      <c r="Z71" s="269"/>
      <c r="AA71" s="269" t="s">
        <v>376</v>
      </c>
      <c r="AB71" s="269" t="s">
        <v>341</v>
      </c>
      <c r="AC71" t="str">
        <f t="shared" si="1"/>
        <v>NecromanticWight</v>
      </c>
      <c r="AD71" s="288" t="s">
        <v>534</v>
      </c>
      <c r="AE71" s="203"/>
      <c r="AF71" s="203" t="s">
        <v>20</v>
      </c>
      <c r="AG71" s="203"/>
      <c r="AH71" s="289"/>
      <c r="AI71" s="203"/>
      <c r="AJ71" s="203" t="s">
        <v>555</v>
      </c>
      <c r="AK71" s="203" t="s">
        <v>554</v>
      </c>
      <c r="AL71" s="203" t="s">
        <v>556</v>
      </c>
      <c r="AM71" s="289"/>
    </row>
    <row r="72" spans="1:39" ht="15.75" customHeight="1">
      <c r="A72" s="269" t="s">
        <v>376</v>
      </c>
      <c r="B72" s="269" t="s">
        <v>59</v>
      </c>
      <c r="C72" s="285" t="str">
        <f t="shared" si="0"/>
        <v>NecromanticWerewolf</v>
      </c>
      <c r="D72" s="285">
        <v>2</v>
      </c>
      <c r="E72" s="286">
        <v>120000</v>
      </c>
      <c r="F72" s="260">
        <v>8</v>
      </c>
      <c r="G72" s="260">
        <v>3</v>
      </c>
      <c r="H72" s="260">
        <v>3</v>
      </c>
      <c r="I72" s="260">
        <v>8</v>
      </c>
      <c r="J72" s="269" t="s">
        <v>675</v>
      </c>
      <c r="K72" s="260" t="s">
        <v>558</v>
      </c>
      <c r="L72" s="260" t="s">
        <v>559</v>
      </c>
      <c r="O72" s="297"/>
      <c r="X72" s="269"/>
      <c r="Y72" s="269"/>
      <c r="Z72" s="269"/>
      <c r="AA72" s="269" t="s">
        <v>376</v>
      </c>
      <c r="AB72" s="269" t="s">
        <v>676</v>
      </c>
      <c r="AC72" t="str">
        <f t="shared" si="1"/>
        <v>NecromanticFlesh Golem</v>
      </c>
      <c r="AD72" s="288" t="s">
        <v>534</v>
      </c>
      <c r="AE72" s="203"/>
      <c r="AF72" s="203" t="s">
        <v>20</v>
      </c>
      <c r="AG72" s="203"/>
      <c r="AH72" s="289"/>
      <c r="AI72" s="203"/>
      <c r="AJ72" s="203" t="s">
        <v>555</v>
      </c>
      <c r="AK72" s="203" t="s">
        <v>554</v>
      </c>
      <c r="AL72" s="203" t="s">
        <v>556</v>
      </c>
      <c r="AM72" s="289"/>
    </row>
    <row r="73" spans="1:39" ht="15.75" customHeight="1">
      <c r="A73" s="269" t="s">
        <v>131</v>
      </c>
      <c r="B73" s="269" t="s">
        <v>92</v>
      </c>
      <c r="C73" s="285" t="str">
        <f t="shared" si="0"/>
        <v>NorseLineman</v>
      </c>
      <c r="D73" s="285">
        <v>16</v>
      </c>
      <c r="E73" s="286">
        <v>50000</v>
      </c>
      <c r="F73" s="260">
        <v>6</v>
      </c>
      <c r="G73" s="260">
        <v>3</v>
      </c>
      <c r="H73" s="260">
        <v>3</v>
      </c>
      <c r="I73" s="260">
        <v>7</v>
      </c>
      <c r="J73" s="269" t="s">
        <v>55</v>
      </c>
      <c r="K73" s="260" t="s">
        <v>534</v>
      </c>
      <c r="L73" s="260" t="s">
        <v>535</v>
      </c>
      <c r="O73" s="297"/>
      <c r="X73" s="269"/>
      <c r="Y73" s="269"/>
      <c r="Z73" s="269"/>
      <c r="AA73" s="269" t="s">
        <v>376</v>
      </c>
      <c r="AB73" s="269" t="s">
        <v>59</v>
      </c>
      <c r="AC73" t="str">
        <f t="shared" si="1"/>
        <v>NecromanticWerewolf</v>
      </c>
      <c r="AD73" s="288" t="s">
        <v>534</v>
      </c>
      <c r="AE73" s="203" t="s">
        <v>555</v>
      </c>
      <c r="AF73" s="203" t="s">
        <v>554</v>
      </c>
      <c r="AG73" s="203"/>
      <c r="AH73" s="289"/>
      <c r="AI73" s="203"/>
      <c r="AJ73" s="203"/>
      <c r="AK73" s="203" t="s">
        <v>20</v>
      </c>
      <c r="AL73" s="203" t="s">
        <v>556</v>
      </c>
      <c r="AM73" s="289"/>
    </row>
    <row r="74" spans="1:39" ht="15.75" customHeight="1">
      <c r="A74" s="269" t="s">
        <v>131</v>
      </c>
      <c r="B74" s="269" t="s">
        <v>221</v>
      </c>
      <c r="C74" s="285" t="str">
        <f t="shared" si="0"/>
        <v>NorseThrower</v>
      </c>
      <c r="D74" s="285">
        <v>2</v>
      </c>
      <c r="E74" s="286">
        <v>70000</v>
      </c>
      <c r="F74" s="260">
        <v>6</v>
      </c>
      <c r="G74" s="260">
        <v>3</v>
      </c>
      <c r="H74" s="260">
        <v>3</v>
      </c>
      <c r="I74" s="260">
        <v>7</v>
      </c>
      <c r="J74" s="269" t="s">
        <v>680</v>
      </c>
      <c r="K74" s="260" t="s">
        <v>545</v>
      </c>
      <c r="L74" s="260" t="s">
        <v>546</v>
      </c>
      <c r="O74" s="297"/>
      <c r="X74" s="269"/>
      <c r="Y74" s="269"/>
      <c r="Z74" s="269"/>
      <c r="AA74" s="269" t="s">
        <v>131</v>
      </c>
      <c r="AB74" s="269" t="s">
        <v>92</v>
      </c>
      <c r="AC74" t="str">
        <f t="shared" si="1"/>
        <v>NorseLineman</v>
      </c>
      <c r="AD74" s="288" t="s">
        <v>534</v>
      </c>
      <c r="AE74" s="203" t="s">
        <v>554</v>
      </c>
      <c r="AF74" s="203" t="s">
        <v>554</v>
      </c>
      <c r="AG74" s="203"/>
      <c r="AH74" s="289"/>
      <c r="AI74" s="203"/>
      <c r="AJ74" s="203" t="s">
        <v>555</v>
      </c>
      <c r="AK74" s="203" t="s">
        <v>20</v>
      </c>
      <c r="AL74" s="203" t="s">
        <v>556</v>
      </c>
      <c r="AM74" s="289"/>
    </row>
    <row r="75" spans="1:39" ht="15.75" customHeight="1">
      <c r="A75" s="269" t="s">
        <v>131</v>
      </c>
      <c r="B75" s="269" t="s">
        <v>81</v>
      </c>
      <c r="C75" s="285" t="str">
        <f t="shared" si="0"/>
        <v>NorseCatcher</v>
      </c>
      <c r="D75" s="285">
        <v>2</v>
      </c>
      <c r="E75" s="286">
        <v>90000</v>
      </c>
      <c r="F75" s="260">
        <v>7</v>
      </c>
      <c r="G75" s="260">
        <v>3</v>
      </c>
      <c r="H75" s="260">
        <v>3</v>
      </c>
      <c r="I75" s="260">
        <v>7</v>
      </c>
      <c r="J75" s="269" t="s">
        <v>679</v>
      </c>
      <c r="K75" s="260" t="s">
        <v>558</v>
      </c>
      <c r="L75" s="260" t="s">
        <v>559</v>
      </c>
      <c r="O75" s="297"/>
      <c r="X75" s="269"/>
      <c r="Y75" s="269"/>
      <c r="Z75" s="269"/>
      <c r="AA75" s="269" t="s">
        <v>131</v>
      </c>
      <c r="AB75" s="269" t="s">
        <v>221</v>
      </c>
      <c r="AC75" t="str">
        <f t="shared" si="1"/>
        <v>NorseThrower</v>
      </c>
      <c r="AD75" s="288" t="s">
        <v>534</v>
      </c>
      <c r="AE75" s="203"/>
      <c r="AF75" s="203" t="s">
        <v>554</v>
      </c>
      <c r="AG75" s="203" t="s">
        <v>556</v>
      </c>
      <c r="AH75" s="289"/>
      <c r="AI75" s="203"/>
      <c r="AJ75" s="203" t="s">
        <v>555</v>
      </c>
      <c r="AK75" s="203" t="s">
        <v>20</v>
      </c>
      <c r="AL75" s="203"/>
      <c r="AM75" s="289"/>
    </row>
    <row r="76" spans="1:39" ht="15.75" customHeight="1">
      <c r="A76" s="269" t="s">
        <v>131</v>
      </c>
      <c r="B76" s="269" t="s">
        <v>68</v>
      </c>
      <c r="C76" s="285" t="str">
        <f t="shared" si="0"/>
        <v>NorseBlitzer</v>
      </c>
      <c r="D76" s="285">
        <v>2</v>
      </c>
      <c r="E76" s="286">
        <v>90000</v>
      </c>
      <c r="F76" s="260">
        <v>6</v>
      </c>
      <c r="G76" s="260">
        <v>3</v>
      </c>
      <c r="H76" s="260">
        <v>3</v>
      </c>
      <c r="I76" s="260">
        <v>7</v>
      </c>
      <c r="J76" s="269" t="s">
        <v>678</v>
      </c>
      <c r="K76" s="260" t="s">
        <v>542</v>
      </c>
      <c r="L76" s="260" t="s">
        <v>543</v>
      </c>
      <c r="O76" s="297"/>
      <c r="X76" s="269"/>
      <c r="Y76" s="269"/>
      <c r="Z76" s="269"/>
      <c r="AA76" s="269" t="s">
        <v>131</v>
      </c>
      <c r="AB76" s="269" t="s">
        <v>81</v>
      </c>
      <c r="AC76" t="str">
        <f t="shared" si="1"/>
        <v>NorseCatcher</v>
      </c>
      <c r="AD76" s="288" t="s">
        <v>534</v>
      </c>
      <c r="AE76" s="203" t="s">
        <v>555</v>
      </c>
      <c r="AF76" s="203" t="s">
        <v>554</v>
      </c>
      <c r="AG76" s="203"/>
      <c r="AH76" s="289"/>
      <c r="AI76" s="203"/>
      <c r="AJ76" s="203"/>
      <c r="AK76" s="203" t="s">
        <v>20</v>
      </c>
      <c r="AL76" s="203" t="s">
        <v>556</v>
      </c>
      <c r="AM76" s="289"/>
    </row>
    <row r="77" spans="1:39" ht="15.75" customHeight="1">
      <c r="A77" s="269" t="s">
        <v>131</v>
      </c>
      <c r="B77" s="269" t="s">
        <v>59</v>
      </c>
      <c r="C77" s="285" t="str">
        <f t="shared" si="0"/>
        <v>NorseWerewolf</v>
      </c>
      <c r="D77" s="285">
        <v>2</v>
      </c>
      <c r="E77" s="286">
        <v>110000</v>
      </c>
      <c r="F77" s="260">
        <v>6</v>
      </c>
      <c r="G77" s="260">
        <v>4</v>
      </c>
      <c r="H77" s="260">
        <v>2</v>
      </c>
      <c r="I77" s="260">
        <v>8</v>
      </c>
      <c r="J77" s="269" t="s">
        <v>568</v>
      </c>
      <c r="K77" s="260" t="s">
        <v>542</v>
      </c>
      <c r="L77" s="260" t="s">
        <v>543</v>
      </c>
      <c r="O77" s="297"/>
      <c r="X77" s="269"/>
      <c r="Y77" s="269"/>
      <c r="Z77" s="269"/>
      <c r="AA77" s="269" t="s">
        <v>131</v>
      </c>
      <c r="AB77" s="269" t="s">
        <v>68</v>
      </c>
      <c r="AC77" t="str">
        <f t="shared" si="1"/>
        <v>NorseBlitzer</v>
      </c>
      <c r="AD77" s="288" t="s">
        <v>534</v>
      </c>
      <c r="AE77" s="203"/>
      <c r="AF77" s="203" t="s">
        <v>20</v>
      </c>
      <c r="AG77" s="203"/>
      <c r="AH77" s="289"/>
      <c r="AI77" s="203"/>
      <c r="AJ77" s="203" t="s">
        <v>555</v>
      </c>
      <c r="AK77" s="203" t="s">
        <v>554</v>
      </c>
      <c r="AL77" s="203" t="s">
        <v>556</v>
      </c>
      <c r="AM77" s="289"/>
    </row>
    <row r="78" spans="1:39" ht="15.75" customHeight="1">
      <c r="A78" s="269" t="s">
        <v>131</v>
      </c>
      <c r="B78" s="269" t="s">
        <v>46</v>
      </c>
      <c r="C78" s="285" t="str">
        <f t="shared" si="0"/>
        <v>NorseYhetee</v>
      </c>
      <c r="D78" s="285">
        <v>1</v>
      </c>
      <c r="E78" s="286">
        <v>140000</v>
      </c>
      <c r="F78" s="260">
        <v>5</v>
      </c>
      <c r="G78" s="260">
        <v>5</v>
      </c>
      <c r="H78" s="260">
        <v>1</v>
      </c>
      <c r="I78" s="260">
        <v>8</v>
      </c>
      <c r="J78" s="269" t="s">
        <v>681</v>
      </c>
      <c r="K78" s="260" t="s">
        <v>20</v>
      </c>
      <c r="L78" s="260" t="s">
        <v>575</v>
      </c>
      <c r="O78" s="297"/>
      <c r="X78" s="269"/>
      <c r="Y78" s="269"/>
      <c r="Z78" s="269"/>
      <c r="AA78" s="269" t="s">
        <v>131</v>
      </c>
      <c r="AB78" s="269" t="s">
        <v>59</v>
      </c>
      <c r="AC78" t="str">
        <f t="shared" si="1"/>
        <v>NorseWerewolf</v>
      </c>
      <c r="AD78" s="288" t="s">
        <v>534</v>
      </c>
      <c r="AE78" s="203"/>
      <c r="AF78" s="203" t="s">
        <v>20</v>
      </c>
      <c r="AG78" s="203"/>
      <c r="AH78" s="289"/>
      <c r="AI78" s="203"/>
      <c r="AJ78" s="203" t="s">
        <v>555</v>
      </c>
      <c r="AK78" s="203" t="s">
        <v>554</v>
      </c>
      <c r="AL78" s="203" t="s">
        <v>556</v>
      </c>
      <c r="AM78" s="289"/>
    </row>
    <row r="79" spans="1:39" ht="15.75" customHeight="1">
      <c r="A79" s="269" t="s">
        <v>329</v>
      </c>
      <c r="B79" s="269" t="s">
        <v>322</v>
      </c>
      <c r="C79" s="285" t="str">
        <f t="shared" si="0"/>
        <v>NurgleRotter</v>
      </c>
      <c r="D79" s="285">
        <v>16</v>
      </c>
      <c r="E79" s="286">
        <v>40000</v>
      </c>
      <c r="F79" s="260">
        <v>5</v>
      </c>
      <c r="G79" s="260">
        <v>3</v>
      </c>
      <c r="H79" s="260">
        <v>3</v>
      </c>
      <c r="I79" s="260">
        <v>8</v>
      </c>
      <c r="J79" s="269" t="s">
        <v>682</v>
      </c>
      <c r="K79" s="260" t="s">
        <v>616</v>
      </c>
      <c r="L79" s="260" t="s">
        <v>535</v>
      </c>
      <c r="O79" s="297"/>
      <c r="X79" s="269"/>
      <c r="Y79" s="269"/>
      <c r="Z79" s="269"/>
      <c r="AA79" s="269" t="s">
        <v>131</v>
      </c>
      <c r="AB79" s="269" t="s">
        <v>46</v>
      </c>
      <c r="AC79" t="str">
        <f t="shared" si="1"/>
        <v>NorseYhetee</v>
      </c>
      <c r="AD79" s="288"/>
      <c r="AE79" s="203" t="s">
        <v>554</v>
      </c>
      <c r="AF79" s="203" t="s">
        <v>20</v>
      </c>
      <c r="AG79" s="203"/>
      <c r="AH79" s="289"/>
      <c r="AI79" s="203" t="s">
        <v>534</v>
      </c>
      <c r="AJ79" s="203" t="s">
        <v>555</v>
      </c>
      <c r="AK79" s="203"/>
      <c r="AL79" s="203" t="s">
        <v>556</v>
      </c>
      <c r="AM79" s="289"/>
    </row>
    <row r="80" spans="1:39" ht="15.75" customHeight="1">
      <c r="A80" s="269" t="s">
        <v>329</v>
      </c>
      <c r="B80" s="269" t="s">
        <v>310</v>
      </c>
      <c r="C80" s="285" t="str">
        <f t="shared" si="0"/>
        <v>NurglePestigor</v>
      </c>
      <c r="D80" s="285">
        <v>4</v>
      </c>
      <c r="E80" s="286">
        <v>80000</v>
      </c>
      <c r="F80" s="260">
        <v>6</v>
      </c>
      <c r="G80" s="260">
        <v>3</v>
      </c>
      <c r="H80" s="260">
        <v>3</v>
      </c>
      <c r="I80" s="260">
        <v>8</v>
      </c>
      <c r="J80" s="269" t="s">
        <v>683</v>
      </c>
      <c r="K80" s="260" t="s">
        <v>584</v>
      </c>
      <c r="L80" s="260" t="s">
        <v>543</v>
      </c>
      <c r="O80" s="297"/>
      <c r="X80" s="269"/>
      <c r="Y80" s="269"/>
      <c r="Z80" s="269"/>
      <c r="AA80" s="269" t="s">
        <v>329</v>
      </c>
      <c r="AB80" s="269" t="s">
        <v>322</v>
      </c>
      <c r="AC80" t="str">
        <f t="shared" si="1"/>
        <v>NurgleRotter</v>
      </c>
      <c r="AD80" s="288" t="s">
        <v>534</v>
      </c>
      <c r="AE80" s="203"/>
      <c r="AF80" s="203" t="s">
        <v>554</v>
      </c>
      <c r="AG80" s="203"/>
      <c r="AH80" s="289" t="s">
        <v>17</v>
      </c>
      <c r="AI80" s="203"/>
      <c r="AJ80" s="203" t="s">
        <v>555</v>
      </c>
      <c r="AK80" s="203" t="s">
        <v>20</v>
      </c>
      <c r="AL80" s="203" t="s">
        <v>556</v>
      </c>
      <c r="AM80" s="289"/>
    </row>
    <row r="81" spans="1:39" ht="15.75" customHeight="1">
      <c r="A81" s="269" t="s">
        <v>329</v>
      </c>
      <c r="B81" s="269" t="s">
        <v>294</v>
      </c>
      <c r="C81" s="285" t="str">
        <f t="shared" si="0"/>
        <v>NurgleWarrior</v>
      </c>
      <c r="D81" s="285">
        <v>4</v>
      </c>
      <c r="E81" s="286">
        <v>110000</v>
      </c>
      <c r="F81" s="260">
        <v>4</v>
      </c>
      <c r="G81" s="260">
        <v>4</v>
      </c>
      <c r="H81" s="260">
        <v>2</v>
      </c>
      <c r="I81" s="260">
        <v>9</v>
      </c>
      <c r="J81" s="269" t="s">
        <v>684</v>
      </c>
      <c r="K81" s="260" t="s">
        <v>584</v>
      </c>
      <c r="L81" s="260" t="s">
        <v>543</v>
      </c>
      <c r="O81" s="297"/>
      <c r="X81" s="269"/>
      <c r="Y81" s="269"/>
      <c r="Z81" s="269"/>
      <c r="AA81" s="269" t="s">
        <v>329</v>
      </c>
      <c r="AB81" s="269" t="s">
        <v>310</v>
      </c>
      <c r="AC81" t="str">
        <f t="shared" si="1"/>
        <v>NurglePestigor</v>
      </c>
      <c r="AD81" s="288" t="s">
        <v>534</v>
      </c>
      <c r="AE81" s="203"/>
      <c r="AF81" s="203" t="s">
        <v>20</v>
      </c>
      <c r="AG81" s="203"/>
      <c r="AH81" s="289" t="s">
        <v>17</v>
      </c>
      <c r="AI81" s="203"/>
      <c r="AJ81" s="203" t="s">
        <v>555</v>
      </c>
      <c r="AK81" s="203" t="s">
        <v>554</v>
      </c>
      <c r="AL81" s="203" t="s">
        <v>556</v>
      </c>
      <c r="AM81" s="289"/>
    </row>
    <row r="82" spans="1:39" ht="15.75" customHeight="1">
      <c r="A82" s="269" t="s">
        <v>329</v>
      </c>
      <c r="B82" s="269" t="s">
        <v>288</v>
      </c>
      <c r="C82" s="285" t="str">
        <f t="shared" si="0"/>
        <v>NurgleBeast</v>
      </c>
      <c r="D82" s="285">
        <v>1</v>
      </c>
      <c r="E82" s="286">
        <v>140000</v>
      </c>
      <c r="F82" s="260">
        <v>4</v>
      </c>
      <c r="G82" s="260">
        <v>5</v>
      </c>
      <c r="H82" s="260">
        <v>1</v>
      </c>
      <c r="I82" s="260">
        <v>9</v>
      </c>
      <c r="J82" s="269" t="s">
        <v>685</v>
      </c>
      <c r="K82" s="260" t="s">
        <v>20</v>
      </c>
      <c r="L82" s="260" t="s">
        <v>606</v>
      </c>
      <c r="O82" s="297"/>
      <c r="X82" s="269"/>
      <c r="Y82" s="269"/>
      <c r="Z82" s="269"/>
      <c r="AA82" s="269" t="s">
        <v>329</v>
      </c>
      <c r="AB82" s="269" t="s">
        <v>294</v>
      </c>
      <c r="AC82" t="str">
        <f t="shared" si="1"/>
        <v>NurgleWarrior</v>
      </c>
      <c r="AD82" s="288" t="s">
        <v>534</v>
      </c>
      <c r="AE82" s="203"/>
      <c r="AF82" s="203" t="s">
        <v>20</v>
      </c>
      <c r="AG82" s="203"/>
      <c r="AH82" s="289" t="s">
        <v>17</v>
      </c>
      <c r="AI82" s="203"/>
      <c r="AJ82" s="203" t="s">
        <v>555</v>
      </c>
      <c r="AK82" s="203" t="s">
        <v>554</v>
      </c>
      <c r="AL82" s="203" t="s">
        <v>556</v>
      </c>
      <c r="AM82" s="289"/>
    </row>
    <row r="83" spans="1:39" ht="15.75" customHeight="1">
      <c r="A83" s="269" t="s">
        <v>184</v>
      </c>
      <c r="B83" s="269" t="s">
        <v>686</v>
      </c>
      <c r="C83" s="285" t="str">
        <f t="shared" si="0"/>
        <v>OgreSnotling</v>
      </c>
      <c r="D83" s="285">
        <v>16</v>
      </c>
      <c r="E83" s="286">
        <v>20000</v>
      </c>
      <c r="F83" s="260">
        <v>5</v>
      </c>
      <c r="G83" s="260">
        <v>1</v>
      </c>
      <c r="H83" s="260">
        <v>3</v>
      </c>
      <c r="I83" s="260">
        <v>5</v>
      </c>
      <c r="J83" s="269" t="s">
        <v>687</v>
      </c>
      <c r="K83" s="260" t="s">
        <v>555</v>
      </c>
      <c r="L83" s="260" t="s">
        <v>613</v>
      </c>
      <c r="O83" s="297"/>
      <c r="X83" s="269"/>
      <c r="Y83" s="269"/>
      <c r="Z83" s="269"/>
      <c r="AA83" s="269" t="s">
        <v>329</v>
      </c>
      <c r="AB83" s="269" t="s">
        <v>288</v>
      </c>
      <c r="AC83" t="str">
        <f t="shared" si="1"/>
        <v>NurgleBeast</v>
      </c>
      <c r="AD83" s="288"/>
      <c r="AE83" s="203" t="s">
        <v>554</v>
      </c>
      <c r="AF83" s="203" t="s">
        <v>20</v>
      </c>
      <c r="AG83" s="203"/>
      <c r="AH83" s="289"/>
      <c r="AI83" s="203" t="s">
        <v>534</v>
      </c>
      <c r="AJ83" s="203" t="s">
        <v>555</v>
      </c>
      <c r="AK83" s="203"/>
      <c r="AL83" s="203" t="s">
        <v>556</v>
      </c>
      <c r="AM83" s="289"/>
    </row>
    <row r="84" spans="1:39" ht="15.75" customHeight="1">
      <c r="A84" s="269" t="s">
        <v>184</v>
      </c>
      <c r="B84" s="269" t="s">
        <v>184</v>
      </c>
      <c r="C84" s="285" t="str">
        <f t="shared" si="0"/>
        <v>OgreOgre</v>
      </c>
      <c r="D84" s="285">
        <v>6</v>
      </c>
      <c r="E84" s="286">
        <v>140000</v>
      </c>
      <c r="F84" s="260">
        <v>5</v>
      </c>
      <c r="G84" s="260">
        <v>5</v>
      </c>
      <c r="H84" s="260">
        <v>2</v>
      </c>
      <c r="I84" s="260">
        <v>9</v>
      </c>
      <c r="J84" s="269" t="s">
        <v>688</v>
      </c>
      <c r="K84" s="260" t="s">
        <v>20</v>
      </c>
      <c r="L84" s="260" t="s">
        <v>575</v>
      </c>
      <c r="O84" s="297"/>
      <c r="X84" s="269"/>
      <c r="Y84" s="269"/>
      <c r="Z84" s="269"/>
      <c r="AA84" s="269" t="s">
        <v>184</v>
      </c>
      <c r="AB84" s="269" t="s">
        <v>686</v>
      </c>
      <c r="AC84" t="str">
        <f t="shared" si="1"/>
        <v>OgreSnotling</v>
      </c>
      <c r="AD84" s="288"/>
      <c r="AE84" s="203" t="s">
        <v>555</v>
      </c>
      <c r="AF84" s="203" t="s">
        <v>554</v>
      </c>
      <c r="AG84" s="203"/>
      <c r="AH84" s="289"/>
      <c r="AI84" s="203" t="s">
        <v>534</v>
      </c>
      <c r="AJ84" s="203"/>
      <c r="AK84" s="203" t="s">
        <v>20</v>
      </c>
      <c r="AL84" s="203" t="s">
        <v>556</v>
      </c>
      <c r="AM84" s="289"/>
    </row>
    <row r="85" spans="1:39" ht="15.75" customHeight="1">
      <c r="A85" s="269" t="s">
        <v>314</v>
      </c>
      <c r="B85" s="269" t="s">
        <v>92</v>
      </c>
      <c r="C85" s="285" t="str">
        <f t="shared" si="0"/>
        <v>OrcLineman</v>
      </c>
      <c r="D85" s="285">
        <v>16</v>
      </c>
      <c r="E85" s="286">
        <v>50000</v>
      </c>
      <c r="F85" s="260">
        <v>5</v>
      </c>
      <c r="G85" s="260">
        <v>3</v>
      </c>
      <c r="H85" s="260">
        <v>3</v>
      </c>
      <c r="I85" s="260">
        <v>9</v>
      </c>
      <c r="K85" s="260" t="s">
        <v>534</v>
      </c>
      <c r="L85" s="260" t="s">
        <v>535</v>
      </c>
      <c r="O85" s="297"/>
      <c r="X85" s="269"/>
      <c r="Y85" s="269"/>
      <c r="Z85" s="269"/>
      <c r="AA85" s="269" t="s">
        <v>184</v>
      </c>
      <c r="AB85" s="269" t="s">
        <v>184</v>
      </c>
      <c r="AC85" t="str">
        <f t="shared" si="1"/>
        <v>OgreOgre</v>
      </c>
      <c r="AD85" s="288"/>
      <c r="AE85" s="203" t="s">
        <v>554</v>
      </c>
      <c r="AF85" s="203" t="s">
        <v>20</v>
      </c>
      <c r="AG85" s="203"/>
      <c r="AH85" s="289"/>
      <c r="AI85" s="203" t="s">
        <v>534</v>
      </c>
      <c r="AJ85" s="203" t="s">
        <v>555</v>
      </c>
      <c r="AK85" s="203"/>
      <c r="AL85" s="203" t="s">
        <v>556</v>
      </c>
      <c r="AM85" s="289"/>
    </row>
    <row r="86" spans="1:39" ht="15.75" customHeight="1">
      <c r="A86" s="269" t="s">
        <v>314</v>
      </c>
      <c r="B86" s="269" t="s">
        <v>304</v>
      </c>
      <c r="C86" s="285" t="str">
        <f t="shared" si="0"/>
        <v>OrcGoblin</v>
      </c>
      <c r="D86" s="285">
        <v>4</v>
      </c>
      <c r="E86" s="286">
        <v>40000</v>
      </c>
      <c r="F86" s="260">
        <v>6</v>
      </c>
      <c r="G86" s="260">
        <v>2</v>
      </c>
      <c r="H86" s="260">
        <v>3</v>
      </c>
      <c r="I86" s="260">
        <v>7</v>
      </c>
      <c r="J86" s="269" t="s">
        <v>689</v>
      </c>
      <c r="K86" s="260" t="s">
        <v>555</v>
      </c>
      <c r="L86" s="260" t="s">
        <v>613</v>
      </c>
      <c r="O86" s="297"/>
      <c r="X86" s="269"/>
      <c r="Y86" s="269"/>
      <c r="Z86" s="269"/>
      <c r="AA86" s="269" t="s">
        <v>314</v>
      </c>
      <c r="AB86" s="269" t="s">
        <v>92</v>
      </c>
      <c r="AC86" t="str">
        <f t="shared" si="1"/>
        <v>OrcLineman</v>
      </c>
      <c r="AD86" s="288" t="s">
        <v>534</v>
      </c>
      <c r="AE86" s="203" t="s">
        <v>554</v>
      </c>
      <c r="AF86" s="203" t="s">
        <v>554</v>
      </c>
      <c r="AG86" s="203"/>
      <c r="AH86" s="289"/>
      <c r="AI86" s="203"/>
      <c r="AJ86" s="203" t="s">
        <v>555</v>
      </c>
      <c r="AK86" s="203" t="s">
        <v>20</v>
      </c>
      <c r="AL86" s="203" t="s">
        <v>556</v>
      </c>
      <c r="AM86" s="289"/>
    </row>
    <row r="87" spans="1:39" ht="15.75" customHeight="1">
      <c r="A87" s="269" t="s">
        <v>314</v>
      </c>
      <c r="B87" s="269" t="s">
        <v>221</v>
      </c>
      <c r="C87" s="285" t="str">
        <f t="shared" si="0"/>
        <v>OrcThrower</v>
      </c>
      <c r="D87" s="285">
        <v>2</v>
      </c>
      <c r="E87" s="286">
        <v>70000</v>
      </c>
      <c r="F87" s="260">
        <v>5</v>
      </c>
      <c r="G87" s="260">
        <v>3</v>
      </c>
      <c r="H87" s="260">
        <v>3</v>
      </c>
      <c r="I87" s="260">
        <v>8</v>
      </c>
      <c r="J87" s="269" t="s">
        <v>690</v>
      </c>
      <c r="K87" s="260" t="s">
        <v>559</v>
      </c>
      <c r="L87" s="260" t="s">
        <v>546</v>
      </c>
      <c r="O87" s="297"/>
      <c r="X87" s="269"/>
      <c r="Y87" s="269"/>
      <c r="Z87" s="269"/>
      <c r="AA87" s="269" t="s">
        <v>314</v>
      </c>
      <c r="AB87" s="269" t="s">
        <v>304</v>
      </c>
      <c r="AC87" t="str">
        <f t="shared" si="1"/>
        <v>OrcGoblin</v>
      </c>
      <c r="AD87" s="288"/>
      <c r="AE87" s="203" t="s">
        <v>555</v>
      </c>
      <c r="AF87" s="203" t="s">
        <v>554</v>
      </c>
      <c r="AG87" s="203"/>
      <c r="AH87" s="289"/>
      <c r="AI87" s="203" t="s">
        <v>534</v>
      </c>
      <c r="AJ87" s="203"/>
      <c r="AK87" s="203" t="s">
        <v>20</v>
      </c>
      <c r="AL87" s="203" t="s">
        <v>556</v>
      </c>
      <c r="AM87" s="289"/>
    </row>
    <row r="88" spans="1:39" ht="15.75" customHeight="1">
      <c r="A88" s="269" t="s">
        <v>314</v>
      </c>
      <c r="B88" s="269" t="s">
        <v>276</v>
      </c>
      <c r="C88" s="285" t="str">
        <f t="shared" si="0"/>
        <v>OrcBlack Orc Blocker</v>
      </c>
      <c r="D88" s="285">
        <v>4</v>
      </c>
      <c r="E88" s="286">
        <v>80000</v>
      </c>
      <c r="F88" s="260">
        <v>4</v>
      </c>
      <c r="G88" s="260">
        <v>4</v>
      </c>
      <c r="H88" s="260">
        <v>2</v>
      </c>
      <c r="I88" s="260">
        <v>9</v>
      </c>
      <c r="K88" s="260" t="s">
        <v>542</v>
      </c>
      <c r="L88" s="260" t="s">
        <v>543</v>
      </c>
      <c r="O88" s="297"/>
      <c r="X88" s="269"/>
      <c r="Y88" s="269"/>
      <c r="Z88" s="269"/>
      <c r="AA88" s="269" t="s">
        <v>314</v>
      </c>
      <c r="AB88" s="269" t="s">
        <v>221</v>
      </c>
      <c r="AC88" t="str">
        <f t="shared" si="1"/>
        <v>OrcThrower</v>
      </c>
      <c r="AD88" s="288"/>
      <c r="AE88" s="203"/>
      <c r="AF88" s="203" t="s">
        <v>20</v>
      </c>
      <c r="AG88" s="203" t="s">
        <v>556</v>
      </c>
      <c r="AH88" s="289"/>
      <c r="AI88" s="203"/>
      <c r="AJ88" s="203" t="s">
        <v>555</v>
      </c>
      <c r="AK88" s="203" t="s">
        <v>20</v>
      </c>
      <c r="AL88" s="203"/>
      <c r="AM88" s="289"/>
    </row>
    <row r="89" spans="1:39" ht="15.75" customHeight="1">
      <c r="A89" s="269" t="s">
        <v>314</v>
      </c>
      <c r="B89" s="269" t="s">
        <v>68</v>
      </c>
      <c r="C89" s="285" t="str">
        <f t="shared" si="0"/>
        <v>OrcBlitzer</v>
      </c>
      <c r="D89" s="285">
        <v>4</v>
      </c>
      <c r="E89" s="286">
        <v>80000</v>
      </c>
      <c r="F89" s="260">
        <v>6</v>
      </c>
      <c r="G89" s="260">
        <v>3</v>
      </c>
      <c r="H89" s="260">
        <v>3</v>
      </c>
      <c r="I89" s="260">
        <v>9</v>
      </c>
      <c r="J89" s="269" t="s">
        <v>55</v>
      </c>
      <c r="K89" s="260" t="s">
        <v>542</v>
      </c>
      <c r="L89" s="260" t="s">
        <v>543</v>
      </c>
      <c r="O89" s="297"/>
      <c r="X89" s="269"/>
      <c r="Y89" s="269"/>
      <c r="Z89" s="269"/>
      <c r="AA89" s="269" t="s">
        <v>314</v>
      </c>
      <c r="AB89" s="269" t="s">
        <v>691</v>
      </c>
      <c r="AC89" t="str">
        <f t="shared" si="1"/>
        <v>OrcBlack Orc</v>
      </c>
      <c r="AD89" s="288" t="s">
        <v>534</v>
      </c>
      <c r="AE89" s="203"/>
      <c r="AF89" s="203" t="s">
        <v>20</v>
      </c>
      <c r="AG89" s="203"/>
      <c r="AH89" s="289"/>
      <c r="AI89" s="203"/>
      <c r="AJ89" s="203" t="s">
        <v>555</v>
      </c>
      <c r="AK89" s="203" t="s">
        <v>554</v>
      </c>
      <c r="AL89" s="203" t="s">
        <v>556</v>
      </c>
      <c r="AM89" s="289"/>
    </row>
    <row r="90" spans="1:39" ht="15.75" customHeight="1">
      <c r="A90" s="269" t="s">
        <v>314</v>
      </c>
      <c r="B90" s="269" t="s">
        <v>193</v>
      </c>
      <c r="C90" s="285" t="str">
        <f t="shared" si="0"/>
        <v>OrcTroll</v>
      </c>
      <c r="D90" s="285">
        <v>1</v>
      </c>
      <c r="E90" s="286">
        <v>110000</v>
      </c>
      <c r="F90" s="260">
        <v>4</v>
      </c>
      <c r="G90" s="260">
        <v>5</v>
      </c>
      <c r="H90" s="260">
        <v>1</v>
      </c>
      <c r="I90" s="260">
        <v>9</v>
      </c>
      <c r="J90" s="269" t="s">
        <v>621</v>
      </c>
      <c r="K90" s="260" t="s">
        <v>20</v>
      </c>
      <c r="L90" s="260" t="s">
        <v>575</v>
      </c>
      <c r="O90" s="297"/>
      <c r="X90" s="269"/>
      <c r="Y90" s="269"/>
      <c r="Z90" s="269"/>
      <c r="AA90" s="269" t="s">
        <v>314</v>
      </c>
      <c r="AB90" s="269" t="s">
        <v>68</v>
      </c>
      <c r="AC90" t="str">
        <f t="shared" si="1"/>
        <v>OrcBlitzer</v>
      </c>
      <c r="AD90" s="288" t="s">
        <v>534</v>
      </c>
      <c r="AE90" s="203"/>
      <c r="AF90" s="203" t="s">
        <v>20</v>
      </c>
      <c r="AG90" s="203"/>
      <c r="AH90" s="289"/>
      <c r="AI90" s="203"/>
      <c r="AJ90" s="203" t="s">
        <v>555</v>
      </c>
      <c r="AK90" s="203" t="s">
        <v>554</v>
      </c>
      <c r="AL90" s="203" t="s">
        <v>556</v>
      </c>
      <c r="AM90" s="289"/>
    </row>
    <row r="91" spans="1:39" ht="15.75" customHeight="1">
      <c r="A91" s="269" t="s">
        <v>377</v>
      </c>
      <c r="B91" s="269" t="s">
        <v>692</v>
      </c>
      <c r="C91" s="285" t="str">
        <f t="shared" si="0"/>
        <v>SimyinBonobo</v>
      </c>
      <c r="D91" s="285">
        <v>12</v>
      </c>
      <c r="E91" s="286">
        <v>50000</v>
      </c>
      <c r="F91" s="260">
        <v>6</v>
      </c>
      <c r="G91" s="260">
        <v>3</v>
      </c>
      <c r="H91" s="260">
        <v>3</v>
      </c>
      <c r="I91" s="260">
        <v>7</v>
      </c>
      <c r="J91" s="269" t="s">
        <v>566</v>
      </c>
      <c r="K91" s="260" t="s">
        <v>534</v>
      </c>
      <c r="L91" s="260" t="s">
        <v>535</v>
      </c>
      <c r="O91" s="297"/>
      <c r="X91" s="269"/>
      <c r="Y91" s="269"/>
      <c r="Z91" s="269"/>
      <c r="AA91" s="269" t="s">
        <v>314</v>
      </c>
      <c r="AB91" s="269" t="s">
        <v>193</v>
      </c>
      <c r="AC91" t="str">
        <f t="shared" si="1"/>
        <v>OrcTroll</v>
      </c>
      <c r="AD91" s="288"/>
      <c r="AE91" s="203" t="s">
        <v>554</v>
      </c>
      <c r="AF91" s="203" t="s">
        <v>20</v>
      </c>
      <c r="AG91" s="203"/>
      <c r="AH91" s="289"/>
      <c r="AI91" s="203" t="s">
        <v>534</v>
      </c>
      <c r="AJ91" s="203" t="s">
        <v>555</v>
      </c>
      <c r="AK91" s="203"/>
      <c r="AL91" s="203" t="s">
        <v>556</v>
      </c>
      <c r="AM91" s="289"/>
    </row>
    <row r="92" spans="1:39" ht="15.75" customHeight="1">
      <c r="A92" s="269" t="s">
        <v>377</v>
      </c>
      <c r="B92" s="269" t="s">
        <v>697</v>
      </c>
      <c r="C92" s="285" t="str">
        <f t="shared" si="0"/>
        <v>SimyinOrangutan</v>
      </c>
      <c r="D92" s="285">
        <v>2</v>
      </c>
      <c r="E92" s="286">
        <v>70000</v>
      </c>
      <c r="F92" s="260">
        <v>5</v>
      </c>
      <c r="G92" s="260">
        <v>3</v>
      </c>
      <c r="H92" s="260">
        <v>3</v>
      </c>
      <c r="I92" s="260">
        <v>8</v>
      </c>
      <c r="J92" s="269" t="s">
        <v>698</v>
      </c>
      <c r="K92" s="260" t="s">
        <v>545</v>
      </c>
      <c r="L92" s="260" t="s">
        <v>546</v>
      </c>
      <c r="O92" s="297"/>
      <c r="X92" s="269"/>
      <c r="Y92" s="269"/>
      <c r="Z92" s="269"/>
      <c r="AA92" s="269" t="s">
        <v>377</v>
      </c>
      <c r="AB92" s="269" t="s">
        <v>692</v>
      </c>
      <c r="AC92" t="str">
        <f t="shared" si="1"/>
        <v>SimyinBonobo</v>
      </c>
      <c r="AD92" s="288" t="s">
        <v>534</v>
      </c>
      <c r="AE92" s="203" t="s">
        <v>554</v>
      </c>
      <c r="AF92" s="203" t="s">
        <v>554</v>
      </c>
      <c r="AG92" s="203"/>
      <c r="AH92" s="289"/>
      <c r="AI92" s="203"/>
      <c r="AJ92" s="203" t="s">
        <v>555</v>
      </c>
      <c r="AK92" s="203" t="s">
        <v>20</v>
      </c>
      <c r="AL92" s="203" t="s">
        <v>556</v>
      </c>
      <c r="AM92" s="289"/>
    </row>
    <row r="93" spans="1:39" ht="15.75" customHeight="1">
      <c r="A93" s="269" t="s">
        <v>377</v>
      </c>
      <c r="B93" s="269" t="s">
        <v>695</v>
      </c>
      <c r="C93" s="285" t="str">
        <f t="shared" si="0"/>
        <v>SimyinChimpanzee</v>
      </c>
      <c r="D93" s="285">
        <v>2</v>
      </c>
      <c r="E93" s="286">
        <v>80000</v>
      </c>
      <c r="F93" s="260">
        <v>7</v>
      </c>
      <c r="G93" s="260">
        <v>3</v>
      </c>
      <c r="H93" s="260">
        <v>3</v>
      </c>
      <c r="I93" s="260">
        <v>7</v>
      </c>
      <c r="J93" s="269" t="s">
        <v>696</v>
      </c>
      <c r="K93" s="260" t="s">
        <v>558</v>
      </c>
      <c r="L93" s="260" t="s">
        <v>559</v>
      </c>
      <c r="O93" s="297"/>
      <c r="X93" s="269"/>
      <c r="Y93" s="269"/>
      <c r="Z93" s="269"/>
      <c r="AA93" s="269" t="s">
        <v>377</v>
      </c>
      <c r="AB93" s="269" t="s">
        <v>697</v>
      </c>
      <c r="AC93" t="str">
        <f t="shared" si="1"/>
        <v>SimyinOrangutan</v>
      </c>
      <c r="AD93" s="288" t="s">
        <v>534</v>
      </c>
      <c r="AE93" s="203"/>
      <c r="AF93" s="203"/>
      <c r="AG93" s="203" t="s">
        <v>556</v>
      </c>
      <c r="AH93" s="289"/>
      <c r="AI93" s="203"/>
      <c r="AJ93" s="203" t="s">
        <v>555</v>
      </c>
      <c r="AK93" s="203" t="s">
        <v>20</v>
      </c>
      <c r="AL93" s="203"/>
      <c r="AM93" s="289"/>
    </row>
    <row r="94" spans="1:39" ht="15.75" customHeight="1">
      <c r="A94" s="269" t="s">
        <v>377</v>
      </c>
      <c r="B94" s="269" t="s">
        <v>693</v>
      </c>
      <c r="C94" s="285" t="str">
        <f t="shared" si="0"/>
        <v>SimyinGorilla</v>
      </c>
      <c r="D94" s="285">
        <v>4</v>
      </c>
      <c r="E94" s="286">
        <v>100000</v>
      </c>
      <c r="F94" s="260">
        <v>5</v>
      </c>
      <c r="G94" s="260">
        <v>4</v>
      </c>
      <c r="H94" s="260">
        <v>2</v>
      </c>
      <c r="I94" s="260">
        <v>8</v>
      </c>
      <c r="J94" s="269" t="s">
        <v>694</v>
      </c>
      <c r="K94" s="260" t="s">
        <v>546</v>
      </c>
      <c r="L94" s="260" t="s">
        <v>559</v>
      </c>
      <c r="O94" s="297"/>
      <c r="X94" s="269"/>
      <c r="Y94" s="269"/>
      <c r="Z94" s="269"/>
      <c r="AA94" s="269" t="s">
        <v>377</v>
      </c>
      <c r="AB94" s="269" t="s">
        <v>695</v>
      </c>
      <c r="AC94" t="str">
        <f t="shared" si="1"/>
        <v>SimyinChimpanzee</v>
      </c>
      <c r="AD94" s="288" t="s">
        <v>534</v>
      </c>
      <c r="AE94" s="203" t="s">
        <v>555</v>
      </c>
      <c r="AF94" s="203" t="s">
        <v>554</v>
      </c>
      <c r="AG94" s="203"/>
      <c r="AH94" s="289"/>
      <c r="AI94" s="203"/>
      <c r="AJ94" s="203"/>
      <c r="AK94" s="203" t="s">
        <v>20</v>
      </c>
      <c r="AL94" s="203" t="s">
        <v>556</v>
      </c>
      <c r="AM94" s="289"/>
    </row>
    <row r="95" spans="1:39" ht="15.75" customHeight="1">
      <c r="A95" s="269" t="s">
        <v>377</v>
      </c>
      <c r="B95" s="269" t="s">
        <v>699</v>
      </c>
      <c r="C95" s="285" t="str">
        <f t="shared" si="0"/>
        <v>SimyinSilverback</v>
      </c>
      <c r="D95" s="285">
        <v>1</v>
      </c>
      <c r="E95" s="286">
        <v>140000</v>
      </c>
      <c r="F95" s="260">
        <v>5</v>
      </c>
      <c r="G95" s="260">
        <v>5</v>
      </c>
      <c r="H95" s="260">
        <v>1</v>
      </c>
      <c r="I95" s="260">
        <v>9</v>
      </c>
      <c r="J95" s="269" t="s">
        <v>700</v>
      </c>
      <c r="K95" s="260" t="s">
        <v>20</v>
      </c>
      <c r="L95" s="260" t="s">
        <v>575</v>
      </c>
      <c r="O95" s="297"/>
      <c r="X95" s="269"/>
      <c r="Y95" s="269"/>
      <c r="Z95" s="269"/>
      <c r="AA95" s="269" t="s">
        <v>377</v>
      </c>
      <c r="AB95" s="269" t="s">
        <v>693</v>
      </c>
      <c r="AC95" t="str">
        <f t="shared" si="1"/>
        <v>SimyinGorilla</v>
      </c>
      <c r="AD95" s="288"/>
      <c r="AE95" s="203" t="s">
        <v>555</v>
      </c>
      <c r="AF95" s="203" t="s">
        <v>20</v>
      </c>
      <c r="AG95" s="203"/>
      <c r="AH95" s="289"/>
      <c r="AI95" s="203"/>
      <c r="AJ95" s="203"/>
      <c r="AK95" s="203" t="s">
        <v>20</v>
      </c>
      <c r="AL95" s="203" t="s">
        <v>556</v>
      </c>
      <c r="AM95" s="289"/>
    </row>
    <row r="96" spans="1:39" ht="15.75" customHeight="1">
      <c r="A96" s="269" t="s">
        <v>268</v>
      </c>
      <c r="B96" s="269" t="s">
        <v>92</v>
      </c>
      <c r="C96" s="285" t="str">
        <f t="shared" si="0"/>
        <v>SkavenLineman</v>
      </c>
      <c r="D96" s="285">
        <v>16</v>
      </c>
      <c r="E96" s="286">
        <v>50000</v>
      </c>
      <c r="F96" s="260">
        <v>7</v>
      </c>
      <c r="G96" s="260">
        <v>3</v>
      </c>
      <c r="H96" s="260">
        <v>3</v>
      </c>
      <c r="I96" s="260">
        <v>7</v>
      </c>
      <c r="K96" s="260" t="s">
        <v>534</v>
      </c>
      <c r="L96" s="260" t="s">
        <v>701</v>
      </c>
      <c r="O96" s="297"/>
      <c r="X96" s="269"/>
      <c r="Y96" s="269"/>
      <c r="Z96" s="269"/>
      <c r="AA96" s="269" t="s">
        <v>377</v>
      </c>
      <c r="AB96" s="269" t="s">
        <v>699</v>
      </c>
      <c r="AC96" t="str">
        <f t="shared" si="1"/>
        <v>SimyinSilverback</v>
      </c>
      <c r="AD96" s="288"/>
      <c r="AE96" s="203" t="s">
        <v>554</v>
      </c>
      <c r="AF96" s="203" t="s">
        <v>20</v>
      </c>
      <c r="AG96" s="203"/>
      <c r="AH96" s="289"/>
      <c r="AI96" s="203" t="s">
        <v>534</v>
      </c>
      <c r="AJ96" s="203" t="s">
        <v>555</v>
      </c>
      <c r="AK96" s="203"/>
      <c r="AL96" s="203" t="s">
        <v>556</v>
      </c>
      <c r="AM96" s="289"/>
    </row>
    <row r="97" spans="1:39" ht="15.75" customHeight="1">
      <c r="A97" s="269" t="s">
        <v>268</v>
      </c>
      <c r="B97" s="269" t="s">
        <v>221</v>
      </c>
      <c r="C97" s="285" t="str">
        <f t="shared" si="0"/>
        <v>SkavenThrower</v>
      </c>
      <c r="D97" s="285">
        <v>2</v>
      </c>
      <c r="E97" s="286">
        <v>70000</v>
      </c>
      <c r="F97" s="260">
        <v>7</v>
      </c>
      <c r="G97" s="260">
        <v>3</v>
      </c>
      <c r="H97" s="260">
        <v>3</v>
      </c>
      <c r="I97" s="260">
        <v>7</v>
      </c>
      <c r="J97" s="269" t="s">
        <v>664</v>
      </c>
      <c r="K97" s="260" t="s">
        <v>545</v>
      </c>
      <c r="L97" s="260" t="s">
        <v>704</v>
      </c>
      <c r="O97" s="297"/>
      <c r="X97" s="269"/>
      <c r="Y97" s="269"/>
      <c r="Z97" s="269"/>
      <c r="AA97" s="269" t="s">
        <v>268</v>
      </c>
      <c r="AB97" s="269" t="s">
        <v>92</v>
      </c>
      <c r="AC97" t="str">
        <f t="shared" si="1"/>
        <v>SkavenLineman</v>
      </c>
      <c r="AD97" s="288" t="s">
        <v>534</v>
      </c>
      <c r="AE97" s="203" t="s">
        <v>554</v>
      </c>
      <c r="AF97" s="203" t="s">
        <v>554</v>
      </c>
      <c r="AG97" s="203"/>
      <c r="AH97" s="289"/>
      <c r="AI97" s="203"/>
      <c r="AJ97" s="203" t="s">
        <v>555</v>
      </c>
      <c r="AK97" s="203" t="s">
        <v>20</v>
      </c>
      <c r="AL97" s="203" t="s">
        <v>556</v>
      </c>
      <c r="AM97" s="289"/>
    </row>
    <row r="98" spans="1:39" ht="15.75" customHeight="1">
      <c r="A98" s="269" t="s">
        <v>268</v>
      </c>
      <c r="B98" s="269" t="s">
        <v>233</v>
      </c>
      <c r="C98" s="285" t="str">
        <f t="shared" si="0"/>
        <v>SkavenGutter Runner</v>
      </c>
      <c r="D98" s="285">
        <v>4</v>
      </c>
      <c r="E98" s="286">
        <v>80000</v>
      </c>
      <c r="F98" s="260">
        <v>9</v>
      </c>
      <c r="G98" s="260">
        <v>2</v>
      </c>
      <c r="H98" s="260">
        <v>4</v>
      </c>
      <c r="I98" s="260">
        <v>7</v>
      </c>
      <c r="J98" s="269" t="s">
        <v>702</v>
      </c>
      <c r="K98" s="260" t="s">
        <v>558</v>
      </c>
      <c r="L98" s="260" t="s">
        <v>703</v>
      </c>
      <c r="O98" s="297"/>
      <c r="X98" s="269"/>
      <c r="Y98" s="269"/>
      <c r="Z98" s="269"/>
      <c r="AA98" s="269" t="s">
        <v>268</v>
      </c>
      <c r="AB98" s="269" t="s">
        <v>221</v>
      </c>
      <c r="AC98" t="str">
        <f t="shared" si="1"/>
        <v>SkavenThrower</v>
      </c>
      <c r="AD98" s="288" t="s">
        <v>534</v>
      </c>
      <c r="AE98" s="203"/>
      <c r="AF98" s="203" t="s">
        <v>554</v>
      </c>
      <c r="AG98" s="203" t="s">
        <v>556</v>
      </c>
      <c r="AH98" s="289"/>
      <c r="AI98" s="203"/>
      <c r="AJ98" s="203" t="s">
        <v>555</v>
      </c>
      <c r="AK98" s="203" t="s">
        <v>20</v>
      </c>
      <c r="AL98" s="203"/>
      <c r="AM98" s="289" t="s">
        <v>17</v>
      </c>
    </row>
    <row r="99" spans="1:39" ht="15.75" customHeight="1">
      <c r="A99" s="269" t="s">
        <v>268</v>
      </c>
      <c r="B99" s="269" t="s">
        <v>68</v>
      </c>
      <c r="C99" s="285" t="str">
        <f t="shared" si="0"/>
        <v>SkavenBlitzer</v>
      </c>
      <c r="D99" s="285">
        <v>2</v>
      </c>
      <c r="E99" s="286">
        <v>90000</v>
      </c>
      <c r="F99" s="260">
        <v>7</v>
      </c>
      <c r="G99" s="260">
        <v>3</v>
      </c>
      <c r="H99" s="260">
        <v>3</v>
      </c>
      <c r="I99" s="260">
        <v>8</v>
      </c>
      <c r="J99" s="269" t="s">
        <v>55</v>
      </c>
      <c r="K99" s="260" t="s">
        <v>542</v>
      </c>
      <c r="L99" s="260" t="s">
        <v>602</v>
      </c>
      <c r="O99" s="297"/>
      <c r="X99" s="269"/>
      <c r="Y99" s="269"/>
      <c r="Z99" s="269"/>
      <c r="AA99" s="269" t="s">
        <v>268</v>
      </c>
      <c r="AB99" s="269" t="s">
        <v>233</v>
      </c>
      <c r="AC99" t="str">
        <f t="shared" si="1"/>
        <v>SkavenGutter Runner</v>
      </c>
      <c r="AD99" s="288" t="s">
        <v>534</v>
      </c>
      <c r="AE99" s="203" t="s">
        <v>555</v>
      </c>
      <c r="AF99" s="203" t="s">
        <v>554</v>
      </c>
      <c r="AG99" s="203"/>
      <c r="AH99" s="289"/>
      <c r="AI99" s="203"/>
      <c r="AJ99" s="203"/>
      <c r="AK99" s="203" t="s">
        <v>20</v>
      </c>
      <c r="AL99" s="203" t="s">
        <v>556</v>
      </c>
      <c r="AM99" s="289" t="s">
        <v>17</v>
      </c>
    </row>
    <row r="100" spans="1:39" ht="15.75" customHeight="1">
      <c r="A100" s="269" t="s">
        <v>268</v>
      </c>
      <c r="B100" s="269" t="s">
        <v>214</v>
      </c>
      <c r="C100" s="285" t="str">
        <f t="shared" si="0"/>
        <v>SkavenRat Ogre</v>
      </c>
      <c r="D100" s="285">
        <v>1</v>
      </c>
      <c r="E100" s="286">
        <v>150000</v>
      </c>
      <c r="F100" s="260">
        <v>6</v>
      </c>
      <c r="G100" s="260">
        <v>5</v>
      </c>
      <c r="H100" s="260">
        <v>2</v>
      </c>
      <c r="I100" s="260">
        <v>8</v>
      </c>
      <c r="J100" s="269" t="s">
        <v>705</v>
      </c>
      <c r="K100" s="260" t="s">
        <v>20</v>
      </c>
      <c r="L100" s="260" t="s">
        <v>606</v>
      </c>
      <c r="O100" s="297"/>
      <c r="X100" s="269"/>
      <c r="Y100" s="269"/>
      <c r="Z100" s="269"/>
      <c r="AA100" s="269" t="s">
        <v>268</v>
      </c>
      <c r="AB100" s="269" t="s">
        <v>68</v>
      </c>
      <c r="AC100" t="str">
        <f t="shared" si="1"/>
        <v>SkavenBlitzer</v>
      </c>
      <c r="AD100" s="288" t="s">
        <v>534</v>
      </c>
      <c r="AE100" s="203"/>
      <c r="AF100" s="203" t="s">
        <v>20</v>
      </c>
      <c r="AG100" s="203"/>
      <c r="AH100" s="289"/>
      <c r="AI100" s="203"/>
      <c r="AJ100" s="203" t="s">
        <v>555</v>
      </c>
      <c r="AK100" s="203"/>
      <c r="AL100" s="203" t="s">
        <v>556</v>
      </c>
      <c r="AM100" s="289" t="s">
        <v>17</v>
      </c>
    </row>
    <row r="101" spans="1:39" ht="15.75" customHeight="1">
      <c r="A101" s="298" t="s">
        <v>378</v>
      </c>
      <c r="B101" s="298" t="s">
        <v>92</v>
      </c>
      <c r="C101" s="285" t="str">
        <f t="shared" si="0"/>
        <v>SlannLineman</v>
      </c>
      <c r="D101" s="269">
        <v>16</v>
      </c>
      <c r="E101" s="286">
        <v>60000</v>
      </c>
      <c r="F101" s="260">
        <v>6</v>
      </c>
      <c r="G101" s="260">
        <v>3</v>
      </c>
      <c r="H101" s="260">
        <v>3</v>
      </c>
      <c r="I101" s="260">
        <v>8</v>
      </c>
      <c r="J101" s="269" t="s">
        <v>706</v>
      </c>
      <c r="K101" s="203" t="s">
        <v>534</v>
      </c>
      <c r="L101" s="203" t="s">
        <v>535</v>
      </c>
      <c r="O101" s="297"/>
      <c r="X101" s="269"/>
      <c r="Y101" s="269"/>
      <c r="Z101" s="269"/>
      <c r="AA101" s="269" t="s">
        <v>268</v>
      </c>
      <c r="AB101" s="269" t="s">
        <v>214</v>
      </c>
      <c r="AC101" t="str">
        <f t="shared" si="1"/>
        <v>SkavenRat Ogre</v>
      </c>
      <c r="AD101" s="288"/>
      <c r="AE101" s="203" t="s">
        <v>554</v>
      </c>
      <c r="AF101" s="203" t="s">
        <v>20</v>
      </c>
      <c r="AG101" s="203"/>
      <c r="AH101" s="289"/>
      <c r="AI101" s="203" t="s">
        <v>534</v>
      </c>
      <c r="AJ101" s="203" t="s">
        <v>555</v>
      </c>
      <c r="AK101" s="203"/>
      <c r="AL101" s="203" t="s">
        <v>556</v>
      </c>
      <c r="AM101" s="289"/>
    </row>
    <row r="102" spans="1:39" ht="15.75" customHeight="1">
      <c r="A102" s="298" t="s">
        <v>378</v>
      </c>
      <c r="B102" s="298" t="s">
        <v>81</v>
      </c>
      <c r="C102" s="285" t="str">
        <f t="shared" si="0"/>
        <v>SlannCatcher</v>
      </c>
      <c r="D102" s="269">
        <v>4</v>
      </c>
      <c r="E102" s="286">
        <v>80000</v>
      </c>
      <c r="F102" s="260">
        <v>7</v>
      </c>
      <c r="G102" s="260">
        <v>2</v>
      </c>
      <c r="H102" s="260">
        <v>4</v>
      </c>
      <c r="I102" s="260">
        <v>7</v>
      </c>
      <c r="J102" s="269" t="s">
        <v>707</v>
      </c>
      <c r="K102" s="203" t="s">
        <v>558</v>
      </c>
      <c r="L102" s="203" t="s">
        <v>559</v>
      </c>
      <c r="O102" s="297"/>
      <c r="X102" s="298"/>
      <c r="Y102" s="298"/>
      <c r="Z102" s="298"/>
      <c r="AA102" s="298" t="s">
        <v>378</v>
      </c>
      <c r="AB102" s="298" t="s">
        <v>92</v>
      </c>
      <c r="AC102" t="str">
        <f t="shared" si="1"/>
        <v>SlannLineman</v>
      </c>
      <c r="AD102" s="288" t="s">
        <v>534</v>
      </c>
      <c r="AE102" s="203"/>
      <c r="AF102" s="203"/>
      <c r="AG102" s="203"/>
      <c r="AH102" s="289"/>
      <c r="AI102" s="203"/>
      <c r="AJ102" s="203" t="s">
        <v>555</v>
      </c>
      <c r="AK102" s="203" t="s">
        <v>20</v>
      </c>
      <c r="AL102" s="203" t="s">
        <v>556</v>
      </c>
      <c r="AM102" s="289"/>
    </row>
    <row r="103" spans="1:39" ht="15.75" customHeight="1">
      <c r="A103" s="298" t="s">
        <v>378</v>
      </c>
      <c r="B103" s="298" t="s">
        <v>68</v>
      </c>
      <c r="C103" s="285" t="str">
        <f t="shared" si="0"/>
        <v>SlannBlitzer</v>
      </c>
      <c r="D103" s="269">
        <v>4</v>
      </c>
      <c r="E103" s="286">
        <v>110000</v>
      </c>
      <c r="F103" s="260">
        <v>7</v>
      </c>
      <c r="G103" s="260">
        <v>3</v>
      </c>
      <c r="H103" s="260">
        <v>3</v>
      </c>
      <c r="I103" s="260">
        <v>8</v>
      </c>
      <c r="J103" s="269" t="s">
        <v>708</v>
      </c>
      <c r="K103" s="203" t="s">
        <v>629</v>
      </c>
      <c r="L103" s="203" t="s">
        <v>556</v>
      </c>
      <c r="O103" s="297"/>
      <c r="X103" s="298"/>
      <c r="Y103" s="298"/>
      <c r="Z103" s="298"/>
      <c r="AA103" s="298" t="s">
        <v>378</v>
      </c>
      <c r="AB103" s="298" t="s">
        <v>81</v>
      </c>
      <c r="AC103" t="str">
        <f t="shared" si="1"/>
        <v>SlannCatcher</v>
      </c>
      <c r="AD103" s="288" t="s">
        <v>534</v>
      </c>
      <c r="AE103" s="203" t="s">
        <v>555</v>
      </c>
      <c r="AF103" s="203"/>
      <c r="AG103" s="203"/>
      <c r="AH103" s="289"/>
      <c r="AI103" s="203"/>
      <c r="AJ103" s="203"/>
      <c r="AK103" s="203" t="s">
        <v>20</v>
      </c>
      <c r="AL103" s="203" t="s">
        <v>556</v>
      </c>
      <c r="AM103" s="289"/>
    </row>
    <row r="104" spans="1:39" ht="15.75" customHeight="1">
      <c r="A104" s="298" t="s">
        <v>378</v>
      </c>
      <c r="B104" s="298" t="s">
        <v>216</v>
      </c>
      <c r="C104" s="285" t="str">
        <f t="shared" si="0"/>
        <v>SlannKroxigor</v>
      </c>
      <c r="D104" s="269">
        <v>1</v>
      </c>
      <c r="E104" s="286">
        <v>140000</v>
      </c>
      <c r="F104" s="260">
        <v>6</v>
      </c>
      <c r="G104" s="260">
        <v>5</v>
      </c>
      <c r="H104" s="260">
        <v>1</v>
      </c>
      <c r="I104" s="260">
        <v>9</v>
      </c>
      <c r="J104" s="269" t="s">
        <v>709</v>
      </c>
      <c r="K104" s="203" t="s">
        <v>20</v>
      </c>
      <c r="L104" s="203" t="s">
        <v>575</v>
      </c>
      <c r="O104" s="297"/>
      <c r="X104" s="298"/>
      <c r="Y104" s="298"/>
      <c r="Z104" s="298"/>
      <c r="AA104" s="298" t="s">
        <v>378</v>
      </c>
      <c r="AB104" s="298" t="s">
        <v>68</v>
      </c>
      <c r="AC104" t="str">
        <f t="shared" si="1"/>
        <v>SlannBlitzer</v>
      </c>
      <c r="AD104" s="288" t="s">
        <v>534</v>
      </c>
      <c r="AE104" s="203" t="s">
        <v>555</v>
      </c>
      <c r="AF104" s="203" t="s">
        <v>20</v>
      </c>
      <c r="AG104" s="203"/>
      <c r="AH104" s="289"/>
      <c r="AI104" s="203"/>
      <c r="AJ104" s="203"/>
      <c r="AK104" s="203"/>
      <c r="AL104" s="203" t="s">
        <v>556</v>
      </c>
      <c r="AM104" s="289"/>
    </row>
    <row r="105" spans="1:39" ht="15.75" customHeight="1">
      <c r="A105" s="298" t="s">
        <v>365</v>
      </c>
      <c r="B105" s="298" t="s">
        <v>362</v>
      </c>
      <c r="C105" s="285" t="str">
        <f t="shared" si="0"/>
        <v>UndeadSkeleton</v>
      </c>
      <c r="D105" s="299">
        <v>16</v>
      </c>
      <c r="E105" s="287">
        <v>40000</v>
      </c>
      <c r="F105" s="300">
        <v>5</v>
      </c>
      <c r="G105" s="300">
        <v>3</v>
      </c>
      <c r="H105" s="301">
        <v>2</v>
      </c>
      <c r="I105" s="301">
        <v>7</v>
      </c>
      <c r="J105" s="298" t="s">
        <v>666</v>
      </c>
      <c r="K105" s="300" t="s">
        <v>534</v>
      </c>
      <c r="L105" s="300" t="s">
        <v>535</v>
      </c>
      <c r="O105" s="297"/>
      <c r="X105" s="298"/>
      <c r="Y105" s="298"/>
      <c r="Z105" s="298"/>
      <c r="AA105" s="298" t="s">
        <v>378</v>
      </c>
      <c r="AB105" s="298" t="s">
        <v>216</v>
      </c>
      <c r="AC105" t="str">
        <f t="shared" si="1"/>
        <v>SlannKroxigor</v>
      </c>
      <c r="AD105" s="288"/>
      <c r="AE105" s="203"/>
      <c r="AF105" s="203" t="s">
        <v>20</v>
      </c>
      <c r="AG105" s="203"/>
      <c r="AH105" s="289"/>
      <c r="AI105" s="203" t="s">
        <v>534</v>
      </c>
      <c r="AJ105" s="203" t="s">
        <v>555</v>
      </c>
      <c r="AK105" s="203"/>
      <c r="AL105" s="203" t="s">
        <v>556</v>
      </c>
      <c r="AM105" s="289"/>
    </row>
    <row r="106" spans="1:39" ht="15.75" customHeight="1">
      <c r="A106" s="298" t="s">
        <v>365</v>
      </c>
      <c r="B106" s="269" t="s">
        <v>359</v>
      </c>
      <c r="C106" s="285" t="str">
        <f t="shared" si="0"/>
        <v>UndeadZombie</v>
      </c>
      <c r="D106" s="285">
        <v>16</v>
      </c>
      <c r="E106" s="286">
        <v>40000</v>
      </c>
      <c r="F106" s="260">
        <v>4</v>
      </c>
      <c r="G106" s="260">
        <v>3</v>
      </c>
      <c r="H106" s="260">
        <v>2</v>
      </c>
      <c r="I106" s="260">
        <v>8</v>
      </c>
      <c r="J106" s="269" t="s">
        <v>614</v>
      </c>
      <c r="K106" s="260" t="s">
        <v>534</v>
      </c>
      <c r="L106" s="260" t="s">
        <v>535</v>
      </c>
      <c r="O106" s="297"/>
      <c r="X106" s="298"/>
      <c r="Y106" s="298"/>
      <c r="Z106" s="298"/>
      <c r="AA106" s="298" t="s">
        <v>365</v>
      </c>
      <c r="AB106" s="298" t="s">
        <v>362</v>
      </c>
      <c r="AC106" t="str">
        <f t="shared" si="1"/>
        <v>UndeadSkeleton</v>
      </c>
      <c r="AD106" s="288" t="s">
        <v>534</v>
      </c>
      <c r="AE106" s="203" t="s">
        <v>554</v>
      </c>
      <c r="AF106" s="203" t="s">
        <v>554</v>
      </c>
      <c r="AG106" s="203"/>
      <c r="AH106" s="289"/>
      <c r="AI106" s="203"/>
      <c r="AJ106" s="203" t="s">
        <v>555</v>
      </c>
      <c r="AK106" s="203" t="s">
        <v>20</v>
      </c>
      <c r="AL106" s="203" t="s">
        <v>556</v>
      </c>
      <c r="AM106" s="289"/>
    </row>
    <row r="107" spans="1:39" ht="15.75" customHeight="1">
      <c r="A107" s="298" t="s">
        <v>365</v>
      </c>
      <c r="B107" s="269" t="s">
        <v>348</v>
      </c>
      <c r="C107" s="285" t="str">
        <f t="shared" si="0"/>
        <v>UndeadGhoul</v>
      </c>
      <c r="D107" s="285">
        <v>4</v>
      </c>
      <c r="E107" s="286">
        <v>70000</v>
      </c>
      <c r="F107" s="260">
        <v>7</v>
      </c>
      <c r="G107" s="260">
        <v>3</v>
      </c>
      <c r="H107" s="260">
        <v>3</v>
      </c>
      <c r="I107" s="260">
        <v>7</v>
      </c>
      <c r="J107" s="269" t="s">
        <v>186</v>
      </c>
      <c r="K107" s="260" t="s">
        <v>558</v>
      </c>
      <c r="L107" s="260" t="s">
        <v>559</v>
      </c>
      <c r="O107" s="297"/>
      <c r="X107" s="298"/>
      <c r="Y107" s="298"/>
      <c r="Z107" s="298"/>
      <c r="AA107" s="298" t="s">
        <v>365</v>
      </c>
      <c r="AB107" s="269" t="s">
        <v>359</v>
      </c>
      <c r="AC107" t="str">
        <f t="shared" si="1"/>
        <v>UndeadZombie</v>
      </c>
      <c r="AD107" s="288" t="s">
        <v>534</v>
      </c>
      <c r="AE107" s="203" t="s">
        <v>554</v>
      </c>
      <c r="AF107" s="203" t="s">
        <v>554</v>
      </c>
      <c r="AG107" s="203"/>
      <c r="AH107" s="289"/>
      <c r="AI107" s="203"/>
      <c r="AJ107" s="203" t="s">
        <v>555</v>
      </c>
      <c r="AK107" s="203" t="s">
        <v>20</v>
      </c>
      <c r="AL107" s="203" t="s">
        <v>556</v>
      </c>
      <c r="AM107" s="289"/>
    </row>
    <row r="108" spans="1:39" ht="15.75" customHeight="1">
      <c r="A108" s="298" t="s">
        <v>365</v>
      </c>
      <c r="B108" s="269" t="s">
        <v>341</v>
      </c>
      <c r="C108" s="285" t="str">
        <f t="shared" si="0"/>
        <v>UndeadWight</v>
      </c>
      <c r="D108" s="285">
        <v>2</v>
      </c>
      <c r="E108" s="286">
        <v>90000</v>
      </c>
      <c r="F108" s="260">
        <v>6</v>
      </c>
      <c r="G108" s="260">
        <v>3</v>
      </c>
      <c r="H108" s="260">
        <v>3</v>
      </c>
      <c r="I108" s="260">
        <v>8</v>
      </c>
      <c r="J108" s="269" t="s">
        <v>670</v>
      </c>
      <c r="K108" s="260" t="s">
        <v>542</v>
      </c>
      <c r="L108" s="260" t="s">
        <v>543</v>
      </c>
      <c r="O108" s="297"/>
      <c r="X108" s="298"/>
      <c r="Y108" s="298"/>
      <c r="Z108" s="298"/>
      <c r="AA108" s="298" t="s">
        <v>365</v>
      </c>
      <c r="AB108" s="269" t="s">
        <v>348</v>
      </c>
      <c r="AC108" t="str">
        <f t="shared" si="1"/>
        <v>UndeadGhoul</v>
      </c>
      <c r="AD108" s="288" t="s">
        <v>534</v>
      </c>
      <c r="AE108" s="203" t="s">
        <v>555</v>
      </c>
      <c r="AF108" s="203" t="s">
        <v>554</v>
      </c>
      <c r="AG108" s="203"/>
      <c r="AH108" s="289"/>
      <c r="AI108" s="203"/>
      <c r="AJ108" s="203"/>
      <c r="AK108" s="203" t="s">
        <v>20</v>
      </c>
      <c r="AL108" s="203" t="s">
        <v>556</v>
      </c>
      <c r="AM108" s="289"/>
    </row>
    <row r="109" spans="1:39" ht="15.75" customHeight="1">
      <c r="A109" s="298" t="s">
        <v>365</v>
      </c>
      <c r="B109" s="269" t="s">
        <v>335</v>
      </c>
      <c r="C109" s="285" t="str">
        <f t="shared" si="0"/>
        <v>UndeadMummy</v>
      </c>
      <c r="D109" s="285">
        <v>2</v>
      </c>
      <c r="E109" s="286">
        <v>120000</v>
      </c>
      <c r="F109" s="260">
        <v>3</v>
      </c>
      <c r="G109" s="260">
        <v>5</v>
      </c>
      <c r="H109" s="260">
        <v>1</v>
      </c>
      <c r="I109" s="260">
        <v>9</v>
      </c>
      <c r="J109" s="269" t="s">
        <v>710</v>
      </c>
      <c r="K109" s="260" t="s">
        <v>20</v>
      </c>
      <c r="L109" s="260" t="s">
        <v>575</v>
      </c>
      <c r="O109" s="297"/>
      <c r="X109" s="298"/>
      <c r="Y109" s="298"/>
      <c r="Z109" s="298"/>
      <c r="AA109" s="298" t="s">
        <v>365</v>
      </c>
      <c r="AB109" s="269" t="s">
        <v>341</v>
      </c>
      <c r="AC109" t="str">
        <f t="shared" si="1"/>
        <v>UndeadWight</v>
      </c>
      <c r="AD109" s="288" t="s">
        <v>534</v>
      </c>
      <c r="AE109" s="203"/>
      <c r="AF109" s="203" t="s">
        <v>20</v>
      </c>
      <c r="AG109" s="203"/>
      <c r="AH109" s="289"/>
      <c r="AI109" s="203"/>
      <c r="AJ109" s="203" t="s">
        <v>555</v>
      </c>
      <c r="AK109" s="203"/>
      <c r="AL109" s="203" t="s">
        <v>556</v>
      </c>
      <c r="AM109" s="289"/>
    </row>
    <row r="110" spans="1:39" ht="15.75" customHeight="1">
      <c r="A110" s="298" t="s">
        <v>379</v>
      </c>
      <c r="B110" s="298" t="s">
        <v>304</v>
      </c>
      <c r="C110" s="285" t="str">
        <f t="shared" si="0"/>
        <v>UnderworldGoblin</v>
      </c>
      <c r="D110" s="269">
        <v>12</v>
      </c>
      <c r="E110" s="286">
        <v>40000</v>
      </c>
      <c r="F110" s="260">
        <v>6</v>
      </c>
      <c r="G110" s="260">
        <v>2</v>
      </c>
      <c r="H110" s="260">
        <v>3</v>
      </c>
      <c r="I110" s="260">
        <v>7</v>
      </c>
      <c r="J110" s="269" t="s">
        <v>689</v>
      </c>
      <c r="K110" s="203" t="s">
        <v>612</v>
      </c>
      <c r="L110" s="294" t="s">
        <v>613</v>
      </c>
      <c r="O110" s="297"/>
      <c r="X110" s="298"/>
      <c r="Y110" s="298"/>
      <c r="Z110" s="298"/>
      <c r="AA110" s="298" t="s">
        <v>365</v>
      </c>
      <c r="AB110" s="269" t="s">
        <v>335</v>
      </c>
      <c r="AC110" t="str">
        <f t="shared" si="1"/>
        <v>UndeadMummy</v>
      </c>
      <c r="AD110" s="288"/>
      <c r="AE110" s="203" t="s">
        <v>554</v>
      </c>
      <c r="AF110" s="203" t="s">
        <v>20</v>
      </c>
      <c r="AG110" s="203"/>
      <c r="AH110" s="289"/>
      <c r="AI110" s="203" t="s">
        <v>534</v>
      </c>
      <c r="AJ110" s="203" t="s">
        <v>555</v>
      </c>
      <c r="AK110" s="203"/>
      <c r="AL110" s="203" t="s">
        <v>556</v>
      </c>
      <c r="AM110" s="289"/>
    </row>
    <row r="111" spans="1:39" ht="15.75" customHeight="1">
      <c r="A111" s="298" t="s">
        <v>379</v>
      </c>
      <c r="B111" s="298" t="s">
        <v>713</v>
      </c>
      <c r="C111" s="285" t="str">
        <f t="shared" si="0"/>
        <v>UnderworldSkaven Lineman</v>
      </c>
      <c r="D111" s="269">
        <v>2</v>
      </c>
      <c r="E111" s="286">
        <v>50000</v>
      </c>
      <c r="F111" s="260">
        <v>7</v>
      </c>
      <c r="G111" s="260">
        <v>3</v>
      </c>
      <c r="H111" s="260">
        <v>3</v>
      </c>
      <c r="I111" s="260">
        <v>7</v>
      </c>
      <c r="J111" s="269" t="s">
        <v>552</v>
      </c>
      <c r="K111" s="294" t="s">
        <v>616</v>
      </c>
      <c r="L111" s="294" t="s">
        <v>535</v>
      </c>
      <c r="O111" s="297"/>
      <c r="X111" s="298"/>
      <c r="Y111" s="298"/>
      <c r="Z111" s="298"/>
      <c r="AA111" s="298" t="s">
        <v>379</v>
      </c>
      <c r="AB111" s="298" t="s">
        <v>304</v>
      </c>
      <c r="AC111" t="str">
        <f t="shared" si="1"/>
        <v>UnderworldGoblin</v>
      </c>
      <c r="AD111" s="288"/>
      <c r="AE111" s="260" t="s">
        <v>555</v>
      </c>
      <c r="AF111" s="203"/>
      <c r="AG111" s="203"/>
      <c r="AH111" s="296" t="s">
        <v>17</v>
      </c>
      <c r="AI111" s="260" t="s">
        <v>534</v>
      </c>
      <c r="AJ111" s="203"/>
      <c r="AK111" s="260" t="s">
        <v>20</v>
      </c>
      <c r="AL111" s="260" t="s">
        <v>556</v>
      </c>
      <c r="AM111" s="289"/>
    </row>
    <row r="112" spans="1:39" ht="15.75" customHeight="1">
      <c r="A112" s="298" t="s">
        <v>379</v>
      </c>
      <c r="B112" s="298" t="s">
        <v>714</v>
      </c>
      <c r="C112" s="285" t="str">
        <f t="shared" si="0"/>
        <v>UnderworldSkaven Thrower</v>
      </c>
      <c r="D112" s="269">
        <v>2</v>
      </c>
      <c r="E112" s="286">
        <v>70000</v>
      </c>
      <c r="F112" s="260">
        <v>7</v>
      </c>
      <c r="G112" s="260">
        <v>3</v>
      </c>
      <c r="H112" s="260">
        <v>3</v>
      </c>
      <c r="I112" s="260">
        <v>7</v>
      </c>
      <c r="J112" s="269" t="s">
        <v>715</v>
      </c>
      <c r="K112" s="294" t="s">
        <v>716</v>
      </c>
      <c r="L112" s="294" t="s">
        <v>546</v>
      </c>
      <c r="O112" s="297"/>
      <c r="X112" s="298"/>
      <c r="Y112" s="298"/>
      <c r="Z112" s="298"/>
      <c r="AA112" s="298" t="s">
        <v>379</v>
      </c>
      <c r="AB112" s="298" t="s">
        <v>713</v>
      </c>
      <c r="AC112" t="str">
        <f t="shared" si="1"/>
        <v>UnderworldSkaven Lineman</v>
      </c>
      <c r="AD112" s="295" t="s">
        <v>534</v>
      </c>
      <c r="AE112" s="203"/>
      <c r="AF112" s="203"/>
      <c r="AG112" s="203"/>
      <c r="AH112" s="296" t="s">
        <v>17</v>
      </c>
      <c r="AI112" s="203"/>
      <c r="AJ112" s="260" t="s">
        <v>555</v>
      </c>
      <c r="AK112" s="260" t="s">
        <v>20</v>
      </c>
      <c r="AL112" s="260" t="s">
        <v>556</v>
      </c>
      <c r="AM112" s="289"/>
    </row>
    <row r="113" spans="1:39" ht="15.75" customHeight="1">
      <c r="A113" s="298" t="s">
        <v>379</v>
      </c>
      <c r="B113" s="298" t="s">
        <v>711</v>
      </c>
      <c r="C113" s="285" t="str">
        <f t="shared" si="0"/>
        <v>UnderworldSkaven Blitzer</v>
      </c>
      <c r="D113" s="269">
        <v>2</v>
      </c>
      <c r="E113" s="286">
        <v>90000</v>
      </c>
      <c r="F113" s="260">
        <v>7</v>
      </c>
      <c r="G113" s="260">
        <v>3</v>
      </c>
      <c r="H113" s="260">
        <v>3</v>
      </c>
      <c r="I113" s="260">
        <v>8</v>
      </c>
      <c r="J113" s="269" t="s">
        <v>712</v>
      </c>
      <c r="K113" s="294" t="s">
        <v>584</v>
      </c>
      <c r="L113" s="203" t="s">
        <v>543</v>
      </c>
      <c r="X113" s="298"/>
      <c r="Y113" s="298"/>
      <c r="Z113" s="298"/>
      <c r="AA113" s="298" t="s">
        <v>379</v>
      </c>
      <c r="AB113" s="298" t="s">
        <v>714</v>
      </c>
      <c r="AC113" t="str">
        <f t="shared" si="1"/>
        <v>UnderworldSkaven Thrower</v>
      </c>
      <c r="AD113" s="295" t="s">
        <v>534</v>
      </c>
      <c r="AE113" s="203"/>
      <c r="AF113" s="203"/>
      <c r="AG113" s="260" t="s">
        <v>556</v>
      </c>
      <c r="AH113" s="296" t="s">
        <v>17</v>
      </c>
      <c r="AI113" s="203"/>
      <c r="AJ113" s="260" t="s">
        <v>555</v>
      </c>
      <c r="AK113" s="260" t="s">
        <v>20</v>
      </c>
      <c r="AL113" s="203"/>
      <c r="AM113" s="289"/>
    </row>
    <row r="114" spans="1:39" ht="15.75" customHeight="1">
      <c r="A114" s="298" t="s">
        <v>379</v>
      </c>
      <c r="B114" s="298" t="s">
        <v>193</v>
      </c>
      <c r="C114" s="285" t="str">
        <f t="shared" si="0"/>
        <v>UnderworldTroll</v>
      </c>
      <c r="D114" s="269">
        <v>1</v>
      </c>
      <c r="E114" s="286">
        <v>110000</v>
      </c>
      <c r="F114" s="260">
        <v>4</v>
      </c>
      <c r="G114" s="260">
        <v>5</v>
      </c>
      <c r="H114" s="260">
        <v>1</v>
      </c>
      <c r="I114" s="260">
        <v>9</v>
      </c>
      <c r="J114" s="269" t="s">
        <v>621</v>
      </c>
      <c r="K114" s="294" t="s">
        <v>595</v>
      </c>
      <c r="L114" s="203" t="s">
        <v>575</v>
      </c>
      <c r="X114" s="298"/>
      <c r="Y114" s="298"/>
      <c r="Z114" s="298"/>
      <c r="AA114" s="298" t="s">
        <v>379</v>
      </c>
      <c r="AB114" s="298" t="s">
        <v>711</v>
      </c>
      <c r="AC114" t="str">
        <f t="shared" si="1"/>
        <v>UnderworldSkaven Blitzer</v>
      </c>
      <c r="AD114" s="295" t="s">
        <v>534</v>
      </c>
      <c r="AE114" s="203"/>
      <c r="AF114" s="260" t="s">
        <v>20</v>
      </c>
      <c r="AG114" s="203"/>
      <c r="AH114" s="296" t="s">
        <v>17</v>
      </c>
      <c r="AI114" s="203"/>
      <c r="AJ114" s="260" t="s">
        <v>555</v>
      </c>
      <c r="AK114" s="203"/>
      <c r="AL114" s="260" t="s">
        <v>556</v>
      </c>
      <c r="AM114" s="289"/>
    </row>
    <row r="115" spans="1:39" ht="15.75" customHeight="1">
      <c r="A115" s="298" t="s">
        <v>380</v>
      </c>
      <c r="B115" s="298" t="s">
        <v>717</v>
      </c>
      <c r="C115" s="285" t="str">
        <f t="shared" si="0"/>
        <v>VampireThrall</v>
      </c>
      <c r="D115" s="299">
        <v>16</v>
      </c>
      <c r="E115" s="287">
        <v>40000</v>
      </c>
      <c r="F115" s="301">
        <v>6</v>
      </c>
      <c r="G115" s="300">
        <v>3</v>
      </c>
      <c r="H115" s="300">
        <v>3</v>
      </c>
      <c r="I115" s="301">
        <v>7</v>
      </c>
      <c r="J115" s="302"/>
      <c r="K115" s="300" t="s">
        <v>534</v>
      </c>
      <c r="L115" s="300" t="s">
        <v>535</v>
      </c>
      <c r="X115" s="298"/>
      <c r="Y115" s="298"/>
      <c r="Z115" s="298"/>
      <c r="AA115" s="298" t="s">
        <v>379</v>
      </c>
      <c r="AB115" s="298" t="s">
        <v>193</v>
      </c>
      <c r="AC115" t="str">
        <f t="shared" si="1"/>
        <v>UnderworldTroll</v>
      </c>
      <c r="AD115" s="288"/>
      <c r="AE115" s="203"/>
      <c r="AF115" s="260" t="s">
        <v>20</v>
      </c>
      <c r="AG115" s="203"/>
      <c r="AH115" s="296" t="s">
        <v>17</v>
      </c>
      <c r="AI115" s="260" t="s">
        <v>534</v>
      </c>
      <c r="AJ115" s="260" t="s">
        <v>555</v>
      </c>
      <c r="AK115" s="203"/>
      <c r="AL115" s="260" t="s">
        <v>556</v>
      </c>
      <c r="AM115" s="289"/>
    </row>
    <row r="116" spans="1:39" ht="15.75" customHeight="1">
      <c r="A116" s="298" t="s">
        <v>380</v>
      </c>
      <c r="B116" s="269" t="s">
        <v>380</v>
      </c>
      <c r="C116" s="285" t="str">
        <f t="shared" si="0"/>
        <v>VampireVampire</v>
      </c>
      <c r="D116" s="285">
        <v>6</v>
      </c>
      <c r="E116" s="286">
        <v>110000</v>
      </c>
      <c r="F116" s="260">
        <v>6</v>
      </c>
      <c r="G116" s="260">
        <v>4</v>
      </c>
      <c r="H116" s="260">
        <v>4</v>
      </c>
      <c r="I116" s="260">
        <v>8</v>
      </c>
      <c r="J116" s="269" t="s">
        <v>718</v>
      </c>
      <c r="K116" s="260" t="s">
        <v>629</v>
      </c>
      <c r="L116" s="260" t="s">
        <v>556</v>
      </c>
      <c r="X116" s="298"/>
      <c r="Y116" s="298"/>
      <c r="Z116" s="298"/>
      <c r="AA116" s="298" t="s">
        <v>380</v>
      </c>
      <c r="AB116" s="298" t="s">
        <v>717</v>
      </c>
      <c r="AC116" t="str">
        <f t="shared" si="1"/>
        <v>VampireThrall</v>
      </c>
      <c r="AD116" s="288" t="s">
        <v>534</v>
      </c>
      <c r="AE116" s="203" t="s">
        <v>554</v>
      </c>
      <c r="AF116" s="203" t="s">
        <v>554</v>
      </c>
      <c r="AG116" s="203"/>
      <c r="AH116" s="289"/>
      <c r="AI116" s="203"/>
      <c r="AJ116" s="203" t="s">
        <v>555</v>
      </c>
      <c r="AK116" s="203" t="s">
        <v>20</v>
      </c>
      <c r="AL116" s="203" t="s">
        <v>556</v>
      </c>
      <c r="AM116" s="289"/>
    </row>
    <row r="117" spans="1:39" ht="15.75" customHeight="1">
      <c r="A117" s="298" t="s">
        <v>272</v>
      </c>
      <c r="B117" s="298" t="s">
        <v>92</v>
      </c>
      <c r="C117" s="285" t="str">
        <f t="shared" si="0"/>
        <v>Wood ElfLineman</v>
      </c>
      <c r="D117" s="299">
        <v>16</v>
      </c>
      <c r="E117" s="287">
        <v>70000</v>
      </c>
      <c r="F117" s="301">
        <v>7</v>
      </c>
      <c r="G117" s="300">
        <v>3</v>
      </c>
      <c r="H117" s="301">
        <v>4</v>
      </c>
      <c r="I117" s="301">
        <v>7</v>
      </c>
      <c r="J117" s="302"/>
      <c r="K117" s="301" t="s">
        <v>558</v>
      </c>
      <c r="L117" s="301" t="s">
        <v>559</v>
      </c>
      <c r="M117" s="269"/>
      <c r="X117" s="298"/>
      <c r="Y117" s="298"/>
      <c r="Z117" s="298"/>
      <c r="AA117" s="298" t="s">
        <v>380</v>
      </c>
      <c r="AB117" s="269" t="s">
        <v>380</v>
      </c>
      <c r="AC117" t="str">
        <f t="shared" si="1"/>
        <v>VampireVampire</v>
      </c>
      <c r="AD117" s="288" t="s">
        <v>534</v>
      </c>
      <c r="AE117" s="203" t="s">
        <v>555</v>
      </c>
      <c r="AF117" s="203" t="s">
        <v>20</v>
      </c>
      <c r="AG117" s="203"/>
      <c r="AH117" s="289"/>
      <c r="AI117" s="203"/>
      <c r="AJ117" s="203" t="s">
        <v>554</v>
      </c>
      <c r="AK117" s="203" t="s">
        <v>554</v>
      </c>
      <c r="AL117" s="203" t="s">
        <v>556</v>
      </c>
      <c r="AM117" s="289"/>
    </row>
    <row r="118" spans="1:39" ht="15.75" customHeight="1">
      <c r="A118" s="298" t="s">
        <v>272</v>
      </c>
      <c r="B118" s="269" t="s">
        <v>81</v>
      </c>
      <c r="C118" s="285" t="str">
        <f t="shared" si="0"/>
        <v>Wood ElfCatcher</v>
      </c>
      <c r="D118" s="285">
        <v>4</v>
      </c>
      <c r="E118" s="286">
        <v>90000</v>
      </c>
      <c r="F118" s="260">
        <v>8</v>
      </c>
      <c r="G118" s="260">
        <v>2</v>
      </c>
      <c r="H118" s="260">
        <v>4</v>
      </c>
      <c r="I118" s="260">
        <v>7</v>
      </c>
      <c r="J118" s="269" t="s">
        <v>719</v>
      </c>
      <c r="K118" s="260" t="s">
        <v>558</v>
      </c>
      <c r="L118" s="260" t="s">
        <v>559</v>
      </c>
      <c r="M118" s="269"/>
      <c r="X118" s="298"/>
      <c r="Y118" s="298"/>
      <c r="Z118" s="298"/>
      <c r="AA118" s="298" t="s">
        <v>272</v>
      </c>
      <c r="AB118" s="298" t="s">
        <v>92</v>
      </c>
      <c r="AC118" t="str">
        <f t="shared" si="1"/>
        <v>Wood ElfLineman</v>
      </c>
      <c r="AD118" s="288" t="s">
        <v>534</v>
      </c>
      <c r="AE118" s="203" t="s">
        <v>555</v>
      </c>
      <c r="AF118" s="203" t="s">
        <v>554</v>
      </c>
      <c r="AG118" s="203"/>
      <c r="AH118" s="289"/>
      <c r="AI118" s="203"/>
      <c r="AJ118" s="203"/>
      <c r="AK118" s="203" t="s">
        <v>20</v>
      </c>
      <c r="AL118" s="203" t="s">
        <v>556</v>
      </c>
      <c r="AM118" s="289"/>
    </row>
    <row r="119" spans="1:39" ht="15.75" customHeight="1">
      <c r="A119" s="298" t="s">
        <v>272</v>
      </c>
      <c r="B119" s="269" t="s">
        <v>221</v>
      </c>
      <c r="C119" s="285" t="str">
        <f t="shared" si="0"/>
        <v>Wood ElfThrower</v>
      </c>
      <c r="D119" s="285">
        <v>2</v>
      </c>
      <c r="E119" s="286">
        <v>90000</v>
      </c>
      <c r="F119" s="260">
        <v>7</v>
      </c>
      <c r="G119" s="260">
        <v>3</v>
      </c>
      <c r="H119" s="260">
        <v>4</v>
      </c>
      <c r="I119" s="260">
        <v>7</v>
      </c>
      <c r="J119" s="269" t="s">
        <v>646</v>
      </c>
      <c r="K119" s="260" t="s">
        <v>575</v>
      </c>
      <c r="L119" s="260" t="s">
        <v>20</v>
      </c>
      <c r="X119" s="298"/>
      <c r="Y119" s="298"/>
      <c r="Z119" s="298"/>
      <c r="AA119" s="298" t="s">
        <v>272</v>
      </c>
      <c r="AB119" s="269" t="s">
        <v>81</v>
      </c>
      <c r="AC119" t="str">
        <f t="shared" si="1"/>
        <v>Wood ElfCatcher</v>
      </c>
      <c r="AD119" s="288" t="s">
        <v>534</v>
      </c>
      <c r="AE119" s="203" t="s">
        <v>555</v>
      </c>
      <c r="AF119" s="203" t="s">
        <v>554</v>
      </c>
      <c r="AG119" s="203"/>
      <c r="AH119" s="289"/>
      <c r="AI119" s="203"/>
      <c r="AJ119" s="203"/>
      <c r="AK119" s="203" t="s">
        <v>20</v>
      </c>
      <c r="AL119" s="203" t="s">
        <v>556</v>
      </c>
      <c r="AM119" s="289"/>
    </row>
    <row r="120" spans="1:39" ht="15.75" customHeight="1">
      <c r="A120" s="298" t="s">
        <v>272</v>
      </c>
      <c r="B120" s="269" t="s">
        <v>225</v>
      </c>
      <c r="C120" s="285" t="str">
        <f t="shared" si="0"/>
        <v>Wood ElfWardancer</v>
      </c>
      <c r="D120" s="285">
        <v>2</v>
      </c>
      <c r="E120" s="286">
        <v>120000</v>
      </c>
      <c r="F120" s="260">
        <v>8</v>
      </c>
      <c r="G120" s="260">
        <v>3</v>
      </c>
      <c r="H120" s="260">
        <v>4</v>
      </c>
      <c r="I120" s="260">
        <v>7</v>
      </c>
      <c r="J120" s="269" t="s">
        <v>720</v>
      </c>
      <c r="K120" s="260" t="s">
        <v>558</v>
      </c>
      <c r="L120" s="260" t="s">
        <v>559</v>
      </c>
      <c r="M120" s="269"/>
      <c r="X120" s="298"/>
      <c r="Y120" s="298"/>
      <c r="Z120" s="298"/>
      <c r="AA120" s="298" t="s">
        <v>272</v>
      </c>
      <c r="AB120" s="269" t="s">
        <v>221</v>
      </c>
      <c r="AC120" t="str">
        <f t="shared" si="1"/>
        <v>Wood ElfThrower</v>
      </c>
      <c r="AD120" s="288" t="s">
        <v>534</v>
      </c>
      <c r="AE120" s="203" t="s">
        <v>555</v>
      </c>
      <c r="AF120" s="203"/>
      <c r="AG120" s="203" t="s">
        <v>556</v>
      </c>
      <c r="AH120" s="289"/>
      <c r="AI120" s="203"/>
      <c r="AJ120" s="203"/>
      <c r="AK120" s="203" t="s">
        <v>20</v>
      </c>
      <c r="AL120" s="203" t="s">
        <v>554</v>
      </c>
      <c r="AM120" s="289"/>
    </row>
    <row r="121" spans="1:39" ht="15.75" customHeight="1">
      <c r="A121" s="298" t="s">
        <v>272</v>
      </c>
      <c r="B121" s="269" t="s">
        <v>267</v>
      </c>
      <c r="C121" s="285" t="str">
        <f t="shared" si="0"/>
        <v>Wood ElfTreeman</v>
      </c>
      <c r="D121" s="285">
        <v>1</v>
      </c>
      <c r="E121" s="286">
        <v>120000</v>
      </c>
      <c r="F121" s="260">
        <v>2</v>
      </c>
      <c r="G121" s="260">
        <v>6</v>
      </c>
      <c r="H121" s="260">
        <v>1</v>
      </c>
      <c r="I121" s="260">
        <v>10</v>
      </c>
      <c r="J121" s="269" t="s">
        <v>721</v>
      </c>
      <c r="K121" s="260" t="s">
        <v>20</v>
      </c>
      <c r="L121" s="260" t="s">
        <v>575</v>
      </c>
      <c r="M121" s="269"/>
      <c r="X121" s="298"/>
      <c r="Y121" s="298"/>
      <c r="Z121" s="298"/>
      <c r="AA121" s="298" t="s">
        <v>272</v>
      </c>
      <c r="AB121" s="269" t="s">
        <v>225</v>
      </c>
      <c r="AC121" t="str">
        <f t="shared" si="1"/>
        <v>Wood ElfWardancer</v>
      </c>
      <c r="AD121" s="288" t="s">
        <v>534</v>
      </c>
      <c r="AE121" s="203" t="s">
        <v>555</v>
      </c>
      <c r="AF121" s="203" t="s">
        <v>554</v>
      </c>
      <c r="AG121" s="203"/>
      <c r="AH121" s="289"/>
      <c r="AI121" s="203"/>
      <c r="AJ121" s="203"/>
      <c r="AK121" s="203" t="s">
        <v>20</v>
      </c>
      <c r="AL121" s="203" t="s">
        <v>556</v>
      </c>
      <c r="AM121" s="289"/>
    </row>
    <row r="122" spans="1:39" ht="15.75" customHeight="1">
      <c r="E122" s="303"/>
      <c r="F122" s="203"/>
      <c r="G122" s="203"/>
      <c r="H122" s="203"/>
      <c r="I122" s="203"/>
      <c r="K122" s="203"/>
      <c r="L122" s="203"/>
      <c r="O122" s="297"/>
      <c r="X122" s="298"/>
      <c r="Y122" s="298"/>
      <c r="Z122" s="298"/>
      <c r="AA122" s="298" t="s">
        <v>272</v>
      </c>
      <c r="AB122" s="269" t="s">
        <v>267</v>
      </c>
      <c r="AC122" t="str">
        <f t="shared" si="1"/>
        <v>Wood ElfTreeman</v>
      </c>
      <c r="AD122" s="288"/>
      <c r="AE122" s="203" t="s">
        <v>554</v>
      </c>
      <c r="AF122" s="203" t="s">
        <v>20</v>
      </c>
      <c r="AG122" s="203"/>
      <c r="AH122" s="289"/>
      <c r="AI122" s="203" t="s">
        <v>534</v>
      </c>
      <c r="AJ122" s="203" t="s">
        <v>555</v>
      </c>
      <c r="AK122" s="203"/>
      <c r="AL122" s="203" t="s">
        <v>556</v>
      </c>
      <c r="AM122" s="289"/>
    </row>
    <row r="123" spans="1:39" ht="15.75" customHeight="1">
      <c r="E123" s="303"/>
      <c r="F123" s="203"/>
      <c r="G123" s="203"/>
      <c r="H123" s="203"/>
      <c r="I123" s="203"/>
      <c r="K123" s="203"/>
      <c r="L123" s="203"/>
      <c r="O123" s="297"/>
    </row>
    <row r="124" spans="1:39" ht="15.75" customHeight="1">
      <c r="E124" s="303"/>
      <c r="F124" s="203"/>
      <c r="G124" s="203"/>
      <c r="H124" s="203"/>
      <c r="I124" s="203"/>
      <c r="K124" s="203"/>
      <c r="L124" s="203"/>
      <c r="O124" s="297"/>
    </row>
    <row r="125" spans="1:39" ht="15.75" customHeight="1">
      <c r="E125" s="303"/>
      <c r="F125" s="203"/>
      <c r="G125" s="203"/>
      <c r="H125" s="203"/>
      <c r="I125" s="203"/>
      <c r="K125" s="203"/>
      <c r="L125" s="203"/>
      <c r="O125" s="297"/>
    </row>
    <row r="126" spans="1:39" ht="15.75" customHeight="1">
      <c r="E126" s="303"/>
      <c r="F126" s="203"/>
      <c r="G126" s="203"/>
      <c r="H126" s="203"/>
      <c r="I126" s="203"/>
      <c r="K126" s="203"/>
      <c r="L126" s="203"/>
      <c r="O126" s="297"/>
    </row>
    <row r="127" spans="1:39" ht="15.75" customHeight="1">
      <c r="E127" s="303"/>
      <c r="F127" s="203"/>
      <c r="G127" s="203"/>
      <c r="H127" s="203"/>
      <c r="I127" s="203"/>
      <c r="K127" s="203"/>
      <c r="L127" s="203"/>
      <c r="O127" s="297"/>
    </row>
    <row r="128" spans="1:39" ht="15.75" customHeight="1">
      <c r="E128" s="303"/>
      <c r="F128" s="203"/>
      <c r="G128" s="203"/>
      <c r="H128" s="203"/>
      <c r="I128" s="203"/>
      <c r="K128" s="203"/>
      <c r="L128" s="203"/>
      <c r="O128" s="297"/>
    </row>
    <row r="129" spans="5:15" ht="15.75" customHeight="1">
      <c r="E129" s="303"/>
      <c r="F129" s="203"/>
      <c r="G129" s="203"/>
      <c r="H129" s="203"/>
      <c r="I129" s="203"/>
      <c r="K129" s="203"/>
      <c r="L129" s="203"/>
      <c r="O129" s="297"/>
    </row>
    <row r="130" spans="5:15" ht="15.75" customHeight="1">
      <c r="E130" s="303"/>
      <c r="F130" s="203"/>
      <c r="G130" s="203"/>
      <c r="H130" s="203"/>
      <c r="I130" s="203"/>
      <c r="K130" s="203"/>
      <c r="L130" s="203"/>
      <c r="O130" s="297"/>
    </row>
    <row r="131" spans="5:15" ht="15.75" customHeight="1">
      <c r="E131" s="303"/>
      <c r="F131" s="203"/>
      <c r="G131" s="203"/>
      <c r="H131" s="203"/>
      <c r="I131" s="203"/>
      <c r="K131" s="203"/>
      <c r="L131" s="203"/>
      <c r="O131" s="297"/>
    </row>
    <row r="132" spans="5:15" ht="15.75" customHeight="1">
      <c r="E132" s="303"/>
      <c r="F132" s="203"/>
      <c r="G132" s="203"/>
      <c r="H132" s="203"/>
      <c r="I132" s="203"/>
      <c r="K132" s="203"/>
      <c r="L132" s="203"/>
      <c r="O132" s="297"/>
    </row>
    <row r="133" spans="5:15" ht="15.75" customHeight="1">
      <c r="E133" s="303"/>
      <c r="F133" s="203"/>
      <c r="G133" s="203"/>
      <c r="H133" s="203"/>
      <c r="I133" s="203"/>
      <c r="K133" s="203"/>
      <c r="L133" s="203"/>
      <c r="O133" s="297"/>
    </row>
    <row r="134" spans="5:15" ht="15.75" customHeight="1">
      <c r="E134" s="303"/>
      <c r="F134" s="203"/>
      <c r="G134" s="203"/>
      <c r="H134" s="203"/>
      <c r="I134" s="203"/>
      <c r="K134" s="203"/>
      <c r="L134" s="203"/>
      <c r="O134" s="297"/>
    </row>
    <row r="135" spans="5:15" ht="15.75" customHeight="1">
      <c r="E135" s="303"/>
      <c r="F135" s="203"/>
      <c r="G135" s="203"/>
      <c r="H135" s="203"/>
      <c r="I135" s="203"/>
      <c r="K135" s="203"/>
      <c r="L135" s="203"/>
      <c r="O135" s="297"/>
    </row>
    <row r="136" spans="5:15" ht="15.75" customHeight="1">
      <c r="E136" s="303"/>
      <c r="F136" s="203"/>
      <c r="G136" s="203"/>
      <c r="H136" s="203"/>
      <c r="I136" s="203"/>
      <c r="K136" s="203"/>
      <c r="L136" s="203"/>
      <c r="O136" s="297"/>
    </row>
    <row r="137" spans="5:15" ht="15.75" customHeight="1">
      <c r="E137" s="303"/>
      <c r="F137" s="203"/>
      <c r="G137" s="203"/>
      <c r="H137" s="203"/>
      <c r="I137" s="203"/>
      <c r="K137" s="203"/>
      <c r="L137" s="203"/>
      <c r="O137" s="297"/>
    </row>
    <row r="138" spans="5:15" ht="15.75" customHeight="1">
      <c r="F138" s="203"/>
      <c r="G138" s="203"/>
      <c r="H138" s="203"/>
      <c r="I138" s="203"/>
      <c r="K138" s="203"/>
      <c r="L138" s="203"/>
      <c r="O138" s="297"/>
    </row>
  </sheetData>
  <mergeCells count="2">
    <mergeCell ref="AI1:AM1"/>
    <mergeCell ref="AD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BB</vt:lpstr>
      <vt:lpstr>DC</vt:lpstr>
      <vt:lpstr>CT</vt:lpstr>
      <vt:lpstr>DH</vt:lpstr>
      <vt:lpstr>JR</vt:lpstr>
      <vt:lpstr>JV</vt:lpstr>
      <vt:lpstr>KB</vt:lpstr>
      <vt:lpstr>MQ</vt:lpstr>
      <vt:lpstr>PM</vt:lpstr>
      <vt:lpstr>PP</vt:lpstr>
      <vt:lpstr>RC</vt:lpstr>
      <vt:lpstr>TC</vt:lpstr>
      <vt:lpstr>TL</vt:lpstr>
      <vt:lpstr>Star Players-Hidden</vt:lpstr>
      <vt:lpstr>Database-Hidden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2019-08-08T00:55:02Z</dcterms:created>
  <dcterms:modified xsi:type="dcterms:W3CDTF">2019-08-08T01:04:54Z</dcterms:modified>
</cp:coreProperties>
</file>