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23.xml" ContentType="application/vnd.openxmlformats-officedocument.spreadsheetml.comments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20.xml" ContentType="application/vnd.openxmlformats-officedocument.spreadsheetml.comments+xml"/>
  <Override PartName="/docProps/core.xml" ContentType="application/vnd.openxmlformats-package.core-properties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comments9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70" windowWidth="28455" windowHeight="13740" tabRatio="640" activeTab="15"/>
  </bookViews>
  <sheets>
    <sheet name="JR1" sheetId="7" r:id="rId1"/>
    <sheet name="JR2" sheetId="8" r:id="rId2"/>
    <sheet name="JR3" sheetId="9" r:id="rId3"/>
    <sheet name="CT1" sheetId="11" r:id="rId4"/>
    <sheet name="CT2" sheetId="12" r:id="rId5"/>
    <sheet name="CT3" sheetId="13" r:id="rId6"/>
    <sheet name="DC1" sheetId="14" r:id="rId7"/>
    <sheet name="DC2" sheetId="15" r:id="rId8"/>
    <sheet name="KB1" sheetId="16" r:id="rId9"/>
    <sheet name="DH1" sheetId="17" r:id="rId10"/>
    <sheet name="DH2" sheetId="19" r:id="rId11"/>
    <sheet name="MQ1" sheetId="21" r:id="rId12"/>
    <sheet name="PP1" sheetId="22" r:id="rId13"/>
    <sheet name="PP2" sheetId="23" r:id="rId14"/>
    <sheet name="FT1" sheetId="25" r:id="rId15"/>
    <sheet name="FT2" sheetId="27" r:id="rId16"/>
    <sheet name="RC1" sheetId="28" r:id="rId17"/>
    <sheet name="RC2" sheetId="30" r:id="rId18"/>
    <sheet name="TC1" sheetId="31" r:id="rId19"/>
    <sheet name="TC2" sheetId="32" r:id="rId20"/>
    <sheet name="TL1" sheetId="33" r:id="rId21"/>
    <sheet name="TL2" sheetId="34" r:id="rId22"/>
    <sheet name="Development-Hidden" sheetId="38" r:id="rId23"/>
  </sheets>
  <calcPr calcId="125725"/>
</workbook>
</file>

<file path=xl/calcChain.xml><?xml version="1.0" encoding="utf-8"?>
<calcChain xmlns="http://schemas.openxmlformats.org/spreadsheetml/2006/main">
  <c r="J15" i="25"/>
  <c r="AC119" i="38"/>
  <c r="AC118"/>
  <c r="C118"/>
  <c r="AC117"/>
  <c r="C117"/>
  <c r="AC116"/>
  <c r="C116"/>
  <c r="AC115"/>
  <c r="C115"/>
  <c r="AC114"/>
  <c r="C114"/>
  <c r="AC113"/>
  <c r="C113"/>
  <c r="AC112"/>
  <c r="C112"/>
  <c r="AC111"/>
  <c r="C111"/>
  <c r="AC110"/>
  <c r="C110"/>
  <c r="AC109"/>
  <c r="C109"/>
  <c r="AC108"/>
  <c r="C108"/>
  <c r="AC107"/>
  <c r="C107"/>
  <c r="AC106"/>
  <c r="C106"/>
  <c r="AC105"/>
  <c r="C105"/>
  <c r="AC104"/>
  <c r="C104"/>
  <c r="AC103"/>
  <c r="C103"/>
  <c r="AC102"/>
  <c r="C102"/>
  <c r="AC101"/>
  <c r="C101"/>
  <c r="AC100"/>
  <c r="C100"/>
  <c r="AC99"/>
  <c r="C99"/>
  <c r="AC98"/>
  <c r="C98"/>
  <c r="AC97"/>
  <c r="C97"/>
  <c r="AC96"/>
  <c r="C96"/>
  <c r="AC95"/>
  <c r="C95"/>
  <c r="AC94"/>
  <c r="C94"/>
  <c r="AC93"/>
  <c r="C93"/>
  <c r="AC92"/>
  <c r="C92"/>
  <c r="AC91"/>
  <c r="C91"/>
  <c r="AC90"/>
  <c r="C90"/>
  <c r="AC89"/>
  <c r="C89"/>
  <c r="AC88"/>
  <c r="C88"/>
  <c r="AC87"/>
  <c r="C87"/>
  <c r="AC86"/>
  <c r="C86"/>
  <c r="AC85"/>
  <c r="C85"/>
  <c r="AC17" i="34" s="1"/>
  <c r="AA17" s="1"/>
  <c r="AC84" i="38"/>
  <c r="C84"/>
  <c r="AC83"/>
  <c r="C83"/>
  <c r="AC82"/>
  <c r="C82"/>
  <c r="AC81"/>
  <c r="C81"/>
  <c r="AC80"/>
  <c r="C80"/>
  <c r="AC79"/>
  <c r="C79"/>
  <c r="AC78"/>
  <c r="C78"/>
  <c r="AC77"/>
  <c r="C77"/>
  <c r="AC76"/>
  <c r="C76"/>
  <c r="AC75"/>
  <c r="C75"/>
  <c r="AC74"/>
  <c r="C74"/>
  <c r="AC73"/>
  <c r="C73"/>
  <c r="AC72"/>
  <c r="C72"/>
  <c r="AC71"/>
  <c r="C71"/>
  <c r="AC70"/>
  <c r="C70"/>
  <c r="AC69"/>
  <c r="C69"/>
  <c r="AC68"/>
  <c r="C68"/>
  <c r="AC67"/>
  <c r="C67"/>
  <c r="AC66"/>
  <c r="C66"/>
  <c r="AC65"/>
  <c r="C65"/>
  <c r="AC64"/>
  <c r="C64"/>
  <c r="AC63"/>
  <c r="C63"/>
  <c r="AC62"/>
  <c r="C62"/>
  <c r="AC61"/>
  <c r="C61"/>
  <c r="AC60"/>
  <c r="C60"/>
  <c r="AC59"/>
  <c r="C59"/>
  <c r="AC58"/>
  <c r="C58"/>
  <c r="AC57"/>
  <c r="C57"/>
  <c r="AC56"/>
  <c r="C56"/>
  <c r="AC55"/>
  <c r="C55"/>
  <c r="AC54"/>
  <c r="C54"/>
  <c r="AC53"/>
  <c r="C53"/>
  <c r="AC52"/>
  <c r="C52"/>
  <c r="AC51"/>
  <c r="C51"/>
  <c r="AC50"/>
  <c r="C50"/>
  <c r="AC49"/>
  <c r="C49"/>
  <c r="AC48"/>
  <c r="C48"/>
  <c r="AC47"/>
  <c r="C47"/>
  <c r="AC46"/>
  <c r="C46"/>
  <c r="AC45"/>
  <c r="C45"/>
  <c r="AC44"/>
  <c r="C44"/>
  <c r="AC43"/>
  <c r="C43"/>
  <c r="AC42"/>
  <c r="C42"/>
  <c r="AC41"/>
  <c r="C41"/>
  <c r="AC40"/>
  <c r="C40"/>
  <c r="AC39"/>
  <c r="C39"/>
  <c r="AC38"/>
  <c r="C38"/>
  <c r="AC37"/>
  <c r="C37"/>
  <c r="AC36"/>
  <c r="C36"/>
  <c r="AC35"/>
  <c r="C35"/>
  <c r="AC34"/>
  <c r="C34"/>
  <c r="AC33"/>
  <c r="C33"/>
  <c r="AC32"/>
  <c r="C32"/>
  <c r="AC31"/>
  <c r="C31"/>
  <c r="AC30"/>
  <c r="C30"/>
  <c r="AC29"/>
  <c r="C29"/>
  <c r="AC28"/>
  <c r="C28"/>
  <c r="AC27"/>
  <c r="C27"/>
  <c r="AC26"/>
  <c r="C26"/>
  <c r="AC25"/>
  <c r="C25"/>
  <c r="AC24"/>
  <c r="C24"/>
  <c r="AC23"/>
  <c r="C23"/>
  <c r="AC22"/>
  <c r="C22"/>
  <c r="AC21"/>
  <c r="C21"/>
  <c r="AC20"/>
  <c r="C20"/>
  <c r="AC19"/>
  <c r="C19"/>
  <c r="AC18"/>
  <c r="C18"/>
  <c r="AC17"/>
  <c r="C17"/>
  <c r="AC16"/>
  <c r="C16"/>
  <c r="AC15"/>
  <c r="C15"/>
  <c r="AC14"/>
  <c r="C14"/>
  <c r="AC13"/>
  <c r="C13"/>
  <c r="AC12"/>
  <c r="C12"/>
  <c r="AC11"/>
  <c r="C11"/>
  <c r="AC10"/>
  <c r="C10"/>
  <c r="AC9"/>
  <c r="C9"/>
  <c r="AC8"/>
  <c r="C8"/>
  <c r="AC7"/>
  <c r="C7"/>
  <c r="AC6"/>
  <c r="C6"/>
  <c r="AC5"/>
  <c r="C5"/>
  <c r="AC4"/>
  <c r="C4"/>
  <c r="AC3"/>
  <c r="C3"/>
  <c r="C2"/>
  <c r="C28" i="34"/>
  <c r="D28" s="1" a="1"/>
  <c r="D28" s="1"/>
  <c r="AA25"/>
  <c r="L25"/>
  <c r="U25" s="1"/>
  <c r="AM24"/>
  <c r="AA24"/>
  <c r="AM23"/>
  <c r="AA23"/>
  <c r="E23"/>
  <c r="T22"/>
  <c r="AA22" s="1"/>
  <c r="V21"/>
  <c r="AA21" s="1"/>
  <c r="AC19"/>
  <c r="AA19" s="1"/>
  <c r="Z19"/>
  <c r="K19"/>
  <c r="I19"/>
  <c r="H19"/>
  <c r="G19"/>
  <c r="F19"/>
  <c r="E19"/>
  <c r="AT18"/>
  <c r="AS18"/>
  <c r="AM25" s="1"/>
  <c r="AR18"/>
  <c r="AM18"/>
  <c r="I25" s="1"/>
  <c r="AC18"/>
  <c r="AA18" s="1"/>
  <c r="Z18"/>
  <c r="K18"/>
  <c r="I18"/>
  <c r="H18"/>
  <c r="G18"/>
  <c r="F18"/>
  <c r="E18"/>
  <c r="Z17"/>
  <c r="K17" s="1"/>
  <c r="I17"/>
  <c r="H17"/>
  <c r="G17"/>
  <c r="F17"/>
  <c r="E17"/>
  <c r="AC16"/>
  <c r="AA16" s="1"/>
  <c r="Z16"/>
  <c r="K16"/>
  <c r="I16"/>
  <c r="H16"/>
  <c r="G16"/>
  <c r="F16"/>
  <c r="E16"/>
  <c r="AC15"/>
  <c r="AA15" s="1"/>
  <c r="Z15"/>
  <c r="K15"/>
  <c r="I15"/>
  <c r="H15"/>
  <c r="G15"/>
  <c r="F15"/>
  <c r="E15"/>
  <c r="Z14"/>
  <c r="K14"/>
  <c r="I14"/>
  <c r="H14"/>
  <c r="G14"/>
  <c r="F14"/>
  <c r="E14"/>
  <c r="Z13"/>
  <c r="K13" s="1"/>
  <c r="I13"/>
  <c r="H13"/>
  <c r="G13"/>
  <c r="F13"/>
  <c r="E13"/>
  <c r="AC12"/>
  <c r="AA12" s="1"/>
  <c r="Z12"/>
  <c r="K12"/>
  <c r="I12"/>
  <c r="H12"/>
  <c r="G12"/>
  <c r="F12"/>
  <c r="E12"/>
  <c r="AC11"/>
  <c r="AA11" s="1"/>
  <c r="Z11"/>
  <c r="K11"/>
  <c r="I11"/>
  <c r="H11"/>
  <c r="G11"/>
  <c r="F11"/>
  <c r="E11"/>
  <c r="AC10"/>
  <c r="AA10" s="1"/>
  <c r="Z10"/>
  <c r="K10"/>
  <c r="I10"/>
  <c r="H10"/>
  <c r="G10"/>
  <c r="F10"/>
  <c r="E10"/>
  <c r="AC9"/>
  <c r="AA9" s="1"/>
  <c r="Z9"/>
  <c r="K9" s="1"/>
  <c r="I9"/>
  <c r="H9"/>
  <c r="G9"/>
  <c r="F9"/>
  <c r="E9"/>
  <c r="AC8"/>
  <c r="AA8" s="1"/>
  <c r="Z8"/>
  <c r="K8"/>
  <c r="I8"/>
  <c r="H8"/>
  <c r="G8"/>
  <c r="F8"/>
  <c r="E8"/>
  <c r="AC7"/>
  <c r="AA7" s="1"/>
  <c r="Z7"/>
  <c r="K7"/>
  <c r="I7"/>
  <c r="H7"/>
  <c r="G7"/>
  <c r="F7"/>
  <c r="E7"/>
  <c r="Z6"/>
  <c r="K6"/>
  <c r="I6"/>
  <c r="H6"/>
  <c r="G6"/>
  <c r="F6"/>
  <c r="E6"/>
  <c r="AC5"/>
  <c r="AA5" s="1"/>
  <c r="Z5"/>
  <c r="K5" s="1"/>
  <c r="I5"/>
  <c r="H5"/>
  <c r="G5"/>
  <c r="F5"/>
  <c r="E5"/>
  <c r="AC4"/>
  <c r="AA4" s="1"/>
  <c r="Z4"/>
  <c r="K4"/>
  <c r="I4"/>
  <c r="H4"/>
  <c r="G4"/>
  <c r="F4"/>
  <c r="E4"/>
  <c r="AI3"/>
  <c r="AH3"/>
  <c r="AG3"/>
  <c r="AF3"/>
  <c r="C29" i="33"/>
  <c r="D29" s="1" a="1"/>
  <c r="D29" s="1"/>
  <c r="C28"/>
  <c r="D28" s="1" a="1"/>
  <c r="D28" s="1"/>
  <c r="L25"/>
  <c r="V25" s="1"/>
  <c r="AA25" s="1"/>
  <c r="AA24"/>
  <c r="AM23"/>
  <c r="AA23"/>
  <c r="E23"/>
  <c r="AM22"/>
  <c r="AA22"/>
  <c r="V21"/>
  <c r="AA21" s="1"/>
  <c r="AC19"/>
  <c r="AA19" s="1"/>
  <c r="Z19"/>
  <c r="K19" s="1"/>
  <c r="I19"/>
  <c r="H19"/>
  <c r="G19"/>
  <c r="F19"/>
  <c r="E19"/>
  <c r="AT18"/>
  <c r="AS18"/>
  <c r="AM25" s="1"/>
  <c r="AR18"/>
  <c r="AM24" s="1"/>
  <c r="AM18"/>
  <c r="I25" s="1"/>
  <c r="Z18"/>
  <c r="K18" s="1"/>
  <c r="I18"/>
  <c r="H18"/>
  <c r="G18"/>
  <c r="F18"/>
  <c r="E18"/>
  <c r="Z17"/>
  <c r="K17"/>
  <c r="I17"/>
  <c r="H17"/>
  <c r="G17"/>
  <c r="F17"/>
  <c r="E17"/>
  <c r="Z16"/>
  <c r="K16"/>
  <c r="I16"/>
  <c r="H16"/>
  <c r="G16"/>
  <c r="F16"/>
  <c r="E16"/>
  <c r="AC15"/>
  <c r="AA15" s="1"/>
  <c r="Z15"/>
  <c r="K15"/>
  <c r="I15"/>
  <c r="H15"/>
  <c r="G15"/>
  <c r="F15"/>
  <c r="E15"/>
  <c r="AC14"/>
  <c r="AA14" s="1"/>
  <c r="Z14"/>
  <c r="K14" s="1"/>
  <c r="I14"/>
  <c r="H14"/>
  <c r="G14"/>
  <c r="F14"/>
  <c r="E14"/>
  <c r="AC13"/>
  <c r="AA13" s="1"/>
  <c r="Z13"/>
  <c r="K13"/>
  <c r="I13"/>
  <c r="H13"/>
  <c r="G13"/>
  <c r="F13"/>
  <c r="E13"/>
  <c r="AC12"/>
  <c r="AA12" s="1"/>
  <c r="Z12"/>
  <c r="K12"/>
  <c r="I12"/>
  <c r="H12"/>
  <c r="G12"/>
  <c r="F12"/>
  <c r="E12"/>
  <c r="AC11"/>
  <c r="AA11" s="1"/>
  <c r="Z11"/>
  <c r="K11" s="1"/>
  <c r="I11"/>
  <c r="H11"/>
  <c r="G11"/>
  <c r="F11"/>
  <c r="E11"/>
  <c r="AC10"/>
  <c r="AA10" s="1"/>
  <c r="Z10"/>
  <c r="I10"/>
  <c r="H10"/>
  <c r="G10"/>
  <c r="F10"/>
  <c r="E10"/>
  <c r="AC9"/>
  <c r="AA9" s="1"/>
  <c r="Z9"/>
  <c r="K9"/>
  <c r="I9"/>
  <c r="H9"/>
  <c r="G9"/>
  <c r="F9"/>
  <c r="E9"/>
  <c r="AC8"/>
  <c r="AA8" s="1"/>
  <c r="Z8"/>
  <c r="K8"/>
  <c r="I8"/>
  <c r="H8"/>
  <c r="G8"/>
  <c r="F8"/>
  <c r="E8"/>
  <c r="AC7"/>
  <c r="AA7" s="1"/>
  <c r="Z7"/>
  <c r="K7"/>
  <c r="I7"/>
  <c r="H7"/>
  <c r="G7"/>
  <c r="F7"/>
  <c r="E7"/>
  <c r="AC6"/>
  <c r="AA6" s="1"/>
  <c r="Z6"/>
  <c r="I6"/>
  <c r="H6"/>
  <c r="G6"/>
  <c r="F6"/>
  <c r="E6"/>
  <c r="AC5"/>
  <c r="AA5" s="1"/>
  <c r="Z5"/>
  <c r="K5"/>
  <c r="I5"/>
  <c r="H5"/>
  <c r="G5"/>
  <c r="F5"/>
  <c r="E5"/>
  <c r="AC4"/>
  <c r="AA4" s="1"/>
  <c r="Z4"/>
  <c r="K4"/>
  <c r="I4"/>
  <c r="H4"/>
  <c r="G4"/>
  <c r="F4"/>
  <c r="E4"/>
  <c r="AI3"/>
  <c r="AH3"/>
  <c r="AG3"/>
  <c r="AF3"/>
  <c r="C28" i="32"/>
  <c r="D28" s="1" a="1"/>
  <c r="D28" s="1"/>
  <c r="U25"/>
  <c r="L25"/>
  <c r="V25" s="1"/>
  <c r="AA25" s="1"/>
  <c r="AA24"/>
  <c r="AM23"/>
  <c r="AA23"/>
  <c r="E23"/>
  <c r="AM22"/>
  <c r="AM26" s="1"/>
  <c r="V21"/>
  <c r="AA21" s="1"/>
  <c r="Z19"/>
  <c r="K19" s="1"/>
  <c r="I19"/>
  <c r="H19"/>
  <c r="G19"/>
  <c r="F19"/>
  <c r="E19"/>
  <c r="AT18"/>
  <c r="T22" s="1"/>
  <c r="AA22" s="1"/>
  <c r="AS18"/>
  <c r="AM25" s="1"/>
  <c r="AR18"/>
  <c r="AM24" s="1"/>
  <c r="AM18"/>
  <c r="Z18"/>
  <c r="K18"/>
  <c r="I18"/>
  <c r="H18"/>
  <c r="G18"/>
  <c r="F18"/>
  <c r="E18"/>
  <c r="Z17"/>
  <c r="K17"/>
  <c r="I17"/>
  <c r="H17"/>
  <c r="G17"/>
  <c r="F17"/>
  <c r="E17"/>
  <c r="Z16"/>
  <c r="K16"/>
  <c r="I16"/>
  <c r="H16"/>
  <c r="G16"/>
  <c r="F16"/>
  <c r="E16"/>
  <c r="AC15"/>
  <c r="AA15"/>
  <c r="Z15"/>
  <c r="K15" s="1"/>
  <c r="I15"/>
  <c r="H15"/>
  <c r="G15"/>
  <c r="F15"/>
  <c r="E15"/>
  <c r="AC14"/>
  <c r="AA14" s="1"/>
  <c r="Z14"/>
  <c r="K14"/>
  <c r="I14"/>
  <c r="H14"/>
  <c r="G14"/>
  <c r="F14"/>
  <c r="E14"/>
  <c r="AC13"/>
  <c r="AA13" s="1"/>
  <c r="Z13"/>
  <c r="K13"/>
  <c r="I13"/>
  <c r="H13"/>
  <c r="G13"/>
  <c r="F13"/>
  <c r="E13"/>
  <c r="AC12"/>
  <c r="AA12" s="1"/>
  <c r="Z12"/>
  <c r="K12"/>
  <c r="I12"/>
  <c r="H12"/>
  <c r="G12"/>
  <c r="F12"/>
  <c r="E12"/>
  <c r="AC11"/>
  <c r="AA11" s="1"/>
  <c r="Z11"/>
  <c r="I11"/>
  <c r="H11"/>
  <c r="G11"/>
  <c r="F11"/>
  <c r="E11"/>
  <c r="AC10"/>
  <c r="AA10" s="1"/>
  <c r="Z10"/>
  <c r="K10"/>
  <c r="I10"/>
  <c r="H10"/>
  <c r="G10"/>
  <c r="F10"/>
  <c r="E10"/>
  <c r="AC9"/>
  <c r="AA9" s="1"/>
  <c r="Z9"/>
  <c r="K9"/>
  <c r="I9"/>
  <c r="H9"/>
  <c r="G9"/>
  <c r="F9"/>
  <c r="E9"/>
  <c r="AC8"/>
  <c r="AA8" s="1"/>
  <c r="Z8"/>
  <c r="K8"/>
  <c r="I8"/>
  <c r="H8"/>
  <c r="G8"/>
  <c r="F8"/>
  <c r="E8"/>
  <c r="AC7"/>
  <c r="AA7" s="1"/>
  <c r="Z7"/>
  <c r="K7" s="1"/>
  <c r="I7"/>
  <c r="H7"/>
  <c r="G7"/>
  <c r="F7"/>
  <c r="E7"/>
  <c r="AC6"/>
  <c r="AA6" s="1"/>
  <c r="Z6"/>
  <c r="K6"/>
  <c r="I6"/>
  <c r="H6"/>
  <c r="G6"/>
  <c r="F6"/>
  <c r="E6"/>
  <c r="AC5"/>
  <c r="AA5" s="1"/>
  <c r="Z5"/>
  <c r="K5"/>
  <c r="I5"/>
  <c r="H5"/>
  <c r="G5"/>
  <c r="F5"/>
  <c r="E5"/>
  <c r="AC4"/>
  <c r="AA4" s="1"/>
  <c r="Z4"/>
  <c r="K4"/>
  <c r="I4"/>
  <c r="H4"/>
  <c r="G4"/>
  <c r="F4"/>
  <c r="E4"/>
  <c r="AI3"/>
  <c r="AH3"/>
  <c r="AG3"/>
  <c r="AF3"/>
  <c r="C28" i="31"/>
  <c r="D28" s="1" a="1"/>
  <c r="D28" s="1"/>
  <c r="J26"/>
  <c r="AA25"/>
  <c r="I25"/>
  <c r="AA24"/>
  <c r="AA23"/>
  <c r="AA22"/>
  <c r="AA21"/>
  <c r="AA26" s="1"/>
  <c r="AM20"/>
  <c r="Z19"/>
  <c r="K19" s="1"/>
  <c r="H19"/>
  <c r="G19"/>
  <c r="F19"/>
  <c r="E19"/>
  <c r="AU18"/>
  <c r="AT18"/>
  <c r="Z18"/>
  <c r="K18" s="1"/>
  <c r="H18"/>
  <c r="G18"/>
  <c r="F18"/>
  <c r="E18"/>
  <c r="Z17"/>
  <c r="K17"/>
  <c r="H17"/>
  <c r="G17"/>
  <c r="F17"/>
  <c r="E17"/>
  <c r="Z16"/>
  <c r="K16"/>
  <c r="H16"/>
  <c r="G16"/>
  <c r="F16"/>
  <c r="E16"/>
  <c r="K15"/>
  <c r="H15"/>
  <c r="G15"/>
  <c r="F15"/>
  <c r="E15"/>
  <c r="AC14"/>
  <c r="AA14" s="1"/>
  <c r="Z14"/>
  <c r="K14"/>
  <c r="H14"/>
  <c r="G14"/>
  <c r="F14"/>
  <c r="E14"/>
  <c r="AC13"/>
  <c r="AA13" s="1"/>
  <c r="K13"/>
  <c r="H13"/>
  <c r="G13"/>
  <c r="F13"/>
  <c r="E13"/>
  <c r="AC12"/>
  <c r="AA12" s="1"/>
  <c r="Z12"/>
  <c r="K12" s="1"/>
  <c r="H12"/>
  <c r="G12"/>
  <c r="F12"/>
  <c r="E12"/>
  <c r="AC11"/>
  <c r="AA11" s="1"/>
  <c r="Z11"/>
  <c r="K11" s="1"/>
  <c r="H11"/>
  <c r="G11"/>
  <c r="F11"/>
  <c r="E11"/>
  <c r="AC10"/>
  <c r="AA10"/>
  <c r="Z10"/>
  <c r="K10" s="1"/>
  <c r="H10"/>
  <c r="G10"/>
  <c r="F10"/>
  <c r="E10"/>
  <c r="AC9"/>
  <c r="AA9" s="1"/>
  <c r="Z9"/>
  <c r="H9"/>
  <c r="G9"/>
  <c r="F9"/>
  <c r="E9"/>
  <c r="AC8"/>
  <c r="AA8" s="1"/>
  <c r="Z8"/>
  <c r="K8" s="1"/>
  <c r="H8"/>
  <c r="G8"/>
  <c r="F8"/>
  <c r="E8"/>
  <c r="AC7"/>
  <c r="AA7" s="1"/>
  <c r="Z7"/>
  <c r="K7" s="1"/>
  <c r="H7"/>
  <c r="G7"/>
  <c r="F7"/>
  <c r="E7"/>
  <c r="AC6"/>
  <c r="AA6" s="1"/>
  <c r="Z6"/>
  <c r="K6" s="1"/>
  <c r="H6"/>
  <c r="G6"/>
  <c r="F6"/>
  <c r="E6"/>
  <c r="AC5"/>
  <c r="AA5" s="1"/>
  <c r="K5"/>
  <c r="H5"/>
  <c r="G5"/>
  <c r="F5"/>
  <c r="E5"/>
  <c r="AC4"/>
  <c r="AA4" s="1"/>
  <c r="K4"/>
  <c r="H4"/>
  <c r="G4"/>
  <c r="F4"/>
  <c r="E4"/>
  <c r="AI3"/>
  <c r="AH3"/>
  <c r="AG3"/>
  <c r="AF3"/>
  <c r="C28" i="30"/>
  <c r="D28" s="1" a="1"/>
  <c r="D28" s="1"/>
  <c r="J26"/>
  <c r="AM25"/>
  <c r="AA25"/>
  <c r="AM24"/>
  <c r="AA24"/>
  <c r="AA23"/>
  <c r="AA22"/>
  <c r="T22"/>
  <c r="AA21"/>
  <c r="AA26" s="1"/>
  <c r="AV20"/>
  <c r="AU20"/>
  <c r="AM26" s="1"/>
  <c r="AT20"/>
  <c r="AM20"/>
  <c r="I25" s="1"/>
  <c r="Z19"/>
  <c r="K19" s="1"/>
  <c r="H19"/>
  <c r="G19"/>
  <c r="F19"/>
  <c r="E19"/>
  <c r="Z18"/>
  <c r="K18" s="1"/>
  <c r="H18"/>
  <c r="G18"/>
  <c r="F18"/>
  <c r="E18"/>
  <c r="Z17"/>
  <c r="K17" s="1"/>
  <c r="H17"/>
  <c r="G17"/>
  <c r="F17"/>
  <c r="E17"/>
  <c r="Z16"/>
  <c r="K16" s="1"/>
  <c r="H16"/>
  <c r="G16"/>
  <c r="F16"/>
  <c r="E16"/>
  <c r="Z15"/>
  <c r="K15" s="1"/>
  <c r="H15"/>
  <c r="G15"/>
  <c r="F15"/>
  <c r="E15"/>
  <c r="AC14"/>
  <c r="AA14" s="1"/>
  <c r="Z14"/>
  <c r="K14" s="1"/>
  <c r="H14"/>
  <c r="G14"/>
  <c r="F14"/>
  <c r="E14"/>
  <c r="AC13"/>
  <c r="AA13" s="1"/>
  <c r="Z13"/>
  <c r="K13" s="1"/>
  <c r="H13"/>
  <c r="G13"/>
  <c r="F13"/>
  <c r="E13"/>
  <c r="AC12"/>
  <c r="AA12" s="1"/>
  <c r="Z12"/>
  <c r="K12" s="1"/>
  <c r="H12"/>
  <c r="G12"/>
  <c r="F12"/>
  <c r="E12"/>
  <c r="Z11"/>
  <c r="K11" s="1"/>
  <c r="H11"/>
  <c r="G11"/>
  <c r="F11"/>
  <c r="E11"/>
  <c r="AC10"/>
  <c r="AA10" s="1"/>
  <c r="Z10"/>
  <c r="K10" s="1"/>
  <c r="H10"/>
  <c r="G10"/>
  <c r="F10"/>
  <c r="E10"/>
  <c r="AC9"/>
  <c r="AA9" s="1"/>
  <c r="Z9"/>
  <c r="K9" s="1"/>
  <c r="H9"/>
  <c r="G9"/>
  <c r="F9"/>
  <c r="E9"/>
  <c r="AC8"/>
  <c r="AA8" s="1"/>
  <c r="Z8"/>
  <c r="K8" s="1"/>
  <c r="H8"/>
  <c r="G8"/>
  <c r="F8"/>
  <c r="E8"/>
  <c r="AC7"/>
  <c r="AA7" s="1"/>
  <c r="Z7"/>
  <c r="K7" s="1"/>
  <c r="H7"/>
  <c r="G7"/>
  <c r="F7"/>
  <c r="E7"/>
  <c r="AC6"/>
  <c r="AA6" s="1"/>
  <c r="Z6"/>
  <c r="H6"/>
  <c r="G6"/>
  <c r="F6"/>
  <c r="E6"/>
  <c r="AC5"/>
  <c r="AA5" s="1"/>
  <c r="Z5"/>
  <c r="K5" s="1"/>
  <c r="H5"/>
  <c r="G5"/>
  <c r="F5"/>
  <c r="E5"/>
  <c r="AC4"/>
  <c r="AA4" s="1"/>
  <c r="Z4"/>
  <c r="K4" s="1"/>
  <c r="H4"/>
  <c r="G4"/>
  <c r="F4"/>
  <c r="E4"/>
  <c r="AI3"/>
  <c r="AH3"/>
  <c r="AG3"/>
  <c r="AF3"/>
  <c r="C28" i="28"/>
  <c r="C29" s="1"/>
  <c r="D29" s="1" a="1"/>
  <c r="D29" s="1"/>
  <c r="L25"/>
  <c r="U25" s="1"/>
  <c r="AM24"/>
  <c r="AA24"/>
  <c r="AM23"/>
  <c r="AA23"/>
  <c r="E23"/>
  <c r="T22"/>
  <c r="AA22" s="1"/>
  <c r="V21"/>
  <c r="AA21" s="1"/>
  <c r="Z19"/>
  <c r="K19" s="1"/>
  <c r="I19"/>
  <c r="H19"/>
  <c r="G19"/>
  <c r="F19"/>
  <c r="E19"/>
  <c r="AT18"/>
  <c r="AS18"/>
  <c r="AM25" s="1"/>
  <c r="AR18"/>
  <c r="AM18"/>
  <c r="Z18"/>
  <c r="K18"/>
  <c r="I18"/>
  <c r="H18"/>
  <c r="G18"/>
  <c r="F18"/>
  <c r="E18"/>
  <c r="AC17"/>
  <c r="AA17" s="1"/>
  <c r="Z17"/>
  <c r="K17" s="1"/>
  <c r="I17"/>
  <c r="H17"/>
  <c r="G17"/>
  <c r="F17"/>
  <c r="E17"/>
  <c r="AC16"/>
  <c r="AA16" s="1"/>
  <c r="Z16"/>
  <c r="K16" s="1"/>
  <c r="I16"/>
  <c r="H16"/>
  <c r="G16"/>
  <c r="F16"/>
  <c r="E16"/>
  <c r="AC15"/>
  <c r="AA15" s="1"/>
  <c r="Z15"/>
  <c r="K15" s="1"/>
  <c r="I15"/>
  <c r="H15"/>
  <c r="G15"/>
  <c r="F15"/>
  <c r="E15"/>
  <c r="AC14"/>
  <c r="AA14" s="1"/>
  <c r="Z14"/>
  <c r="K14"/>
  <c r="I14"/>
  <c r="H14"/>
  <c r="G14"/>
  <c r="F14"/>
  <c r="E14"/>
  <c r="AC13"/>
  <c r="AA13" s="1"/>
  <c r="Z13"/>
  <c r="K13" s="1"/>
  <c r="I13"/>
  <c r="H13"/>
  <c r="G13"/>
  <c r="F13"/>
  <c r="E13"/>
  <c r="AC12"/>
  <c r="AA12"/>
  <c r="Z12"/>
  <c r="K12" s="1"/>
  <c r="I12"/>
  <c r="H12"/>
  <c r="G12"/>
  <c r="F12"/>
  <c r="E12"/>
  <c r="AC11"/>
  <c r="AA11" s="1"/>
  <c r="Z11"/>
  <c r="K11" s="1"/>
  <c r="I11"/>
  <c r="H11"/>
  <c r="G11"/>
  <c r="F11"/>
  <c r="E11"/>
  <c r="AC10"/>
  <c r="AA10" s="1"/>
  <c r="Z10"/>
  <c r="K10"/>
  <c r="I10"/>
  <c r="H10"/>
  <c r="G10"/>
  <c r="F10"/>
  <c r="E10"/>
  <c r="AC9"/>
  <c r="AA9" s="1"/>
  <c r="Z9"/>
  <c r="K9" s="1"/>
  <c r="I9"/>
  <c r="H9"/>
  <c r="G9"/>
  <c r="F9"/>
  <c r="E9"/>
  <c r="AC8"/>
  <c r="AA8" s="1"/>
  <c r="Z8"/>
  <c r="K8" s="1"/>
  <c r="I8"/>
  <c r="H8"/>
  <c r="G8"/>
  <c r="F8"/>
  <c r="E8"/>
  <c r="AC7"/>
  <c r="AA7" s="1"/>
  <c r="Z7"/>
  <c r="K7" s="1"/>
  <c r="I7"/>
  <c r="H7"/>
  <c r="G7"/>
  <c r="F7"/>
  <c r="E7"/>
  <c r="AC6"/>
  <c r="AA6" s="1"/>
  <c r="Z6"/>
  <c r="K6"/>
  <c r="I6"/>
  <c r="H6"/>
  <c r="G6"/>
  <c r="F6"/>
  <c r="E6"/>
  <c r="AC5"/>
  <c r="AA5" s="1"/>
  <c r="Z5"/>
  <c r="K5" s="1"/>
  <c r="I5"/>
  <c r="H5"/>
  <c r="G5"/>
  <c r="F5"/>
  <c r="E5"/>
  <c r="AC4"/>
  <c r="AA4" s="1"/>
  <c r="Z4"/>
  <c r="I4"/>
  <c r="H4"/>
  <c r="G4"/>
  <c r="F4"/>
  <c r="E4"/>
  <c r="AI3"/>
  <c r="AH3"/>
  <c r="AG3"/>
  <c r="AF3"/>
  <c r="C28" i="27"/>
  <c r="J26"/>
  <c r="AA25"/>
  <c r="I25"/>
  <c r="AA24"/>
  <c r="AA23"/>
  <c r="AA22"/>
  <c r="AA21"/>
  <c r="AV20"/>
  <c r="AU20"/>
  <c r="AT20"/>
  <c r="AM20"/>
  <c r="AC19"/>
  <c r="AA19" s="1"/>
  <c r="Z19"/>
  <c r="K19" s="1"/>
  <c r="H19"/>
  <c r="G19"/>
  <c r="F19"/>
  <c r="E19"/>
  <c r="AC18"/>
  <c r="AA18" s="1"/>
  <c r="Z18"/>
  <c r="K18" s="1"/>
  <c r="H18"/>
  <c r="G18"/>
  <c r="F18"/>
  <c r="E18"/>
  <c r="AC17"/>
  <c r="AA17" s="1"/>
  <c r="K17"/>
  <c r="H17"/>
  <c r="G17"/>
  <c r="F17"/>
  <c r="E17"/>
  <c r="Z16"/>
  <c r="K16" s="1"/>
  <c r="H16"/>
  <c r="G16"/>
  <c r="F16"/>
  <c r="E16"/>
  <c r="Z15"/>
  <c r="K15" s="1"/>
  <c r="H15"/>
  <c r="G15"/>
  <c r="F15"/>
  <c r="E15"/>
  <c r="AC14"/>
  <c r="AA14" s="1"/>
  <c r="Z14"/>
  <c r="K14" s="1"/>
  <c r="H14"/>
  <c r="G14"/>
  <c r="F14"/>
  <c r="E14"/>
  <c r="AC13"/>
  <c r="AA13" s="1"/>
  <c r="Z13"/>
  <c r="K13" s="1"/>
  <c r="H13"/>
  <c r="G13"/>
  <c r="F13"/>
  <c r="E13"/>
  <c r="AC12"/>
  <c r="AA12" s="1"/>
  <c r="Z12"/>
  <c r="K12" s="1"/>
  <c r="H12"/>
  <c r="G12"/>
  <c r="F12"/>
  <c r="E12"/>
  <c r="AC11"/>
  <c r="AA11" s="1"/>
  <c r="Z11"/>
  <c r="K11" s="1"/>
  <c r="H11"/>
  <c r="G11"/>
  <c r="F11"/>
  <c r="E11"/>
  <c r="Z10"/>
  <c r="K10" s="1"/>
  <c r="H10"/>
  <c r="G10"/>
  <c r="F10"/>
  <c r="E10"/>
  <c r="K9"/>
  <c r="H9"/>
  <c r="G9"/>
  <c r="F9"/>
  <c r="E9"/>
  <c r="AC8"/>
  <c r="AA8" s="1"/>
  <c r="Z8"/>
  <c r="K8"/>
  <c r="H8"/>
  <c r="G8"/>
  <c r="F8"/>
  <c r="E8"/>
  <c r="AC7"/>
  <c r="AA7" s="1"/>
  <c r="Z7"/>
  <c r="K7"/>
  <c r="H7"/>
  <c r="G7"/>
  <c r="F7"/>
  <c r="E7"/>
  <c r="AC6"/>
  <c r="AA6" s="1"/>
  <c r="Z6"/>
  <c r="K6"/>
  <c r="H6"/>
  <c r="G6"/>
  <c r="F6"/>
  <c r="E6"/>
  <c r="AC5"/>
  <c r="AA5" s="1"/>
  <c r="Z5"/>
  <c r="K5"/>
  <c r="H5"/>
  <c r="G5"/>
  <c r="F5"/>
  <c r="E5"/>
  <c r="AC4"/>
  <c r="AA4" s="1"/>
  <c r="Z4"/>
  <c r="K4"/>
  <c r="H4"/>
  <c r="G4"/>
  <c r="F4"/>
  <c r="E4"/>
  <c r="AI3"/>
  <c r="AH3"/>
  <c r="AG3"/>
  <c r="AF3"/>
  <c r="C28" i="25"/>
  <c r="L25"/>
  <c r="I25"/>
  <c r="AA24"/>
  <c r="AM23"/>
  <c r="AA23"/>
  <c r="E23"/>
  <c r="AM22"/>
  <c r="V21"/>
  <c r="AA21" s="1"/>
  <c r="Z19"/>
  <c r="K19"/>
  <c r="I19"/>
  <c r="H19"/>
  <c r="G19"/>
  <c r="F19"/>
  <c r="E19"/>
  <c r="AT18"/>
  <c r="T22" s="1"/>
  <c r="AA22" s="1"/>
  <c r="AS18"/>
  <c r="AM25" s="1"/>
  <c r="AR18"/>
  <c r="AM24" s="1"/>
  <c r="AM18"/>
  <c r="Z18"/>
  <c r="K18" s="1"/>
  <c r="I18"/>
  <c r="H18"/>
  <c r="G18"/>
  <c r="F18"/>
  <c r="E18"/>
  <c r="AC17"/>
  <c r="AA17" s="1"/>
  <c r="Z17"/>
  <c r="K17"/>
  <c r="I17"/>
  <c r="H17"/>
  <c r="G17"/>
  <c r="F17"/>
  <c r="E17"/>
  <c r="AC16"/>
  <c r="AA16" s="1"/>
  <c r="Z16"/>
  <c r="K16"/>
  <c r="I16"/>
  <c r="H16"/>
  <c r="G16"/>
  <c r="F16"/>
  <c r="E16"/>
  <c r="AC15"/>
  <c r="AA15" s="1"/>
  <c r="Z15"/>
  <c r="K15" s="1"/>
  <c r="I15"/>
  <c r="H15"/>
  <c r="G15"/>
  <c r="F15"/>
  <c r="E15"/>
  <c r="AC14"/>
  <c r="AA14" s="1"/>
  <c r="Z14"/>
  <c r="K14" s="1"/>
  <c r="I14"/>
  <c r="H14"/>
  <c r="G14"/>
  <c r="F14"/>
  <c r="E14"/>
  <c r="Z13"/>
  <c r="K13"/>
  <c r="I13"/>
  <c r="H13"/>
  <c r="G13"/>
  <c r="F13"/>
  <c r="E13"/>
  <c r="AC12"/>
  <c r="AA12" s="1"/>
  <c r="Z12"/>
  <c r="K12"/>
  <c r="I12"/>
  <c r="H12"/>
  <c r="G12"/>
  <c r="F12"/>
  <c r="E12"/>
  <c r="AC11"/>
  <c r="AA11" s="1"/>
  <c r="Z11"/>
  <c r="K11"/>
  <c r="I11"/>
  <c r="H11"/>
  <c r="G11"/>
  <c r="F11"/>
  <c r="E11"/>
  <c r="AC10"/>
  <c r="AA10" s="1"/>
  <c r="Z10"/>
  <c r="K10" s="1"/>
  <c r="I10"/>
  <c r="H10"/>
  <c r="G10"/>
  <c r="F10"/>
  <c r="E10"/>
  <c r="AC9"/>
  <c r="AA9" s="1"/>
  <c r="Z9"/>
  <c r="K9"/>
  <c r="I9"/>
  <c r="H9"/>
  <c r="G9"/>
  <c r="F9"/>
  <c r="E9"/>
  <c r="Z8"/>
  <c r="K8"/>
  <c r="I8"/>
  <c r="H8"/>
  <c r="G8"/>
  <c r="F8"/>
  <c r="E8"/>
  <c r="AC7"/>
  <c r="AA7" s="1"/>
  <c r="Z7"/>
  <c r="K7" s="1"/>
  <c r="I7"/>
  <c r="H7"/>
  <c r="G7"/>
  <c r="F7"/>
  <c r="E7"/>
  <c r="Z6"/>
  <c r="K6" s="1"/>
  <c r="I6"/>
  <c r="H6"/>
  <c r="G6"/>
  <c r="F6"/>
  <c r="E6"/>
  <c r="AC5"/>
  <c r="AA5" s="1"/>
  <c r="Z5"/>
  <c r="K5"/>
  <c r="I5"/>
  <c r="H5"/>
  <c r="G5"/>
  <c r="F5"/>
  <c r="E5"/>
  <c r="AC4"/>
  <c r="AA4" s="1"/>
  <c r="Z4"/>
  <c r="K4"/>
  <c r="I4"/>
  <c r="H4"/>
  <c r="G4"/>
  <c r="F4"/>
  <c r="E4"/>
  <c r="AI3"/>
  <c r="AH3"/>
  <c r="AG3"/>
  <c r="AF3"/>
  <c r="C28" i="23"/>
  <c r="AM25"/>
  <c r="L25"/>
  <c r="I25"/>
  <c r="AA24"/>
  <c r="AM23"/>
  <c r="AA23"/>
  <c r="E23"/>
  <c r="AM22"/>
  <c r="V21"/>
  <c r="AA21" s="1"/>
  <c r="Z19"/>
  <c r="K19"/>
  <c r="I19"/>
  <c r="H19"/>
  <c r="G19"/>
  <c r="F19"/>
  <c r="E19"/>
  <c r="AT18"/>
  <c r="T22" s="1"/>
  <c r="AA22" s="1"/>
  <c r="AS18"/>
  <c r="AR18"/>
  <c r="AM24" s="1"/>
  <c r="AM18"/>
  <c r="AC18"/>
  <c r="AA18"/>
  <c r="Z18"/>
  <c r="K18" s="1"/>
  <c r="I18"/>
  <c r="H18"/>
  <c r="G18"/>
  <c r="F18"/>
  <c r="E18"/>
  <c r="Z17"/>
  <c r="K17"/>
  <c r="I17"/>
  <c r="H17"/>
  <c r="G17"/>
  <c r="F17"/>
  <c r="E17"/>
  <c r="AC16"/>
  <c r="AA16" s="1"/>
  <c r="Z16"/>
  <c r="K16"/>
  <c r="I16"/>
  <c r="H16"/>
  <c r="G16"/>
  <c r="F16"/>
  <c r="E16"/>
  <c r="Z15"/>
  <c r="K15"/>
  <c r="I15"/>
  <c r="H15"/>
  <c r="G15"/>
  <c r="F15"/>
  <c r="E15"/>
  <c r="Z14"/>
  <c r="K14" s="1"/>
  <c r="I14"/>
  <c r="H14"/>
  <c r="G14"/>
  <c r="F14"/>
  <c r="E14"/>
  <c r="Z13"/>
  <c r="K13"/>
  <c r="I13"/>
  <c r="H13"/>
  <c r="G13"/>
  <c r="F13"/>
  <c r="E13"/>
  <c r="AC12"/>
  <c r="AA12" s="1"/>
  <c r="Z12"/>
  <c r="K12"/>
  <c r="I12"/>
  <c r="H12"/>
  <c r="G12"/>
  <c r="F12"/>
  <c r="E12"/>
  <c r="AC11"/>
  <c r="AA11" s="1"/>
  <c r="Z11"/>
  <c r="K11"/>
  <c r="I11"/>
  <c r="H11"/>
  <c r="G11"/>
  <c r="F11"/>
  <c r="E11"/>
  <c r="AC10"/>
  <c r="AA10"/>
  <c r="Z10"/>
  <c r="K10" s="1"/>
  <c r="I10"/>
  <c r="H10"/>
  <c r="G10"/>
  <c r="F10"/>
  <c r="E10"/>
  <c r="AC9"/>
  <c r="AA9" s="1"/>
  <c r="Z9"/>
  <c r="K9"/>
  <c r="I9"/>
  <c r="H9"/>
  <c r="G9"/>
  <c r="F9"/>
  <c r="E9"/>
  <c r="AC8"/>
  <c r="AA8" s="1"/>
  <c r="Z8"/>
  <c r="K8"/>
  <c r="I8"/>
  <c r="H8"/>
  <c r="G8"/>
  <c r="F8"/>
  <c r="E8"/>
  <c r="AC7"/>
  <c r="AA7" s="1"/>
  <c r="Z7"/>
  <c r="K7"/>
  <c r="I7"/>
  <c r="H7"/>
  <c r="G7"/>
  <c r="F7"/>
  <c r="E7"/>
  <c r="AC6"/>
  <c r="AA6" s="1"/>
  <c r="Z6"/>
  <c r="K6" s="1"/>
  <c r="I6"/>
  <c r="H6"/>
  <c r="G6"/>
  <c r="F6"/>
  <c r="E6"/>
  <c r="AC5"/>
  <c r="AA5" s="1"/>
  <c r="Z5"/>
  <c r="K5"/>
  <c r="I5"/>
  <c r="H5"/>
  <c r="G5"/>
  <c r="F5"/>
  <c r="E5"/>
  <c r="AC4"/>
  <c r="AA4"/>
  <c r="Z4"/>
  <c r="K4"/>
  <c r="I4"/>
  <c r="H4"/>
  <c r="G4"/>
  <c r="F4"/>
  <c r="E4"/>
  <c r="AI3"/>
  <c r="AH3"/>
  <c r="AG3"/>
  <c r="AF3"/>
  <c r="C28" i="22"/>
  <c r="D28" s="1" a="1"/>
  <c r="D28" s="1"/>
  <c r="AM25"/>
  <c r="L25"/>
  <c r="V25" s="1"/>
  <c r="AA25" s="1"/>
  <c r="AM24"/>
  <c r="AA24"/>
  <c r="AM23"/>
  <c r="AA23"/>
  <c r="E23"/>
  <c r="AM22"/>
  <c r="V21"/>
  <c r="AA21" s="1"/>
  <c r="AA26" s="1"/>
  <c r="AC19"/>
  <c r="AA19"/>
  <c r="Z19"/>
  <c r="K19" s="1"/>
  <c r="I19"/>
  <c r="H19"/>
  <c r="G19"/>
  <c r="F19"/>
  <c r="E19"/>
  <c r="AT18"/>
  <c r="T22" s="1"/>
  <c r="AA22" s="1"/>
  <c r="AS18"/>
  <c r="AR18"/>
  <c r="AM18"/>
  <c r="I25" s="1"/>
  <c r="AC18"/>
  <c r="AA18" s="1"/>
  <c r="Z18"/>
  <c r="K18"/>
  <c r="I18"/>
  <c r="H18"/>
  <c r="G18"/>
  <c r="F18"/>
  <c r="E18"/>
  <c r="AC17"/>
  <c r="AA17" s="1"/>
  <c r="Z17"/>
  <c r="K17" s="1"/>
  <c r="I17"/>
  <c r="H17"/>
  <c r="G17"/>
  <c r="F17"/>
  <c r="E17"/>
  <c r="AC16"/>
  <c r="AA16" s="1"/>
  <c r="Z16"/>
  <c r="K16"/>
  <c r="I16"/>
  <c r="H16"/>
  <c r="G16"/>
  <c r="F16"/>
  <c r="E16"/>
  <c r="AC15"/>
  <c r="AA15" s="1"/>
  <c r="Z15"/>
  <c r="K15" s="1"/>
  <c r="I15"/>
  <c r="H15"/>
  <c r="G15"/>
  <c r="F15"/>
  <c r="E15"/>
  <c r="AC14"/>
  <c r="AA14" s="1"/>
  <c r="Z14"/>
  <c r="K14" s="1"/>
  <c r="I14"/>
  <c r="H14"/>
  <c r="G14"/>
  <c r="F14"/>
  <c r="E14"/>
  <c r="AC13"/>
  <c r="AA13" s="1"/>
  <c r="Z13"/>
  <c r="K13"/>
  <c r="I13"/>
  <c r="H13"/>
  <c r="G13"/>
  <c r="F13"/>
  <c r="E13"/>
  <c r="AC12"/>
  <c r="AA12"/>
  <c r="Z12"/>
  <c r="K12" s="1"/>
  <c r="I12"/>
  <c r="H12"/>
  <c r="G12"/>
  <c r="F12"/>
  <c r="E12"/>
  <c r="AC11"/>
  <c r="AA11" s="1"/>
  <c r="Z11"/>
  <c r="K11"/>
  <c r="I11"/>
  <c r="H11"/>
  <c r="G11"/>
  <c r="F11"/>
  <c r="E11"/>
  <c r="AC10"/>
  <c r="AA10" s="1"/>
  <c r="Z10"/>
  <c r="K10" s="1"/>
  <c r="I10"/>
  <c r="H10"/>
  <c r="G10"/>
  <c r="F10"/>
  <c r="E10"/>
  <c r="Z9"/>
  <c r="K9"/>
  <c r="I9"/>
  <c r="H9"/>
  <c r="G9"/>
  <c r="F9"/>
  <c r="E9"/>
  <c r="Z8"/>
  <c r="K8" s="1"/>
  <c r="I8"/>
  <c r="H8"/>
  <c r="G8"/>
  <c r="F8"/>
  <c r="E8"/>
  <c r="AC7"/>
  <c r="AA7" s="1"/>
  <c r="Z7"/>
  <c r="K7"/>
  <c r="I7"/>
  <c r="H7"/>
  <c r="G7"/>
  <c r="F7"/>
  <c r="E7"/>
  <c r="AC6"/>
  <c r="AA6" s="1"/>
  <c r="Z6"/>
  <c r="K6" s="1"/>
  <c r="I6"/>
  <c r="H6"/>
  <c r="G6"/>
  <c r="F6"/>
  <c r="E6"/>
  <c r="AC5"/>
  <c r="AA5" s="1"/>
  <c r="Z5"/>
  <c r="K5"/>
  <c r="I5"/>
  <c r="H5"/>
  <c r="G5"/>
  <c r="F5"/>
  <c r="E5"/>
  <c r="AC4"/>
  <c r="AA4" s="1"/>
  <c r="Z4"/>
  <c r="K4" s="1"/>
  <c r="I4"/>
  <c r="H4"/>
  <c r="G4"/>
  <c r="F4"/>
  <c r="E4"/>
  <c r="AI3"/>
  <c r="AH3"/>
  <c r="AG3"/>
  <c r="AF3"/>
  <c r="C28" i="21"/>
  <c r="D28" s="1" a="1"/>
  <c r="D28" s="1"/>
  <c r="J26"/>
  <c r="AA25"/>
  <c r="AA24"/>
  <c r="AA23"/>
  <c r="AA22"/>
  <c r="AA21"/>
  <c r="AA26" s="1"/>
  <c r="AV20"/>
  <c r="AU20"/>
  <c r="AT20"/>
  <c r="AM20"/>
  <c r="Z19"/>
  <c r="K19" s="1"/>
  <c r="H19"/>
  <c r="G19"/>
  <c r="F19"/>
  <c r="E19"/>
  <c r="AC18"/>
  <c r="AA18"/>
  <c r="Z18"/>
  <c r="K18" s="1"/>
  <c r="H18"/>
  <c r="G18"/>
  <c r="F18"/>
  <c r="E18"/>
  <c r="AC17"/>
  <c r="AA17" s="1"/>
  <c r="Z17"/>
  <c r="K17" s="1"/>
  <c r="H17"/>
  <c r="G17"/>
  <c r="F17"/>
  <c r="E17"/>
  <c r="AC16"/>
  <c r="AA16" s="1"/>
  <c r="Z16"/>
  <c r="K16" s="1"/>
  <c r="H16"/>
  <c r="G16"/>
  <c r="F16"/>
  <c r="AC15"/>
  <c r="AA15" s="1"/>
  <c r="Z15"/>
  <c r="K15"/>
  <c r="H15"/>
  <c r="G15"/>
  <c r="F15"/>
  <c r="E15"/>
  <c r="AC14"/>
  <c r="AA14" s="1"/>
  <c r="K14"/>
  <c r="H14"/>
  <c r="G14"/>
  <c r="F14"/>
  <c r="E14"/>
  <c r="AC13"/>
  <c r="AA13" s="1"/>
  <c r="Z13"/>
  <c r="K13" s="1"/>
  <c r="H13"/>
  <c r="G13"/>
  <c r="F13"/>
  <c r="E13"/>
  <c r="AC12"/>
  <c r="AA12"/>
  <c r="Z12"/>
  <c r="K12" s="1"/>
  <c r="H12"/>
  <c r="G12"/>
  <c r="F12"/>
  <c r="E12"/>
  <c r="AC11"/>
  <c r="AA11" s="1"/>
  <c r="Z11"/>
  <c r="K11" s="1"/>
  <c r="H11"/>
  <c r="G11"/>
  <c r="F11"/>
  <c r="E11"/>
  <c r="AC10"/>
  <c r="AA10" s="1"/>
  <c r="Z10"/>
  <c r="K10" s="1"/>
  <c r="H10"/>
  <c r="G10"/>
  <c r="F10"/>
  <c r="E10"/>
  <c r="AC9"/>
  <c r="AA9" s="1"/>
  <c r="Z9"/>
  <c r="K9" s="1"/>
  <c r="H9"/>
  <c r="G9"/>
  <c r="F9"/>
  <c r="E9"/>
  <c r="AC8"/>
  <c r="AA8" s="1"/>
  <c r="Z8"/>
  <c r="K8" s="1"/>
  <c r="H8"/>
  <c r="G8"/>
  <c r="F8"/>
  <c r="E8"/>
  <c r="AC7"/>
  <c r="AA7" s="1"/>
  <c r="Z7"/>
  <c r="K7" s="1"/>
  <c r="H7"/>
  <c r="G7"/>
  <c r="F7"/>
  <c r="E7"/>
  <c r="AC6"/>
  <c r="AA6" s="1"/>
  <c r="Z6"/>
  <c r="H6"/>
  <c r="G6"/>
  <c r="F6"/>
  <c r="E6"/>
  <c r="AC5"/>
  <c r="AA5" s="1"/>
  <c r="Z5"/>
  <c r="H5"/>
  <c r="G5"/>
  <c r="F5"/>
  <c r="E5"/>
  <c r="AC4"/>
  <c r="AA4" s="1"/>
  <c r="Z4"/>
  <c r="H4"/>
  <c r="G4"/>
  <c r="F4"/>
  <c r="E4"/>
  <c r="AI3"/>
  <c r="AH3"/>
  <c r="AG3"/>
  <c r="AF3"/>
  <c r="C28" i="19"/>
  <c r="D28" s="1" a="1"/>
  <c r="D28" s="1"/>
  <c r="J26"/>
  <c r="AA25"/>
  <c r="AO24"/>
  <c r="AA24"/>
  <c r="AO23"/>
  <c r="AA23"/>
  <c r="AA21"/>
  <c r="AA26" s="1"/>
  <c r="AV20"/>
  <c r="T22" s="1"/>
  <c r="AA22" s="1"/>
  <c r="AU20"/>
  <c r="AO25" s="1"/>
  <c r="AT20"/>
  <c r="AM20"/>
  <c r="I25" s="1"/>
  <c r="AC19"/>
  <c r="AA19" s="1"/>
  <c r="Z19"/>
  <c r="I19"/>
  <c r="H19"/>
  <c r="G19"/>
  <c r="F19"/>
  <c r="E19"/>
  <c r="AC18"/>
  <c r="AA18" s="1"/>
  <c r="Z18"/>
  <c r="K18"/>
  <c r="I18"/>
  <c r="H18"/>
  <c r="G18"/>
  <c r="F18"/>
  <c r="E18"/>
  <c r="AC17"/>
  <c r="AA17" s="1"/>
  <c r="Z17"/>
  <c r="K17" s="1"/>
  <c r="I17"/>
  <c r="H17"/>
  <c r="G17"/>
  <c r="F17"/>
  <c r="E17"/>
  <c r="Z16"/>
  <c r="K16"/>
  <c r="I16"/>
  <c r="H16"/>
  <c r="G16"/>
  <c r="F16"/>
  <c r="E16"/>
  <c r="AC15"/>
  <c r="AA15" s="1"/>
  <c r="Z15"/>
  <c r="K15" s="1"/>
  <c r="I15"/>
  <c r="H15"/>
  <c r="G15"/>
  <c r="F15"/>
  <c r="E15"/>
  <c r="AC14"/>
  <c r="AA14" s="1"/>
  <c r="Z14"/>
  <c r="K14"/>
  <c r="I14"/>
  <c r="H14"/>
  <c r="G14"/>
  <c r="F14"/>
  <c r="E14"/>
  <c r="AC13"/>
  <c r="AA13" s="1"/>
  <c r="Z13"/>
  <c r="K13" s="1"/>
  <c r="I13"/>
  <c r="H13"/>
  <c r="G13"/>
  <c r="F13"/>
  <c r="E13"/>
  <c r="Z12"/>
  <c r="K12"/>
  <c r="I12"/>
  <c r="H12"/>
  <c r="G12"/>
  <c r="F12"/>
  <c r="E12"/>
  <c r="Z11"/>
  <c r="K11" s="1"/>
  <c r="I11"/>
  <c r="H11"/>
  <c r="G11"/>
  <c r="F11"/>
  <c r="E11"/>
  <c r="AC10"/>
  <c r="AA10" s="1"/>
  <c r="Z10"/>
  <c r="K10"/>
  <c r="I10"/>
  <c r="H10"/>
  <c r="G10"/>
  <c r="F10"/>
  <c r="E10"/>
  <c r="AC9"/>
  <c r="AA9" s="1"/>
  <c r="Z9"/>
  <c r="K9" s="1"/>
  <c r="I9"/>
  <c r="H9"/>
  <c r="G9"/>
  <c r="F9"/>
  <c r="E9"/>
  <c r="AC8"/>
  <c r="AA8" s="1"/>
  <c r="Z8"/>
  <c r="K8"/>
  <c r="I8"/>
  <c r="H8"/>
  <c r="G8"/>
  <c r="F8"/>
  <c r="E8"/>
  <c r="AC7"/>
  <c r="AA7" s="1"/>
  <c r="Z7"/>
  <c r="K7" s="1"/>
  <c r="I7"/>
  <c r="H7"/>
  <c r="G7"/>
  <c r="F7"/>
  <c r="E7"/>
  <c r="AC6"/>
  <c r="AA6" s="1"/>
  <c r="Z6"/>
  <c r="K6"/>
  <c r="I6"/>
  <c r="H6"/>
  <c r="G6"/>
  <c r="F6"/>
  <c r="E6"/>
  <c r="AC5"/>
  <c r="AA5" s="1"/>
  <c r="Z5"/>
  <c r="K5" s="1"/>
  <c r="I5"/>
  <c r="H5"/>
  <c r="G5"/>
  <c r="F5"/>
  <c r="E5"/>
  <c r="AC4"/>
  <c r="AA4" s="1"/>
  <c r="Z4"/>
  <c r="K4"/>
  <c r="I4"/>
  <c r="H4"/>
  <c r="G4"/>
  <c r="F4"/>
  <c r="E4"/>
  <c r="AI3"/>
  <c r="AH3"/>
  <c r="AG3"/>
  <c r="AF3"/>
  <c r="C28" i="17"/>
  <c r="D28" s="1" a="1"/>
  <c r="D28" s="1"/>
  <c r="J26"/>
  <c r="AA25"/>
  <c r="AO24"/>
  <c r="AA24"/>
  <c r="AO23"/>
  <c r="AA23"/>
  <c r="AA21"/>
  <c r="AA26" s="1"/>
  <c r="AV20"/>
  <c r="T22" s="1"/>
  <c r="AA22" s="1"/>
  <c r="AU20"/>
  <c r="AO25" s="1"/>
  <c r="AT20"/>
  <c r="AM20"/>
  <c r="I25" s="1"/>
  <c r="AC19"/>
  <c r="AA19"/>
  <c r="Z19"/>
  <c r="K19" s="1"/>
  <c r="I19"/>
  <c r="H19"/>
  <c r="G19"/>
  <c r="F19"/>
  <c r="E19"/>
  <c r="Z18"/>
  <c r="K18"/>
  <c r="I18"/>
  <c r="H18"/>
  <c r="G18"/>
  <c r="F18"/>
  <c r="E18"/>
  <c r="Z17"/>
  <c r="K17" s="1"/>
  <c r="I17"/>
  <c r="H17"/>
  <c r="G17"/>
  <c r="F17"/>
  <c r="E17"/>
  <c r="Z16"/>
  <c r="K16"/>
  <c r="I16"/>
  <c r="H16"/>
  <c r="G16"/>
  <c r="F16"/>
  <c r="E16"/>
  <c r="AC15"/>
  <c r="AA15" s="1"/>
  <c r="Z15"/>
  <c r="K15" s="1"/>
  <c r="I15"/>
  <c r="H15"/>
  <c r="G15"/>
  <c r="F15"/>
  <c r="E15"/>
  <c r="AC14"/>
  <c r="AA14"/>
  <c r="Z14"/>
  <c r="K14"/>
  <c r="I14"/>
  <c r="H14"/>
  <c r="G14"/>
  <c r="F14"/>
  <c r="E14"/>
  <c r="AC13"/>
  <c r="AA13" s="1"/>
  <c r="Z13"/>
  <c r="K13" s="1"/>
  <c r="I13"/>
  <c r="H13"/>
  <c r="G13"/>
  <c r="F13"/>
  <c r="E13"/>
  <c r="AC12"/>
  <c r="AA12" s="1"/>
  <c r="Z12"/>
  <c r="K12"/>
  <c r="I12"/>
  <c r="H12"/>
  <c r="G12"/>
  <c r="F12"/>
  <c r="E12"/>
  <c r="AC11"/>
  <c r="AA11"/>
  <c r="Z11"/>
  <c r="K11" s="1"/>
  <c r="I11"/>
  <c r="H11"/>
  <c r="G11"/>
  <c r="F11"/>
  <c r="E11"/>
  <c r="AC10"/>
  <c r="AA10" s="1"/>
  <c r="Z10"/>
  <c r="K10"/>
  <c r="I10"/>
  <c r="H10"/>
  <c r="G10"/>
  <c r="F10"/>
  <c r="E10"/>
  <c r="AC9"/>
  <c r="AA9" s="1"/>
  <c r="Z9"/>
  <c r="K9" s="1"/>
  <c r="I9"/>
  <c r="H9"/>
  <c r="G9"/>
  <c r="F9"/>
  <c r="E9"/>
  <c r="AC8"/>
  <c r="AA8" s="1"/>
  <c r="Z8"/>
  <c r="K8"/>
  <c r="I8"/>
  <c r="H8"/>
  <c r="G8"/>
  <c r="F8"/>
  <c r="E8"/>
  <c r="AC7"/>
  <c r="AA7" s="1"/>
  <c r="Z7"/>
  <c r="K7" s="1"/>
  <c r="I7"/>
  <c r="H7"/>
  <c r="G7"/>
  <c r="F7"/>
  <c r="E7"/>
  <c r="AC6"/>
  <c r="AA6" s="1"/>
  <c r="Z6"/>
  <c r="K6"/>
  <c r="I6"/>
  <c r="H6"/>
  <c r="G6"/>
  <c r="F6"/>
  <c r="E6"/>
  <c r="AC5"/>
  <c r="AA5" s="1"/>
  <c r="Z5"/>
  <c r="K5" s="1"/>
  <c r="I5"/>
  <c r="H5"/>
  <c r="G5"/>
  <c r="F5"/>
  <c r="E5"/>
  <c r="AC4"/>
  <c r="AA4" s="1"/>
  <c r="Z4"/>
  <c r="K4"/>
  <c r="I4"/>
  <c r="H4"/>
  <c r="G4"/>
  <c r="F4"/>
  <c r="E4"/>
  <c r="AI3"/>
  <c r="AH3"/>
  <c r="AG3"/>
  <c r="AF3"/>
  <c r="C28" i="16"/>
  <c r="D28" s="1" a="1"/>
  <c r="D28" s="1"/>
  <c r="L25"/>
  <c r="V25" s="1"/>
  <c r="AA25" s="1"/>
  <c r="AM24"/>
  <c r="AA24"/>
  <c r="AM23"/>
  <c r="AA23"/>
  <c r="E23"/>
  <c r="AM22"/>
  <c r="AM26" s="1"/>
  <c r="T22"/>
  <c r="AA22" s="1"/>
  <c r="V21"/>
  <c r="AA21" s="1"/>
  <c r="AA26" s="1"/>
  <c r="Z19"/>
  <c r="K19" s="1"/>
  <c r="I19"/>
  <c r="H19"/>
  <c r="G19"/>
  <c r="F19"/>
  <c r="E19"/>
  <c r="AT18"/>
  <c r="AS18"/>
  <c r="AM25" s="1"/>
  <c r="AR18"/>
  <c r="AM18"/>
  <c r="I25" s="1"/>
  <c r="Z18"/>
  <c r="K18"/>
  <c r="I18"/>
  <c r="H18"/>
  <c r="G18"/>
  <c r="F18"/>
  <c r="E18"/>
  <c r="Z17"/>
  <c r="K17" s="1"/>
  <c r="I17"/>
  <c r="H17"/>
  <c r="G17"/>
  <c r="F17"/>
  <c r="E17"/>
  <c r="Z16"/>
  <c r="K16"/>
  <c r="I16"/>
  <c r="H16"/>
  <c r="G16"/>
  <c r="F16"/>
  <c r="E16"/>
  <c r="AC15"/>
  <c r="AA15" s="1"/>
  <c r="Z15"/>
  <c r="K15" s="1"/>
  <c r="I15"/>
  <c r="H15"/>
  <c r="G15"/>
  <c r="F15"/>
  <c r="E15"/>
  <c r="AC14"/>
  <c r="AA14" s="1"/>
  <c r="Z14"/>
  <c r="K14"/>
  <c r="I14"/>
  <c r="H14"/>
  <c r="G14"/>
  <c r="F14"/>
  <c r="E14"/>
  <c r="AC13"/>
  <c r="AA13" s="1"/>
  <c r="Z13"/>
  <c r="K13" s="1"/>
  <c r="I13"/>
  <c r="H13"/>
  <c r="G13"/>
  <c r="F13"/>
  <c r="E13"/>
  <c r="AC12"/>
  <c r="AA12" s="1"/>
  <c r="Z12"/>
  <c r="K12" s="1"/>
  <c r="I12"/>
  <c r="H12"/>
  <c r="G12"/>
  <c r="F12"/>
  <c r="E12"/>
  <c r="AC11"/>
  <c r="AA11" s="1"/>
  <c r="Z11"/>
  <c r="K11" s="1"/>
  <c r="I11"/>
  <c r="H11"/>
  <c r="G11"/>
  <c r="F11"/>
  <c r="E11"/>
  <c r="AC10"/>
  <c r="AA10" s="1"/>
  <c r="Z10"/>
  <c r="K10"/>
  <c r="I10"/>
  <c r="H10"/>
  <c r="G10"/>
  <c r="F10"/>
  <c r="E10"/>
  <c r="AC9"/>
  <c r="AA9" s="1"/>
  <c r="Z9"/>
  <c r="K9"/>
  <c r="I9"/>
  <c r="H9"/>
  <c r="G9"/>
  <c r="F9"/>
  <c r="E9"/>
  <c r="AC8"/>
  <c r="AA8" s="1"/>
  <c r="Z8"/>
  <c r="K8"/>
  <c r="I8"/>
  <c r="H8"/>
  <c r="G8"/>
  <c r="F8"/>
  <c r="E8"/>
  <c r="AC7"/>
  <c r="AA7" s="1"/>
  <c r="Z7"/>
  <c r="K7" s="1"/>
  <c r="I7"/>
  <c r="H7"/>
  <c r="G7"/>
  <c r="F7"/>
  <c r="E7"/>
  <c r="AC6"/>
  <c r="AA6" s="1"/>
  <c r="Z6"/>
  <c r="K6"/>
  <c r="I6"/>
  <c r="H6"/>
  <c r="G6"/>
  <c r="F6"/>
  <c r="E6"/>
  <c r="AC5"/>
  <c r="AA5" s="1"/>
  <c r="Z5"/>
  <c r="K5"/>
  <c r="I5"/>
  <c r="H5"/>
  <c r="G5"/>
  <c r="F5"/>
  <c r="E5"/>
  <c r="AC4"/>
  <c r="AA4" s="1"/>
  <c r="Z4"/>
  <c r="K4" s="1"/>
  <c r="I4"/>
  <c r="H4"/>
  <c r="G4"/>
  <c r="F4"/>
  <c r="E4"/>
  <c r="AI3"/>
  <c r="AH3"/>
  <c r="AG3"/>
  <c r="AF3"/>
  <c r="C28" i="15"/>
  <c r="D28" s="1" a="1"/>
  <c r="D28" s="1"/>
  <c r="J26"/>
  <c r="AM25"/>
  <c r="AA25"/>
  <c r="AM24"/>
  <c r="AA24"/>
  <c r="AA23"/>
  <c r="AA21"/>
  <c r="AV20"/>
  <c r="T22" s="1"/>
  <c r="AA22" s="1"/>
  <c r="AU20"/>
  <c r="AM26" s="1"/>
  <c r="AT20"/>
  <c r="AM20"/>
  <c r="I25" s="1"/>
  <c r="AC19"/>
  <c r="AA19" s="1"/>
  <c r="Z19"/>
  <c r="K19"/>
  <c r="H19"/>
  <c r="G19"/>
  <c r="F19"/>
  <c r="E19"/>
  <c r="AC18"/>
  <c r="AA18" s="1"/>
  <c r="Z18"/>
  <c r="K18"/>
  <c r="H18"/>
  <c r="G18"/>
  <c r="F18"/>
  <c r="E18"/>
  <c r="AC17"/>
  <c r="AA17" s="1"/>
  <c r="Z17"/>
  <c r="K17"/>
  <c r="H17"/>
  <c r="G17"/>
  <c r="F17"/>
  <c r="E17"/>
  <c r="Z16"/>
  <c r="K16"/>
  <c r="H16"/>
  <c r="G16"/>
  <c r="F16"/>
  <c r="E16"/>
  <c r="AC15"/>
  <c r="AA15" s="1"/>
  <c r="Z15"/>
  <c r="K15"/>
  <c r="H15"/>
  <c r="G15"/>
  <c r="F15"/>
  <c r="E15"/>
  <c r="AC14"/>
  <c r="AA14" s="1"/>
  <c r="Z14"/>
  <c r="K14"/>
  <c r="H14"/>
  <c r="G14"/>
  <c r="F14"/>
  <c r="E14"/>
  <c r="AC13"/>
  <c r="AA13" s="1"/>
  <c r="Z13"/>
  <c r="K13"/>
  <c r="H13"/>
  <c r="G13"/>
  <c r="F13"/>
  <c r="E13"/>
  <c r="AC12"/>
  <c r="AA12" s="1"/>
  <c r="Z12"/>
  <c r="K12"/>
  <c r="H12"/>
  <c r="G12"/>
  <c r="F12"/>
  <c r="E12"/>
  <c r="AC11"/>
  <c r="AA11" s="1"/>
  <c r="Z11"/>
  <c r="K11"/>
  <c r="H11"/>
  <c r="G11"/>
  <c r="F11"/>
  <c r="E11"/>
  <c r="AC10"/>
  <c r="AA10" s="1"/>
  <c r="Z10"/>
  <c r="K10"/>
  <c r="H10"/>
  <c r="G10"/>
  <c r="F10"/>
  <c r="E10"/>
  <c r="AC9"/>
  <c r="AA9" s="1"/>
  <c r="Z9"/>
  <c r="K9"/>
  <c r="H9"/>
  <c r="G9"/>
  <c r="F9"/>
  <c r="E9"/>
  <c r="Z8"/>
  <c r="K8"/>
  <c r="AC7"/>
  <c r="AA7" s="1"/>
  <c r="Z7"/>
  <c r="K7"/>
  <c r="H7"/>
  <c r="G7"/>
  <c r="F7"/>
  <c r="E7"/>
  <c r="AC6"/>
  <c r="AA6" s="1"/>
  <c r="Z6"/>
  <c r="K6"/>
  <c r="H6"/>
  <c r="G6"/>
  <c r="F6"/>
  <c r="E6"/>
  <c r="AC5"/>
  <c r="AA5" s="1"/>
  <c r="Z5"/>
  <c r="K5"/>
  <c r="H5"/>
  <c r="G5"/>
  <c r="F5"/>
  <c r="E5"/>
  <c r="AC4"/>
  <c r="AA4" s="1"/>
  <c r="Z4"/>
  <c r="K4"/>
  <c r="H4"/>
  <c r="G4"/>
  <c r="F4"/>
  <c r="E4"/>
  <c r="AI3"/>
  <c r="AH3"/>
  <c r="AG3"/>
  <c r="AF3"/>
  <c r="C28" i="14"/>
  <c r="C29" s="1"/>
  <c r="AM26"/>
  <c r="J26"/>
  <c r="AA25"/>
  <c r="AM24"/>
  <c r="AA24"/>
  <c r="AA23"/>
  <c r="T22"/>
  <c r="AA22" s="1"/>
  <c r="AA21"/>
  <c r="AA26" s="1"/>
  <c r="AV20"/>
  <c r="AU20"/>
  <c r="AT20"/>
  <c r="AM25" s="1"/>
  <c r="AM20"/>
  <c r="I25" s="1"/>
  <c r="Z19"/>
  <c r="K19" s="1"/>
  <c r="AC18"/>
  <c r="Z18"/>
  <c r="K18" s="1"/>
  <c r="AC17"/>
  <c r="AA17" s="1"/>
  <c r="Z17"/>
  <c r="K17" s="1"/>
  <c r="AC16"/>
  <c r="AA16" s="1"/>
  <c r="Z16"/>
  <c r="K16" s="1"/>
  <c r="AC15"/>
  <c r="AA15" s="1"/>
  <c r="Z15"/>
  <c r="K15" s="1"/>
  <c r="AC14"/>
  <c r="AA14"/>
  <c r="Z14"/>
  <c r="K14" s="1"/>
  <c r="AC13"/>
  <c r="AA13"/>
  <c r="Z13"/>
  <c r="K13" s="1"/>
  <c r="AC12"/>
  <c r="AA12" s="1"/>
  <c r="Z12"/>
  <c r="K12" s="1"/>
  <c r="AC11"/>
  <c r="Z11"/>
  <c r="K11" s="1"/>
  <c r="AC10"/>
  <c r="AA10" s="1"/>
  <c r="Z10"/>
  <c r="K10"/>
  <c r="AC9"/>
  <c r="Z9"/>
  <c r="K9"/>
  <c r="AC8"/>
  <c r="AA8" s="1"/>
  <c r="Z8"/>
  <c r="K8"/>
  <c r="AC7"/>
  <c r="AA7" s="1"/>
  <c r="Z7"/>
  <c r="K7"/>
  <c r="AC6"/>
  <c r="AA6" s="1"/>
  <c r="Z6"/>
  <c r="K6"/>
  <c r="AC5"/>
  <c r="AA5" s="1"/>
  <c r="Z5"/>
  <c r="K5"/>
  <c r="AC4"/>
  <c r="AA4"/>
  <c r="Z4"/>
  <c r="K4"/>
  <c r="AI3"/>
  <c r="AH3"/>
  <c r="AG3"/>
  <c r="AF3"/>
  <c r="C28" i="13"/>
  <c r="C29" s="1"/>
  <c r="D29" s="1" a="1"/>
  <c r="D29" s="1"/>
  <c r="AM25"/>
  <c r="AA25"/>
  <c r="L25"/>
  <c r="V25" s="1"/>
  <c r="I25"/>
  <c r="AA24"/>
  <c r="AM23"/>
  <c r="AA23"/>
  <c r="E23"/>
  <c r="AA22"/>
  <c r="V21"/>
  <c r="AA21" s="1"/>
  <c r="AC19"/>
  <c r="AA19" s="1"/>
  <c r="Z19"/>
  <c r="K19"/>
  <c r="I19"/>
  <c r="H19"/>
  <c r="G19"/>
  <c r="F19"/>
  <c r="E19"/>
  <c r="AT18"/>
  <c r="AS18"/>
  <c r="AR18"/>
  <c r="AM24" s="1"/>
  <c r="AM18"/>
  <c r="AM22" s="1"/>
  <c r="AM26" s="1"/>
  <c r="AC18"/>
  <c r="AA18"/>
  <c r="Z18"/>
  <c r="K18" s="1"/>
  <c r="I18"/>
  <c r="H18"/>
  <c r="G18"/>
  <c r="F18"/>
  <c r="E18"/>
  <c r="AC17"/>
  <c r="AA17"/>
  <c r="Z17"/>
  <c r="K17" s="1"/>
  <c r="I17"/>
  <c r="H17"/>
  <c r="G17"/>
  <c r="F17"/>
  <c r="E17"/>
  <c r="AC16"/>
  <c r="AA16"/>
  <c r="Z16"/>
  <c r="K16"/>
  <c r="I16"/>
  <c r="H16"/>
  <c r="G16"/>
  <c r="F16"/>
  <c r="E16"/>
  <c r="AC15"/>
  <c r="AA15" s="1"/>
  <c r="Z15"/>
  <c r="K15" s="1"/>
  <c r="I15"/>
  <c r="H15"/>
  <c r="G15"/>
  <c r="F15"/>
  <c r="E15"/>
  <c r="Z14"/>
  <c r="K14"/>
  <c r="I14"/>
  <c r="H14"/>
  <c r="G14"/>
  <c r="F14"/>
  <c r="E14"/>
  <c r="Z13"/>
  <c r="K13" s="1"/>
  <c r="I13"/>
  <c r="H13"/>
  <c r="G13"/>
  <c r="F13"/>
  <c r="E13"/>
  <c r="Z12"/>
  <c r="K12"/>
  <c r="I12"/>
  <c r="H12"/>
  <c r="G12"/>
  <c r="F12"/>
  <c r="E12"/>
  <c r="Z11"/>
  <c r="K11"/>
  <c r="I11"/>
  <c r="H11"/>
  <c r="G11"/>
  <c r="F11"/>
  <c r="E11"/>
  <c r="Z10"/>
  <c r="K10" s="1"/>
  <c r="I10"/>
  <c r="H10"/>
  <c r="G10"/>
  <c r="F10"/>
  <c r="E10"/>
  <c r="Z9"/>
  <c r="K9" s="1"/>
  <c r="I9"/>
  <c r="H9"/>
  <c r="G9"/>
  <c r="F9"/>
  <c r="E9"/>
  <c r="AC8"/>
  <c r="AA8"/>
  <c r="Z8"/>
  <c r="K8"/>
  <c r="I8"/>
  <c r="H8"/>
  <c r="G8"/>
  <c r="F8"/>
  <c r="E8"/>
  <c r="AC7"/>
  <c r="AA7" s="1"/>
  <c r="Z7"/>
  <c r="K7" s="1"/>
  <c r="I7"/>
  <c r="H7"/>
  <c r="G7"/>
  <c r="F7"/>
  <c r="E7"/>
  <c r="AC6"/>
  <c r="AA6"/>
  <c r="Z6"/>
  <c r="K6"/>
  <c r="I6"/>
  <c r="H6"/>
  <c r="G6"/>
  <c r="F6"/>
  <c r="E6"/>
  <c r="AC5"/>
  <c r="AA5" s="1"/>
  <c r="Z5"/>
  <c r="K5" s="1"/>
  <c r="I5"/>
  <c r="H5"/>
  <c r="G5"/>
  <c r="F5"/>
  <c r="E5"/>
  <c r="AC4"/>
  <c r="AA4" s="1"/>
  <c r="Z4"/>
  <c r="K4"/>
  <c r="I4"/>
  <c r="H4"/>
  <c r="G4"/>
  <c r="F4"/>
  <c r="E4"/>
  <c r="AI3"/>
  <c r="AH3"/>
  <c r="AG3"/>
  <c r="AF3"/>
  <c r="C28" i="12"/>
  <c r="D28" s="1" a="1"/>
  <c r="D28" s="1"/>
  <c r="AM25"/>
  <c r="L25"/>
  <c r="U25" s="1"/>
  <c r="AM24"/>
  <c r="AA24"/>
  <c r="AM23"/>
  <c r="AA23"/>
  <c r="E23"/>
  <c r="AA22"/>
  <c r="V21"/>
  <c r="AA21" s="1"/>
  <c r="Z19"/>
  <c r="K19"/>
  <c r="I19"/>
  <c r="H19"/>
  <c r="G19"/>
  <c r="F19"/>
  <c r="E19"/>
  <c r="AT18"/>
  <c r="AS18"/>
  <c r="AR18"/>
  <c r="AM18"/>
  <c r="AM22" s="1"/>
  <c r="AM26" s="1"/>
  <c r="AC18"/>
  <c r="AA18" s="1"/>
  <c r="Z18"/>
  <c r="K18"/>
  <c r="I18"/>
  <c r="H18"/>
  <c r="G18"/>
  <c r="F18"/>
  <c r="E18"/>
  <c r="AC17"/>
  <c r="AA17" s="1"/>
  <c r="Z17"/>
  <c r="K17" s="1"/>
  <c r="I17"/>
  <c r="H17"/>
  <c r="G17"/>
  <c r="F17"/>
  <c r="E17"/>
  <c r="AC16"/>
  <c r="AA16" s="1"/>
  <c r="Z16"/>
  <c r="K16" s="1"/>
  <c r="I16"/>
  <c r="H16"/>
  <c r="G16"/>
  <c r="F16"/>
  <c r="E16"/>
  <c r="AC15"/>
  <c r="AA15" s="1"/>
  <c r="Z15"/>
  <c r="K15"/>
  <c r="I15"/>
  <c r="H15"/>
  <c r="G15"/>
  <c r="F15"/>
  <c r="E15"/>
  <c r="AC14"/>
  <c r="AA14" s="1"/>
  <c r="Z14"/>
  <c r="K14"/>
  <c r="I14"/>
  <c r="H14"/>
  <c r="G14"/>
  <c r="F14"/>
  <c r="E14"/>
  <c r="AC13"/>
  <c r="AA13" s="1"/>
  <c r="Z13"/>
  <c r="K13" s="1"/>
  <c r="I13"/>
  <c r="H13"/>
  <c r="G13"/>
  <c r="F13"/>
  <c r="E13"/>
  <c r="AC12"/>
  <c r="AA12" s="1"/>
  <c r="Z12"/>
  <c r="K12" s="1"/>
  <c r="I12"/>
  <c r="H12"/>
  <c r="G12"/>
  <c r="F12"/>
  <c r="E12"/>
  <c r="AC11"/>
  <c r="AA11" s="1"/>
  <c r="Z11"/>
  <c r="K11"/>
  <c r="I11"/>
  <c r="H11"/>
  <c r="G11"/>
  <c r="F11"/>
  <c r="E11"/>
  <c r="Z10"/>
  <c r="K10"/>
  <c r="I10"/>
  <c r="H10"/>
  <c r="G10"/>
  <c r="F10"/>
  <c r="E10"/>
  <c r="Z9"/>
  <c r="K9" s="1"/>
  <c r="I9"/>
  <c r="H9"/>
  <c r="G9"/>
  <c r="F9"/>
  <c r="E9"/>
  <c r="Z8"/>
  <c r="K8" s="1"/>
  <c r="I8"/>
  <c r="H8"/>
  <c r="G8"/>
  <c r="F8"/>
  <c r="E8"/>
  <c r="AC7"/>
  <c r="AA7"/>
  <c r="Z7"/>
  <c r="K7"/>
  <c r="I7"/>
  <c r="H7"/>
  <c r="G7"/>
  <c r="F7"/>
  <c r="E7"/>
  <c r="AC6"/>
  <c r="AA6" s="1"/>
  <c r="Z6"/>
  <c r="K6"/>
  <c r="I6"/>
  <c r="H6"/>
  <c r="G6"/>
  <c r="F6"/>
  <c r="E6"/>
  <c r="AC5"/>
  <c r="AA5" s="1"/>
  <c r="Z5"/>
  <c r="K5" s="1"/>
  <c r="I5"/>
  <c r="H5"/>
  <c r="G5"/>
  <c r="F5"/>
  <c r="E5"/>
  <c r="AC4"/>
  <c r="AA4" s="1"/>
  <c r="Z4"/>
  <c r="K4" s="1"/>
  <c r="I4"/>
  <c r="H4"/>
  <c r="G4"/>
  <c r="F4"/>
  <c r="E4"/>
  <c r="AI3"/>
  <c r="AH3"/>
  <c r="AG3"/>
  <c r="AF3"/>
  <c r="C28" i="11"/>
  <c r="D28" s="1" a="1"/>
  <c r="D28" s="1"/>
  <c r="AM25"/>
  <c r="L25"/>
  <c r="U25" s="1"/>
  <c r="AA24"/>
  <c r="AM23"/>
  <c r="AA23"/>
  <c r="E23"/>
  <c r="AM22"/>
  <c r="AM26" s="1"/>
  <c r="AA22"/>
  <c r="V21"/>
  <c r="AA21" s="1"/>
  <c r="AC19"/>
  <c r="AA19" s="1"/>
  <c r="Z19"/>
  <c r="K19"/>
  <c r="I19"/>
  <c r="H19"/>
  <c r="G19"/>
  <c r="F19"/>
  <c r="E19"/>
  <c r="AT18"/>
  <c r="AS18"/>
  <c r="AR18"/>
  <c r="AM24" s="1"/>
  <c r="AM18"/>
  <c r="I25" s="1"/>
  <c r="AC18"/>
  <c r="AA18" s="1"/>
  <c r="Z18"/>
  <c r="I18"/>
  <c r="H18"/>
  <c r="G18"/>
  <c r="F18"/>
  <c r="E18"/>
  <c r="AC17"/>
  <c r="AA17" s="1"/>
  <c r="Z17"/>
  <c r="K17" s="1"/>
  <c r="I17"/>
  <c r="H17"/>
  <c r="G17"/>
  <c r="F17"/>
  <c r="E17"/>
  <c r="Z16"/>
  <c r="K16"/>
  <c r="I16"/>
  <c r="H16"/>
  <c r="G16"/>
  <c r="F16"/>
  <c r="E16"/>
  <c r="AC15"/>
  <c r="AA15" s="1"/>
  <c r="Z15"/>
  <c r="K15"/>
  <c r="I15"/>
  <c r="H15"/>
  <c r="G15"/>
  <c r="F15"/>
  <c r="E15"/>
  <c r="AC14"/>
  <c r="AA14" s="1"/>
  <c r="Z14"/>
  <c r="I14"/>
  <c r="H14"/>
  <c r="G14"/>
  <c r="F14"/>
  <c r="E14"/>
  <c r="AC13"/>
  <c r="AA13" s="1"/>
  <c r="Z13"/>
  <c r="K13" s="1"/>
  <c r="I13"/>
  <c r="H13"/>
  <c r="G13"/>
  <c r="F13"/>
  <c r="E13"/>
  <c r="AC12"/>
  <c r="AA12" s="1"/>
  <c r="Z12"/>
  <c r="K12"/>
  <c r="I12"/>
  <c r="H12"/>
  <c r="G12"/>
  <c r="F12"/>
  <c r="E12"/>
  <c r="AC11"/>
  <c r="AA11" s="1"/>
  <c r="Z11"/>
  <c r="K11"/>
  <c r="I11"/>
  <c r="H11"/>
  <c r="G11"/>
  <c r="F11"/>
  <c r="E11"/>
  <c r="Z10"/>
  <c r="K10" s="1"/>
  <c r="I10"/>
  <c r="H10"/>
  <c r="G10"/>
  <c r="F10"/>
  <c r="E10"/>
  <c r="Z9"/>
  <c r="K9" s="1"/>
  <c r="I9"/>
  <c r="H9"/>
  <c r="G9"/>
  <c r="F9"/>
  <c r="E9"/>
  <c r="Z8"/>
  <c r="K8"/>
  <c r="I8"/>
  <c r="H8"/>
  <c r="G8"/>
  <c r="F8"/>
  <c r="E8"/>
  <c r="Z7"/>
  <c r="K7"/>
  <c r="I7"/>
  <c r="H7"/>
  <c r="G7"/>
  <c r="F7"/>
  <c r="E7"/>
  <c r="Z6"/>
  <c r="K6" s="1"/>
  <c r="I6"/>
  <c r="H6"/>
  <c r="G6"/>
  <c r="F6"/>
  <c r="E6"/>
  <c r="AC5"/>
  <c r="AA5" s="1"/>
  <c r="Z5"/>
  <c r="K5" s="1"/>
  <c r="I5"/>
  <c r="H5"/>
  <c r="G5"/>
  <c r="F5"/>
  <c r="E5"/>
  <c r="AC4"/>
  <c r="AA4" s="1"/>
  <c r="Z4"/>
  <c r="K4"/>
  <c r="I4"/>
  <c r="H4"/>
  <c r="G4"/>
  <c r="F4"/>
  <c r="E4"/>
  <c r="AI3"/>
  <c r="AH3"/>
  <c r="AG3"/>
  <c r="AF3"/>
  <c r="C28" i="9"/>
  <c r="D28" s="1" a="1"/>
  <c r="D28" s="1"/>
  <c r="L25"/>
  <c r="V25" s="1"/>
  <c r="AA25" s="1"/>
  <c r="AM24"/>
  <c r="AA24"/>
  <c r="AM23"/>
  <c r="AA23"/>
  <c r="E23"/>
  <c r="AM22"/>
  <c r="V21"/>
  <c r="AA21" s="1"/>
  <c r="Z19"/>
  <c r="K19" s="1"/>
  <c r="I19"/>
  <c r="H19"/>
  <c r="G19"/>
  <c r="F19"/>
  <c r="E19"/>
  <c r="AT18"/>
  <c r="T22" s="1"/>
  <c r="AA22" s="1"/>
  <c r="AS18"/>
  <c r="AM25" s="1"/>
  <c r="AR18"/>
  <c r="AM18"/>
  <c r="I25" s="1"/>
  <c r="AC18"/>
  <c r="AA18" s="1"/>
  <c r="Z18"/>
  <c r="K18"/>
  <c r="I18"/>
  <c r="H18"/>
  <c r="G18"/>
  <c r="F18"/>
  <c r="E18"/>
  <c r="Z17"/>
  <c r="K17"/>
  <c r="I17"/>
  <c r="H17"/>
  <c r="G17"/>
  <c r="F17"/>
  <c r="E17"/>
  <c r="AC16"/>
  <c r="AA16" s="1"/>
  <c r="Z16"/>
  <c r="K16" s="1"/>
  <c r="I16"/>
  <c r="H16"/>
  <c r="G16"/>
  <c r="F16"/>
  <c r="E16"/>
  <c r="AC15"/>
  <c r="AA15" s="1"/>
  <c r="Z15"/>
  <c r="K15" s="1"/>
  <c r="I15"/>
  <c r="H15"/>
  <c r="G15"/>
  <c r="F15"/>
  <c r="E15"/>
  <c r="AC14"/>
  <c r="AA14" s="1"/>
  <c r="Z14"/>
  <c r="K14"/>
  <c r="I14"/>
  <c r="H14"/>
  <c r="G14"/>
  <c r="F14"/>
  <c r="E14"/>
  <c r="AC13"/>
  <c r="AA13" s="1"/>
  <c r="Z13"/>
  <c r="K13"/>
  <c r="I13"/>
  <c r="H13"/>
  <c r="G13"/>
  <c r="F13"/>
  <c r="E13"/>
  <c r="Z12"/>
  <c r="K12" s="1"/>
  <c r="I12"/>
  <c r="H12"/>
  <c r="G12"/>
  <c r="F12"/>
  <c r="E12"/>
  <c r="Z11"/>
  <c r="K11" s="1"/>
  <c r="I11"/>
  <c r="H11"/>
  <c r="G11"/>
  <c r="F11"/>
  <c r="E11"/>
  <c r="Z10"/>
  <c r="K10"/>
  <c r="I10"/>
  <c r="H10"/>
  <c r="G10"/>
  <c r="F10"/>
  <c r="E10"/>
  <c r="AC9"/>
  <c r="AA9" s="1"/>
  <c r="Z9"/>
  <c r="K9"/>
  <c r="I9"/>
  <c r="H9"/>
  <c r="G9"/>
  <c r="F9"/>
  <c r="E9"/>
  <c r="AC8"/>
  <c r="AA8" s="1"/>
  <c r="Z8"/>
  <c r="K8" s="1"/>
  <c r="I8"/>
  <c r="H8"/>
  <c r="G8"/>
  <c r="F8"/>
  <c r="E8"/>
  <c r="AC7"/>
  <c r="AA7" s="1"/>
  <c r="Z7"/>
  <c r="K7" s="1"/>
  <c r="I7"/>
  <c r="H7"/>
  <c r="G7"/>
  <c r="F7"/>
  <c r="E7"/>
  <c r="AC6"/>
  <c r="AA6" s="1"/>
  <c r="Z6"/>
  <c r="K6"/>
  <c r="I6"/>
  <c r="H6"/>
  <c r="G6"/>
  <c r="F6"/>
  <c r="E6"/>
  <c r="AC5"/>
  <c r="AA5" s="1"/>
  <c r="Z5"/>
  <c r="K5"/>
  <c r="I5"/>
  <c r="H5"/>
  <c r="G5"/>
  <c r="F5"/>
  <c r="E5"/>
  <c r="AC4"/>
  <c r="AA4" s="1"/>
  <c r="Z4"/>
  <c r="K4" s="1"/>
  <c r="I4"/>
  <c r="H4"/>
  <c r="G4"/>
  <c r="F4"/>
  <c r="E4"/>
  <c r="AI3"/>
  <c r="AH3"/>
  <c r="AG3"/>
  <c r="AF3"/>
  <c r="C28" i="8"/>
  <c r="D28" s="1" a="1"/>
  <c r="D28" s="1"/>
  <c r="AA25"/>
  <c r="U25"/>
  <c r="AM24"/>
  <c r="AA24"/>
  <c r="AM23"/>
  <c r="AA23"/>
  <c r="E23"/>
  <c r="AM22"/>
  <c r="V21"/>
  <c r="AA21" s="1"/>
  <c r="AA26" s="1"/>
  <c r="Z19"/>
  <c r="K19" s="1"/>
  <c r="I19"/>
  <c r="H19"/>
  <c r="G19"/>
  <c r="F19"/>
  <c r="E19"/>
  <c r="AT18"/>
  <c r="T22" s="1"/>
  <c r="AA22" s="1"/>
  <c r="AS18"/>
  <c r="AM25" s="1"/>
  <c r="AR18"/>
  <c r="AM18"/>
  <c r="I25" s="1"/>
  <c r="AC18"/>
  <c r="AA18" s="1"/>
  <c r="Z18"/>
  <c r="K18"/>
  <c r="I18"/>
  <c r="H18"/>
  <c r="G18"/>
  <c r="F18"/>
  <c r="E18"/>
  <c r="AC17"/>
  <c r="AA17" s="1"/>
  <c r="Z17"/>
  <c r="K17"/>
  <c r="I17"/>
  <c r="H17"/>
  <c r="G17"/>
  <c r="F17"/>
  <c r="E17"/>
  <c r="AC16"/>
  <c r="AA16" s="1"/>
  <c r="Z16"/>
  <c r="I16"/>
  <c r="H16"/>
  <c r="G16"/>
  <c r="F16"/>
  <c r="E16"/>
  <c r="AC15"/>
  <c r="AA15" s="1"/>
  <c r="Z15"/>
  <c r="K15" s="1"/>
  <c r="I15"/>
  <c r="H15"/>
  <c r="G15"/>
  <c r="F15"/>
  <c r="E15"/>
  <c r="AC14"/>
  <c r="AA14" s="1"/>
  <c r="Z14"/>
  <c r="K14"/>
  <c r="I14"/>
  <c r="H14"/>
  <c r="G14"/>
  <c r="F14"/>
  <c r="E14"/>
  <c r="AC13"/>
  <c r="AA13" s="1"/>
  <c r="Z13"/>
  <c r="K13"/>
  <c r="I13"/>
  <c r="H13"/>
  <c r="G13"/>
  <c r="F13"/>
  <c r="E13"/>
  <c r="AC12"/>
  <c r="AA12" s="1"/>
  <c r="Z12"/>
  <c r="K12" s="1"/>
  <c r="I12"/>
  <c r="H12"/>
  <c r="G12"/>
  <c r="F12"/>
  <c r="E12"/>
  <c r="AC11"/>
  <c r="AA11" s="1"/>
  <c r="Z11"/>
  <c r="K11" s="1"/>
  <c r="I11"/>
  <c r="H11"/>
  <c r="G11"/>
  <c r="F11"/>
  <c r="E11"/>
  <c r="AC10"/>
  <c r="AA10" s="1"/>
  <c r="Z10"/>
  <c r="K10"/>
  <c r="I10"/>
  <c r="H10"/>
  <c r="G10"/>
  <c r="F10"/>
  <c r="E10"/>
  <c r="AC9"/>
  <c r="AA9" s="1"/>
  <c r="Z9"/>
  <c r="K9"/>
  <c r="I9"/>
  <c r="H9"/>
  <c r="G9"/>
  <c r="F9"/>
  <c r="E9"/>
  <c r="AC8"/>
  <c r="AA8" s="1"/>
  <c r="Z8"/>
  <c r="K8" s="1"/>
  <c r="I8"/>
  <c r="H8"/>
  <c r="G8"/>
  <c r="F8"/>
  <c r="E8"/>
  <c r="Z7"/>
  <c r="K7" s="1"/>
  <c r="I7"/>
  <c r="H7"/>
  <c r="G7"/>
  <c r="F7"/>
  <c r="E7"/>
  <c r="AC6"/>
  <c r="AA6" s="1"/>
  <c r="Z6"/>
  <c r="K6"/>
  <c r="I6"/>
  <c r="H6"/>
  <c r="G6"/>
  <c r="F6"/>
  <c r="E6"/>
  <c r="AC5"/>
  <c r="AA5" s="1"/>
  <c r="Z5"/>
  <c r="K5"/>
  <c r="I5"/>
  <c r="H5"/>
  <c r="G5"/>
  <c r="F5"/>
  <c r="E5"/>
  <c r="AC4"/>
  <c r="AA4" s="1"/>
  <c r="Z4"/>
  <c r="I4"/>
  <c r="H4"/>
  <c r="G4"/>
  <c r="F4"/>
  <c r="E4"/>
  <c r="AI3"/>
  <c r="AH3"/>
  <c r="AG3"/>
  <c r="AF3"/>
  <c r="C28" i="7"/>
  <c r="D28" s="1" a="1"/>
  <c r="D28" s="1"/>
  <c r="L25"/>
  <c r="U25" s="1"/>
  <c r="I25"/>
  <c r="AA24"/>
  <c r="AM23"/>
  <c r="AA23"/>
  <c r="E23"/>
  <c r="V21"/>
  <c r="AA21" s="1"/>
  <c r="AC19"/>
  <c r="AA19" s="1"/>
  <c r="Z19"/>
  <c r="K19"/>
  <c r="I19"/>
  <c r="H19"/>
  <c r="G19"/>
  <c r="F19"/>
  <c r="E19"/>
  <c r="AS18"/>
  <c r="AM25" s="1"/>
  <c r="AR18"/>
  <c r="AM24" s="1"/>
  <c r="AM18"/>
  <c r="AM22" s="1"/>
  <c r="AC18"/>
  <c r="AA18" s="1"/>
  <c r="Z18"/>
  <c r="K18" s="1"/>
  <c r="I18"/>
  <c r="H18"/>
  <c r="G18"/>
  <c r="F18"/>
  <c r="E18"/>
  <c r="AC17"/>
  <c r="AA17" s="1"/>
  <c r="Z17"/>
  <c r="I17"/>
  <c r="H17"/>
  <c r="G17"/>
  <c r="F17"/>
  <c r="E17"/>
  <c r="Z16"/>
  <c r="K16"/>
  <c r="I16"/>
  <c r="H16"/>
  <c r="G16"/>
  <c r="F16"/>
  <c r="E16"/>
  <c r="Z15"/>
  <c r="K15"/>
  <c r="I15"/>
  <c r="H15"/>
  <c r="G15"/>
  <c r="F15"/>
  <c r="E15"/>
  <c r="AC14"/>
  <c r="AA14" s="1"/>
  <c r="Z14"/>
  <c r="K14" s="1"/>
  <c r="I14"/>
  <c r="H14"/>
  <c r="G14"/>
  <c r="F14"/>
  <c r="E14"/>
  <c r="AC13"/>
  <c r="AA13" s="1"/>
  <c r="Z13"/>
  <c r="K13" s="1"/>
  <c r="I13"/>
  <c r="H13"/>
  <c r="G13"/>
  <c r="F13"/>
  <c r="E13"/>
  <c r="AC12"/>
  <c r="AA12" s="1"/>
  <c r="Z12"/>
  <c r="K12"/>
  <c r="I12"/>
  <c r="H12"/>
  <c r="G12"/>
  <c r="F12"/>
  <c r="E12"/>
  <c r="AC11"/>
  <c r="AA11" s="1"/>
  <c r="Z11"/>
  <c r="K11"/>
  <c r="I11"/>
  <c r="H11"/>
  <c r="G11"/>
  <c r="F11"/>
  <c r="E11"/>
  <c r="AC10"/>
  <c r="AA10" s="1"/>
  <c r="Z10"/>
  <c r="I10"/>
  <c r="H10"/>
  <c r="G10"/>
  <c r="F10"/>
  <c r="E10"/>
  <c r="AC9"/>
  <c r="AA9" s="1"/>
  <c r="Z9"/>
  <c r="K9" s="1"/>
  <c r="I9"/>
  <c r="H9"/>
  <c r="G9"/>
  <c r="F9"/>
  <c r="E9"/>
  <c r="AC8"/>
  <c r="AA8" s="1"/>
  <c r="Z8"/>
  <c r="K8"/>
  <c r="I8"/>
  <c r="H8"/>
  <c r="G8"/>
  <c r="F8"/>
  <c r="E8"/>
  <c r="AC7"/>
  <c r="AA7" s="1"/>
  <c r="Z7"/>
  <c r="K7"/>
  <c r="I7"/>
  <c r="H7"/>
  <c r="G7"/>
  <c r="F7"/>
  <c r="E7"/>
  <c r="AT6"/>
  <c r="AT18" s="1"/>
  <c r="T22" s="1"/>
  <c r="AA22" s="1"/>
  <c r="Z6"/>
  <c r="K6" s="1"/>
  <c r="I6"/>
  <c r="H6"/>
  <c r="G6"/>
  <c r="F6"/>
  <c r="E6"/>
  <c r="AC5"/>
  <c r="AA5" s="1"/>
  <c r="Z5"/>
  <c r="K5"/>
  <c r="I5"/>
  <c r="H5"/>
  <c r="G5"/>
  <c r="F5"/>
  <c r="E5"/>
  <c r="AC4"/>
  <c r="AA4" s="1"/>
  <c r="Z4"/>
  <c r="K4"/>
  <c r="I4"/>
  <c r="H4"/>
  <c r="G4"/>
  <c r="F4"/>
  <c r="E4"/>
  <c r="AI3"/>
  <c r="AH3"/>
  <c r="AG3"/>
  <c r="AF3"/>
  <c r="AA26" i="13" l="1"/>
  <c r="AC17" i="30"/>
  <c r="AA17" s="1"/>
  <c r="AC15" i="7"/>
  <c r="AA15" s="1"/>
  <c r="AC19" i="9"/>
  <c r="AA19" s="1"/>
  <c r="AC12"/>
  <c r="AA12" s="1"/>
  <c r="AC8" i="11"/>
  <c r="AA8" s="1"/>
  <c r="AC8" i="12"/>
  <c r="AA8" s="1"/>
  <c r="AC10" i="13"/>
  <c r="AA10" s="1"/>
  <c r="AC14"/>
  <c r="AA14" s="1"/>
  <c r="AC16" i="16"/>
  <c r="AA16" s="1"/>
  <c r="AA20" s="1"/>
  <c r="I24" s="1"/>
  <c r="AC16" i="17"/>
  <c r="AA16" s="1"/>
  <c r="AC11" i="19"/>
  <c r="AA11" s="1"/>
  <c r="AC9" i="22"/>
  <c r="AA9" s="1"/>
  <c r="AC14" i="23"/>
  <c r="AA14" s="1"/>
  <c r="AC13" i="25"/>
  <c r="AA13" s="1"/>
  <c r="AC16" i="27"/>
  <c r="AA16" s="1"/>
  <c r="AC19" i="28"/>
  <c r="AA19" s="1"/>
  <c r="AC18" i="31"/>
  <c r="AA18" s="1"/>
  <c r="AC18" i="32"/>
  <c r="AA18" s="1"/>
  <c r="AC18" i="33"/>
  <c r="AA18" s="1"/>
  <c r="AC6" i="34"/>
  <c r="AA6" s="1"/>
  <c r="AC16" i="30"/>
  <c r="AA16" s="1"/>
  <c r="AC6" i="7"/>
  <c r="AA6" s="1"/>
  <c r="AC7" i="8"/>
  <c r="AA7" s="1"/>
  <c r="AC11" i="9"/>
  <c r="AA11" s="1"/>
  <c r="AC7" i="11"/>
  <c r="AA7" s="1"/>
  <c r="AC19" i="12"/>
  <c r="AA19" s="1"/>
  <c r="AC9" i="13"/>
  <c r="AA9" s="1"/>
  <c r="AC13"/>
  <c r="AA13" s="1"/>
  <c r="AC8" i="15"/>
  <c r="AA8" s="1"/>
  <c r="AC19" i="16"/>
  <c r="AA19" s="1"/>
  <c r="AC16" i="19"/>
  <c r="AA16" s="1"/>
  <c r="AC8" i="22"/>
  <c r="AA8" s="1"/>
  <c r="AC13" i="23"/>
  <c r="AA13" s="1"/>
  <c r="AA20" s="1"/>
  <c r="AC19" i="25"/>
  <c r="AA19" s="1"/>
  <c r="AC15" i="27"/>
  <c r="AA15" s="1"/>
  <c r="AC18" i="28"/>
  <c r="AA18" s="1"/>
  <c r="AC17" i="31"/>
  <c r="AA17" s="1"/>
  <c r="AC17" i="32"/>
  <c r="AA17" s="1"/>
  <c r="AC17" i="33"/>
  <c r="AA17" s="1"/>
  <c r="AC14" i="34"/>
  <c r="AA14" s="1"/>
  <c r="AC15" i="30"/>
  <c r="AA15" s="1"/>
  <c r="AC19"/>
  <c r="AA19" s="1"/>
  <c r="AC19" i="8"/>
  <c r="AA19" s="1"/>
  <c r="AC10" i="9"/>
  <c r="AA10" s="1"/>
  <c r="AC6" i="11"/>
  <c r="AA6" s="1"/>
  <c r="AA20" s="1"/>
  <c r="AC10"/>
  <c r="AA10" s="1"/>
  <c r="AC10" i="12"/>
  <c r="AA10" s="1"/>
  <c r="AC12" i="13"/>
  <c r="AA12" s="1"/>
  <c r="AC16" i="15"/>
  <c r="AA16" s="1"/>
  <c r="AC18" i="16"/>
  <c r="AA18" s="1"/>
  <c r="AC18" i="17"/>
  <c r="AA18" s="1"/>
  <c r="AC19" i="21"/>
  <c r="AA19" s="1"/>
  <c r="AC17" i="23"/>
  <c r="AA17" s="1"/>
  <c r="AC18" i="25"/>
  <c r="AA18" s="1"/>
  <c r="AC6"/>
  <c r="AA6" s="1"/>
  <c r="AC10" i="27"/>
  <c r="AA10" s="1"/>
  <c r="AC16" i="31"/>
  <c r="AA16" s="1"/>
  <c r="AC16" i="32"/>
  <c r="AA16" s="1"/>
  <c r="AC16" i="33"/>
  <c r="AA16" s="1"/>
  <c r="AC13" i="34"/>
  <c r="AA13" s="1"/>
  <c r="AC11" i="30"/>
  <c r="AA11" s="1"/>
  <c r="AA20" s="1"/>
  <c r="I24" s="1"/>
  <c r="AC18"/>
  <c r="AA18" s="1"/>
  <c r="AC16" i="7"/>
  <c r="AA16" s="1"/>
  <c r="AC17" i="9"/>
  <c r="AA17" s="1"/>
  <c r="AC16" i="11"/>
  <c r="AA16" s="1"/>
  <c r="AC9"/>
  <c r="AA9" s="1"/>
  <c r="AC9" i="12"/>
  <c r="AA9" s="1"/>
  <c r="AC11" i="13"/>
  <c r="AA11" s="1"/>
  <c r="AC19" i="14"/>
  <c r="AA19" s="1"/>
  <c r="AC17" i="16"/>
  <c r="AA17" s="1"/>
  <c r="AC17" i="17"/>
  <c r="AA17" s="1"/>
  <c r="AC12" i="19"/>
  <c r="AA12" s="1"/>
  <c r="AC19" i="23"/>
  <c r="AA19" s="1"/>
  <c r="AC15"/>
  <c r="AA15" s="1"/>
  <c r="AC8" i="25"/>
  <c r="AA8" s="1"/>
  <c r="AC9" i="27"/>
  <c r="AA9" s="1"/>
  <c r="AC15" i="31"/>
  <c r="AA15" s="1"/>
  <c r="AA20" s="1"/>
  <c r="I24" s="1"/>
  <c r="AC19"/>
  <c r="AA19" s="1"/>
  <c r="AC19" i="32"/>
  <c r="AA19" s="1"/>
  <c r="AA26"/>
  <c r="C29" i="9"/>
  <c r="D29" s="1" a="1"/>
  <c r="D29" s="1"/>
  <c r="C29" i="17"/>
  <c r="D29" s="1" a="1"/>
  <c r="D29" s="1"/>
  <c r="C29" i="19"/>
  <c r="D29" s="1" a="1"/>
  <c r="D29" s="1"/>
  <c r="AA26" i="33"/>
  <c r="U25"/>
  <c r="AA20" i="34"/>
  <c r="AA20" i="28"/>
  <c r="AA20" i="19"/>
  <c r="I24" s="1"/>
  <c r="AA20" i="15"/>
  <c r="AA20" i="8"/>
  <c r="I24" s="1"/>
  <c r="AA20" i="9"/>
  <c r="AA20" i="12"/>
  <c r="D29" i="14" a="1"/>
  <c r="D29" s="1"/>
  <c r="C30"/>
  <c r="D30" s="1" a="1"/>
  <c r="D30" s="1"/>
  <c r="D28" i="13" a="1"/>
  <c r="D28" s="1"/>
  <c r="D28" i="14" a="1"/>
  <c r="D28" s="1"/>
  <c r="C29" i="15"/>
  <c r="D28" i="28" a="1"/>
  <c r="D28" s="1"/>
  <c r="C29" i="30"/>
  <c r="C29" i="32"/>
  <c r="AA20" i="7"/>
  <c r="V25"/>
  <c r="AA25" s="1"/>
  <c r="C30" i="9"/>
  <c r="D30" s="1" a="1"/>
  <c r="D30" s="1"/>
  <c r="C29" i="22"/>
  <c r="D29" s="1" a="1"/>
  <c r="D29" s="1"/>
  <c r="AA20" i="27"/>
  <c r="C30" i="33"/>
  <c r="C29" i="34"/>
  <c r="D29" s="1" a="1"/>
  <c r="D29" s="1"/>
  <c r="U25" i="9"/>
  <c r="C29" i="16"/>
  <c r="AA20" i="22"/>
  <c r="I24" s="1"/>
  <c r="AA20" i="25"/>
  <c r="V25" i="28"/>
  <c r="AA25" s="1"/>
  <c r="AA26" s="1"/>
  <c r="I24" s="1"/>
  <c r="V25" i="12"/>
  <c r="AA25" s="1"/>
  <c r="AA26" s="1"/>
  <c r="C30" i="13"/>
  <c r="AA20" i="33"/>
  <c r="AA26" i="7"/>
  <c r="I24" s="1"/>
  <c r="AM26" i="8"/>
  <c r="AA20" i="13"/>
  <c r="I24" s="1"/>
  <c r="AM26" i="9"/>
  <c r="AA26"/>
  <c r="AM26" i="7"/>
  <c r="D29" i="15" a="1"/>
  <c r="D29" s="1"/>
  <c r="C30"/>
  <c r="I25" i="12"/>
  <c r="K10" i="7"/>
  <c r="C29"/>
  <c r="K4" i="8"/>
  <c r="K16"/>
  <c r="C29"/>
  <c r="C31" i="9"/>
  <c r="K14" i="11"/>
  <c r="K18"/>
  <c r="C29" i="12"/>
  <c r="AA20" i="14"/>
  <c r="I24" s="1"/>
  <c r="AM23"/>
  <c r="AM27" s="1"/>
  <c r="AA20" i="17"/>
  <c r="I24" s="1"/>
  <c r="K17" i="7"/>
  <c r="V25" i="11"/>
  <c r="AA25" s="1"/>
  <c r="AA26" s="1"/>
  <c r="C29"/>
  <c r="U25" i="13"/>
  <c r="AA26" i="15"/>
  <c r="AA20" i="21"/>
  <c r="I24" s="1"/>
  <c r="D28" i="23" a="1"/>
  <c r="D28" s="1"/>
  <c r="C29"/>
  <c r="K6" i="33"/>
  <c r="U25" i="16"/>
  <c r="AO22" i="17"/>
  <c r="AO26" s="1"/>
  <c r="K19" i="19"/>
  <c r="AO22"/>
  <c r="AO26" s="1"/>
  <c r="K4" i="21"/>
  <c r="K5"/>
  <c r="K6"/>
  <c r="U25" i="22"/>
  <c r="C29" i="31"/>
  <c r="AM26" i="33"/>
  <c r="K11" i="32"/>
  <c r="AM26" i="25"/>
  <c r="U25"/>
  <c r="V25"/>
  <c r="AA25" s="1"/>
  <c r="AA26" s="1"/>
  <c r="I24" s="1"/>
  <c r="K4" i="28"/>
  <c r="K10" i="33"/>
  <c r="C30" i="17"/>
  <c r="C30" i="19"/>
  <c r="C29" i="21"/>
  <c r="AM26" i="23"/>
  <c r="AA26" i="27"/>
  <c r="I24" s="1"/>
  <c r="U25" i="23"/>
  <c r="V25"/>
  <c r="AA25" s="1"/>
  <c r="AA26" s="1"/>
  <c r="D28" i="25" a="1"/>
  <c r="D28" s="1"/>
  <c r="C29"/>
  <c r="D28" i="27" a="1"/>
  <c r="D28" s="1"/>
  <c r="C29"/>
  <c r="I25" i="28"/>
  <c r="AM22"/>
  <c r="AM26" s="1"/>
  <c r="AM23" i="15"/>
  <c r="AM27" s="1"/>
  <c r="C30" i="28"/>
  <c r="AA20" i="32"/>
  <c r="I24" s="1"/>
  <c r="AA26" i="34"/>
  <c r="I24" s="1"/>
  <c r="AM23" i="30"/>
  <c r="AM27" s="1"/>
  <c r="C30" i="34"/>
  <c r="K6" i="30"/>
  <c r="K9" i="31"/>
  <c r="AM22" i="34"/>
  <c r="AM26" s="1"/>
  <c r="I24" i="11" l="1"/>
  <c r="I24" i="15"/>
  <c r="C30" i="22"/>
  <c r="C31" i="14"/>
  <c r="C32" s="1"/>
  <c r="I24" i="33"/>
  <c r="I24" i="9"/>
  <c r="I24" i="23"/>
  <c r="I24" i="12"/>
  <c r="C31" i="13"/>
  <c r="D30" a="1"/>
  <c r="D30" s="1"/>
  <c r="C30" i="16"/>
  <c r="D29" a="1"/>
  <c r="D29" s="1"/>
  <c r="D30" i="33" a="1"/>
  <c r="D30" s="1"/>
  <c r="C31"/>
  <c r="D29" i="30" a="1"/>
  <c r="D29" s="1"/>
  <c r="C30"/>
  <c r="D29" i="32" a="1"/>
  <c r="D29" s="1"/>
  <c r="C30"/>
  <c r="D30" i="22" a="1"/>
  <c r="D30" s="1"/>
  <c r="C31"/>
  <c r="D29" i="12" a="1"/>
  <c r="D29" s="1"/>
  <c r="C30"/>
  <c r="D31" i="9" a="1"/>
  <c r="D31" s="1"/>
  <c r="C32"/>
  <c r="D29" i="7" a="1"/>
  <c r="D29" s="1"/>
  <c r="C30"/>
  <c r="C30" i="27"/>
  <c r="D29" a="1"/>
  <c r="D29" s="1"/>
  <c r="C30" i="25"/>
  <c r="D29" a="1"/>
  <c r="D29" s="1"/>
  <c r="C31" i="17"/>
  <c r="D30" a="1"/>
  <c r="D30" s="1"/>
  <c r="C31" i="15"/>
  <c r="D30" a="1"/>
  <c r="D30" s="1"/>
  <c r="D30" i="28" a="1"/>
  <c r="D30" s="1"/>
  <c r="C31"/>
  <c r="C31" i="19"/>
  <c r="D30" a="1"/>
  <c r="D30" s="1"/>
  <c r="C30" i="11"/>
  <c r="D29" a="1"/>
  <c r="D29" s="1"/>
  <c r="D30" i="34" a="1"/>
  <c r="D30" s="1"/>
  <c r="C31"/>
  <c r="C30" i="21"/>
  <c r="D29" a="1"/>
  <c r="D29" s="1"/>
  <c r="D29" i="31" a="1"/>
  <c r="D29" s="1"/>
  <c r="C30"/>
  <c r="C30" i="23"/>
  <c r="D29" a="1"/>
  <c r="D29" s="1"/>
  <c r="D29" i="8" a="1"/>
  <c r="D29" s="1"/>
  <c r="C30"/>
  <c r="D31" i="14" l="1" a="1"/>
  <c r="D31" s="1"/>
  <c r="C31" i="32"/>
  <c r="D30" a="1"/>
  <c r="D30" s="1"/>
  <c r="C31" i="30"/>
  <c r="D30" a="1"/>
  <c r="D30" s="1"/>
  <c r="D31" i="13" a="1"/>
  <c r="D31" s="1"/>
  <c r="C32"/>
  <c r="D31" i="33" a="1"/>
  <c r="D31" s="1"/>
  <c r="C32"/>
  <c r="C31" i="16"/>
  <c r="D30" a="1"/>
  <c r="D30" s="1"/>
  <c r="D30" i="11" a="1"/>
  <c r="D30" s="1"/>
  <c r="C31"/>
  <c r="D31" i="19" a="1"/>
  <c r="D31" s="1"/>
  <c r="C32"/>
  <c r="D30" i="25" a="1"/>
  <c r="D30" s="1"/>
  <c r="C31"/>
  <c r="C32" i="34"/>
  <c r="D31" a="1"/>
  <c r="D31" s="1"/>
  <c r="C31" i="31"/>
  <c r="D30" a="1"/>
  <c r="D30" s="1"/>
  <c r="C31" i="7"/>
  <c r="D30" a="1"/>
  <c r="D30" s="1"/>
  <c r="C31" i="12"/>
  <c r="D30" a="1"/>
  <c r="D30" s="1"/>
  <c r="C31" i="8"/>
  <c r="D30" a="1"/>
  <c r="D30" s="1"/>
  <c r="C31" i="23"/>
  <c r="D30" a="1"/>
  <c r="D30" s="1"/>
  <c r="D30" i="21" a="1"/>
  <c r="D30" s="1"/>
  <c r="C31"/>
  <c r="C32" i="15"/>
  <c r="D31" a="1"/>
  <c r="D31" s="1"/>
  <c r="D31" i="17" a="1"/>
  <c r="D31" s="1"/>
  <c r="C32"/>
  <c r="D30" i="27" a="1"/>
  <c r="D30" s="1"/>
  <c r="C31"/>
  <c r="C32" i="28"/>
  <c r="D31" a="1"/>
  <c r="D31" s="1"/>
  <c r="C33" i="9"/>
  <c r="D32" a="1"/>
  <c r="D32" s="1"/>
  <c r="C33" i="14"/>
  <c r="D32" a="1"/>
  <c r="D32" s="1"/>
  <c r="C32" i="22"/>
  <c r="D31" a="1"/>
  <c r="D31" s="1"/>
  <c r="C32" i="32" l="1"/>
  <c r="D31" a="1"/>
  <c r="D31" s="1"/>
  <c r="C33" i="33"/>
  <c r="D32" a="1"/>
  <c r="D32" s="1"/>
  <c r="D31" i="16" a="1"/>
  <c r="D31" s="1"/>
  <c r="C32"/>
  <c r="D31" i="30" a="1"/>
  <c r="D31" s="1"/>
  <c r="C32"/>
  <c r="C33" i="13"/>
  <c r="D32" a="1"/>
  <c r="D32" s="1"/>
  <c r="D31" i="21" a="1"/>
  <c r="D31" s="1"/>
  <c r="C32"/>
  <c r="D33" i="14" a="1"/>
  <c r="D33" s="1"/>
  <c r="C34"/>
  <c r="D31" i="23" a="1"/>
  <c r="D31" s="1"/>
  <c r="C32"/>
  <c r="C32" i="8"/>
  <c r="D31" a="1"/>
  <c r="D31" s="1"/>
  <c r="C32" i="7"/>
  <c r="D31" a="1"/>
  <c r="D31" s="1"/>
  <c r="C32" i="31"/>
  <c r="D31" a="1"/>
  <c r="D31" s="1"/>
  <c r="D32" i="34" a="1"/>
  <c r="D32" s="1"/>
  <c r="C33"/>
  <c r="D32" i="17" a="1"/>
  <c r="D32" s="1"/>
  <c r="C33"/>
  <c r="D31" i="11" a="1"/>
  <c r="D31" s="1"/>
  <c r="C32"/>
  <c r="D32" i="22" a="1"/>
  <c r="D32" s="1"/>
  <c r="C33"/>
  <c r="D33" i="9" a="1"/>
  <c r="D33" s="1"/>
  <c r="C34"/>
  <c r="D32" i="28" a="1"/>
  <c r="D32" s="1"/>
  <c r="C33"/>
  <c r="D32" i="15" a="1"/>
  <c r="D32" s="1"/>
  <c r="C33"/>
  <c r="D31" i="12" a="1"/>
  <c r="D31" s="1"/>
  <c r="C32"/>
  <c r="D31" i="27" a="1"/>
  <c r="D31" s="1"/>
  <c r="C32"/>
  <c r="D31" i="25" a="1"/>
  <c r="D31" s="1"/>
  <c r="C32"/>
  <c r="D32" i="19" a="1"/>
  <c r="D32" s="1"/>
  <c r="C33"/>
  <c r="D33" i="33" l="1" a="1"/>
  <c r="D33" s="1"/>
  <c r="C34"/>
  <c r="C33" i="30"/>
  <c r="D32" a="1"/>
  <c r="D32" s="1"/>
  <c r="C34" i="13"/>
  <c r="D33" a="1"/>
  <c r="D33" s="1"/>
  <c r="C33" i="32"/>
  <c r="D32" a="1"/>
  <c r="D32" s="1"/>
  <c r="D32" i="16" a="1"/>
  <c r="D32" s="1"/>
  <c r="C33"/>
  <c r="D32" i="8" a="1"/>
  <c r="D32" s="1"/>
  <c r="C33"/>
  <c r="D33" i="19" a="1"/>
  <c r="D33" s="1"/>
  <c r="C34"/>
  <c r="D33" i="15" a="1"/>
  <c r="D33" s="1"/>
  <c r="C34"/>
  <c r="D34" i="9" a="1"/>
  <c r="D34" s="1"/>
  <c r="C35"/>
  <c r="D32" i="11" a="1"/>
  <c r="D32" s="1"/>
  <c r="C33"/>
  <c r="D33" i="17" a="1"/>
  <c r="D33" s="1"/>
  <c r="C34"/>
  <c r="D33" i="34" a="1"/>
  <c r="D33" s="1"/>
  <c r="C34"/>
  <c r="D34" i="14" a="1"/>
  <c r="D34" s="1"/>
  <c r="C35"/>
  <c r="D32" i="21" a="1"/>
  <c r="D32" s="1"/>
  <c r="C33"/>
  <c r="D32" i="31" a="1"/>
  <c r="D32" s="1"/>
  <c r="C33"/>
  <c r="D32" i="7" a="1"/>
  <c r="D32" s="1"/>
  <c r="C33"/>
  <c r="D32" i="25" a="1"/>
  <c r="D32" s="1"/>
  <c r="C33"/>
  <c r="D32" i="27" a="1"/>
  <c r="D32" s="1"/>
  <c r="C33"/>
  <c r="D32" i="12" a="1"/>
  <c r="D32" s="1"/>
  <c r="C33"/>
  <c r="D33" i="28" a="1"/>
  <c r="D33" s="1"/>
  <c r="C34"/>
  <c r="D33" i="22" a="1"/>
  <c r="D33" s="1"/>
  <c r="C34"/>
  <c r="D32" i="23" a="1"/>
  <c r="D32" s="1"/>
  <c r="C33"/>
  <c r="C34" i="16" l="1"/>
  <c r="D33" a="1"/>
  <c r="D33" s="1"/>
  <c r="C34" i="32"/>
  <c r="D33" a="1"/>
  <c r="D33" s="1"/>
  <c r="C35" i="33"/>
  <c r="D34" a="1"/>
  <c r="D34" s="1"/>
  <c r="C35" i="13"/>
  <c r="D34" a="1"/>
  <c r="D34" s="1"/>
  <c r="C34" i="30"/>
  <c r="D33" a="1"/>
  <c r="D33" s="1"/>
  <c r="C34" i="23"/>
  <c r="D33" a="1"/>
  <c r="D33" s="1"/>
  <c r="D34" i="22" a="1"/>
  <c r="D34" s="1"/>
  <c r="C35"/>
  <c r="D33" i="12" a="1"/>
  <c r="D33" s="1"/>
  <c r="C34"/>
  <c r="C34" i="25"/>
  <c r="D33" a="1"/>
  <c r="D33" s="1"/>
  <c r="D33" i="31" a="1"/>
  <c r="D33" s="1"/>
  <c r="C34"/>
  <c r="C34" i="21"/>
  <c r="D33" a="1"/>
  <c r="D33" s="1"/>
  <c r="D34" i="34" a="1"/>
  <c r="D34" s="1"/>
  <c r="C35"/>
  <c r="D35" i="9" a="1"/>
  <c r="D35" s="1"/>
  <c r="C36"/>
  <c r="D33" i="8" a="1"/>
  <c r="D33" s="1"/>
  <c r="C34"/>
  <c r="D34" i="28" a="1"/>
  <c r="D34" s="1"/>
  <c r="C35"/>
  <c r="C34" i="27"/>
  <c r="D33" a="1"/>
  <c r="D33" s="1"/>
  <c r="D33" i="7" a="1"/>
  <c r="D33" s="1"/>
  <c r="C34"/>
  <c r="D35" i="14" a="1"/>
  <c r="D35" s="1"/>
  <c r="C36"/>
  <c r="C35" i="17"/>
  <c r="D34" a="1"/>
  <c r="D34" s="1"/>
  <c r="C34" i="11"/>
  <c r="D33" a="1"/>
  <c r="D33" s="1"/>
  <c r="C35" i="15"/>
  <c r="D34" a="1"/>
  <c r="D34" s="1"/>
  <c r="C35" i="19"/>
  <c r="D34" a="1"/>
  <c r="D34" s="1"/>
  <c r="C35" i="32" l="1"/>
  <c r="D34" a="1"/>
  <c r="D34" s="1"/>
  <c r="D35" i="13" a="1"/>
  <c r="D35" s="1"/>
  <c r="C36"/>
  <c r="C35" i="16"/>
  <c r="D34" a="1"/>
  <c r="D34" s="1"/>
  <c r="D35" i="33" a="1"/>
  <c r="D35" s="1"/>
  <c r="C36"/>
  <c r="C35" i="30"/>
  <c r="D34" a="1"/>
  <c r="D34" s="1"/>
  <c r="D34" i="11" a="1"/>
  <c r="D34" s="1"/>
  <c r="C35"/>
  <c r="D34" i="25" a="1"/>
  <c r="D34" s="1"/>
  <c r="C35"/>
  <c r="D34" i="23" a="1"/>
  <c r="D34" s="1"/>
  <c r="C35"/>
  <c r="C36" i="28"/>
  <c r="D35" a="1"/>
  <c r="D35" s="1"/>
  <c r="C35" i="8"/>
  <c r="D34" a="1"/>
  <c r="D34" s="1"/>
  <c r="C35" i="31"/>
  <c r="D34" a="1"/>
  <c r="D34" s="1"/>
  <c r="C36" i="22"/>
  <c r="D35" a="1"/>
  <c r="D35" s="1"/>
  <c r="D35" i="19" a="1"/>
  <c r="D35" s="1"/>
  <c r="C36"/>
  <c r="D35" i="15" a="1"/>
  <c r="D35" s="1"/>
  <c r="C36"/>
  <c r="D35" i="17" a="1"/>
  <c r="D35" s="1"/>
  <c r="C36"/>
  <c r="D34" i="27" a="1"/>
  <c r="D34" s="1"/>
  <c r="C35"/>
  <c r="D34" i="21" a="1"/>
  <c r="D34" s="1"/>
  <c r="C35"/>
  <c r="C37" i="14"/>
  <c r="D37" s="1" a="1"/>
  <c r="D37" s="1"/>
  <c r="D36" a="1"/>
  <c r="D36" s="1"/>
  <c r="C35" i="7"/>
  <c r="D34" a="1"/>
  <c r="D34" s="1"/>
  <c r="C37" i="9"/>
  <c r="D37" s="1" a="1"/>
  <c r="D37" s="1"/>
  <c r="D36" a="1"/>
  <c r="D36" s="1"/>
  <c r="C36" i="34"/>
  <c r="D35" a="1"/>
  <c r="D35" s="1"/>
  <c r="D34" i="12" a="1"/>
  <c r="D34" s="1"/>
  <c r="C35"/>
  <c r="D35" i="32" l="1" a="1"/>
  <c r="D35" s="1"/>
  <c r="C36"/>
  <c r="C37" i="33"/>
  <c r="D37" s="1" a="1"/>
  <c r="D37" s="1"/>
  <c r="D36" a="1"/>
  <c r="D36" s="1"/>
  <c r="D35" i="30" a="1"/>
  <c r="D35" s="1"/>
  <c r="C36"/>
  <c r="C36" i="16"/>
  <c r="D35" a="1"/>
  <c r="D35" s="1"/>
  <c r="D36" i="13" a="1"/>
  <c r="D36" s="1"/>
  <c r="C37"/>
  <c r="D37" s="1" a="1"/>
  <c r="D37" s="1"/>
  <c r="C37" i="22"/>
  <c r="D37" s="1" a="1"/>
  <c r="D37" s="1"/>
  <c r="D36" a="1"/>
  <c r="D36" s="1"/>
  <c r="D36" i="28" a="1"/>
  <c r="D36" s="1"/>
  <c r="C37"/>
  <c r="D37" s="1" a="1"/>
  <c r="D37" s="1"/>
  <c r="D35" i="21" a="1"/>
  <c r="D35" s="1"/>
  <c r="C36"/>
  <c r="D36" i="17" a="1"/>
  <c r="D36" s="1"/>
  <c r="C37"/>
  <c r="D37" s="1" a="1"/>
  <c r="D37" s="1"/>
  <c r="D36" i="19" a="1"/>
  <c r="D36" s="1"/>
  <c r="C37"/>
  <c r="D37" s="1" a="1"/>
  <c r="D37" s="1"/>
  <c r="D35" i="23" a="1"/>
  <c r="D35" s="1"/>
  <c r="C36"/>
  <c r="D35" i="11" a="1"/>
  <c r="D35" s="1"/>
  <c r="C36"/>
  <c r="C36" i="12"/>
  <c r="D35" a="1"/>
  <c r="D35" s="1"/>
  <c r="D36" i="34" a="1"/>
  <c r="D36" s="1"/>
  <c r="C37"/>
  <c r="D37" s="1" a="1"/>
  <c r="D37" s="1"/>
  <c r="C36" i="7"/>
  <c r="D35" a="1"/>
  <c r="D35" s="1"/>
  <c r="D35" i="31" a="1"/>
  <c r="D35" s="1"/>
  <c r="C36"/>
  <c r="D35" i="8" a="1"/>
  <c r="D35" s="1"/>
  <c r="C36"/>
  <c r="D35" i="27" a="1"/>
  <c r="D35" s="1"/>
  <c r="C36"/>
  <c r="D36" i="15" a="1"/>
  <c r="D36" s="1"/>
  <c r="C37"/>
  <c r="D37" s="1" a="1"/>
  <c r="D37" s="1"/>
  <c r="D35" i="25" a="1"/>
  <c r="D35" s="1"/>
  <c r="C36"/>
  <c r="D36" i="16" l="1" a="1"/>
  <c r="D36" s="1"/>
  <c r="C37"/>
  <c r="D37" s="1" a="1"/>
  <c r="D37" s="1"/>
  <c r="C37" i="32"/>
  <c r="D37" s="1" a="1"/>
  <c r="D37" s="1"/>
  <c r="D36" a="1"/>
  <c r="D36" s="1"/>
  <c r="C37" i="30"/>
  <c r="D37" s="1" a="1"/>
  <c r="D37" s="1"/>
  <c r="D36" a="1"/>
  <c r="D36" s="1"/>
  <c r="D36" i="31" a="1"/>
  <c r="D36" s="1"/>
  <c r="C37"/>
  <c r="D37" s="1" a="1"/>
  <c r="D37" s="1"/>
  <c r="D36" i="11" a="1"/>
  <c r="D36" s="1"/>
  <c r="C37"/>
  <c r="D37" s="1" a="1"/>
  <c r="D37" s="1"/>
  <c r="D36" i="27" a="1"/>
  <c r="D36" s="1"/>
  <c r="C37"/>
  <c r="D37" s="1" a="1"/>
  <c r="D37" s="1"/>
  <c r="D36" i="7" a="1"/>
  <c r="D36" s="1"/>
  <c r="C37"/>
  <c r="D37" s="1" a="1"/>
  <c r="D37" s="1"/>
  <c r="C37" i="12"/>
  <c r="D37" s="1" a="1"/>
  <c r="D37" s="1"/>
  <c r="D36" a="1"/>
  <c r="D36" s="1"/>
  <c r="D36" i="25" a="1"/>
  <c r="D36" s="1"/>
  <c r="C37"/>
  <c r="D37" s="1" a="1"/>
  <c r="D37" s="1"/>
  <c r="D36" i="8" a="1"/>
  <c r="D36" s="1"/>
  <c r="C37"/>
  <c r="D37" s="1" a="1"/>
  <c r="D37" s="1"/>
  <c r="D36" i="23" a="1"/>
  <c r="D36" s="1"/>
  <c r="C37"/>
  <c r="D37" s="1" a="1"/>
  <c r="D37" s="1"/>
  <c r="D36" i="21" a="1"/>
  <c r="D36" s="1"/>
  <c r="C37"/>
  <c r="D37" s="1" a="1"/>
  <c r="D37" s="1"/>
</calcChain>
</file>

<file path=xl/comments1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  <family val="2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  <family val="2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  <family val="2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  <family val="2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  <family val="2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  <family val="2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  <family val="2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  <family val="2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  <family val="2"/>
          </rPr>
          <t>Insert value of any special bonuses your player has earned.
Be sure to do this in increments of 10,000.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  <family val="2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  <family val="2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  <family val="2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  <family val="2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  <family val="2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  <family val="2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  <family val="2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  <family val="2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  <family val="2"/>
          </rPr>
          <t>Insert value of any special bonuses your player has earned.
Be sure to do this in increments of 10,000.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  <family val="2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  <family val="2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  <family val="2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  <family val="2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  <family val="2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  <family val="2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  <family val="2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  <family val="2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  <family val="2"/>
          </rPr>
          <t>Insert value of any special bonuses your player has earned.
Be sure to do this in increments of 10,000.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  <family val="2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  <family val="2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  <family val="2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  <family val="2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  <family val="2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  <family val="2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  <family val="2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  <family val="2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  <family val="2"/>
          </rPr>
          <t>Insert value of any special bonuses your player has earned.
Be sure to do this in increments of 10,000.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  <family val="2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  <family val="2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  <family val="2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  <family val="2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  <family val="2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  <family val="2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  <family val="2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  <family val="2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  <family val="2"/>
          </rPr>
          <t>Insert value of any special bonuses your player has earned.
Be sure to do this in increments of 10,000.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  <family val="2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  <family val="2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  <family val="2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  <family val="2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  <family val="2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  <family val="2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  <family val="2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  <family val="2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  <family val="2"/>
          </rPr>
          <t>Insert value of any special bonuses your player has earned.
Be sure to do this in increments of 10,000.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  <family val="2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  <family val="2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  <family val="2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  <family val="2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  <family val="2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  <family val="2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  <family val="2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  <family val="2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  <family val="2"/>
          </rPr>
          <t>Insert value of any special bonuses your player has earned.
Be sure to do this in increments of 10,000.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  <family val="2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  <family val="2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  <family val="2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  <family val="2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  <family val="2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  <family val="2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  <family val="2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  <family val="2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  <family val="2"/>
          </rPr>
          <t>Insert value of any special bonuses your player has earned.
Be sure to do this in increments of 10,000.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  <family val="2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  <family val="2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  <family val="2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  <family val="2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  <family val="2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  <family val="2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  <family val="2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  <family val="2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  <family val="2"/>
          </rPr>
          <t>Insert value of any special bonuses your player has earned.
Be sure to do this in increments of 10,000.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  <family val="2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  <family val="2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  <family val="2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  <family val="2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  <family val="2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  <family val="2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  <family val="2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  <family val="2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  <family val="2"/>
          </rPr>
          <t>Insert value of any special bonuses your player has earned.
Be sure to do this in increments of 10,000.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  <family val="2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  <family val="2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  <family val="2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  <family val="2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  <family val="2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  <family val="2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  <family val="2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  <family val="2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  <family val="2"/>
          </rPr>
          <t>Insert value of any special bonuses your player has earned.
Be sure to do this in increments of 10,000.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  <family val="2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  <family val="2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  <family val="2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  <family val="2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  <family val="2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  <family val="2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  <family val="2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  <family val="2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  <family val="2"/>
          </rPr>
          <t>Insert value of any special bonuses your player has earned.
Be sure to do this in increments of 10,000.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color rgb="FF000000"/>
            <rFont val="Arial"/>
            <family val="2"/>
          </rPr>
          <t>These are the numbers on my temp Orcs while Chris is painting my actual Orcs</t>
        </r>
      </text>
    </comment>
    <comment ref="J3" authorId="0">
      <text>
        <r>
          <rPr>
            <sz val="10"/>
            <color rgb="FF000000"/>
            <rFont val="Arial"/>
            <family val="2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  <family val="2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  <family val="2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  <family val="2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  <family val="2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  <family val="2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  <family val="2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  <family val="2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  <family val="2"/>
          </rPr>
          <t>Insert value of any special bonuses your player has earned.
Be sure to do this in increments of 10,000.</t>
        </r>
      </text>
    </comment>
    <comment ref="C12" authorId="0">
      <text>
        <r>
          <rPr>
            <sz val="10"/>
            <color rgb="FF000000"/>
            <rFont val="Arial"/>
            <family val="2"/>
          </rPr>
          <t>Retired</t>
        </r>
      </text>
    </comment>
    <comment ref="C19" authorId="0">
      <text>
        <r>
          <rPr>
            <sz val="10"/>
            <color rgb="FF000000"/>
            <rFont val="Arial"/>
            <family val="2"/>
          </rPr>
          <t>RIP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  <family val="2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  <family val="2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  <family val="2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  <family val="2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  <family val="2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  <family val="2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  <family val="2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  <family val="2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  <family val="2"/>
          </rPr>
          <t>Insert value of any special bonuses your player has earned.
Be sure to do this in increments of 10,000.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  <family val="2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  <family val="2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  <family val="2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  <family val="2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  <family val="2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  <family val="2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  <family val="2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  <family val="2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  <family val="2"/>
          </rPr>
          <t>Insert value of any special bonuses your player has earned.
Be sure to do this in increments of 10,000.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  <family val="2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  <family val="2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  <family val="2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  <family val="2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  <family val="2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  <family val="2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  <family val="2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  <family val="2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  <family val="2"/>
          </rPr>
          <t>Insert value of any special bonuses your player has earned.
Be sure to do this in increments of 10,000.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  <family val="2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  <family val="2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  <family val="2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  <family val="2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  <family val="2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  <family val="2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  <family val="2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  <family val="2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  <family val="2"/>
          </rPr>
          <t>Insert value of any special bonuses your player has earned.
Be sure to do this in increments of 10,000.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  <family val="2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  <family val="2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  <family val="2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  <family val="2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  <family val="2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  <family val="2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  <family val="2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  <family val="2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  <family val="2"/>
          </rPr>
          <t>Insert value of any special bonuses your player has earned.
Be sure to do this in increments of 10,000.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  <family val="2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  <family val="2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  <family val="2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  <family val="2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  <family val="2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  <family val="2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  <family val="2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  <family val="2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  <family val="2"/>
          </rPr>
          <t>Insert value of any special bonuses your player has earned.
Be sure to do this in increments of 10,000.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  <family val="2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  <family val="2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  <family val="2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  <family val="2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  <family val="2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  <family val="2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  <family val="2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  <family val="2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  <family val="2"/>
          </rPr>
          <t>Insert value of any special bonuses your player has earned.
Be sure to do this in increments of 10,000.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  <family val="2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  <family val="2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  <family val="2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  <family val="2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  <family val="2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  <family val="2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  <family val="2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  <family val="2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  <family val="2"/>
          </rPr>
          <t>Insert value of any special bonuses your player has earned.
Be sure to do this in increments of 10,000.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  <family val="2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  <family val="2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  <family val="2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  <family val="2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  <family val="2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  <family val="2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  <family val="2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  <family val="2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  <family val="2"/>
          </rPr>
          <t>Insert value of any special bonuses your player has earned.
Be sure to do this in increments of 10,000.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color rgb="FF000000"/>
            <rFont val="Arial"/>
            <family val="2"/>
          </rPr>
          <t>DO NOT SORT THIS SHEET. If you need to, make a duplicate.
	-Phillip Ponzer
Dou you want to just protect/hide it?
	-Joseph Roberts
Protect might be a good idea. I think this information could be useful to people otherwise hiding it would be a better option. Or make a duplicate of this and hide the original.
	-Phillip Ponzer</t>
        </r>
      </text>
    </comment>
  </commentList>
</comments>
</file>

<file path=xl/sharedStrings.xml><?xml version="1.0" encoding="utf-8"?>
<sst xmlns="http://schemas.openxmlformats.org/spreadsheetml/2006/main" count="4548" uniqueCount="791">
  <si>
    <t>Race</t>
  </si>
  <si>
    <t>Rat Rat City</t>
  </si>
  <si>
    <t>Skaven</t>
  </si>
  <si>
    <t>Population: Orc</t>
  </si>
  <si>
    <t>Phillip</t>
  </si>
  <si>
    <t>Orc</t>
  </si>
  <si>
    <t>Killsum Razor Blades</t>
  </si>
  <si>
    <t>Dark Elf</t>
  </si>
  <si>
    <t>Quixotic Crushers</t>
  </si>
  <si>
    <t>Bretonnian</t>
  </si>
  <si>
    <t>Komodo Sinodons</t>
  </si>
  <si>
    <t>The Walking Dead</t>
  </si>
  <si>
    <t>Undead</t>
  </si>
  <si>
    <t>The DodgeBall All-Stars</t>
  </si>
  <si>
    <t>Chaos Dwarf</t>
  </si>
  <si>
    <t>Fink Foulers</t>
  </si>
  <si>
    <t>Kemperbad Lords</t>
  </si>
  <si>
    <t>Silver Tower Guardians</t>
  </si>
  <si>
    <t>The Herculadies</t>
  </si>
  <si>
    <t>Byrchwood Blodgers</t>
  </si>
  <si>
    <t>Riverdale Ravagers</t>
  </si>
  <si>
    <t>Chaos Pact</t>
  </si>
  <si>
    <t>GoldDiggers</t>
  </si>
  <si>
    <t>Blood Mountain Berserkers</t>
  </si>
  <si>
    <t>The Flying Circus</t>
  </si>
  <si>
    <t>Nurgle</t>
  </si>
  <si>
    <t>Jacksonville Thrillers</t>
  </si>
  <si>
    <t>Necromantic</t>
  </si>
  <si>
    <t>Turtle Isle Typhoons</t>
  </si>
  <si>
    <t>Simyin</t>
  </si>
  <si>
    <t>Hellions of Troy</t>
  </si>
  <si>
    <t>The Replacements</t>
  </si>
  <si>
    <t>Player Name</t>
  </si>
  <si>
    <t>Touchdowns</t>
  </si>
  <si>
    <t>Casualties</t>
  </si>
  <si>
    <t>Kills</t>
  </si>
  <si>
    <t>Pinky</t>
  </si>
  <si>
    <t>Gutter Runner</t>
  </si>
  <si>
    <t>Steve the Pirate</t>
  </si>
  <si>
    <t>Hobgoblin</t>
  </si>
  <si>
    <t>Dodgeball All-Stars</t>
  </si>
  <si>
    <t>Redhelwar</t>
  </si>
  <si>
    <t>Catcher</t>
  </si>
  <si>
    <t>Troll Slayer</t>
  </si>
  <si>
    <t>Rat Ogre</t>
  </si>
  <si>
    <t>Sqee</t>
  </si>
  <si>
    <t>Goblin</t>
  </si>
  <si>
    <t>Orruk Owlbears</t>
  </si>
  <si>
    <t>Don Guerrero</t>
  </si>
  <si>
    <t>Blitzer</t>
  </si>
  <si>
    <t>Albert Ball</t>
  </si>
  <si>
    <t>Flying Circus</t>
  </si>
  <si>
    <t>Linewoman</t>
  </si>
  <si>
    <t>Herculadies</t>
  </si>
  <si>
    <t>Mummy</t>
  </si>
  <si>
    <t>Roxy</t>
  </si>
  <si>
    <t>Rat Rat City Bitch</t>
  </si>
  <si>
    <t>Umerchiel</t>
  </si>
  <si>
    <t>Lineman</t>
  </si>
  <si>
    <t>Artenel</t>
  </si>
  <si>
    <t>Sue</t>
  </si>
  <si>
    <t>Korrin Striggins</t>
  </si>
  <si>
    <t>Rizzo</t>
  </si>
  <si>
    <t>Grismondo Kissing</t>
  </si>
  <si>
    <t>Jermayan</t>
  </si>
  <si>
    <t>Ghoul</t>
  </si>
  <si>
    <t>Arnold Stoiber</t>
  </si>
  <si>
    <t>Carasdir</t>
  </si>
  <si>
    <t>Ben Barylski</t>
  </si>
  <si>
    <t>Saurus</t>
  </si>
  <si>
    <t>Beldin Goldenlaager</t>
  </si>
  <si>
    <t>Runner</t>
  </si>
  <si>
    <t>Adolphe Pegoud</t>
  </si>
  <si>
    <t>George the Mighty</t>
  </si>
  <si>
    <t>Henry the Mighty</t>
  </si>
  <si>
    <t>Elizabeth the Mighty</t>
  </si>
  <si>
    <t>Dod Frothmaul</t>
  </si>
  <si>
    <t>Ogre</t>
  </si>
  <si>
    <t>Peter La Fleur</t>
  </si>
  <si>
    <t>Bull Centaur</t>
  </si>
  <si>
    <t>Dorian O'Damiel</t>
  </si>
  <si>
    <t>Thorkun Gandwarf</t>
  </si>
  <si>
    <t>Brain</t>
  </si>
  <si>
    <t>Thrower</t>
  </si>
  <si>
    <t>Bad'zug</t>
  </si>
  <si>
    <t>Riasen</t>
  </si>
  <si>
    <t>Nithariel</t>
  </si>
  <si>
    <t>Pop Not Soda</t>
  </si>
  <si>
    <t>Mo'ne</t>
  </si>
  <si>
    <t>Kunibert Scheibel</t>
  </si>
  <si>
    <t>Gotthard Schotten</t>
  </si>
  <si>
    <t>Tasha</t>
  </si>
  <si>
    <t>Squee</t>
  </si>
  <si>
    <t>Sassy Sutton</t>
  </si>
  <si>
    <t>Heimer Eichmann</t>
  </si>
  <si>
    <t>Dorim Redkin</t>
  </si>
  <si>
    <t>Suudsu</t>
  </si>
  <si>
    <t>Farley Forgebeard</t>
  </si>
  <si>
    <t>Blocker</t>
  </si>
  <si>
    <t>Itchy</t>
  </si>
  <si>
    <t>White Goodman</t>
  </si>
  <si>
    <t>Me'Shell Jones</t>
  </si>
  <si>
    <t>Thrurdragg Copperfoot</t>
  </si>
  <si>
    <t>Tarth Fizzbrew</t>
  </si>
  <si>
    <t>Negruk Cindergut</t>
  </si>
  <si>
    <t>Matteo Ricci</t>
  </si>
  <si>
    <t>Yeoman</t>
  </si>
  <si>
    <t>El Cid</t>
  </si>
  <si>
    <t>Coach'zug</t>
  </si>
  <si>
    <t>Aberforth Dumbledwarf</t>
  </si>
  <si>
    <t>Home'zug</t>
  </si>
  <si>
    <t>Tyrone Foewder</t>
  </si>
  <si>
    <t>Billy Bishop</t>
  </si>
  <si>
    <t>Pestigor</t>
  </si>
  <si>
    <t>Ptelea</t>
  </si>
  <si>
    <t>Ivory</t>
  </si>
  <si>
    <t>Kraneia</t>
  </si>
  <si>
    <t>Venus</t>
  </si>
  <si>
    <t>Balanos</t>
  </si>
  <si>
    <t>Don Quixote</t>
  </si>
  <si>
    <t>Epimeliades</t>
  </si>
  <si>
    <t>Celeblasdaer</t>
  </si>
  <si>
    <t>Adaerion</t>
  </si>
  <si>
    <t>Rotter</t>
  </si>
  <si>
    <t>Patthor</t>
  </si>
  <si>
    <t>Angion</t>
  </si>
  <si>
    <t>Wardancer</t>
  </si>
  <si>
    <t>Butters</t>
  </si>
  <si>
    <t>Bonobo</t>
  </si>
  <si>
    <t>J.J. McKillough</t>
  </si>
  <si>
    <t>Blazer</t>
  </si>
  <si>
    <t>Andy</t>
  </si>
  <si>
    <t>Troll</t>
  </si>
  <si>
    <t>Fran Stalinovskovichdavidovitchski</t>
  </si>
  <si>
    <t>Teller</t>
  </si>
  <si>
    <t>Junior</t>
  </si>
  <si>
    <t>Templeton</t>
  </si>
  <si>
    <t>Hartmut Rudel</t>
  </si>
  <si>
    <t>Wilbur</t>
  </si>
  <si>
    <t>Chimpanzee</t>
  </si>
  <si>
    <t>Mombo</t>
  </si>
  <si>
    <t>Gorilla</t>
  </si>
  <si>
    <t>Freeman</t>
  </si>
  <si>
    <t>Ego</t>
  </si>
  <si>
    <t>Silverback</t>
  </si>
  <si>
    <t>Farrand Runbeck</t>
  </si>
  <si>
    <t>Remy</t>
  </si>
  <si>
    <t>Dark Elf Renegade</t>
  </si>
  <si>
    <t>Ougrim Runia</t>
  </si>
  <si>
    <t>Jerry</t>
  </si>
  <si>
    <t>Mort</t>
  </si>
  <si>
    <t>Sam "Shoutin" Jackson</t>
  </si>
  <si>
    <t>Zombie</t>
  </si>
  <si>
    <t>Peter "Frodo" Jackson</t>
  </si>
  <si>
    <t>Bub'zug</t>
  </si>
  <si>
    <t>Luke Schneider</t>
  </si>
  <si>
    <t>Deon Dahlgren</t>
  </si>
  <si>
    <t>Isinwen</t>
  </si>
  <si>
    <t>Sunshine N. F-N Rainbows</t>
  </si>
  <si>
    <t>Giraffic Jam</t>
  </si>
  <si>
    <t>Adria Breaker</t>
  </si>
  <si>
    <t>Witch Elf</t>
  </si>
  <si>
    <t>Alde Kiai</t>
  </si>
  <si>
    <t>Jack Boot</t>
  </si>
  <si>
    <t>Fimbur Kneecracker</t>
  </si>
  <si>
    <t>Queen Diamond</t>
  </si>
  <si>
    <t>Candi</t>
  </si>
  <si>
    <t>Collin Williams</t>
  </si>
  <si>
    <t>Skink</t>
  </si>
  <si>
    <t>Neil Skibaryl</t>
  </si>
  <si>
    <t>Slammy Whipchester</t>
  </si>
  <si>
    <t>Doesh 2.0</t>
  </si>
  <si>
    <t>Schwendinger</t>
  </si>
  <si>
    <t>Sam Rhody</t>
  </si>
  <si>
    <t>Josh Sheffield</t>
  </si>
  <si>
    <t>Sir Robin</t>
  </si>
  <si>
    <t>Attention Deficit Destroyer</t>
  </si>
  <si>
    <t>Veronica "Ronnie" Lodge</t>
  </si>
  <si>
    <t>Forsythe "The Jug" Jones</t>
  </si>
  <si>
    <t>Marauder</t>
  </si>
  <si>
    <t>Honey Bunz</t>
  </si>
  <si>
    <t>Moist Von Lipwig</t>
  </si>
  <si>
    <t>Betty Cass</t>
  </si>
  <si>
    <t>Kroxigor</t>
  </si>
  <si>
    <t>Spence Ragion</t>
  </si>
  <si>
    <t>Poop'zug</t>
  </si>
  <si>
    <t>Jake Dahlgren</t>
  </si>
  <si>
    <t>Helga</t>
  </si>
  <si>
    <t>Betty Cooper</t>
  </si>
  <si>
    <t>Maverick Glorrus</t>
  </si>
  <si>
    <t>Marcus Kullard</t>
  </si>
  <si>
    <t>Jeremy Oswald</t>
  </si>
  <si>
    <t>Kim</t>
  </si>
  <si>
    <t>Sad'zug</t>
  </si>
  <si>
    <t>Lappy'zug</t>
  </si>
  <si>
    <t>Shark'zug</t>
  </si>
  <si>
    <t>Sancho Panza</t>
  </si>
  <si>
    <t>Ariel</t>
  </si>
  <si>
    <t>"The Moose" Mason</t>
  </si>
  <si>
    <t>Wight</t>
  </si>
  <si>
    <t>Samuel Vimes</t>
  </si>
  <si>
    <t>Marzi'zug</t>
  </si>
  <si>
    <t>Victor Trueheart</t>
  </si>
  <si>
    <t>#</t>
  </si>
  <si>
    <t>Love Tequilya</t>
  </si>
  <si>
    <t>Skills</t>
  </si>
  <si>
    <t>MA</t>
  </si>
  <si>
    <t>ST</t>
  </si>
  <si>
    <t>AG</t>
  </si>
  <si>
    <t>AV</t>
  </si>
  <si>
    <t>TD</t>
  </si>
  <si>
    <t>MVP</t>
  </si>
  <si>
    <t>SPP</t>
  </si>
  <si>
    <t>Polly Morphic</t>
  </si>
  <si>
    <t>Sauve Glitterseeker</t>
  </si>
  <si>
    <t>Nostradamus</t>
  </si>
  <si>
    <t>Orangutan</t>
  </si>
  <si>
    <t>Sparkle Motion</t>
  </si>
  <si>
    <t>Stat Injuries</t>
  </si>
  <si>
    <t>Total</t>
  </si>
  <si>
    <t>x</t>
  </si>
  <si>
    <t>Fan Factor</t>
  </si>
  <si>
    <t>Trogdor</t>
  </si>
  <si>
    <t>Archibald Andrews</t>
  </si>
  <si>
    <t>Kate Tastrophe</t>
  </si>
  <si>
    <t>BabyBoomerang</t>
  </si>
  <si>
    <t>Lavender Menace</t>
  </si>
  <si>
    <t>Lance Claymore</t>
  </si>
  <si>
    <t>Werewolf</t>
  </si>
  <si>
    <t>Type</t>
  </si>
  <si>
    <t>Starting Skills</t>
  </si>
  <si>
    <t>Improvements</t>
  </si>
  <si>
    <t>M</t>
  </si>
  <si>
    <t>N</t>
  </si>
  <si>
    <t>S</t>
  </si>
  <si>
    <t>R</t>
  </si>
  <si>
    <t>Int</t>
  </si>
  <si>
    <t>Comp</t>
  </si>
  <si>
    <t>Elmer Flutesnoot</t>
  </si>
  <si>
    <t>Miley Virus</t>
  </si>
  <si>
    <t>Cas</t>
  </si>
  <si>
    <t>Value</t>
  </si>
  <si>
    <t>Base Cost</t>
  </si>
  <si>
    <t>D</t>
  </si>
  <si>
    <t>Other</t>
  </si>
  <si>
    <t>TREASURY TRACKING</t>
  </si>
  <si>
    <t>GAME TRACKING</t>
  </si>
  <si>
    <t>Cosmo</t>
  </si>
  <si>
    <t>Orin Hammerbeard</t>
  </si>
  <si>
    <t>Bilge</t>
  </si>
  <si>
    <t>Waffles</t>
  </si>
  <si>
    <t>Block, Dodge, +ST</t>
  </si>
  <si>
    <t>After Team Build</t>
  </si>
  <si>
    <t>Initial Fan Factor</t>
  </si>
  <si>
    <t>Raj Patel</t>
  </si>
  <si>
    <t>Goblin Renegade</t>
  </si>
  <si>
    <t>Game</t>
  </si>
  <si>
    <t>Winnings</t>
  </si>
  <si>
    <t>Purchases</t>
  </si>
  <si>
    <t>Exp Mistakes</t>
  </si>
  <si>
    <t>Opponent</t>
  </si>
  <si>
    <t>Win/Tie/Loss?</t>
  </si>
  <si>
    <t>Cas Caused</t>
  </si>
  <si>
    <t>Joe "Ivory" Jackson</t>
  </si>
  <si>
    <t>Rienhard Wilpert</t>
  </si>
  <si>
    <t>Axe Wildspear</t>
  </si>
  <si>
    <t>Moist</t>
  </si>
  <si>
    <t>G1</t>
  </si>
  <si>
    <t>Jesse "Preachin" Jackson</t>
  </si>
  <si>
    <t>RIP Unzel</t>
  </si>
  <si>
    <t>WIN</t>
  </si>
  <si>
    <t>Cyprus Copperbeard</t>
  </si>
  <si>
    <t>Axle Anvilbeard</t>
  </si>
  <si>
    <t>Groum Slatebeard</t>
  </si>
  <si>
    <t>Dern Ironbeard</t>
  </si>
  <si>
    <t>Valentine Starlance</t>
  </si>
  <si>
    <t>Gundolf Dahman</t>
  </si>
  <si>
    <t>Block</t>
  </si>
  <si>
    <t>G2</t>
  </si>
  <si>
    <t>Blunt Force Drama</t>
  </si>
  <si>
    <t>Ruthless Bader Ginsburg</t>
  </si>
  <si>
    <t>Reginald Mantle</t>
  </si>
  <si>
    <t>Talon Boldstrider</t>
  </si>
  <si>
    <t>Starwood Blackleaf</t>
  </si>
  <si>
    <t>Typhoon Greatwind</t>
  </si>
  <si>
    <t>Shroud Rainblade</t>
  </si>
  <si>
    <t>Baby Nuclear</t>
  </si>
  <si>
    <t>Regeneration</t>
  </si>
  <si>
    <t>Bongo</t>
  </si>
  <si>
    <t>G3</t>
  </si>
  <si>
    <t>Jesse Anderson</t>
  </si>
  <si>
    <t>Dodge</t>
  </si>
  <si>
    <t>Sasha Williams</t>
  </si>
  <si>
    <t>Lori Grimes</t>
  </si>
  <si>
    <t>Diana Monroe</t>
  </si>
  <si>
    <t>Shane Foulco</t>
  </si>
  <si>
    <t>G4</t>
  </si>
  <si>
    <t>Earl Wilkinson</t>
  </si>
  <si>
    <t>Danny Bateman</t>
  </si>
  <si>
    <t>Brian Murphy</t>
  </si>
  <si>
    <t>Andre Jackson</t>
  </si>
  <si>
    <t>Jamal Jackson</t>
  </si>
  <si>
    <t>Dwight Edwards</t>
  </si>
  <si>
    <t>Block, Mighty Blow, Claw</t>
  </si>
  <si>
    <t>Nigel Gruff</t>
  </si>
  <si>
    <t>Voron Goldenflame</t>
  </si>
  <si>
    <t>G5</t>
  </si>
  <si>
    <t>Hiram Lodge</t>
  </si>
  <si>
    <t>Patton Howitzer</t>
  </si>
  <si>
    <t>Minotaur</t>
  </si>
  <si>
    <t>Misty</t>
  </si>
  <si>
    <t>Jinx</t>
  </si>
  <si>
    <t>CoCo</t>
  </si>
  <si>
    <t>Chanel</t>
  </si>
  <si>
    <t>Scum</t>
  </si>
  <si>
    <t>Portly</t>
  </si>
  <si>
    <t>G6</t>
  </si>
  <si>
    <t>Terry "Poppa" Tate</t>
  </si>
  <si>
    <t>Bear'zug</t>
  </si>
  <si>
    <t>Penn</t>
  </si>
  <si>
    <t>Edward the Mighty</t>
  </si>
  <si>
    <t>D.J. Redlee</t>
  </si>
  <si>
    <t>Bert Whinewurn</t>
  </si>
  <si>
    <t>Kurbinian Neabert</t>
  </si>
  <si>
    <t>Keibert Becken</t>
  </si>
  <si>
    <t>"Stonewall" Jackson</t>
  </si>
  <si>
    <t>Flesh Golem</t>
  </si>
  <si>
    <t>Stendar "Jackson"</t>
  </si>
  <si>
    <t>Jackie Jackson</t>
  </si>
  <si>
    <t>Tito Jackson</t>
  </si>
  <si>
    <t>G7</t>
  </si>
  <si>
    <t>Jermaine Jackson</t>
  </si>
  <si>
    <t>Marlon Jackson</t>
  </si>
  <si>
    <t>Andrew "Prez" Jackson</t>
  </si>
  <si>
    <t>Joe "The Voice" Jackson</t>
  </si>
  <si>
    <t>Joe "Shoeless" Jackson</t>
  </si>
  <si>
    <t>Thrillhouse</t>
  </si>
  <si>
    <t>Mungree Goldseeker</t>
  </si>
  <si>
    <t>Aiguc Coalcrag</t>
  </si>
  <si>
    <t>Brethac Brightcloak</t>
  </si>
  <si>
    <t>Edward Mannock</t>
  </si>
  <si>
    <t>Indra Lal Roy</t>
  </si>
  <si>
    <t>G8</t>
  </si>
  <si>
    <t>Giora Epstein</t>
  </si>
  <si>
    <t>Mappy</t>
  </si>
  <si>
    <t>Chuckie</t>
  </si>
  <si>
    <t>Owen</t>
  </si>
  <si>
    <t>Justin</t>
  </si>
  <si>
    <t>Dwight</t>
  </si>
  <si>
    <t>Blade II</t>
  </si>
  <si>
    <t>Lazer</t>
  </si>
  <si>
    <t>Meliae</t>
  </si>
  <si>
    <t>Kissiae</t>
  </si>
  <si>
    <t>Daphnaeae</t>
  </si>
  <si>
    <t>PO1</t>
  </si>
  <si>
    <t>PO2</t>
  </si>
  <si>
    <t>Micheal "Bad" Jackson</t>
  </si>
  <si>
    <t>PO3</t>
  </si>
  <si>
    <t>Guard, Claw, Stand Firm</t>
  </si>
  <si>
    <t>PO4</t>
  </si>
  <si>
    <t>"Coach" Kleats</t>
  </si>
  <si>
    <t>Loss</t>
  </si>
  <si>
    <t>"The Bee" Weatherbee</t>
  </si>
  <si>
    <t>Dirty Player</t>
  </si>
  <si>
    <t>VALUE OF AVAILABLE PLAYERS:</t>
  </si>
  <si>
    <t>TEAM NAME</t>
  </si>
  <si>
    <t>RE-ROLLS</t>
  </si>
  <si>
    <t>Next Season Starting Treasury</t>
  </si>
  <si>
    <t>RACE</t>
  </si>
  <si>
    <t>FAN FACTOR</t>
  </si>
  <si>
    <t>Ending Treasury</t>
  </si>
  <si>
    <t>ASSISTANT COACHES</t>
  </si>
  <si>
    <t>Games Played</t>
  </si>
  <si>
    <t>TEAM VALUE</t>
  </si>
  <si>
    <t>Joe "profgoldfinch" Roberts</t>
  </si>
  <si>
    <t>CHEERLEADERS</t>
  </si>
  <si>
    <t>TREASURY</t>
  </si>
  <si>
    <t>Guard</t>
  </si>
  <si>
    <t>NECROMANCER</t>
  </si>
  <si>
    <t>VALUE OF EXTRAS:</t>
  </si>
  <si>
    <t>MA+, Dodge</t>
  </si>
  <si>
    <t>Guard, Dodge</t>
  </si>
  <si>
    <t>Stabo Swinney</t>
  </si>
  <si>
    <t>LOSS</t>
  </si>
  <si>
    <t>C.J. Killer</t>
  </si>
  <si>
    <t>DodgeBall All-Stars</t>
  </si>
  <si>
    <t>Block, +ST</t>
  </si>
  <si>
    <t>Da'Quan Scours</t>
  </si>
  <si>
    <t>Kemberbad Lord</t>
  </si>
  <si>
    <t>TIE</t>
  </si>
  <si>
    <t>Blood Mt. Berskers</t>
  </si>
  <si>
    <t>Intial FF</t>
  </si>
  <si>
    <t>Leader</t>
  </si>
  <si>
    <t>Mrs. Peepers</t>
  </si>
  <si>
    <t>Mr. Peepers</t>
  </si>
  <si>
    <t>Dodge, +MA</t>
  </si>
  <si>
    <t>RIP Players</t>
  </si>
  <si>
    <t>Donnie McElveen</t>
  </si>
  <si>
    <t>Sean Mac Dain</t>
  </si>
  <si>
    <t>Mighty Blow</t>
  </si>
  <si>
    <t>Expensive Mistakes</t>
  </si>
  <si>
    <t>TDs</t>
  </si>
  <si>
    <t>FF</t>
  </si>
  <si>
    <t>Bobo died game 1 of season 2</t>
  </si>
  <si>
    <t>The Spirit of Harambe</t>
  </si>
  <si>
    <t>Sure Hands, Block</t>
  </si>
  <si>
    <t>gp</t>
  </si>
  <si>
    <t>Win</t>
  </si>
  <si>
    <t>HEAD COACH</t>
  </si>
  <si>
    <t>ASS. COACHES</t>
  </si>
  <si>
    <t>000  gp</t>
  </si>
  <si>
    <t>APOTHECARY</t>
  </si>
  <si>
    <t>v 6.2.3</t>
  </si>
  <si>
    <t xml:space="preserve">Made by   Casper Hansen,   commish of </t>
  </si>
  <si>
    <t>Break Tackle</t>
  </si>
  <si>
    <t>Kate Veatch</t>
  </si>
  <si>
    <t>Sure Hands, Pass</t>
  </si>
  <si>
    <t>Accurate, Kick</t>
  </si>
  <si>
    <t>Patches O'Houlihan</t>
  </si>
  <si>
    <t>Dodge, Weeping Dagger</t>
  </si>
  <si>
    <t>Block, Sprint, +MA, Sure Feet</t>
  </si>
  <si>
    <t>Block, Dodge</t>
  </si>
  <si>
    <t>Block, Extra Arms, Foul Apperance</t>
  </si>
  <si>
    <t>Fend</t>
  </si>
  <si>
    <t>-</t>
  </si>
  <si>
    <t>Turtle Isle Typhones</t>
  </si>
  <si>
    <t>Splinter</t>
  </si>
  <si>
    <t>Loner, Frenzy, Prehensail Tail, Wild Animal, Might Blow</t>
  </si>
  <si>
    <t>Juggernaut, Block, Gaurd</t>
  </si>
  <si>
    <t>Skyhaven Silverfoxes</t>
  </si>
  <si>
    <t>Elf</t>
  </si>
  <si>
    <t>Chris Thomason</t>
  </si>
  <si>
    <t>Phillips Elves</t>
  </si>
  <si>
    <t>Monetray</t>
  </si>
  <si>
    <t>Tie</t>
  </si>
  <si>
    <t>Wrestle</t>
  </si>
  <si>
    <t>Loner, Really Stupid, Always Hungry, Mighty Blow, Throw Teammate, Regeneration</t>
  </si>
  <si>
    <t>Mr. Jingles</t>
  </si>
  <si>
    <t>Sly</t>
  </si>
  <si>
    <t>Dump off</t>
  </si>
  <si>
    <t>Loner</t>
  </si>
  <si>
    <t>W 2-1</t>
  </si>
  <si>
    <t>Black Orc</t>
  </si>
  <si>
    <t>T 1-1</t>
  </si>
  <si>
    <t>L2-0</t>
  </si>
  <si>
    <t>Daniel Connors</t>
  </si>
  <si>
    <t>Strip Ball</t>
  </si>
  <si>
    <t>Population:Orc</t>
  </si>
  <si>
    <t>L3-0</t>
  </si>
  <si>
    <t>Mighty Blow, Tackle</t>
  </si>
  <si>
    <t>Mighty Blow, Jump Up</t>
  </si>
  <si>
    <t>Kitty #2</t>
  </si>
  <si>
    <t>Right Stuff, Dodge, Stunty</t>
  </si>
  <si>
    <t>Diving Catch</t>
  </si>
  <si>
    <t>Sneaky Git</t>
  </si>
  <si>
    <t>Block, TBD</t>
  </si>
  <si>
    <t>Skwee</t>
  </si>
  <si>
    <t>Jump up</t>
  </si>
  <si>
    <t>Hellion's Of Troy</t>
  </si>
  <si>
    <t>Movement, Sprint, doubles TBD</t>
  </si>
  <si>
    <t>The Fink Foulers</t>
  </si>
  <si>
    <t>L 0-1</t>
  </si>
  <si>
    <t>L 0-2</t>
  </si>
  <si>
    <t>Block, Kick, Kick Off Return</t>
  </si>
  <si>
    <t>L 1-4</t>
  </si>
  <si>
    <t>Argus Dumbledwarf</t>
  </si>
  <si>
    <t>Tackle</t>
  </si>
  <si>
    <t>L 1-2</t>
  </si>
  <si>
    <t>Tackle, Strip Ball</t>
  </si>
  <si>
    <t>Mighty Blow, Pro, Strip Ball</t>
  </si>
  <si>
    <t>Kendal Bowser</t>
  </si>
  <si>
    <t>Journeyman Kilka Q'ara</t>
  </si>
  <si>
    <t>Dwarf</t>
  </si>
  <si>
    <t>David J Harshman</t>
  </si>
  <si>
    <t>Beastman</t>
  </si>
  <si>
    <t>Kick</t>
  </si>
  <si>
    <t>Randy's Flying Circus</t>
  </si>
  <si>
    <t>Dionan</t>
  </si>
  <si>
    <t>L 2-3</t>
  </si>
  <si>
    <t>Hyandur</t>
  </si>
  <si>
    <t>Chaos Warrior</t>
  </si>
  <si>
    <t>T 2-2</t>
  </si>
  <si>
    <t>Dodge, Str Up</t>
  </si>
  <si>
    <t>W 3-1</t>
  </si>
  <si>
    <t>Block, Dauntless, Catch</t>
  </si>
  <si>
    <t>AG, Dodge, Sidestep</t>
  </si>
  <si>
    <t>Belepheriel</t>
  </si>
  <si>
    <t>AG, Dodge, Sidestep, Leap</t>
  </si>
  <si>
    <t>Alonso Quijana</t>
  </si>
  <si>
    <t>Chaos</t>
  </si>
  <si>
    <t>Mighty Blow, Pile on</t>
  </si>
  <si>
    <t>Sandalon</t>
  </si>
  <si>
    <t>Match#</t>
  </si>
  <si>
    <t>Andoreniel</t>
  </si>
  <si>
    <t>High Elf</t>
  </si>
  <si>
    <t>Golddiggers</t>
  </si>
  <si>
    <t>Block, Kick</t>
  </si>
  <si>
    <t>Leader, Frenzy</t>
  </si>
  <si>
    <t>Block, Guard</t>
  </si>
  <si>
    <t>Sure Feet, Sprint</t>
  </si>
  <si>
    <t>Rerolls</t>
  </si>
  <si>
    <t>Grab, Guard</t>
  </si>
  <si>
    <t>Matthew Quinn</t>
  </si>
  <si>
    <t>The Dodgeball All-Stars</t>
  </si>
  <si>
    <t>Sneak'zug</t>
  </si>
  <si>
    <t>Dodge, Mighty Blow</t>
  </si>
  <si>
    <t>Dodge, Jump Up, Mighty Blow</t>
  </si>
  <si>
    <t>Guard. Mighty Blow</t>
  </si>
  <si>
    <t>Mad'zug</t>
  </si>
  <si>
    <t>Sure Feet</t>
  </si>
  <si>
    <t>Treeman</t>
  </si>
  <si>
    <t>Chaos, Dark Elf, Goblin, Halfling, Khemri, Nurgle, Ogre and Vampire</t>
  </si>
  <si>
    <t>Wood Elf</t>
  </si>
  <si>
    <t>GA</t>
  </si>
  <si>
    <t>SP</t>
  </si>
  <si>
    <t>Journeyman</t>
  </si>
  <si>
    <t>GAP</t>
  </si>
  <si>
    <t>Match #</t>
  </si>
  <si>
    <t>Dauntless</t>
  </si>
  <si>
    <t>Frenzy</t>
  </si>
  <si>
    <t>mathew</t>
  </si>
  <si>
    <t>loss</t>
  </si>
  <si>
    <t>journeyman</t>
  </si>
  <si>
    <t>Block, Fend, Dodge MV+1</t>
  </si>
  <si>
    <t>Karak Barak Varr Gold Diggers</t>
  </si>
  <si>
    <t>Strength</t>
  </si>
  <si>
    <t>Guard, Stand Firm</t>
  </si>
  <si>
    <t>Block, Mighty Blow, Guard</t>
  </si>
  <si>
    <t>Accurate</t>
  </si>
  <si>
    <t>Block, Tackle</t>
  </si>
  <si>
    <t>Population Orc</t>
  </si>
  <si>
    <t>The Hurculadies</t>
  </si>
  <si>
    <t>Human</t>
  </si>
  <si>
    <t>Dodge, Break Tackle</t>
  </si>
  <si>
    <t>MA, Block, Side Step</t>
  </si>
  <si>
    <t>Rat Rat City Bitches</t>
  </si>
  <si>
    <t>MA, Sure Feet</t>
  </si>
  <si>
    <t>Ethan Lutz</t>
  </si>
  <si>
    <t>Manfred von Richthofen</t>
  </si>
  <si>
    <t>Beast</t>
  </si>
  <si>
    <t>Stand Firm</t>
  </si>
  <si>
    <t>Palter Wayton</t>
  </si>
  <si>
    <t>Hazy Benders</t>
  </si>
  <si>
    <t>Rene Fonck</t>
  </si>
  <si>
    <t>Warrior</t>
  </si>
  <si>
    <t>Loner, Disturbing Presence, Mighty Blow, Foul Appearance, Tentacles, Nurgles Rot, Really Stupid, Regeneration</t>
  </si>
  <si>
    <t>Disturbing Presence, Foul Appearance, Nurgles Rot, Regeneration</t>
  </si>
  <si>
    <t>Lizardman</t>
  </si>
  <si>
    <t>Randy Cummins</t>
  </si>
  <si>
    <t>Horns, Nurgles Rot, Regeneration</t>
  </si>
  <si>
    <t>William R. Dunn</t>
  </si>
  <si>
    <t>Decay, Nurgles Rot</t>
  </si>
  <si>
    <t>Gerhard Barkhorn</t>
  </si>
  <si>
    <t>The Dodgeball Allstars</t>
  </si>
  <si>
    <t>Lil' Wheezy</t>
  </si>
  <si>
    <t>Loner, Bone-Head, Throw Team-Mate, Mighty Blow, Thick Skull</t>
  </si>
  <si>
    <t>Guard, Grab</t>
  </si>
  <si>
    <t>Accurate, Block</t>
  </si>
  <si>
    <t>Catch, Dodge</t>
  </si>
  <si>
    <t>Sure Hands</t>
  </si>
  <si>
    <t>Troy Chrisman</t>
  </si>
  <si>
    <t>000 gp</t>
  </si>
  <si>
    <t>Clifford Franklin, Jr.</t>
  </si>
  <si>
    <t>MIzzy C</t>
  </si>
  <si>
    <t>AG+, Guard</t>
  </si>
  <si>
    <t>Guard, Mighty Blow</t>
  </si>
  <si>
    <t>Hershel "Doc" Greene</t>
  </si>
  <si>
    <t>Walter Cochran, Jr.</t>
  </si>
  <si>
    <t>"Sensei" Eastman</t>
  </si>
  <si>
    <t>Jumbo Fumiko, Jr.</t>
  </si>
  <si>
    <t>Block, Break Tackle</t>
  </si>
  <si>
    <t>Rob Songer - Golddiggers</t>
  </si>
  <si>
    <t>W 2-0</t>
  </si>
  <si>
    <t>Merle "The Stump" Dixon</t>
  </si>
  <si>
    <t>David Harshman - Bld Mtn Bersekers</t>
  </si>
  <si>
    <t>Tyreese "Hammer" Williams</t>
  </si>
  <si>
    <t>Randy Cummins - Flying Circus</t>
  </si>
  <si>
    <t>W 1-0</t>
  </si>
  <si>
    <t>Shane "The Tool" Walsh</t>
  </si>
  <si>
    <t>Amazon</t>
  </si>
  <si>
    <t>Malcom La Mont</t>
  </si>
  <si>
    <t>Troy Chrisman - Herculadies</t>
  </si>
  <si>
    <t>Glen "Too Soon" Rhee</t>
  </si>
  <si>
    <t>TDC</t>
  </si>
  <si>
    <t>Don Weiters, Jr.</t>
  </si>
  <si>
    <t>Daniel Conners - Orruk Owlbears</t>
  </si>
  <si>
    <t>Abraham "The Leach" Ford</t>
  </si>
  <si>
    <t>Phillip Ponzer - Population: Orc</t>
  </si>
  <si>
    <t>Bob "Smiles" Stookey</t>
  </si>
  <si>
    <t>Matthew Quinn - Quixotic Crushers</t>
  </si>
  <si>
    <t>Beth  Greene</t>
  </si>
  <si>
    <t>Dead Again</t>
  </si>
  <si>
    <t>Trever Leikam</t>
  </si>
  <si>
    <t>Deaths and Notable Injuries</t>
  </si>
  <si>
    <t>Beth Greene</t>
  </si>
  <si>
    <t>Died in Game 4</t>
  </si>
  <si>
    <t>Dale "Old Man" Horvath</t>
  </si>
  <si>
    <t>Died in Game 6</t>
  </si>
  <si>
    <t>Pass</t>
  </si>
  <si>
    <t>Agility</t>
  </si>
  <si>
    <t>Thick Skull</t>
  </si>
  <si>
    <t>Catch</t>
  </si>
  <si>
    <t>Stunty</t>
  </si>
  <si>
    <t>Sprint</t>
  </si>
  <si>
    <t>Really Stupid</t>
  </si>
  <si>
    <t>Right Stuff</t>
  </si>
  <si>
    <t>Prehensile Tail</t>
  </si>
  <si>
    <t>Jump Up</t>
  </si>
  <si>
    <t>Always Hungry</t>
  </si>
  <si>
    <t>Nurgle's Rot</t>
  </si>
  <si>
    <t>Decay</t>
  </si>
  <si>
    <t>Foul Appearance</t>
  </si>
  <si>
    <t>Side Step</t>
  </si>
  <si>
    <t>Wild Animal</t>
  </si>
  <si>
    <t>Extra Arms</t>
  </si>
  <si>
    <t>Pro</t>
  </si>
  <si>
    <t>Safe Throw</t>
  </si>
  <si>
    <t>Leap</t>
  </si>
  <si>
    <t>Tentacles</t>
  </si>
  <si>
    <t>Grab</t>
  </si>
  <si>
    <t>Title</t>
  </si>
  <si>
    <t>Race+Title</t>
  </si>
  <si>
    <t>Max</t>
  </si>
  <si>
    <t>Cost</t>
  </si>
  <si>
    <t>Normal</t>
  </si>
  <si>
    <t>Double</t>
  </si>
  <si>
    <t>Races</t>
  </si>
  <si>
    <t>Reroll Cost</t>
  </si>
  <si>
    <t>General</t>
  </si>
  <si>
    <t>Passing</t>
  </si>
  <si>
    <t>Mutation</t>
  </si>
  <si>
    <t>Extraordinary</t>
  </si>
  <si>
    <t>No Apothecary</t>
  </si>
  <si>
    <t>Necromancer as Head Coach?</t>
  </si>
  <si>
    <t>Normals</t>
  </si>
  <si>
    <t>Doubles</t>
  </si>
  <si>
    <t>G</t>
  </si>
  <si>
    <t>ASP</t>
  </si>
  <si>
    <t>Big Hand</t>
  </si>
  <si>
    <t>Khemri</t>
  </si>
  <si>
    <t>No</t>
  </si>
  <si>
    <t>Dodge, Pass</t>
  </si>
  <si>
    <t>GP</t>
  </si>
  <si>
    <t>AS</t>
  </si>
  <si>
    <t>Dump-off</t>
  </si>
  <si>
    <t>Claws</t>
  </si>
  <si>
    <t>Animosity</t>
  </si>
  <si>
    <t>Yes</t>
  </si>
  <si>
    <t/>
  </si>
  <si>
    <t>A</t>
  </si>
  <si>
    <t>P</t>
  </si>
  <si>
    <t>Dodge, Catch</t>
  </si>
  <si>
    <t>Diving Tackle</t>
  </si>
  <si>
    <t>Hail Mary Pass</t>
  </si>
  <si>
    <t>Disturbing Presence</t>
  </si>
  <si>
    <t>Ball &amp; Chain</t>
  </si>
  <si>
    <t>GS</t>
  </si>
  <si>
    <t>AP</t>
  </si>
  <si>
    <t>Juggernaut</t>
  </si>
  <si>
    <t>Blood Lust</t>
  </si>
  <si>
    <t>Nerves of Steel</t>
  </si>
  <si>
    <t>Bombardier</t>
  </si>
  <si>
    <t>Daemons of Khorne</t>
  </si>
  <si>
    <t>Kick-Off Return</t>
  </si>
  <si>
    <t>Multiple Block</t>
  </si>
  <si>
    <t>Horns</t>
  </si>
  <si>
    <t>Bone-Head</t>
  </si>
  <si>
    <t>Block, Catch, Dauntless</t>
  </si>
  <si>
    <t>Pass Block</t>
  </si>
  <si>
    <t>Piling On</t>
  </si>
  <si>
    <t>Chainsaw</t>
  </si>
  <si>
    <t>GSM</t>
  </si>
  <si>
    <t>Sneaky Grit</t>
  </si>
  <si>
    <t>Shadowing</t>
  </si>
  <si>
    <t>Strong Arm</t>
  </si>
  <si>
    <t>Two Heads</t>
  </si>
  <si>
    <t>Fan Favorite</t>
  </si>
  <si>
    <t>Loner, Frenzy, Horns, Mighty Blow, Thick Skull, Wild Animal</t>
  </si>
  <si>
    <t>SM</t>
  </si>
  <si>
    <t>Very Long Legs</t>
  </si>
  <si>
    <t>Hypnotic Gaze</t>
  </si>
  <si>
    <t>Halfling</t>
  </si>
  <si>
    <t>Block, Tackle, Thick Skull</t>
  </si>
  <si>
    <t>APM</t>
  </si>
  <si>
    <t>No Hands</t>
  </si>
  <si>
    <t>Sprint, Sure Feet, Thick Skull</t>
  </si>
  <si>
    <t>GAPM</t>
  </si>
  <si>
    <t>GSPM</t>
  </si>
  <si>
    <t>Animosity, Dodge, Right Stuff, Stunty</t>
  </si>
  <si>
    <t>AM</t>
  </si>
  <si>
    <t>GSP</t>
  </si>
  <si>
    <t>Skaven Renegade</t>
  </si>
  <si>
    <t>GM</t>
  </si>
  <si>
    <t>Norse</t>
  </si>
  <si>
    <t>Secret Weapon</t>
  </si>
  <si>
    <t>GAM</t>
  </si>
  <si>
    <t>Stab</t>
  </si>
  <si>
    <t>Loner, Always Hungry, Mighty Blow, Really Stupid, Regeneration, Throw Team-mate</t>
  </si>
  <si>
    <t>Stakes</t>
  </si>
  <si>
    <t>Loner, Bone-head, Mighty Blow, Thick Skull, Throw Team-mate</t>
  </si>
  <si>
    <t>Loner, Frenzy, Wild Animal, Horns, Mighty Blow, Thick Skull</t>
  </si>
  <si>
    <t>Take Root</t>
  </si>
  <si>
    <t>Pit Fighter</t>
  </si>
  <si>
    <t>Throw Team-mate</t>
  </si>
  <si>
    <t>Bloodletter</t>
  </si>
  <si>
    <t>Horns, Juggernaut, Regeneration</t>
  </si>
  <si>
    <t>GAS</t>
  </si>
  <si>
    <t>Slann</t>
  </si>
  <si>
    <t>Timmm-ber!</t>
  </si>
  <si>
    <t>Herald</t>
  </si>
  <si>
    <t>Frenzy, Horns, Juggernaut</t>
  </si>
  <si>
    <t>Bloodthirster</t>
  </si>
  <si>
    <t>Loner, Frenzy, Wild Animal, Claw, Horns, Juggernaut, Regeneration</t>
  </si>
  <si>
    <t>Underworld</t>
  </si>
  <si>
    <t>Vampire</t>
  </si>
  <si>
    <t>Dump-Off</t>
  </si>
  <si>
    <t>Assassin</t>
  </si>
  <si>
    <t>Shadowing, Stab</t>
  </si>
  <si>
    <t>Frenzy, Dodge, Jump Up</t>
  </si>
  <si>
    <t>Sure Hands, Thick Skull</t>
  </si>
  <si>
    <t>Block, Thick Skull</t>
  </si>
  <si>
    <t>Block, Dauntless, Frenzy, Thick Skull</t>
  </si>
  <si>
    <t>Deathroller</t>
  </si>
  <si>
    <t>Loner, Break Tackle, Dirty Player, Juggernaut, Mighty Blow, No Hands, Secret Weapon, Stand Firm</t>
  </si>
  <si>
    <t>Catch, Nerves of Steel</t>
  </si>
  <si>
    <t>Block, Side Step</t>
  </si>
  <si>
    <t>Dodge, Right Stuff, Stunty</t>
  </si>
  <si>
    <t>Bomma</t>
  </si>
  <si>
    <t>Bombardier, Dodge, Secret Weapon, Stunty</t>
  </si>
  <si>
    <t>Looney</t>
  </si>
  <si>
    <t>Chainsaw, Secret Weapon, Stunty</t>
  </si>
  <si>
    <t>Fanatic</t>
  </si>
  <si>
    <t>Ball &amp; Chain, No Hands, Secret Weapon, Stunty</t>
  </si>
  <si>
    <t>Pogoer</t>
  </si>
  <si>
    <t>Dodge, Leap, Stunty, Very Long Legs</t>
  </si>
  <si>
    <t>Hopeful</t>
  </si>
  <si>
    <t>Mighty Blow, Stand Firm, Strong Arm, Take Root, Thick Skull, Throw Team-mate, Timmm-ber!</t>
  </si>
  <si>
    <t>Pass, Safe Throw</t>
  </si>
  <si>
    <t>Pass, Sure Hands</t>
  </si>
  <si>
    <t>Loner, Bone-Head, Mighty Blow, Thick Skull, Throw Team-mate</t>
  </si>
  <si>
    <t>Skeleton</t>
  </si>
  <si>
    <t>Regeneration, Thick Skull</t>
  </si>
  <si>
    <t>Thro-Ra</t>
  </si>
  <si>
    <t>Pass, Regeneration, Sure Hands</t>
  </si>
  <si>
    <t>Blitz-Ra</t>
  </si>
  <si>
    <t>Block, Regeneration</t>
  </si>
  <si>
    <t>Tomb Guardian</t>
  </si>
  <si>
    <t>Decay, Regeneration</t>
  </si>
  <si>
    <t>Dodge, Stunty</t>
  </si>
  <si>
    <t>Loner, Bone-Head, Mighty Blow, Prehensile Tail, Thick Skull</t>
  </si>
  <si>
    <t>Stand Firm, Thick Skull, Regeneration</t>
  </si>
  <si>
    <t>Claws, Frenzy, Regeneration</t>
  </si>
  <si>
    <t>Block, Pass</t>
  </si>
  <si>
    <t>Block, Dauntless</t>
  </si>
  <si>
    <t>Block, Frenzy, Jump Up</t>
  </si>
  <si>
    <t>Yhetee</t>
  </si>
  <si>
    <t>Loner, Claws, Disturbing Presence, Frenzy, Wild Animal</t>
  </si>
  <si>
    <t>Decay, Nurgle's Rot</t>
  </si>
  <si>
    <t>Horns, Nurgle's Rot, Regeneration</t>
  </si>
  <si>
    <t>Disturbing Presence, Foul Appearance, Nurgle's Rot, Regeneration</t>
  </si>
  <si>
    <t>Loner, Distrubing Presence, Foul Appearance, Mighty Blow, Nurgle's Rot, Really Stupid, Regeneration, Tentacles</t>
  </si>
  <si>
    <t>Snotling</t>
  </si>
  <si>
    <t>Dodge, Right Stuff, Stunty, Side Step, Titchy</t>
  </si>
  <si>
    <t>Bone-Head, Mighty Blow, Thick Skull, Throw Team-mate</t>
  </si>
  <si>
    <t>Extra Arms, Strong Arm</t>
  </si>
  <si>
    <t>Extra Arms, Wrestle</t>
  </si>
  <si>
    <t>Extra Arms, Grab</t>
  </si>
  <si>
    <t>Loner, Wild Animal, Extra Arms, Grab, Mighty Blow</t>
  </si>
  <si>
    <t>ASPM</t>
  </si>
  <si>
    <t>ASM</t>
  </si>
  <si>
    <t>SPM</t>
  </si>
  <si>
    <t>Loner, Frenzy, Mighty Blow, Prehensal Tail, Wild Animal</t>
  </si>
  <si>
    <t>Leap, Very Long Legs</t>
  </si>
  <si>
    <t>Diving Catch, Leap, Very Long Legs</t>
  </si>
  <si>
    <t>Diving Tackle, Jump Up, Leap, Very Long Legs</t>
  </si>
  <si>
    <t>Loner, Bone-head, Mighty Blow, Prehensile Tail, Thick Skull</t>
  </si>
  <si>
    <t>Mighty Blow, Regeneration</t>
  </si>
  <si>
    <t>Skaven Lineman</t>
  </si>
  <si>
    <t>Skaven Thrower</t>
  </si>
  <si>
    <t>Animosity, Pass, Sure Hands</t>
  </si>
  <si>
    <t>GPM</t>
  </si>
  <si>
    <t>Skaven Blitzer</t>
  </si>
  <si>
    <t>Animosity, Block</t>
  </si>
  <si>
    <t>Thrall</t>
  </si>
  <si>
    <t>Blood Lust, Hypnotic Gaze, Regeneration</t>
  </si>
  <si>
    <t>Catch, Dodge, Sprint</t>
  </si>
  <si>
    <t>Block, Dodge, Leap</t>
  </si>
  <si>
    <t>Loner, Mighty Blow, Stand Firm, Strong Arm, Take Root, Thick Skull, Throw Team-mate</t>
  </si>
  <si>
    <t>Black Orc Blocker</t>
  </si>
  <si>
    <t>Flagg Thorin</t>
  </si>
  <si>
    <t>Loner, Bone Head, Mighty Blow, Thick Skull, Throw Team-Mate</t>
  </si>
</sst>
</file>

<file path=xl/styles.xml><?xml version="1.0" encoding="utf-8"?>
<styleSheet xmlns="http://schemas.openxmlformats.org/spreadsheetml/2006/main">
  <numFmts count="1">
    <numFmt numFmtId="164" formatCode="#,##0\ \g\p"/>
  </numFmts>
  <fonts count="38">
    <font>
      <sz val="10"/>
      <color rgb="FF000000"/>
      <name val="Arial"/>
    </font>
    <font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sz val="6"/>
      <name val="Arial"/>
      <family val="2"/>
    </font>
    <font>
      <sz val="6"/>
      <color rgb="FF333333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color rgb="FF006200"/>
      <name val="Arial"/>
      <family val="2"/>
    </font>
    <font>
      <sz val="7"/>
      <color rgb="FF808080"/>
      <name val="Arial"/>
      <family val="2"/>
    </font>
    <font>
      <b/>
      <sz val="7"/>
      <color rgb="FF800000"/>
      <name val="Arial"/>
      <family val="2"/>
    </font>
    <font>
      <sz val="7"/>
      <name val="Arial"/>
      <family val="2"/>
    </font>
    <font>
      <sz val="8"/>
      <color rgb="FF333333"/>
      <name val="Arial"/>
      <family val="2"/>
    </font>
    <font>
      <sz val="10"/>
      <name val="Arial"/>
      <family val="2"/>
    </font>
    <font>
      <u/>
      <sz val="7"/>
      <color rgb="FF808080"/>
      <name val="Arial"/>
      <family val="2"/>
    </font>
    <font>
      <sz val="7"/>
      <color rgb="FF333333"/>
      <name val="Arial"/>
      <family val="2"/>
    </font>
    <font>
      <sz val="10"/>
      <color rgb="FF333333"/>
      <name val="Arial"/>
      <family val="2"/>
    </font>
    <font>
      <u/>
      <sz val="10"/>
      <color rgb="FF808080"/>
      <name val="Arial"/>
      <family val="2"/>
    </font>
    <font>
      <sz val="6"/>
      <color rgb="FF808080"/>
      <name val="Arial"/>
      <family val="2"/>
    </font>
    <font>
      <sz val="9"/>
      <name val="Arial"/>
      <family val="2"/>
    </font>
    <font>
      <u/>
      <sz val="7"/>
      <color rgb="FF808080"/>
      <name val="Arial"/>
      <family val="2"/>
    </font>
    <font>
      <u/>
      <sz val="7"/>
      <color rgb="FF808080"/>
      <name val="Arial"/>
      <family val="2"/>
    </font>
    <font>
      <u/>
      <sz val="10"/>
      <color rgb="FF808080"/>
      <name val="Arial"/>
      <family val="2"/>
    </font>
    <font>
      <b/>
      <sz val="6"/>
      <color rgb="FF000000"/>
      <name val="Effra"/>
    </font>
    <font>
      <strike/>
      <sz val="8"/>
      <name val="Arial"/>
      <family val="2"/>
    </font>
    <font>
      <b/>
      <strike/>
      <sz val="8"/>
      <name val="Arial"/>
      <family val="2"/>
    </font>
    <font>
      <strike/>
      <sz val="8"/>
      <color rgb="FF006200"/>
      <name val="Arial"/>
      <family val="2"/>
    </font>
    <font>
      <strike/>
      <sz val="6"/>
      <color rgb="FF808080"/>
      <name val="Arial"/>
      <family val="2"/>
    </font>
    <font>
      <b/>
      <strike/>
      <sz val="7"/>
      <color rgb="FF800000"/>
      <name val="Arial"/>
      <family val="2"/>
    </font>
    <font>
      <strike/>
      <sz val="6"/>
      <name val="Arial"/>
      <family val="2"/>
    </font>
    <font>
      <strike/>
      <sz val="7"/>
      <color rgb="FF808080"/>
      <name val="Arial"/>
      <family val="2"/>
    </font>
    <font>
      <strike/>
      <sz val="7"/>
      <name val="Arial"/>
      <family val="2"/>
    </font>
    <font>
      <sz val="6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5D5D5"/>
        <bgColor rgb="FFD5D5D5"/>
      </patternFill>
    </fill>
    <fill>
      <patternFill patternType="solid">
        <fgColor rgb="FFADADAD"/>
        <bgColor rgb="FFADADAD"/>
      </patternFill>
    </fill>
    <fill>
      <patternFill patternType="solid">
        <fgColor rgb="FFEBFFFF"/>
        <bgColor rgb="FFEBFFFF"/>
      </patternFill>
    </fill>
    <fill>
      <patternFill patternType="solid">
        <fgColor rgb="FF99CCFF"/>
        <bgColor rgb="FF99CCFF"/>
      </patternFill>
    </fill>
    <fill>
      <patternFill patternType="solid">
        <fgColor rgb="FFCFF4FD"/>
        <bgColor rgb="FFCFF4FD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808080"/>
        <bgColor rgb="FF808080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7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6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shrinkToFi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3" fillId="4" borderId="40" xfId="0" applyFont="1" applyFill="1" applyBorder="1" applyAlignment="1">
      <alignment horizontal="center" vertical="center"/>
    </xf>
    <xf numFmtId="0" fontId="3" fillId="4" borderId="40" xfId="0" applyFont="1" applyFill="1" applyBorder="1" applyAlignment="1">
      <alignment horizontal="center" vertical="center" wrapText="1"/>
    </xf>
    <xf numFmtId="0" fontId="3" fillId="4" borderId="40" xfId="0" applyFont="1" applyFill="1" applyBorder="1" applyAlignment="1">
      <alignment horizontal="center" vertical="center"/>
    </xf>
    <xf numFmtId="0" fontId="3" fillId="4" borderId="38" xfId="0" applyFont="1" applyFill="1" applyBorder="1" applyAlignment="1">
      <alignment horizontal="center" vertical="center"/>
    </xf>
    <xf numFmtId="164" fontId="3" fillId="3" borderId="48" xfId="0" applyNumberFormat="1" applyFont="1" applyFill="1" applyBorder="1" applyAlignment="1">
      <alignment horizontal="center" vertical="center" shrinkToFit="1"/>
    </xf>
    <xf numFmtId="3" fontId="11" fillId="5" borderId="47" xfId="0" applyNumberFormat="1" applyFont="1" applyFill="1" applyBorder="1" applyAlignment="1">
      <alignment horizontal="center" vertical="center" shrinkToFit="1"/>
    </xf>
    <xf numFmtId="3" fontId="11" fillId="5" borderId="3" xfId="0" applyNumberFormat="1" applyFont="1" applyFill="1" applyBorder="1" applyAlignment="1">
      <alignment horizontal="center" vertical="center" shrinkToFit="1"/>
    </xf>
    <xf numFmtId="3" fontId="11" fillId="5" borderId="5" xfId="0" applyNumberFormat="1" applyFont="1" applyFill="1" applyBorder="1" applyAlignment="1">
      <alignment horizontal="center" vertical="center" shrinkToFit="1"/>
    </xf>
    <xf numFmtId="0" fontId="3" fillId="8" borderId="1" xfId="0" applyFont="1" applyFill="1" applyBorder="1" applyAlignment="1">
      <alignment horizontal="right" vertical="center"/>
    </xf>
    <xf numFmtId="164" fontId="3" fillId="9" borderId="1" xfId="0" applyNumberFormat="1" applyFont="1" applyFill="1" applyBorder="1" applyAlignment="1">
      <alignment horizontal="center" vertical="center"/>
    </xf>
    <xf numFmtId="0" fontId="1" fillId="0" borderId="44" xfId="0" applyFont="1" applyBorder="1"/>
    <xf numFmtId="0" fontId="1" fillId="0" borderId="0" xfId="0" applyFont="1" applyAlignment="1">
      <alignment vertical="center"/>
    </xf>
    <xf numFmtId="0" fontId="1" fillId="1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3" fillId="3" borderId="49" xfId="0" applyNumberFormat="1" applyFont="1" applyFill="1" applyBorder="1" applyAlignment="1">
      <alignment horizontal="center" vertical="center" shrinkToFit="1"/>
    </xf>
    <xf numFmtId="3" fontId="11" fillId="5" borderId="50" xfId="0" applyNumberFormat="1" applyFont="1" applyFill="1" applyBorder="1" applyAlignment="1">
      <alignment horizontal="center" vertical="center" shrinkToFit="1"/>
    </xf>
    <xf numFmtId="3" fontId="11" fillId="5" borderId="4" xfId="0" applyNumberFormat="1" applyFont="1" applyFill="1" applyBorder="1" applyAlignment="1">
      <alignment horizontal="center" vertical="center" shrinkToFit="1"/>
    </xf>
    <xf numFmtId="3" fontId="11" fillId="5" borderId="20" xfId="0" applyNumberFormat="1" applyFont="1" applyFill="1" applyBorder="1" applyAlignment="1">
      <alignment horizontal="center" vertical="center" shrinkToFit="1"/>
    </xf>
    <xf numFmtId="0" fontId="3" fillId="11" borderId="1" xfId="0" applyFont="1" applyFill="1" applyBorder="1" applyAlignment="1">
      <alignment horizontal="center" vertical="center"/>
    </xf>
    <xf numFmtId="0" fontId="3" fillId="11" borderId="41" xfId="0" applyFont="1" applyFill="1" applyBorder="1" applyAlignment="1">
      <alignment horizontal="center" vertical="center"/>
    </xf>
    <xf numFmtId="0" fontId="3" fillId="11" borderId="40" xfId="0" applyFont="1" applyFill="1" applyBorder="1" applyAlignment="1">
      <alignment horizontal="center" vertical="center"/>
    </xf>
    <xf numFmtId="0" fontId="3" fillId="11" borderId="42" xfId="0" applyFont="1" applyFill="1" applyBorder="1" applyAlignment="1">
      <alignment horizontal="center" vertical="center" wrapText="1"/>
    </xf>
    <xf numFmtId="0" fontId="3" fillId="11" borderId="25" xfId="0" applyFont="1" applyFill="1" applyBorder="1" applyAlignment="1">
      <alignment horizontal="center" vertical="center"/>
    </xf>
    <xf numFmtId="0" fontId="3" fillId="11" borderId="40" xfId="0" applyFont="1" applyFill="1" applyBorder="1" applyAlignment="1">
      <alignment horizontal="center" vertical="center" wrapText="1"/>
    </xf>
    <xf numFmtId="0" fontId="3" fillId="11" borderId="38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3" fontId="11" fillId="5" borderId="4" xfId="0" applyNumberFormat="1" applyFont="1" applyFill="1" applyBorder="1" applyAlignment="1">
      <alignment horizontal="center" vertical="center" shrinkToFit="1"/>
    </xf>
    <xf numFmtId="3" fontId="11" fillId="5" borderId="20" xfId="0" applyNumberFormat="1" applyFont="1" applyFill="1" applyBorder="1" applyAlignment="1">
      <alignment horizontal="center" vertical="center" shrinkToFit="1"/>
    </xf>
    <xf numFmtId="0" fontId="3" fillId="12" borderId="45" xfId="0" applyFont="1" applyFill="1" applyBorder="1" applyAlignment="1">
      <alignment horizontal="center" vertical="center"/>
    </xf>
    <xf numFmtId="164" fontId="3" fillId="9" borderId="30" xfId="0" applyNumberFormat="1" applyFont="1" applyFill="1" applyBorder="1" applyAlignment="1">
      <alignment horizontal="center" vertical="center"/>
    </xf>
    <xf numFmtId="164" fontId="3" fillId="2" borderId="18" xfId="0" applyNumberFormat="1" applyFont="1" applyFill="1" applyBorder="1" applyAlignment="1">
      <alignment horizontal="center" vertical="center"/>
    </xf>
    <xf numFmtId="164" fontId="3" fillId="13" borderId="29" xfId="0" applyNumberFormat="1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13" borderId="18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9" borderId="18" xfId="0" applyFont="1" applyFill="1" applyBorder="1" applyAlignment="1">
      <alignment horizontal="center" vertical="center"/>
    </xf>
    <xf numFmtId="164" fontId="3" fillId="3" borderId="49" xfId="0" applyNumberFormat="1" applyFont="1" applyFill="1" applyBorder="1" applyAlignment="1">
      <alignment horizontal="center" vertical="center" shrinkToFit="1"/>
    </xf>
    <xf numFmtId="0" fontId="3" fillId="12" borderId="49" xfId="0" applyFont="1" applyFill="1" applyBorder="1" applyAlignment="1">
      <alignment horizontal="center" vertical="center"/>
    </xf>
    <xf numFmtId="164" fontId="3" fillId="9" borderId="50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13" borderId="33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13" borderId="4" xfId="0" applyFont="1" applyFill="1" applyBorder="1" applyAlignment="1">
      <alignment horizontal="center" vertical="center"/>
    </xf>
    <xf numFmtId="0" fontId="3" fillId="10" borderId="20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3" fontId="11" fillId="5" borderId="50" xfId="0" applyNumberFormat="1" applyFont="1" applyFill="1" applyBorder="1" applyAlignment="1">
      <alignment horizontal="center" vertical="center" shrinkToFit="1"/>
    </xf>
    <xf numFmtId="0" fontId="3" fillId="12" borderId="51" xfId="0" applyFont="1" applyFill="1" applyBorder="1" applyAlignment="1">
      <alignment horizontal="center" vertical="center"/>
    </xf>
    <xf numFmtId="164" fontId="3" fillId="9" borderId="52" xfId="0" applyNumberFormat="1" applyFont="1" applyFill="1" applyBorder="1" applyAlignment="1">
      <alignment horizontal="center" vertical="center"/>
    </xf>
    <xf numFmtId="164" fontId="3" fillId="2" borderId="11" xfId="0" applyNumberFormat="1" applyFont="1" applyFill="1" applyBorder="1" applyAlignment="1">
      <alignment horizontal="center" vertical="center"/>
    </xf>
    <xf numFmtId="164" fontId="3" fillId="13" borderId="12" xfId="0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3" fillId="13" borderId="11" xfId="0" applyFont="1" applyFill="1" applyBorder="1" applyAlignment="1">
      <alignment horizontal="center" vertical="center"/>
    </xf>
    <xf numFmtId="0" fontId="3" fillId="10" borderId="34" xfId="0" applyFont="1" applyFill="1" applyBorder="1" applyAlignment="1">
      <alignment vertical="center"/>
    </xf>
    <xf numFmtId="0" fontId="3" fillId="14" borderId="1" xfId="0" applyFont="1" applyFill="1" applyBorder="1" applyAlignment="1">
      <alignment horizontal="right" vertical="center"/>
    </xf>
    <xf numFmtId="164" fontId="3" fillId="3" borderId="26" xfId="0" applyNumberFormat="1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40" xfId="0" applyFont="1" applyFill="1" applyBorder="1" applyAlignment="1">
      <alignment horizontal="center" vertical="center"/>
    </xf>
    <xf numFmtId="0" fontId="3" fillId="3" borderId="38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vertical="center"/>
    </xf>
    <xf numFmtId="164" fontId="3" fillId="3" borderId="51" xfId="0" applyNumberFormat="1" applyFont="1" applyFill="1" applyBorder="1" applyAlignment="1">
      <alignment horizontal="center" vertical="center" shrinkToFit="1"/>
    </xf>
    <xf numFmtId="3" fontId="11" fillId="5" borderId="52" xfId="0" applyNumberFormat="1" applyFont="1" applyFill="1" applyBorder="1" applyAlignment="1">
      <alignment horizontal="center" vertical="center" shrinkToFit="1"/>
    </xf>
    <xf numFmtId="3" fontId="11" fillId="5" borderId="11" xfId="0" applyNumberFormat="1" applyFont="1" applyFill="1" applyBorder="1" applyAlignment="1">
      <alignment horizontal="center" vertical="center" shrinkToFit="1"/>
    </xf>
    <xf numFmtId="3" fontId="11" fillId="5" borderId="34" xfId="0" applyNumberFormat="1" applyFont="1" applyFill="1" applyBorder="1" applyAlignment="1">
      <alignment horizontal="center" vertical="center" shrinkToFit="1"/>
    </xf>
    <xf numFmtId="0" fontId="2" fillId="4" borderId="17" xfId="0" applyFont="1" applyFill="1" applyBorder="1" applyAlignment="1">
      <alignment horizontal="center" vertical="center"/>
    </xf>
    <xf numFmtId="164" fontId="2" fillId="3" borderId="19" xfId="0" applyNumberFormat="1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164" fontId="3" fillId="3" borderId="20" xfId="0" applyNumberFormat="1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164" fontId="3" fillId="3" borderId="34" xfId="0" applyNumberFormat="1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right" vertical="center"/>
    </xf>
    <xf numFmtId="164" fontId="3" fillId="3" borderId="14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 shrinkToFit="1"/>
    </xf>
    <xf numFmtId="0" fontId="5" fillId="0" borderId="0" xfId="0" applyFont="1" applyAlignment="1">
      <alignment vertical="center"/>
    </xf>
    <xf numFmtId="0" fontId="9" fillId="0" borderId="0" xfId="0" applyFont="1" applyAlignment="1">
      <alignment horizontal="right" vertical="center"/>
    </xf>
    <xf numFmtId="0" fontId="14" fillId="0" borderId="0" xfId="0" applyFont="1" applyAlignment="1">
      <alignment vertical="center"/>
    </xf>
    <xf numFmtId="0" fontId="12" fillId="0" borderId="0" xfId="0" applyFont="1" applyAlignment="1">
      <alignment horizontal="center" vertical="center" shrinkToFit="1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right" vertical="center"/>
    </xf>
    <xf numFmtId="3" fontId="12" fillId="0" borderId="0" xfId="0" applyNumberFormat="1" applyFont="1" applyAlignment="1">
      <alignment horizontal="right" vertical="center" shrinkToFi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6" fillId="0" borderId="0" xfId="0" applyFont="1" applyAlignment="1">
      <alignment horizontal="center" vertical="center" shrinkToFit="1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right" vertical="center"/>
    </xf>
    <xf numFmtId="0" fontId="13" fillId="0" borderId="0" xfId="0" applyFont="1" applyAlignment="1">
      <alignment vertical="center" shrinkToFit="1"/>
    </xf>
    <xf numFmtId="0" fontId="33" fillId="0" borderId="0" xfId="0" applyFont="1" applyAlignment="1">
      <alignment horizontal="center"/>
    </xf>
    <xf numFmtId="0" fontId="33" fillId="0" borderId="0" xfId="0" applyFont="1" applyAlignment="1"/>
    <xf numFmtId="0" fontId="33" fillId="0" borderId="0" xfId="0" applyFont="1" applyAlignment="1"/>
    <xf numFmtId="0" fontId="36" fillId="0" borderId="4" xfId="0" applyFont="1" applyBorder="1" applyAlignment="1"/>
    <xf numFmtId="3" fontId="36" fillId="0" borderId="4" xfId="0" applyNumberFormat="1" applyFont="1" applyBorder="1" applyAlignment="1">
      <alignment horizontal="right"/>
    </xf>
    <xf numFmtId="3" fontId="36" fillId="0" borderId="4" xfId="0" applyNumberFormat="1" applyFont="1" applyBorder="1" applyAlignment="1">
      <alignment horizontal="center"/>
    </xf>
    <xf numFmtId="0" fontId="36" fillId="0" borderId="4" xfId="0" applyFont="1" applyBorder="1" applyAlignment="1">
      <alignment horizontal="center"/>
    </xf>
    <xf numFmtId="3" fontId="36" fillId="0" borderId="4" xfId="0" applyNumberFormat="1" applyFont="1" applyBorder="1" applyAlignment="1"/>
    <xf numFmtId="0" fontId="36" fillId="0" borderId="0" xfId="0" applyFont="1"/>
    <xf numFmtId="0" fontId="36" fillId="0" borderId="0" xfId="0" applyFont="1" applyAlignment="1"/>
    <xf numFmtId="3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center"/>
    </xf>
    <xf numFmtId="3" fontId="33" fillId="0" borderId="0" xfId="0" applyNumberFormat="1" applyFont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0" xfId="0" applyFont="1" applyBorder="1" applyAlignment="1">
      <alignment horizontal="center"/>
    </xf>
    <xf numFmtId="0" fontId="33" fillId="2" borderId="0" xfId="0" applyFont="1" applyFill="1" applyAlignment="1"/>
    <xf numFmtId="3" fontId="33" fillId="2" borderId="0" xfId="0" applyNumberFormat="1" applyFont="1" applyFill="1" applyAlignment="1">
      <alignment horizontal="right"/>
    </xf>
    <xf numFmtId="3" fontId="33" fillId="2" borderId="0" xfId="0" applyNumberFormat="1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0" xfId="0" applyFont="1" applyBorder="1" applyAlignment="1">
      <alignment horizontal="center"/>
    </xf>
    <xf numFmtId="3" fontId="1" fillId="0" borderId="0" xfId="0" applyNumberFormat="1" applyFont="1"/>
    <xf numFmtId="3" fontId="33" fillId="0" borderId="0" xfId="0" applyNumberFormat="1" applyFont="1" applyAlignment="1">
      <alignment horizontal="right"/>
    </xf>
    <xf numFmtId="0" fontId="33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3" fillId="0" borderId="0" xfId="0" applyNumberFormat="1" applyFont="1" applyAlignment="1">
      <alignment vertical="center"/>
    </xf>
    <xf numFmtId="0" fontId="3" fillId="2" borderId="0" xfId="0" applyNumberFormat="1" applyFont="1" applyFill="1" applyAlignment="1">
      <alignment vertical="center"/>
    </xf>
    <xf numFmtId="0" fontId="3" fillId="2" borderId="0" xfId="0" applyNumberFormat="1" applyFont="1" applyFill="1" applyAlignment="1">
      <alignment horizontal="center" vertical="center" shrinkToFit="1"/>
    </xf>
    <xf numFmtId="0" fontId="0" fillId="0" borderId="0" xfId="0" applyNumberFormat="1" applyFont="1" applyAlignment="1"/>
    <xf numFmtId="0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 shrinkToFit="1"/>
    </xf>
    <xf numFmtId="0" fontId="4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 wrapText="1"/>
    </xf>
    <xf numFmtId="0" fontId="6" fillId="0" borderId="0" xfId="0" applyNumberFormat="1" applyFont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3" fillId="4" borderId="37" xfId="0" applyNumberFormat="1" applyFont="1" applyFill="1" applyBorder="1" applyAlignment="1">
      <alignment horizontal="center" vertical="center"/>
    </xf>
    <xf numFmtId="0" fontId="3" fillId="4" borderId="38" xfId="0" applyNumberFormat="1" applyFont="1" applyFill="1" applyBorder="1" applyAlignment="1">
      <alignment horizontal="center" vertical="center" shrinkToFit="1"/>
    </xf>
    <xf numFmtId="0" fontId="3" fillId="4" borderId="39" xfId="0" applyNumberFormat="1" applyFont="1" applyFill="1" applyBorder="1" applyAlignment="1">
      <alignment horizontal="center" vertical="center"/>
    </xf>
    <xf numFmtId="0" fontId="3" fillId="4" borderId="40" xfId="0" applyNumberFormat="1" applyFont="1" applyFill="1" applyBorder="1" applyAlignment="1">
      <alignment horizontal="center" vertical="center"/>
    </xf>
    <xf numFmtId="0" fontId="3" fillId="4" borderId="41" xfId="0" applyNumberFormat="1" applyFont="1" applyFill="1" applyBorder="1" applyAlignment="1">
      <alignment horizontal="center" vertical="center"/>
    </xf>
    <xf numFmtId="0" fontId="3" fillId="4" borderId="26" xfId="0" applyNumberFormat="1" applyFont="1" applyFill="1" applyBorder="1" applyAlignment="1">
      <alignment horizontal="center" vertical="center"/>
    </xf>
    <xf numFmtId="0" fontId="3" fillId="4" borderId="25" xfId="0" applyNumberFormat="1" applyFont="1" applyFill="1" applyBorder="1" applyAlignment="1">
      <alignment horizontal="center" vertical="center"/>
    </xf>
    <xf numFmtId="0" fontId="3" fillId="4" borderId="37" xfId="0" applyNumberFormat="1" applyFont="1" applyFill="1" applyBorder="1" applyAlignment="1">
      <alignment vertical="center"/>
    </xf>
    <xf numFmtId="0" fontId="4" fillId="4" borderId="25" xfId="0" applyNumberFormat="1" applyFont="1" applyFill="1" applyBorder="1" applyAlignment="1">
      <alignment horizontal="center"/>
    </xf>
    <xf numFmtId="0" fontId="4" fillId="4" borderId="40" xfId="0" applyNumberFormat="1" applyFont="1" applyFill="1" applyBorder="1" applyAlignment="1">
      <alignment horizontal="center"/>
    </xf>
    <xf numFmtId="0" fontId="4" fillId="4" borderId="42" xfId="0" applyNumberFormat="1" applyFont="1" applyFill="1" applyBorder="1" applyAlignment="1">
      <alignment horizontal="center"/>
    </xf>
    <xf numFmtId="0" fontId="4" fillId="4" borderId="43" xfId="0" applyNumberFormat="1" applyFont="1" applyFill="1" applyBorder="1" applyAlignment="1">
      <alignment horizontal="center"/>
    </xf>
    <xf numFmtId="0" fontId="4" fillId="4" borderId="13" xfId="0" applyNumberFormat="1" applyFont="1" applyFill="1" applyBorder="1" applyAlignment="1">
      <alignment horizontal="center" wrapText="1"/>
    </xf>
    <xf numFmtId="0" fontId="4" fillId="4" borderId="14" xfId="0" applyNumberFormat="1" applyFont="1" applyFill="1" applyBorder="1" applyAlignment="1">
      <alignment horizontal="center" wrapText="1"/>
    </xf>
    <xf numFmtId="0" fontId="4" fillId="4" borderId="41" xfId="0" applyNumberFormat="1" applyFont="1" applyFill="1" applyBorder="1" applyAlignment="1">
      <alignment horizontal="center"/>
    </xf>
    <xf numFmtId="0" fontId="5" fillId="4" borderId="40" xfId="0" applyNumberFormat="1" applyFont="1" applyFill="1" applyBorder="1" applyAlignment="1">
      <alignment horizontal="center"/>
    </xf>
    <xf numFmtId="0" fontId="3" fillId="4" borderId="38" xfId="0" applyNumberFormat="1" applyFont="1" applyFill="1" applyBorder="1" applyAlignment="1">
      <alignment horizontal="center" vertical="center"/>
    </xf>
    <xf numFmtId="0" fontId="3" fillId="4" borderId="40" xfId="0" applyNumberFormat="1" applyFont="1" applyFill="1" applyBorder="1" applyAlignment="1">
      <alignment horizontal="center" vertical="center" wrapText="1"/>
    </xf>
    <xf numFmtId="0" fontId="3" fillId="4" borderId="45" xfId="0" applyNumberFormat="1" applyFont="1" applyFill="1" applyBorder="1" applyAlignment="1">
      <alignment horizontal="center" vertical="center"/>
    </xf>
    <xf numFmtId="0" fontId="7" fillId="5" borderId="30" xfId="0" applyNumberFormat="1" applyFont="1" applyFill="1" applyBorder="1" applyAlignment="1">
      <alignment vertical="center" shrinkToFit="1"/>
    </xf>
    <xf numFmtId="0" fontId="3" fillId="0" borderId="19" xfId="0" applyNumberFormat="1" applyFont="1" applyBorder="1" applyAlignment="1">
      <alignment horizontal="center" vertical="center" shrinkToFit="1"/>
    </xf>
    <xf numFmtId="0" fontId="7" fillId="3" borderId="30" xfId="0" applyNumberFormat="1" applyFont="1" applyFill="1" applyBorder="1" applyAlignment="1">
      <alignment horizontal="center" vertical="center"/>
    </xf>
    <xf numFmtId="0" fontId="7" fillId="3" borderId="18" xfId="0" applyNumberFormat="1" applyFont="1" applyFill="1" applyBorder="1" applyAlignment="1">
      <alignment horizontal="center" vertical="center"/>
    </xf>
    <xf numFmtId="0" fontId="7" fillId="3" borderId="19" xfId="0" applyNumberFormat="1" applyFont="1" applyFill="1" applyBorder="1" applyAlignment="1">
      <alignment horizontal="center" vertical="center"/>
    </xf>
    <xf numFmtId="0" fontId="3" fillId="3" borderId="30" xfId="0" applyNumberFormat="1" applyFont="1" applyFill="1" applyBorder="1" applyAlignment="1">
      <alignment horizontal="center" vertical="center" wrapText="1"/>
    </xf>
    <xf numFmtId="0" fontId="8" fillId="2" borderId="19" xfId="0" applyNumberFormat="1" applyFont="1" applyFill="1" applyBorder="1" applyAlignment="1">
      <alignment horizontal="center" vertical="center" wrapText="1"/>
    </xf>
    <xf numFmtId="0" fontId="9" fillId="3" borderId="30" xfId="0" applyNumberFormat="1" applyFont="1" applyFill="1" applyBorder="1" applyAlignment="1">
      <alignment horizontal="center" vertical="center"/>
    </xf>
    <xf numFmtId="0" fontId="10" fillId="6" borderId="3" xfId="0" applyNumberFormat="1" applyFont="1" applyFill="1" applyBorder="1" applyAlignment="1">
      <alignment horizontal="center" vertical="center"/>
    </xf>
    <xf numFmtId="0" fontId="10" fillId="6" borderId="46" xfId="0" applyNumberFormat="1" applyFont="1" applyFill="1" applyBorder="1" applyAlignment="1">
      <alignment horizontal="center" vertical="center"/>
    </xf>
    <xf numFmtId="0" fontId="11" fillId="7" borderId="2" xfId="0" applyNumberFormat="1" applyFont="1" applyFill="1" applyBorder="1" applyAlignment="1">
      <alignment horizontal="center" vertical="center" shrinkToFit="1"/>
    </xf>
    <xf numFmtId="0" fontId="11" fillId="7" borderId="3" xfId="0" applyNumberFormat="1" applyFont="1" applyFill="1" applyBorder="1" applyAlignment="1">
      <alignment horizontal="center" vertical="center" shrinkToFit="1"/>
    </xf>
    <xf numFmtId="0" fontId="11" fillId="7" borderId="5" xfId="0" applyNumberFormat="1" applyFont="1" applyFill="1" applyBorder="1" applyAlignment="1">
      <alignment horizontal="center" vertical="center" shrinkToFit="1"/>
    </xf>
    <xf numFmtId="0" fontId="11" fillId="5" borderId="47" xfId="0" applyNumberFormat="1" applyFont="1" applyFill="1" applyBorder="1" applyAlignment="1">
      <alignment horizontal="center" vertical="center" shrinkToFit="1"/>
    </xf>
    <xf numFmtId="0" fontId="11" fillId="5" borderId="3" xfId="0" applyNumberFormat="1" applyFont="1" applyFill="1" applyBorder="1" applyAlignment="1">
      <alignment horizontal="center" vertical="center" shrinkToFit="1"/>
    </xf>
    <xf numFmtId="0" fontId="11" fillId="5" borderId="46" xfId="0" applyNumberFormat="1" applyFont="1" applyFill="1" applyBorder="1" applyAlignment="1">
      <alignment horizontal="center" vertical="center" shrinkToFit="1"/>
    </xf>
    <xf numFmtId="0" fontId="3" fillId="3" borderId="2" xfId="0" applyNumberFormat="1" applyFont="1" applyFill="1" applyBorder="1" applyAlignment="1">
      <alignment horizontal="center" vertical="center" shrinkToFit="1"/>
    </xf>
    <xf numFmtId="0" fontId="3" fillId="3" borderId="5" xfId="0" applyNumberFormat="1" applyFont="1" applyFill="1" applyBorder="1" applyAlignment="1">
      <alignment horizontal="right" vertical="center" shrinkToFit="1"/>
    </xf>
    <xf numFmtId="0" fontId="3" fillId="3" borderId="48" xfId="0" applyNumberFormat="1" applyFont="1" applyFill="1" applyBorder="1" applyAlignment="1">
      <alignment horizontal="center" vertical="center" shrinkToFit="1"/>
    </xf>
    <xf numFmtId="0" fontId="11" fillId="5" borderId="5" xfId="0" applyNumberFormat="1" applyFont="1" applyFill="1" applyBorder="1" applyAlignment="1">
      <alignment horizontal="center" vertical="center" shrinkToFit="1"/>
    </xf>
    <xf numFmtId="0" fontId="3" fillId="8" borderId="1" xfId="0" applyNumberFormat="1" applyFont="1" applyFill="1" applyBorder="1" applyAlignment="1">
      <alignment horizontal="right" vertical="center"/>
    </xf>
    <xf numFmtId="0" fontId="3" fillId="9" borderId="1" xfId="0" applyNumberFormat="1" applyFont="1" applyFill="1" applyBorder="1" applyAlignment="1">
      <alignment horizontal="center" vertical="center"/>
    </xf>
    <xf numFmtId="0" fontId="1" fillId="0" borderId="44" xfId="0" applyNumberFormat="1" applyFont="1" applyBorder="1"/>
    <xf numFmtId="0" fontId="1" fillId="0" borderId="0" xfId="0" applyNumberFormat="1" applyFont="1" applyAlignment="1">
      <alignment vertical="center"/>
    </xf>
    <xf numFmtId="0" fontId="1" fillId="1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3" fillId="4" borderId="49" xfId="0" applyNumberFormat="1" applyFont="1" applyFill="1" applyBorder="1" applyAlignment="1">
      <alignment horizontal="center" vertical="center"/>
    </xf>
    <xf numFmtId="0" fontId="7" fillId="5" borderId="50" xfId="0" applyNumberFormat="1" applyFont="1" applyFill="1" applyBorder="1" applyAlignment="1">
      <alignment vertical="center" shrinkToFit="1"/>
    </xf>
    <xf numFmtId="0" fontId="3" fillId="0" borderId="20" xfId="0" applyNumberFormat="1" applyFont="1" applyBorder="1" applyAlignment="1">
      <alignment horizontal="center" vertical="center" shrinkToFit="1"/>
    </xf>
    <xf numFmtId="0" fontId="7" fillId="3" borderId="50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3" borderId="20" xfId="0" applyNumberFormat="1" applyFont="1" applyFill="1" applyBorder="1" applyAlignment="1">
      <alignment horizontal="center" vertical="center"/>
    </xf>
    <xf numFmtId="0" fontId="3" fillId="3" borderId="50" xfId="0" applyNumberFormat="1" applyFont="1" applyFill="1" applyBorder="1" applyAlignment="1">
      <alignment horizontal="center" vertical="center" wrapText="1"/>
    </xf>
    <xf numFmtId="0" fontId="8" fillId="2" borderId="20" xfId="0" applyNumberFormat="1" applyFont="1" applyFill="1" applyBorder="1" applyAlignment="1">
      <alignment horizontal="center" vertical="center" wrapText="1"/>
    </xf>
    <xf numFmtId="0" fontId="9" fillId="3" borderId="50" xfId="0" applyNumberFormat="1" applyFont="1" applyFill="1" applyBorder="1" applyAlignment="1">
      <alignment horizontal="center" vertical="center"/>
    </xf>
    <xf numFmtId="0" fontId="10" fillId="6" borderId="4" xfId="0" applyNumberFormat="1" applyFont="1" applyFill="1" applyBorder="1" applyAlignment="1">
      <alignment horizontal="center" vertical="center"/>
    </xf>
    <xf numFmtId="0" fontId="10" fillId="6" borderId="33" xfId="0" applyNumberFormat="1" applyFont="1" applyFill="1" applyBorder="1" applyAlignment="1">
      <alignment horizontal="center" vertical="center"/>
    </xf>
    <xf numFmtId="0" fontId="11" fillId="7" borderId="6" xfId="0" applyNumberFormat="1" applyFont="1" applyFill="1" applyBorder="1" applyAlignment="1">
      <alignment horizontal="center" vertical="center" shrinkToFit="1"/>
    </xf>
    <xf numFmtId="0" fontId="11" fillId="7" borderId="4" xfId="0" applyNumberFormat="1" applyFont="1" applyFill="1" applyBorder="1" applyAlignment="1">
      <alignment horizontal="center" vertical="center" shrinkToFit="1"/>
    </xf>
    <xf numFmtId="0" fontId="11" fillId="7" borderId="20" xfId="0" applyNumberFormat="1" applyFont="1" applyFill="1" applyBorder="1" applyAlignment="1">
      <alignment horizontal="center" vertical="center" shrinkToFit="1"/>
    </xf>
    <xf numFmtId="0" fontId="11" fillId="5" borderId="50" xfId="0" applyNumberFormat="1" applyFont="1" applyFill="1" applyBorder="1" applyAlignment="1">
      <alignment horizontal="center" vertical="center" shrinkToFit="1"/>
    </xf>
    <xf numFmtId="0" fontId="11" fillId="5" borderId="4" xfId="0" applyNumberFormat="1" applyFont="1" applyFill="1" applyBorder="1" applyAlignment="1">
      <alignment horizontal="center" vertical="center" shrinkToFit="1"/>
    </xf>
    <xf numFmtId="0" fontId="11" fillId="5" borderId="33" xfId="0" applyNumberFormat="1" applyFont="1" applyFill="1" applyBorder="1" applyAlignment="1">
      <alignment horizontal="center" vertical="center" shrinkToFit="1"/>
    </xf>
    <xf numFmtId="0" fontId="3" fillId="3" borderId="6" xfId="0" applyNumberFormat="1" applyFont="1" applyFill="1" applyBorder="1" applyAlignment="1">
      <alignment horizontal="center" vertical="center" shrinkToFit="1"/>
    </xf>
    <xf numFmtId="0" fontId="3" fillId="3" borderId="49" xfId="0" applyNumberFormat="1" applyFont="1" applyFill="1" applyBorder="1" applyAlignment="1">
      <alignment horizontal="center" vertical="center" shrinkToFit="1"/>
    </xf>
    <xf numFmtId="0" fontId="11" fillId="5" borderId="20" xfId="0" applyNumberFormat="1" applyFont="1" applyFill="1" applyBorder="1" applyAlignment="1">
      <alignment horizontal="center" vertical="center" shrinkToFit="1"/>
    </xf>
    <xf numFmtId="0" fontId="3" fillId="11" borderId="1" xfId="0" applyNumberFormat="1" applyFont="1" applyFill="1" applyBorder="1" applyAlignment="1">
      <alignment horizontal="center" vertical="center"/>
    </xf>
    <xf numFmtId="0" fontId="3" fillId="11" borderId="41" xfId="0" applyNumberFormat="1" applyFont="1" applyFill="1" applyBorder="1" applyAlignment="1">
      <alignment horizontal="center" vertical="center"/>
    </xf>
    <xf numFmtId="0" fontId="3" fillId="11" borderId="40" xfId="0" applyNumberFormat="1" applyFont="1" applyFill="1" applyBorder="1" applyAlignment="1">
      <alignment horizontal="center" vertical="center"/>
    </xf>
    <xf numFmtId="0" fontId="3" fillId="11" borderId="42" xfId="0" applyNumberFormat="1" applyFont="1" applyFill="1" applyBorder="1" applyAlignment="1">
      <alignment horizontal="center" vertical="center" wrapText="1"/>
    </xf>
    <xf numFmtId="0" fontId="3" fillId="11" borderId="25" xfId="0" applyNumberFormat="1" applyFont="1" applyFill="1" applyBorder="1" applyAlignment="1">
      <alignment horizontal="center" vertical="center"/>
    </xf>
    <xf numFmtId="0" fontId="3" fillId="11" borderId="40" xfId="0" applyNumberFormat="1" applyFont="1" applyFill="1" applyBorder="1" applyAlignment="1">
      <alignment horizontal="center" vertical="center" wrapText="1"/>
    </xf>
    <xf numFmtId="0" fontId="3" fillId="11" borderId="38" xfId="0" applyNumberFormat="1" applyFont="1" applyFill="1" applyBorder="1" applyAlignment="1">
      <alignment horizontal="center" vertical="center" wrapText="1"/>
    </xf>
    <xf numFmtId="0" fontId="3" fillId="12" borderId="45" xfId="0" applyNumberFormat="1" applyFont="1" applyFill="1" applyBorder="1" applyAlignment="1">
      <alignment horizontal="center" vertical="center"/>
    </xf>
    <xf numFmtId="0" fontId="3" fillId="9" borderId="30" xfId="0" applyNumberFormat="1" applyFont="1" applyFill="1" applyBorder="1" applyAlignment="1">
      <alignment horizontal="center" vertical="center"/>
    </xf>
    <xf numFmtId="0" fontId="3" fillId="2" borderId="18" xfId="0" applyNumberFormat="1" applyFont="1" applyFill="1" applyBorder="1" applyAlignment="1">
      <alignment horizontal="center" vertical="center"/>
    </xf>
    <xf numFmtId="0" fontId="3" fillId="13" borderId="29" xfId="0" applyNumberFormat="1" applyFont="1" applyFill="1" applyBorder="1" applyAlignment="1">
      <alignment horizontal="center" vertical="center"/>
    </xf>
    <xf numFmtId="0" fontId="3" fillId="2" borderId="17" xfId="0" applyNumberFormat="1" applyFont="1" applyFill="1" applyBorder="1" applyAlignment="1">
      <alignment horizontal="center" vertical="center"/>
    </xf>
    <xf numFmtId="0" fontId="3" fillId="9" borderId="18" xfId="0" applyNumberFormat="1" applyFont="1" applyFill="1" applyBorder="1" applyAlignment="1">
      <alignment horizontal="center" vertical="center"/>
    </xf>
    <xf numFmtId="0" fontId="3" fillId="13" borderId="18" xfId="0" applyNumberFormat="1" applyFont="1" applyFill="1" applyBorder="1" applyAlignment="1">
      <alignment horizontal="center" vertical="center"/>
    </xf>
    <xf numFmtId="0" fontId="3" fillId="10" borderId="5" xfId="0" applyNumberFormat="1" applyFont="1" applyFill="1" applyBorder="1" applyAlignment="1">
      <alignment vertical="center"/>
    </xf>
    <xf numFmtId="0" fontId="3" fillId="12" borderId="49" xfId="0" applyNumberFormat="1" applyFont="1" applyFill="1" applyBorder="1" applyAlignment="1">
      <alignment horizontal="center" vertical="center"/>
    </xf>
    <xf numFmtId="0" fontId="3" fillId="9" borderId="50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13" borderId="33" xfId="0" applyNumberFormat="1" applyFont="1" applyFill="1" applyBorder="1" applyAlignment="1">
      <alignment horizontal="center" vertical="center"/>
    </xf>
    <xf numFmtId="0" fontId="3" fillId="2" borderId="6" xfId="0" applyNumberFormat="1" applyFont="1" applyFill="1" applyBorder="1" applyAlignment="1">
      <alignment horizontal="center" vertical="center"/>
    </xf>
    <xf numFmtId="0" fontId="3" fillId="9" borderId="4" xfId="0" applyNumberFormat="1" applyFont="1" applyFill="1" applyBorder="1" applyAlignment="1">
      <alignment horizontal="center" vertical="center"/>
    </xf>
    <xf numFmtId="0" fontId="3" fillId="13" borderId="4" xfId="0" applyNumberFormat="1" applyFont="1" applyFill="1" applyBorder="1" applyAlignment="1">
      <alignment horizontal="center" vertical="center"/>
    </xf>
    <xf numFmtId="0" fontId="3" fillId="10" borderId="20" xfId="0" applyNumberFormat="1" applyFont="1" applyFill="1" applyBorder="1" applyAlignment="1">
      <alignment vertical="center"/>
    </xf>
    <xf numFmtId="0" fontId="3" fillId="12" borderId="51" xfId="0" applyNumberFormat="1" applyFont="1" applyFill="1" applyBorder="1" applyAlignment="1">
      <alignment horizontal="center" vertical="center"/>
    </xf>
    <xf numFmtId="0" fontId="3" fillId="9" borderId="52" xfId="0" applyNumberFormat="1" applyFont="1" applyFill="1" applyBorder="1" applyAlignment="1">
      <alignment horizontal="center" vertical="center"/>
    </xf>
    <xf numFmtId="0" fontId="3" fillId="2" borderId="11" xfId="0" applyNumberFormat="1" applyFont="1" applyFill="1" applyBorder="1" applyAlignment="1">
      <alignment horizontal="center" vertical="center"/>
    </xf>
    <xf numFmtId="0" fontId="3" fillId="13" borderId="12" xfId="0" applyNumberFormat="1" applyFont="1" applyFill="1" applyBorder="1" applyAlignment="1">
      <alignment horizontal="center" vertical="center"/>
    </xf>
    <xf numFmtId="0" fontId="3" fillId="2" borderId="10" xfId="0" applyNumberFormat="1" applyFont="1" applyFill="1" applyBorder="1" applyAlignment="1">
      <alignment horizontal="center" vertical="center"/>
    </xf>
    <xf numFmtId="0" fontId="3" fillId="9" borderId="11" xfId="0" applyNumberFormat="1" applyFont="1" applyFill="1" applyBorder="1" applyAlignment="1">
      <alignment horizontal="center" vertical="center"/>
    </xf>
    <xf numFmtId="0" fontId="3" fillId="13" borderId="11" xfId="0" applyNumberFormat="1" applyFont="1" applyFill="1" applyBorder="1" applyAlignment="1">
      <alignment horizontal="center" vertical="center"/>
    </xf>
    <xf numFmtId="0" fontId="3" fillId="10" borderId="34" xfId="0" applyNumberFormat="1" applyFont="1" applyFill="1" applyBorder="1" applyAlignment="1">
      <alignment vertical="center"/>
    </xf>
    <xf numFmtId="0" fontId="3" fillId="14" borderId="1" xfId="0" applyNumberFormat="1" applyFont="1" applyFill="1" applyBorder="1" applyAlignment="1">
      <alignment horizontal="right" vertical="center"/>
    </xf>
    <xf numFmtId="0" fontId="3" fillId="3" borderId="26" xfId="0" applyNumberFormat="1" applyFont="1" applyFill="1" applyBorder="1" applyAlignment="1">
      <alignment horizontal="center" vertical="center"/>
    </xf>
    <xf numFmtId="0" fontId="3" fillId="3" borderId="25" xfId="0" applyNumberFormat="1" applyFont="1" applyFill="1" applyBorder="1" applyAlignment="1">
      <alignment horizontal="center" vertical="center"/>
    </xf>
    <xf numFmtId="0" fontId="3" fillId="3" borderId="40" xfId="0" applyNumberFormat="1" applyFont="1" applyFill="1" applyBorder="1" applyAlignment="1">
      <alignment horizontal="center" vertical="center"/>
    </xf>
    <xf numFmtId="0" fontId="3" fillId="3" borderId="38" xfId="0" applyNumberFormat="1" applyFont="1" applyFill="1" applyBorder="1" applyAlignment="1">
      <alignment horizontal="center" vertical="center"/>
    </xf>
    <xf numFmtId="0" fontId="3" fillId="4" borderId="51" xfId="0" applyNumberFormat="1" applyFont="1" applyFill="1" applyBorder="1" applyAlignment="1">
      <alignment horizontal="center" vertical="center"/>
    </xf>
    <xf numFmtId="0" fontId="7" fillId="5" borderId="53" xfId="0" applyNumberFormat="1" applyFont="1" applyFill="1" applyBorder="1" applyAlignment="1">
      <alignment vertical="center" shrinkToFit="1"/>
    </xf>
    <xf numFmtId="0" fontId="3" fillId="0" borderId="24" xfId="0" applyNumberFormat="1" applyFont="1" applyBorder="1" applyAlignment="1">
      <alignment horizontal="center" vertical="center" shrinkToFit="1"/>
    </xf>
    <xf numFmtId="0" fontId="7" fillId="3" borderId="53" xfId="0" applyNumberFormat="1" applyFont="1" applyFill="1" applyBorder="1" applyAlignment="1">
      <alignment horizontal="center" vertical="center"/>
    </xf>
    <xf numFmtId="0" fontId="7" fillId="3" borderId="8" xfId="0" applyNumberFormat="1" applyFont="1" applyFill="1" applyBorder="1" applyAlignment="1">
      <alignment horizontal="center" vertical="center"/>
    </xf>
    <xf numFmtId="0" fontId="7" fillId="3" borderId="24" xfId="0" applyNumberFormat="1" applyFont="1" applyFill="1" applyBorder="1" applyAlignment="1">
      <alignment horizontal="center" vertical="center"/>
    </xf>
    <xf numFmtId="0" fontId="3" fillId="3" borderId="53" xfId="0" applyNumberFormat="1" applyFont="1" applyFill="1" applyBorder="1" applyAlignment="1">
      <alignment horizontal="center" vertical="center" wrapText="1"/>
    </xf>
    <xf numFmtId="0" fontId="8" fillId="2" borderId="24" xfId="0" applyNumberFormat="1" applyFont="1" applyFill="1" applyBorder="1" applyAlignment="1">
      <alignment horizontal="center" vertical="center" wrapText="1"/>
    </xf>
    <xf numFmtId="0" fontId="9" fillId="3" borderId="53" xfId="0" applyNumberFormat="1" applyFont="1" applyFill="1" applyBorder="1" applyAlignment="1">
      <alignment horizontal="center" vertical="center"/>
    </xf>
    <xf numFmtId="0" fontId="10" fillId="6" borderId="8" xfId="0" applyNumberFormat="1" applyFont="1" applyFill="1" applyBorder="1" applyAlignment="1">
      <alignment horizontal="center" vertical="center"/>
    </xf>
    <xf numFmtId="0" fontId="10" fillId="6" borderId="54" xfId="0" applyNumberFormat="1" applyFont="1" applyFill="1" applyBorder="1" applyAlignment="1">
      <alignment horizontal="center" vertical="center"/>
    </xf>
    <xf numFmtId="0" fontId="11" fillId="7" borderId="7" xfId="0" applyNumberFormat="1" applyFont="1" applyFill="1" applyBorder="1" applyAlignment="1">
      <alignment horizontal="center" vertical="center" shrinkToFit="1"/>
    </xf>
    <xf numFmtId="0" fontId="11" fillId="7" borderId="8" xfId="0" applyNumberFormat="1" applyFont="1" applyFill="1" applyBorder="1" applyAlignment="1">
      <alignment horizontal="center" vertical="center" shrinkToFit="1"/>
    </xf>
    <xf numFmtId="0" fontId="11" fillId="7" borderId="24" xfId="0" applyNumberFormat="1" applyFont="1" applyFill="1" applyBorder="1" applyAlignment="1">
      <alignment horizontal="center" vertical="center" shrinkToFit="1"/>
    </xf>
    <xf numFmtId="0" fontId="11" fillId="5" borderId="53" xfId="0" applyNumberFormat="1" applyFont="1" applyFill="1" applyBorder="1" applyAlignment="1">
      <alignment horizontal="center" vertical="center" shrinkToFit="1"/>
    </xf>
    <xf numFmtId="0" fontId="11" fillId="5" borderId="8" xfId="0" applyNumberFormat="1" applyFont="1" applyFill="1" applyBorder="1" applyAlignment="1">
      <alignment horizontal="center" vertical="center" shrinkToFit="1"/>
    </xf>
    <xf numFmtId="0" fontId="11" fillId="5" borderId="54" xfId="0" applyNumberFormat="1" applyFont="1" applyFill="1" applyBorder="1" applyAlignment="1">
      <alignment horizontal="center" vertical="center" shrinkToFit="1"/>
    </xf>
    <xf numFmtId="0" fontId="3" fillId="3" borderId="7" xfId="0" applyNumberFormat="1" applyFont="1" applyFill="1" applyBorder="1" applyAlignment="1">
      <alignment horizontal="center" vertical="center" shrinkToFit="1"/>
    </xf>
    <xf numFmtId="0" fontId="3" fillId="3" borderId="51" xfId="0" applyNumberFormat="1" applyFont="1" applyFill="1" applyBorder="1" applyAlignment="1">
      <alignment horizontal="center" vertical="center" shrinkToFit="1"/>
    </xf>
    <xf numFmtId="0" fontId="11" fillId="5" borderId="52" xfId="0" applyNumberFormat="1" applyFont="1" applyFill="1" applyBorder="1" applyAlignment="1">
      <alignment horizontal="center" vertical="center" shrinkToFit="1"/>
    </xf>
    <xf numFmtId="0" fontId="11" fillId="5" borderId="11" xfId="0" applyNumberFormat="1" applyFont="1" applyFill="1" applyBorder="1" applyAlignment="1">
      <alignment horizontal="center" vertical="center" shrinkToFit="1"/>
    </xf>
    <xf numFmtId="0" fontId="11" fillId="5" borderId="34" xfId="0" applyNumberFormat="1" applyFont="1" applyFill="1" applyBorder="1" applyAlignment="1">
      <alignment horizontal="center" vertical="center" shrinkToFit="1"/>
    </xf>
    <xf numFmtId="0" fontId="12" fillId="4" borderId="26" xfId="0" applyNumberFormat="1" applyFont="1" applyFill="1" applyBorder="1" applyAlignment="1">
      <alignment horizontal="right" vertical="center" shrinkToFit="1"/>
    </xf>
    <xf numFmtId="0" fontId="3" fillId="5" borderId="3" xfId="0" applyNumberFormat="1" applyFont="1" applyFill="1" applyBorder="1" applyAlignment="1">
      <alignment horizontal="center" vertical="center" shrinkToFit="1"/>
    </xf>
    <xf numFmtId="0" fontId="3" fillId="4" borderId="0" xfId="0" applyNumberFormat="1" applyFont="1" applyFill="1" applyBorder="1" applyAlignment="1">
      <alignment horizontal="center" vertical="center"/>
    </xf>
    <xf numFmtId="0" fontId="3" fillId="3" borderId="59" xfId="0" applyNumberFormat="1" applyFont="1" applyFill="1" applyBorder="1" applyAlignment="1">
      <alignment horizontal="right" vertical="center" shrinkToFit="1"/>
    </xf>
    <xf numFmtId="0" fontId="3" fillId="5" borderId="4" xfId="0" applyNumberFormat="1" applyFont="1" applyFill="1" applyBorder="1" applyAlignment="1">
      <alignment horizontal="center" vertical="center" shrinkToFit="1"/>
    </xf>
    <xf numFmtId="0" fontId="3" fillId="4" borderId="32" xfId="0" applyNumberFormat="1" applyFont="1" applyFill="1" applyBorder="1" applyAlignment="1">
      <alignment horizontal="center" vertical="center"/>
    </xf>
    <xf numFmtId="0" fontId="3" fillId="3" borderId="60" xfId="0" applyNumberFormat="1" applyFont="1" applyFill="1" applyBorder="1" applyAlignment="1">
      <alignment horizontal="right" vertical="center" shrinkToFit="1"/>
    </xf>
    <xf numFmtId="0" fontId="2" fillId="4" borderId="17" xfId="0" applyNumberFormat="1" applyFont="1" applyFill="1" applyBorder="1" applyAlignment="1">
      <alignment horizontal="center" vertical="center"/>
    </xf>
    <xf numFmtId="0" fontId="2" fillId="3" borderId="19" xfId="0" applyNumberFormat="1" applyFont="1" applyFill="1" applyBorder="1" applyAlignment="1">
      <alignment horizontal="center" vertical="center"/>
    </xf>
    <xf numFmtId="0" fontId="3" fillId="4" borderId="6" xfId="0" applyNumberFormat="1" applyFont="1" applyFill="1" applyBorder="1" applyAlignment="1">
      <alignment horizontal="center" vertical="center"/>
    </xf>
    <xf numFmtId="0" fontId="3" fillId="3" borderId="20" xfId="0" applyNumberFormat="1" applyFont="1" applyFill="1" applyBorder="1" applyAlignment="1">
      <alignment horizontal="center" vertical="center"/>
    </xf>
    <xf numFmtId="0" fontId="3" fillId="5" borderId="11" xfId="0" applyNumberFormat="1" applyFont="1" applyFill="1" applyBorder="1" applyAlignment="1">
      <alignment horizontal="center" vertical="center" shrinkToFit="1"/>
    </xf>
    <xf numFmtId="0" fontId="3" fillId="4" borderId="10" xfId="0" applyNumberFormat="1" applyFont="1" applyFill="1" applyBorder="1" applyAlignment="1">
      <alignment horizontal="center" vertical="center"/>
    </xf>
    <xf numFmtId="0" fontId="3" fillId="3" borderId="34" xfId="0" applyNumberFormat="1" applyFont="1" applyFill="1" applyBorder="1" applyAlignment="1">
      <alignment horizontal="center" vertical="center"/>
    </xf>
    <xf numFmtId="0" fontId="3" fillId="4" borderId="43" xfId="0" applyNumberFormat="1" applyFont="1" applyFill="1" applyBorder="1" applyAlignment="1">
      <alignment horizontal="right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7" fillId="0" borderId="0" xfId="0" applyNumberFormat="1" applyFont="1" applyAlignment="1">
      <alignment vertical="center" shrinkToFit="1"/>
    </xf>
    <xf numFmtId="0" fontId="5" fillId="0" borderId="0" xfId="0" applyNumberFormat="1" applyFont="1" applyAlignment="1">
      <alignment vertical="center"/>
    </xf>
    <xf numFmtId="0" fontId="9" fillId="0" borderId="0" xfId="0" applyNumberFormat="1" applyFont="1" applyAlignment="1">
      <alignment horizontal="right" vertical="center"/>
    </xf>
    <xf numFmtId="0" fontId="14" fillId="0" borderId="0" xfId="0" applyNumberFormat="1" applyFont="1" applyAlignment="1">
      <alignment vertical="center"/>
    </xf>
    <xf numFmtId="0" fontId="12" fillId="0" borderId="0" xfId="0" applyNumberFormat="1" applyFont="1" applyAlignment="1">
      <alignment horizontal="center" vertical="center" shrinkToFit="1"/>
    </xf>
    <xf numFmtId="0" fontId="12" fillId="0" borderId="0" xfId="0" applyNumberFormat="1" applyFont="1" applyAlignment="1">
      <alignment horizontal="center" vertical="center"/>
    </xf>
    <xf numFmtId="0" fontId="15" fillId="0" borderId="0" xfId="0" applyNumberFormat="1" applyFont="1" applyAlignment="1">
      <alignment horizontal="left" vertical="center"/>
    </xf>
    <xf numFmtId="0" fontId="15" fillId="0" borderId="0" xfId="0" applyNumberFormat="1" applyFont="1" applyAlignment="1">
      <alignment horizontal="right" vertical="center"/>
    </xf>
    <xf numFmtId="0" fontId="12" fillId="0" borderId="0" xfId="0" applyNumberFormat="1" applyFont="1" applyAlignment="1">
      <alignment horizontal="right" vertical="center" shrinkToFit="1"/>
    </xf>
    <xf numFmtId="0" fontId="13" fillId="0" borderId="0" xfId="0" applyNumberFormat="1" applyFont="1" applyAlignment="1">
      <alignment vertical="center"/>
    </xf>
    <xf numFmtId="0" fontId="13" fillId="0" borderId="0" xfId="0" applyNumberFormat="1" applyFont="1" applyAlignment="1">
      <alignment horizontal="center" vertical="center"/>
    </xf>
    <xf numFmtId="0" fontId="13" fillId="15" borderId="0" xfId="0" applyNumberFormat="1" applyFont="1" applyFill="1" applyAlignment="1">
      <alignment vertical="center" shrinkToFit="1"/>
    </xf>
    <xf numFmtId="0" fontId="16" fillId="0" borderId="0" xfId="0" applyNumberFormat="1" applyFont="1" applyAlignment="1">
      <alignment vertical="center"/>
    </xf>
    <xf numFmtId="0" fontId="17" fillId="0" borderId="0" xfId="0" applyNumberFormat="1" applyFont="1" applyAlignment="1">
      <alignment vertical="center"/>
    </xf>
    <xf numFmtId="0" fontId="16" fillId="0" borderId="0" xfId="0" applyNumberFormat="1" applyFont="1" applyAlignment="1">
      <alignment horizontal="center" vertical="center" shrinkToFit="1"/>
    </xf>
    <xf numFmtId="0" fontId="16" fillId="0" borderId="0" xfId="0" applyNumberFormat="1" applyFont="1" applyAlignment="1">
      <alignment horizontal="center" vertical="center"/>
    </xf>
    <xf numFmtId="0" fontId="16" fillId="0" borderId="0" xfId="0" applyNumberFormat="1" applyFont="1" applyAlignment="1">
      <alignment horizontal="left" vertical="center"/>
    </xf>
    <xf numFmtId="0" fontId="16" fillId="0" borderId="0" xfId="0" applyNumberFormat="1" applyFont="1" applyAlignment="1">
      <alignment horizontal="right" vertical="center"/>
    </xf>
    <xf numFmtId="0" fontId="2" fillId="10" borderId="1" xfId="0" applyNumberFormat="1" applyFont="1" applyFill="1" applyBorder="1" applyAlignment="1">
      <alignment horizontal="center" vertical="center"/>
    </xf>
    <xf numFmtId="0" fontId="1" fillId="5" borderId="44" xfId="0" applyNumberFormat="1" applyFont="1" applyFill="1" applyBorder="1"/>
    <xf numFmtId="0" fontId="3" fillId="5" borderId="22" xfId="0" applyNumberFormat="1" applyFont="1" applyFill="1" applyBorder="1" applyAlignment="1">
      <alignment horizontal="center" vertical="center"/>
    </xf>
    <xf numFmtId="0" fontId="3" fillId="5" borderId="23" xfId="0" applyNumberFormat="1" applyFont="1" applyFill="1" applyBorder="1" applyAlignment="1">
      <alignment horizontal="center" vertical="center"/>
    </xf>
    <xf numFmtId="0" fontId="3" fillId="5" borderId="44" xfId="0" applyNumberFormat="1" applyFont="1" applyFill="1" applyBorder="1" applyAlignment="1">
      <alignment horizontal="center" vertical="center"/>
    </xf>
    <xf numFmtId="0" fontId="3" fillId="5" borderId="0" xfId="0" applyNumberFormat="1" applyFont="1" applyFill="1" applyAlignment="1">
      <alignment horizontal="center" vertical="center"/>
    </xf>
    <xf numFmtId="0" fontId="3" fillId="5" borderId="55" xfId="0" applyNumberFormat="1" applyFont="1" applyFill="1" applyBorder="1" applyAlignment="1">
      <alignment horizontal="center" vertical="center"/>
    </xf>
    <xf numFmtId="0" fontId="3" fillId="5" borderId="62" xfId="0" applyNumberFormat="1" applyFont="1" applyFill="1" applyBorder="1" applyAlignment="1">
      <alignment horizontal="center" vertical="center"/>
    </xf>
    <xf numFmtId="0" fontId="3" fillId="5" borderId="63" xfId="0" applyNumberFormat="1" applyFont="1" applyFill="1" applyBorder="1" applyAlignment="1">
      <alignment horizontal="center" vertical="center"/>
    </xf>
    <xf numFmtId="0" fontId="3" fillId="5" borderId="64" xfId="0" applyNumberFormat="1" applyFont="1" applyFill="1" applyBorder="1" applyAlignment="1">
      <alignment horizontal="center" vertical="center"/>
    </xf>
    <xf numFmtId="0" fontId="7" fillId="5" borderId="31" xfId="0" applyNumberFormat="1" applyFont="1" applyFill="1" applyBorder="1" applyAlignment="1">
      <alignment vertical="center" shrinkToFit="1"/>
    </xf>
    <xf numFmtId="0" fontId="7" fillId="5" borderId="35" xfId="0" applyNumberFormat="1" applyFont="1" applyFill="1" applyBorder="1" applyAlignment="1">
      <alignment vertical="center" shrinkToFit="1"/>
    </xf>
    <xf numFmtId="0" fontId="3" fillId="0" borderId="6" xfId="0" applyNumberFormat="1" applyFont="1" applyBorder="1" applyAlignment="1">
      <alignment horizontal="center"/>
    </xf>
    <xf numFmtId="0" fontId="23" fillId="5" borderId="0" xfId="0" applyNumberFormat="1" applyFont="1" applyFill="1" applyAlignment="1">
      <alignment horizontal="left"/>
    </xf>
    <xf numFmtId="0" fontId="3" fillId="0" borderId="0" xfId="0" applyNumberFormat="1" applyFont="1"/>
    <xf numFmtId="0" fontId="3" fillId="4" borderId="15" xfId="0" applyNumberFormat="1" applyFont="1" applyFill="1" applyBorder="1" applyAlignment="1">
      <alignment horizontal="center" vertical="center"/>
    </xf>
    <xf numFmtId="0" fontId="3" fillId="4" borderId="23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Border="1"/>
    <xf numFmtId="0" fontId="3" fillId="6" borderId="45" xfId="0" applyNumberFormat="1" applyFont="1" applyFill="1" applyBorder="1" applyAlignment="1">
      <alignment horizontal="center" vertical="center"/>
    </xf>
    <xf numFmtId="0" fontId="7" fillId="5" borderId="27" xfId="0" applyNumberFormat="1" applyFont="1" applyFill="1" applyBorder="1" applyAlignment="1">
      <alignment vertical="center" shrinkToFit="1"/>
    </xf>
    <xf numFmtId="0" fontId="7" fillId="3" borderId="29" xfId="0" applyNumberFormat="1" applyFont="1" applyFill="1" applyBorder="1" applyAlignment="1">
      <alignment horizontal="center" vertical="center"/>
    </xf>
    <xf numFmtId="0" fontId="3" fillId="3" borderId="17" xfId="0" applyNumberFormat="1" applyFont="1" applyFill="1" applyBorder="1" applyAlignment="1">
      <alignment horizontal="center" vertical="center" wrapText="1"/>
    </xf>
    <xf numFmtId="0" fontId="18" fillId="0" borderId="59" xfId="0" applyNumberFormat="1" applyFont="1" applyBorder="1" applyAlignment="1">
      <alignment horizontal="center" vertical="center"/>
    </xf>
    <xf numFmtId="0" fontId="10" fillId="6" borderId="48" xfId="0" applyNumberFormat="1" applyFont="1" applyFill="1" applyBorder="1" applyAlignment="1">
      <alignment horizontal="center" vertical="center"/>
    </xf>
    <xf numFmtId="0" fontId="4" fillId="7" borderId="57" xfId="0" applyNumberFormat="1" applyFont="1" applyFill="1" applyBorder="1" applyAlignment="1">
      <alignment horizontal="center" vertical="center" shrinkToFit="1"/>
    </xf>
    <xf numFmtId="0" fontId="4" fillId="7" borderId="46" xfId="0" applyNumberFormat="1" applyFont="1" applyFill="1" applyBorder="1" applyAlignment="1">
      <alignment horizontal="center" vertical="center" shrinkToFit="1"/>
    </xf>
    <xf numFmtId="0" fontId="4" fillId="7" borderId="3" xfId="0" applyNumberFormat="1" applyFont="1" applyFill="1" applyBorder="1" applyAlignment="1">
      <alignment horizontal="center" vertical="center" shrinkToFit="1"/>
    </xf>
    <xf numFmtId="0" fontId="4" fillId="7" borderId="58" xfId="0" applyNumberFormat="1" applyFont="1" applyFill="1" applyBorder="1" applyAlignment="1">
      <alignment horizontal="center" vertical="center" shrinkToFit="1"/>
    </xf>
    <xf numFmtId="0" fontId="3" fillId="5" borderId="56" xfId="0" applyNumberFormat="1" applyFont="1" applyFill="1" applyBorder="1" applyAlignment="1">
      <alignment horizontal="center" vertical="center" shrinkToFit="1"/>
    </xf>
    <xf numFmtId="0" fontId="4" fillId="7" borderId="56" xfId="0" applyNumberFormat="1" applyFont="1" applyFill="1" applyBorder="1" applyAlignment="1">
      <alignment horizontal="center" vertical="center" shrinkToFit="1"/>
    </xf>
    <xf numFmtId="0" fontId="3" fillId="5" borderId="5" xfId="0" applyNumberFormat="1" applyFont="1" applyFill="1" applyBorder="1" applyAlignment="1">
      <alignment horizontal="center" vertical="center" shrinkToFit="1"/>
    </xf>
    <xf numFmtId="0" fontId="3" fillId="5" borderId="48" xfId="0" applyNumberFormat="1" applyFont="1" applyFill="1" applyBorder="1" applyAlignment="1">
      <alignment horizontal="center" vertical="center" shrinkToFit="1"/>
    </xf>
    <xf numFmtId="0" fontId="3" fillId="8" borderId="1" xfId="0" applyNumberFormat="1" applyFont="1" applyFill="1" applyBorder="1" applyAlignment="1">
      <alignment vertical="center"/>
    </xf>
    <xf numFmtId="0" fontId="3" fillId="9" borderId="1" xfId="0" applyNumberFormat="1" applyFont="1" applyFill="1" applyBorder="1" applyAlignment="1"/>
    <xf numFmtId="0" fontId="19" fillId="11" borderId="1" xfId="0" applyNumberFormat="1" applyFont="1" applyFill="1" applyBorder="1" applyAlignment="1">
      <alignment horizontal="center"/>
    </xf>
    <xf numFmtId="0" fontId="1" fillId="10" borderId="1" xfId="0" applyNumberFormat="1" applyFont="1" applyFill="1" applyBorder="1" applyAlignment="1"/>
    <xf numFmtId="0" fontId="3" fillId="6" borderId="49" xfId="0" applyNumberFormat="1" applyFont="1" applyFill="1" applyBorder="1" applyAlignment="1">
      <alignment horizontal="center" vertical="center"/>
    </xf>
    <xf numFmtId="0" fontId="7" fillId="3" borderId="33" xfId="0" applyNumberFormat="1" applyFont="1" applyFill="1" applyBorder="1" applyAlignment="1">
      <alignment horizontal="center" vertical="center"/>
    </xf>
    <xf numFmtId="0" fontId="3" fillId="3" borderId="6" xfId="0" applyNumberFormat="1" applyFont="1" applyFill="1" applyBorder="1" applyAlignment="1">
      <alignment horizontal="center" vertical="center" wrapText="1"/>
    </xf>
    <xf numFmtId="0" fontId="18" fillId="0" borderId="60" xfId="0" applyNumberFormat="1" applyFont="1" applyBorder="1" applyAlignment="1">
      <alignment horizontal="center" vertical="center"/>
    </xf>
    <xf numFmtId="0" fontId="10" fillId="6" borderId="49" xfId="0" applyNumberFormat="1" applyFont="1" applyFill="1" applyBorder="1" applyAlignment="1">
      <alignment horizontal="center" vertical="center"/>
    </xf>
    <xf numFmtId="0" fontId="4" fillId="7" borderId="31" xfId="0" applyNumberFormat="1" applyFont="1" applyFill="1" applyBorder="1" applyAlignment="1">
      <alignment horizontal="center" vertical="center" shrinkToFit="1"/>
    </xf>
    <xf numFmtId="0" fontId="4" fillId="7" borderId="33" xfId="0" applyNumberFormat="1" applyFont="1" applyFill="1" applyBorder="1" applyAlignment="1">
      <alignment horizontal="center" vertical="center" shrinkToFit="1"/>
    </xf>
    <xf numFmtId="0" fontId="4" fillId="7" borderId="4" xfId="0" applyNumberFormat="1" applyFont="1" applyFill="1" applyBorder="1" applyAlignment="1">
      <alignment horizontal="center" vertical="center" shrinkToFit="1"/>
    </xf>
    <xf numFmtId="0" fontId="4" fillId="7" borderId="60" xfId="0" applyNumberFormat="1" applyFont="1" applyFill="1" applyBorder="1" applyAlignment="1">
      <alignment horizontal="center" vertical="center" shrinkToFit="1"/>
    </xf>
    <xf numFmtId="0" fontId="3" fillId="5" borderId="32" xfId="0" applyNumberFormat="1" applyFont="1" applyFill="1" applyBorder="1" applyAlignment="1">
      <alignment horizontal="center" vertical="center" shrinkToFit="1"/>
    </xf>
    <xf numFmtId="0" fontId="4" fillId="7" borderId="32" xfId="0" applyNumberFormat="1" applyFont="1" applyFill="1" applyBorder="1" applyAlignment="1">
      <alignment horizontal="center" vertical="center" shrinkToFit="1"/>
    </xf>
    <xf numFmtId="0" fontId="3" fillId="5" borderId="20" xfId="0" applyNumberFormat="1" applyFont="1" applyFill="1" applyBorder="1" applyAlignment="1">
      <alignment horizontal="center" vertical="center" shrinkToFit="1"/>
    </xf>
    <xf numFmtId="0" fontId="3" fillId="5" borderId="49" xfId="0" applyNumberFormat="1" applyFont="1" applyFill="1" applyBorder="1" applyAlignment="1">
      <alignment horizontal="center" vertical="center" shrinkToFit="1"/>
    </xf>
    <xf numFmtId="0" fontId="3" fillId="0" borderId="0" xfId="0" applyNumberFormat="1" applyFont="1" applyAlignment="1"/>
    <xf numFmtId="0" fontId="3" fillId="11" borderId="1" xfId="0" applyNumberFormat="1" applyFont="1" applyFill="1" applyBorder="1" applyAlignment="1">
      <alignment horizontal="center" vertical="center" wrapText="1"/>
    </xf>
    <xf numFmtId="0" fontId="3" fillId="11" borderId="1" xfId="0" applyNumberFormat="1" applyFont="1" applyFill="1" applyBorder="1" applyAlignment="1">
      <alignment horizontal="center" wrapText="1"/>
    </xf>
    <xf numFmtId="0" fontId="3" fillId="0" borderId="0" xfId="0" applyNumberFormat="1" applyFont="1" applyAlignment="1">
      <alignment horizontal="center" wrapText="1"/>
    </xf>
    <xf numFmtId="0" fontId="3" fillId="1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13" borderId="1" xfId="0" applyNumberFormat="1" applyFont="1" applyFill="1" applyBorder="1" applyAlignment="1">
      <alignment horizontal="center" vertical="center"/>
    </xf>
    <xf numFmtId="0" fontId="3" fillId="10" borderId="65" xfId="0" applyNumberFormat="1" applyFont="1" applyFill="1" applyBorder="1" applyAlignment="1"/>
    <xf numFmtId="0" fontId="24" fillId="0" borderId="20" xfId="0" applyNumberFormat="1" applyFont="1" applyBorder="1" applyAlignment="1">
      <alignment horizontal="center" vertical="center" shrinkToFit="1"/>
    </xf>
    <xf numFmtId="0" fontId="25" fillId="3" borderId="50" xfId="0" applyNumberFormat="1" applyFont="1" applyFill="1" applyBorder="1" applyAlignment="1">
      <alignment horizontal="center" vertical="center"/>
    </xf>
    <xf numFmtId="0" fontId="25" fillId="3" borderId="4" xfId="0" applyNumberFormat="1" applyFont="1" applyFill="1" applyBorder="1" applyAlignment="1">
      <alignment horizontal="center" vertical="center"/>
    </xf>
    <xf numFmtId="0" fontId="25" fillId="3" borderId="33" xfId="0" applyNumberFormat="1" applyFont="1" applyFill="1" applyBorder="1" applyAlignment="1">
      <alignment horizontal="center" vertical="center"/>
    </xf>
    <xf numFmtId="0" fontId="24" fillId="3" borderId="6" xfId="0" applyNumberFormat="1" applyFont="1" applyFill="1" applyBorder="1" applyAlignment="1">
      <alignment horizontal="center" vertical="center" wrapText="1"/>
    </xf>
    <xf numFmtId="0" fontId="26" fillId="2" borderId="20" xfId="0" applyNumberFormat="1" applyFont="1" applyFill="1" applyBorder="1" applyAlignment="1">
      <alignment horizontal="center" vertical="center" wrapText="1"/>
    </xf>
    <xf numFmtId="0" fontId="27" fillId="0" borderId="60" xfId="0" applyNumberFormat="1" applyFont="1" applyBorder="1" applyAlignment="1">
      <alignment horizontal="center" vertical="center"/>
    </xf>
    <xf numFmtId="0" fontId="28" fillId="6" borderId="49" xfId="0" applyNumberFormat="1" applyFont="1" applyFill="1" applyBorder="1" applyAlignment="1">
      <alignment horizontal="center" vertical="center"/>
    </xf>
    <xf numFmtId="0" fontId="29" fillId="7" borderId="31" xfId="0" applyNumberFormat="1" applyFont="1" applyFill="1" applyBorder="1" applyAlignment="1">
      <alignment horizontal="center" vertical="center" shrinkToFit="1"/>
    </xf>
    <xf numFmtId="0" fontId="29" fillId="7" borderId="33" xfId="0" applyNumberFormat="1" applyFont="1" applyFill="1" applyBorder="1" applyAlignment="1">
      <alignment horizontal="center" vertical="center" shrinkToFit="1"/>
    </xf>
    <xf numFmtId="0" fontId="29" fillId="7" borderId="4" xfId="0" applyNumberFormat="1" applyFont="1" applyFill="1" applyBorder="1" applyAlignment="1">
      <alignment horizontal="center" vertical="center" shrinkToFit="1"/>
    </xf>
    <xf numFmtId="0" fontId="29" fillId="7" borderId="60" xfId="0" applyNumberFormat="1" applyFont="1" applyFill="1" applyBorder="1" applyAlignment="1">
      <alignment horizontal="center" vertical="center" shrinkToFit="1"/>
    </xf>
    <xf numFmtId="0" fontId="24" fillId="5" borderId="32" xfId="0" applyNumberFormat="1" applyFont="1" applyFill="1" applyBorder="1" applyAlignment="1">
      <alignment horizontal="center" vertical="center" shrinkToFit="1"/>
    </xf>
    <xf numFmtId="0" fontId="24" fillId="5" borderId="4" xfId="0" applyNumberFormat="1" applyFont="1" applyFill="1" applyBorder="1" applyAlignment="1">
      <alignment horizontal="center" vertical="center" shrinkToFit="1"/>
    </xf>
    <xf numFmtId="0" fontId="29" fillId="7" borderId="32" xfId="0" applyNumberFormat="1" applyFont="1" applyFill="1" applyBorder="1" applyAlignment="1">
      <alignment horizontal="center" vertical="center" shrinkToFit="1"/>
    </xf>
    <xf numFmtId="0" fontId="24" fillId="5" borderId="20" xfId="0" applyNumberFormat="1" applyFont="1" applyFill="1" applyBorder="1" applyAlignment="1">
      <alignment horizontal="center" vertical="center" shrinkToFit="1"/>
    </xf>
    <xf numFmtId="0" fontId="24" fillId="3" borderId="49" xfId="0" applyNumberFormat="1" applyFont="1" applyFill="1" applyBorder="1" applyAlignment="1">
      <alignment horizontal="center" vertical="center" shrinkToFit="1"/>
    </xf>
    <xf numFmtId="0" fontId="24" fillId="3" borderId="5" xfId="0" applyNumberFormat="1" applyFont="1" applyFill="1" applyBorder="1" applyAlignment="1">
      <alignment horizontal="right" vertical="center" shrinkToFit="1"/>
    </xf>
    <xf numFmtId="0" fontId="24" fillId="2" borderId="0" xfId="0" applyNumberFormat="1" applyFont="1" applyFill="1" applyBorder="1"/>
    <xf numFmtId="0" fontId="24" fillId="6" borderId="49" xfId="0" applyNumberFormat="1" applyFont="1" applyFill="1" applyBorder="1" applyAlignment="1">
      <alignment horizontal="center" vertical="center"/>
    </xf>
    <xf numFmtId="0" fontId="25" fillId="5" borderId="31" xfId="0" applyNumberFormat="1" applyFont="1" applyFill="1" applyBorder="1" applyAlignment="1">
      <alignment vertical="center" shrinkToFit="1"/>
    </xf>
    <xf numFmtId="0" fontId="24" fillId="0" borderId="0" xfId="0" applyNumberFormat="1" applyFont="1" applyAlignment="1">
      <alignment vertical="center"/>
    </xf>
    <xf numFmtId="0" fontId="24" fillId="0" borderId="0" xfId="0" applyNumberFormat="1" applyFont="1" applyAlignment="1"/>
    <xf numFmtId="0" fontId="3" fillId="6" borderId="51" xfId="0" applyNumberFormat="1" applyFont="1" applyFill="1" applyBorder="1" applyAlignment="1">
      <alignment horizontal="center" vertical="center"/>
    </xf>
    <xf numFmtId="0" fontId="3" fillId="0" borderId="34" xfId="0" applyNumberFormat="1" applyFont="1" applyBorder="1" applyAlignment="1">
      <alignment horizontal="center" vertical="center" shrinkToFit="1"/>
    </xf>
    <xf numFmtId="0" fontId="7" fillId="3" borderId="54" xfId="0" applyNumberFormat="1" applyFont="1" applyFill="1" applyBorder="1" applyAlignment="1">
      <alignment horizontal="center" vertical="center"/>
    </xf>
    <xf numFmtId="0" fontId="3" fillId="3" borderId="10" xfId="0" applyNumberFormat="1" applyFont="1" applyFill="1" applyBorder="1" applyAlignment="1">
      <alignment horizontal="center" vertical="center" wrapText="1"/>
    </xf>
    <xf numFmtId="0" fontId="8" fillId="2" borderId="34" xfId="0" applyNumberFormat="1" applyFont="1" applyFill="1" applyBorder="1" applyAlignment="1">
      <alignment horizontal="center" vertical="center" wrapText="1"/>
    </xf>
    <xf numFmtId="0" fontId="18" fillId="0" borderId="61" xfId="0" applyNumberFormat="1" applyFont="1" applyBorder="1" applyAlignment="1">
      <alignment horizontal="center" vertical="center"/>
    </xf>
    <xf numFmtId="0" fontId="10" fillId="6" borderId="51" xfId="0" applyNumberFormat="1" applyFont="1" applyFill="1" applyBorder="1" applyAlignment="1">
      <alignment horizontal="center" vertical="center"/>
    </xf>
    <xf numFmtId="0" fontId="4" fillId="7" borderId="35" xfId="0" applyNumberFormat="1" applyFont="1" applyFill="1" applyBorder="1" applyAlignment="1">
      <alignment horizontal="center" vertical="center" shrinkToFit="1"/>
    </xf>
    <xf numFmtId="0" fontId="4" fillId="7" borderId="12" xfId="0" applyNumberFormat="1" applyFont="1" applyFill="1" applyBorder="1" applyAlignment="1">
      <alignment horizontal="center" vertical="center" shrinkToFit="1"/>
    </xf>
    <xf numFmtId="0" fontId="4" fillId="7" borderId="11" xfId="0" applyNumberFormat="1" applyFont="1" applyFill="1" applyBorder="1" applyAlignment="1">
      <alignment horizontal="center" vertical="center" shrinkToFit="1"/>
    </xf>
    <xf numFmtId="0" fontId="4" fillId="7" borderId="61" xfId="0" applyNumberFormat="1" applyFont="1" applyFill="1" applyBorder="1" applyAlignment="1">
      <alignment horizontal="center" vertical="center" shrinkToFit="1"/>
    </xf>
    <xf numFmtId="0" fontId="3" fillId="5" borderId="36" xfId="0" applyNumberFormat="1" applyFont="1" applyFill="1" applyBorder="1" applyAlignment="1">
      <alignment horizontal="center" vertical="center" shrinkToFit="1"/>
    </xf>
    <xf numFmtId="0" fontId="4" fillId="7" borderId="36" xfId="0" applyNumberFormat="1" applyFont="1" applyFill="1" applyBorder="1" applyAlignment="1">
      <alignment horizontal="center" vertical="center" shrinkToFit="1"/>
    </xf>
    <xf numFmtId="0" fontId="3" fillId="5" borderId="34" xfId="0" applyNumberFormat="1" applyFont="1" applyFill="1" applyBorder="1" applyAlignment="1">
      <alignment horizontal="center" vertical="center" shrinkToFit="1"/>
    </xf>
    <xf numFmtId="0" fontId="3" fillId="5" borderId="51" xfId="0" applyNumberFormat="1" applyFont="1" applyFill="1" applyBorder="1" applyAlignment="1">
      <alignment horizontal="center" vertical="center" shrinkToFit="1"/>
    </xf>
    <xf numFmtId="0" fontId="3" fillId="4" borderId="67" xfId="0" applyNumberFormat="1" applyFont="1" applyFill="1" applyBorder="1" applyAlignment="1">
      <alignment horizontal="center" vertical="center"/>
    </xf>
    <xf numFmtId="0" fontId="3" fillId="4" borderId="62" xfId="0" applyNumberFormat="1" applyFont="1" applyFill="1" applyBorder="1" applyAlignment="1">
      <alignment horizontal="right" vertical="center" shrinkToFit="1"/>
    </xf>
    <xf numFmtId="0" fontId="12" fillId="4" borderId="39" xfId="0" applyNumberFormat="1" applyFont="1" applyFill="1" applyBorder="1" applyAlignment="1">
      <alignment vertical="center"/>
    </xf>
    <xf numFmtId="0" fontId="12" fillId="4" borderId="37" xfId="0" applyNumberFormat="1" applyFont="1" applyFill="1" applyBorder="1" applyAlignment="1">
      <alignment vertical="center"/>
    </xf>
    <xf numFmtId="0" fontId="15" fillId="4" borderId="37" xfId="0" applyNumberFormat="1" applyFont="1" applyFill="1" applyBorder="1" applyAlignment="1">
      <alignment horizontal="left" vertical="center"/>
    </xf>
    <xf numFmtId="0" fontId="5" fillId="4" borderId="37" xfId="0" applyNumberFormat="1" applyFont="1" applyFill="1" applyBorder="1" applyAlignment="1">
      <alignment horizontal="center" vertical="center"/>
    </xf>
    <xf numFmtId="0" fontId="15" fillId="4" borderId="37" xfId="0" applyNumberFormat="1" applyFont="1" applyFill="1" applyBorder="1" applyAlignment="1">
      <alignment horizontal="right" vertical="center"/>
    </xf>
    <xf numFmtId="0" fontId="3" fillId="14" borderId="1" xfId="0" applyNumberFormat="1" applyFont="1" applyFill="1" applyBorder="1" applyAlignment="1">
      <alignment horizontal="center" vertical="center"/>
    </xf>
    <xf numFmtId="0" fontId="3" fillId="16" borderId="1" xfId="0" applyNumberFormat="1" applyFont="1" applyFill="1" applyBorder="1" applyAlignment="1">
      <alignment horizontal="center" vertical="center"/>
    </xf>
    <xf numFmtId="0" fontId="3" fillId="10" borderId="1" xfId="0" applyNumberFormat="1" applyFont="1" applyFill="1" applyBorder="1" applyAlignment="1">
      <alignment horizontal="center" vertical="center"/>
    </xf>
    <xf numFmtId="0" fontId="3" fillId="4" borderId="66" xfId="0" applyNumberFormat="1" applyFont="1" applyFill="1" applyBorder="1" applyAlignment="1">
      <alignment horizontal="center" vertical="center"/>
    </xf>
    <xf numFmtId="0" fontId="3" fillId="5" borderId="18" xfId="0" applyNumberFormat="1" applyFont="1" applyFill="1" applyBorder="1" applyAlignment="1">
      <alignment horizontal="center" vertical="center" shrinkToFit="1"/>
    </xf>
    <xf numFmtId="0" fontId="3" fillId="4" borderId="22" xfId="0" applyNumberFormat="1" applyFont="1" applyFill="1" applyBorder="1" applyAlignment="1">
      <alignment horizontal="right" vertical="center"/>
    </xf>
    <xf numFmtId="0" fontId="11" fillId="4" borderId="59" xfId="0" applyNumberFormat="1" applyFont="1" applyFill="1" applyBorder="1" applyAlignment="1">
      <alignment horizontal="center" vertical="center"/>
    </xf>
    <xf numFmtId="0" fontId="3" fillId="4" borderId="32" xfId="0" applyNumberFormat="1" applyFont="1" applyFill="1" applyBorder="1" applyAlignment="1">
      <alignment horizontal="right" vertical="center"/>
    </xf>
    <xf numFmtId="0" fontId="11" fillId="4" borderId="60" xfId="0" applyNumberFormat="1" applyFont="1" applyFill="1" applyBorder="1" applyAlignment="1">
      <alignment horizontal="center" vertical="center"/>
    </xf>
    <xf numFmtId="0" fontId="3" fillId="3" borderId="31" xfId="0" applyNumberFormat="1" applyFont="1" applyFill="1" applyBorder="1" applyAlignment="1">
      <alignment horizontal="right" vertical="center"/>
    </xf>
    <xf numFmtId="0" fontId="3" fillId="3" borderId="32" xfId="0" applyNumberFormat="1" applyFont="1" applyFill="1" applyBorder="1" applyAlignment="1">
      <alignment horizontal="left" vertical="center"/>
    </xf>
    <xf numFmtId="0" fontId="3" fillId="3" borderId="60" xfId="0" applyNumberFormat="1" applyFont="1" applyFill="1" applyBorder="1" applyAlignment="1">
      <alignment horizontal="left" vertical="center"/>
    </xf>
    <xf numFmtId="0" fontId="3" fillId="5" borderId="35" xfId="0" applyNumberFormat="1" applyFont="1" applyFill="1" applyBorder="1" applyAlignment="1">
      <alignment horizontal="right" vertical="center"/>
    </xf>
    <xf numFmtId="0" fontId="3" fillId="5" borderId="36" xfId="0" applyNumberFormat="1" applyFont="1" applyFill="1" applyBorder="1" applyAlignment="1">
      <alignment vertical="center"/>
    </xf>
    <xf numFmtId="0" fontId="3" fillId="5" borderId="36" xfId="0" applyNumberFormat="1" applyFont="1" applyFill="1" applyBorder="1" applyAlignment="1">
      <alignment horizontal="center" vertical="center"/>
    </xf>
    <xf numFmtId="0" fontId="3" fillId="4" borderId="65" xfId="0" applyNumberFormat="1" applyFont="1" applyFill="1" applyBorder="1" applyAlignment="1">
      <alignment horizontal="center" vertical="center"/>
    </xf>
    <xf numFmtId="0" fontId="5" fillId="4" borderId="62" xfId="0" applyNumberFormat="1" applyFont="1" applyFill="1" applyBorder="1"/>
    <xf numFmtId="0" fontId="3" fillId="4" borderId="63" xfId="0" applyNumberFormat="1" applyFont="1" applyFill="1" applyBorder="1" applyAlignment="1">
      <alignment vertical="center"/>
    </xf>
    <xf numFmtId="0" fontId="9" fillId="4" borderId="63" xfId="0" applyNumberFormat="1" applyFont="1" applyFill="1" applyBorder="1" applyAlignment="1">
      <alignment horizontal="right"/>
    </xf>
    <xf numFmtId="0" fontId="20" fillId="4" borderId="63" xfId="0" applyNumberFormat="1" applyFont="1" applyFill="1" applyBorder="1" applyAlignment="1">
      <alignment vertical="top"/>
    </xf>
    <xf numFmtId="0" fontId="12" fillId="4" borderId="37" xfId="0" applyNumberFormat="1" applyFont="1" applyFill="1" applyBorder="1" applyAlignment="1">
      <alignment horizontal="center" vertical="center"/>
    </xf>
    <xf numFmtId="0" fontId="5" fillId="4" borderId="63" xfId="0" applyNumberFormat="1" applyFont="1" applyFill="1" applyBorder="1" applyAlignment="1">
      <alignment horizontal="center" vertical="center"/>
    </xf>
    <xf numFmtId="0" fontId="5" fillId="0" borderId="0" xfId="0" applyNumberFormat="1" applyFont="1"/>
    <xf numFmtId="0" fontId="9" fillId="0" borderId="0" xfId="0" applyNumberFormat="1" applyFont="1" applyAlignment="1">
      <alignment horizontal="right"/>
    </xf>
    <xf numFmtId="0" fontId="21" fillId="0" borderId="0" xfId="0" applyNumberFormat="1" applyFont="1" applyAlignment="1">
      <alignment vertical="top"/>
    </xf>
    <xf numFmtId="0" fontId="13" fillId="0" borderId="0" xfId="0" applyNumberFormat="1" applyFont="1"/>
    <xf numFmtId="0" fontId="13" fillId="0" borderId="0" xfId="0" applyNumberFormat="1" applyFont="1" applyAlignment="1">
      <alignment vertical="center" shrinkToFit="1"/>
    </xf>
    <xf numFmtId="0" fontId="16" fillId="0" borderId="0" xfId="0" applyNumberFormat="1" applyFont="1"/>
    <xf numFmtId="0" fontId="22" fillId="0" borderId="0" xfId="0" applyNumberFormat="1" applyFont="1" applyAlignment="1">
      <alignment vertical="top"/>
    </xf>
    <xf numFmtId="0" fontId="3" fillId="2" borderId="0" xfId="0" applyNumberFormat="1" applyFont="1" applyFill="1" applyBorder="1" applyAlignment="1">
      <alignment vertical="center"/>
    </xf>
    <xf numFmtId="0" fontId="3" fillId="2" borderId="0" xfId="0" applyNumberFormat="1" applyFont="1" applyFill="1" applyBorder="1" applyAlignment="1">
      <alignment horizontal="center" vertical="center" shrinkToFit="1"/>
    </xf>
    <xf numFmtId="0" fontId="3" fillId="2" borderId="0" xfId="0" applyNumberFormat="1" applyFont="1" applyFill="1" applyAlignment="1">
      <alignment horizontal="center" wrapText="1"/>
    </xf>
    <xf numFmtId="0" fontId="3" fillId="10" borderId="65" xfId="0" applyNumberFormat="1" applyFont="1" applyFill="1" applyBorder="1" applyAlignment="1">
      <alignment horizontal="center"/>
    </xf>
    <xf numFmtId="0" fontId="3" fillId="2" borderId="0" xfId="0" applyNumberFormat="1" applyFont="1" applyFill="1" applyAlignment="1">
      <alignment horizontal="center"/>
    </xf>
    <xf numFmtId="0" fontId="3" fillId="2" borderId="0" xfId="0" applyNumberFormat="1" applyFont="1" applyFill="1"/>
    <xf numFmtId="0" fontId="3" fillId="4" borderId="39" xfId="0" applyNumberFormat="1" applyFont="1" applyFill="1" applyBorder="1" applyAlignment="1">
      <alignment horizontal="right" vertical="center" shrinkToFit="1"/>
    </xf>
    <xf numFmtId="0" fontId="3" fillId="2" borderId="0" xfId="0" applyNumberFormat="1" applyFont="1" applyFill="1" applyAlignment="1">
      <alignment horizontal="center" vertical="center"/>
    </xf>
    <xf numFmtId="0" fontId="7" fillId="5" borderId="17" xfId="0" applyNumberFormat="1" applyFont="1" applyFill="1" applyBorder="1"/>
    <xf numFmtId="0" fontId="3" fillId="0" borderId="59" xfId="0" applyNumberFormat="1" applyFont="1" applyBorder="1" applyAlignment="1">
      <alignment horizontal="center"/>
    </xf>
    <xf numFmtId="0" fontId="7" fillId="5" borderId="6" xfId="0" applyNumberFormat="1" applyFont="1" applyFill="1" applyBorder="1"/>
    <xf numFmtId="0" fontId="3" fillId="0" borderId="60" xfId="0" applyNumberFormat="1" applyFont="1" applyBorder="1" applyAlignment="1">
      <alignment horizontal="center"/>
    </xf>
    <xf numFmtId="0" fontId="3" fillId="11" borderId="0" xfId="0" applyNumberFormat="1" applyFont="1" applyFill="1" applyAlignment="1">
      <alignment horizontal="center" wrapText="1"/>
    </xf>
    <xf numFmtId="0" fontId="3" fillId="10" borderId="0" xfId="0" applyNumberFormat="1" applyFont="1" applyFill="1" applyAlignment="1"/>
    <xf numFmtId="0" fontId="25" fillId="5" borderId="6" xfId="0" applyNumberFormat="1" applyFont="1" applyFill="1" applyBorder="1"/>
    <xf numFmtId="0" fontId="24" fillId="0" borderId="60" xfId="0" applyNumberFormat="1" applyFont="1" applyBorder="1" applyAlignment="1">
      <alignment horizontal="center"/>
    </xf>
    <xf numFmtId="0" fontId="25" fillId="3" borderId="20" xfId="0" applyNumberFormat="1" applyFont="1" applyFill="1" applyBorder="1" applyAlignment="1">
      <alignment horizontal="center" vertical="center"/>
    </xf>
    <xf numFmtId="0" fontId="24" fillId="3" borderId="30" xfId="0" applyNumberFormat="1" applyFont="1" applyFill="1" applyBorder="1" applyAlignment="1">
      <alignment horizontal="center" vertical="center" wrapText="1"/>
    </xf>
    <xf numFmtId="0" fontId="3" fillId="10" borderId="0" xfId="0" applyNumberFormat="1" applyFont="1" applyFill="1" applyAlignment="1">
      <alignment horizontal="center" vertical="center"/>
    </xf>
    <xf numFmtId="0" fontId="1" fillId="0" borderId="0" xfId="0" applyNumberFormat="1" applyFont="1"/>
    <xf numFmtId="0" fontId="3" fillId="5" borderId="65" xfId="0" applyNumberFormat="1" applyFont="1" applyFill="1" applyBorder="1" applyAlignment="1">
      <alignment horizontal="center" vertical="center" shrinkToFit="1"/>
    </xf>
    <xf numFmtId="0" fontId="7" fillId="5" borderId="6" xfId="0" applyNumberFormat="1" applyFont="1" applyFill="1" applyBorder="1" applyAlignment="1"/>
    <xf numFmtId="0" fontId="7" fillId="5" borderId="10" xfId="0" applyNumberFormat="1" applyFont="1" applyFill="1" applyBorder="1"/>
    <xf numFmtId="0" fontId="3" fillId="0" borderId="61" xfId="0" applyNumberFormat="1" applyFont="1" applyBorder="1" applyAlignment="1">
      <alignment horizontal="center"/>
    </xf>
    <xf numFmtId="0" fontId="1" fillId="0" borderId="0" xfId="0" applyNumberFormat="1" applyFont="1" applyAlignment="1"/>
    <xf numFmtId="0" fontId="3" fillId="14" borderId="4" xfId="0" applyNumberFormat="1" applyFont="1" applyFill="1" applyBorder="1" applyAlignment="1">
      <alignment horizontal="center" vertical="center" shrinkToFit="1"/>
    </xf>
    <xf numFmtId="0" fontId="4" fillId="0" borderId="0" xfId="0" applyNumberFormat="1" applyFont="1" applyAlignment="1">
      <alignment horizontal="right" vertical="center"/>
    </xf>
    <xf numFmtId="0" fontId="4" fillId="2" borderId="0" xfId="0" applyNumberFormat="1" applyFont="1" applyFill="1" applyAlignment="1">
      <alignment horizontal="right" vertical="center"/>
    </xf>
    <xf numFmtId="0" fontId="3" fillId="10" borderId="5" xfId="0" applyNumberFormat="1" applyFont="1" applyFill="1" applyBorder="1" applyAlignment="1">
      <alignment horizontal="center" vertical="center"/>
    </xf>
    <xf numFmtId="0" fontId="3" fillId="10" borderId="20" xfId="0" applyNumberFormat="1" applyFont="1" applyFill="1" applyBorder="1" applyAlignment="1">
      <alignment horizontal="center" vertical="center"/>
    </xf>
    <xf numFmtId="0" fontId="24" fillId="4" borderId="49" xfId="0" applyNumberFormat="1" applyFont="1" applyFill="1" applyBorder="1" applyAlignment="1">
      <alignment horizontal="center" vertical="center"/>
    </xf>
    <xf numFmtId="0" fontId="25" fillId="5" borderId="50" xfId="0" applyNumberFormat="1" applyFont="1" applyFill="1" applyBorder="1" applyAlignment="1">
      <alignment vertical="center" shrinkToFit="1"/>
    </xf>
    <xf numFmtId="0" fontId="24" fillId="3" borderId="50" xfId="0" applyNumberFormat="1" applyFont="1" applyFill="1" applyBorder="1" applyAlignment="1">
      <alignment horizontal="center" vertical="center" wrapText="1"/>
    </xf>
    <xf numFmtId="0" fontId="30" fillId="3" borderId="50" xfId="0" applyNumberFormat="1" applyFont="1" applyFill="1" applyBorder="1" applyAlignment="1">
      <alignment horizontal="center" vertical="center"/>
    </xf>
    <xf numFmtId="0" fontId="28" fillId="6" borderId="4" xfId="0" applyNumberFormat="1" applyFont="1" applyFill="1" applyBorder="1" applyAlignment="1">
      <alignment horizontal="center" vertical="center"/>
    </xf>
    <xf numFmtId="0" fontId="28" fillId="6" borderId="33" xfId="0" applyNumberFormat="1" applyFont="1" applyFill="1" applyBorder="1" applyAlignment="1">
      <alignment horizontal="center" vertical="center"/>
    </xf>
    <xf numFmtId="0" fontId="31" fillId="7" borderId="6" xfId="0" applyNumberFormat="1" applyFont="1" applyFill="1" applyBorder="1" applyAlignment="1">
      <alignment horizontal="center" vertical="center" shrinkToFit="1"/>
    </xf>
    <xf numFmtId="0" fontId="31" fillId="7" borderId="4" xfId="0" applyNumberFormat="1" applyFont="1" applyFill="1" applyBorder="1" applyAlignment="1">
      <alignment horizontal="center" vertical="center" shrinkToFit="1"/>
    </xf>
    <xf numFmtId="0" fontId="31" fillId="7" borderId="20" xfId="0" applyNumberFormat="1" applyFont="1" applyFill="1" applyBorder="1" applyAlignment="1">
      <alignment horizontal="center" vertical="center" shrinkToFit="1"/>
    </xf>
    <xf numFmtId="0" fontId="31" fillId="5" borderId="50" xfId="0" applyNumberFormat="1" applyFont="1" applyFill="1" applyBorder="1" applyAlignment="1">
      <alignment horizontal="center" vertical="center" shrinkToFit="1"/>
    </xf>
    <xf numFmtId="0" fontId="31" fillId="5" borderId="4" xfId="0" applyNumberFormat="1" applyFont="1" applyFill="1" applyBorder="1" applyAlignment="1">
      <alignment horizontal="center" vertical="center" shrinkToFit="1"/>
    </xf>
    <xf numFmtId="0" fontId="31" fillId="5" borderId="33" xfId="0" applyNumberFormat="1" applyFont="1" applyFill="1" applyBorder="1" applyAlignment="1">
      <alignment horizontal="center" vertical="center" shrinkToFit="1"/>
    </xf>
    <xf numFmtId="0" fontId="24" fillId="3" borderId="6" xfId="0" applyNumberFormat="1" applyFont="1" applyFill="1" applyBorder="1" applyAlignment="1">
      <alignment horizontal="center" vertical="center" shrinkToFit="1"/>
    </xf>
    <xf numFmtId="0" fontId="3" fillId="10" borderId="34" xfId="0" applyNumberFormat="1" applyFont="1" applyFill="1" applyBorder="1" applyAlignment="1">
      <alignment horizontal="center" vertical="center"/>
    </xf>
    <xf numFmtId="0" fontId="24" fillId="4" borderId="51" xfId="0" applyNumberFormat="1" applyFont="1" applyFill="1" applyBorder="1" applyAlignment="1">
      <alignment horizontal="center" vertical="center"/>
    </xf>
    <xf numFmtId="0" fontId="25" fillId="5" borderId="53" xfId="0" applyNumberFormat="1" applyFont="1" applyFill="1" applyBorder="1" applyAlignment="1">
      <alignment vertical="center" shrinkToFit="1"/>
    </xf>
    <xf numFmtId="0" fontId="25" fillId="3" borderId="53" xfId="0" applyNumberFormat="1" applyFont="1" applyFill="1" applyBorder="1" applyAlignment="1">
      <alignment horizontal="center" vertical="center"/>
    </xf>
    <xf numFmtId="0" fontId="25" fillId="3" borderId="8" xfId="0" applyNumberFormat="1" applyFont="1" applyFill="1" applyBorder="1" applyAlignment="1">
      <alignment horizontal="center" vertical="center"/>
    </xf>
    <xf numFmtId="0" fontId="25" fillId="3" borderId="24" xfId="0" applyNumberFormat="1" applyFont="1" applyFill="1" applyBorder="1" applyAlignment="1">
      <alignment horizontal="center" vertical="center"/>
    </xf>
    <xf numFmtId="0" fontId="24" fillId="3" borderId="53" xfId="0" applyNumberFormat="1" applyFont="1" applyFill="1" applyBorder="1" applyAlignment="1">
      <alignment horizontal="center" vertical="center" wrapText="1"/>
    </xf>
    <xf numFmtId="0" fontId="26" fillId="2" borderId="24" xfId="0" applyNumberFormat="1" applyFont="1" applyFill="1" applyBorder="1" applyAlignment="1">
      <alignment horizontal="center" vertical="center" wrapText="1"/>
    </xf>
    <xf numFmtId="0" fontId="30" fillId="3" borderId="53" xfId="0" applyNumberFormat="1" applyFont="1" applyFill="1" applyBorder="1" applyAlignment="1">
      <alignment horizontal="center" vertical="center"/>
    </xf>
    <xf numFmtId="0" fontId="28" fillId="6" borderId="8" xfId="0" applyNumberFormat="1" applyFont="1" applyFill="1" applyBorder="1" applyAlignment="1">
      <alignment horizontal="center" vertical="center"/>
    </xf>
    <xf numFmtId="0" fontId="28" fillId="6" borderId="54" xfId="0" applyNumberFormat="1" applyFont="1" applyFill="1" applyBorder="1" applyAlignment="1">
      <alignment horizontal="center" vertical="center"/>
    </xf>
    <xf numFmtId="0" fontId="31" fillId="7" borderId="7" xfId="0" applyNumberFormat="1" applyFont="1" applyFill="1" applyBorder="1" applyAlignment="1">
      <alignment horizontal="center" vertical="center" shrinkToFit="1"/>
    </xf>
    <xf numFmtId="0" fontId="31" fillId="7" borderId="8" xfId="0" applyNumberFormat="1" applyFont="1" applyFill="1" applyBorder="1" applyAlignment="1">
      <alignment horizontal="center" vertical="center" shrinkToFit="1"/>
    </xf>
    <xf numFmtId="0" fontId="31" fillId="7" borderId="24" xfId="0" applyNumberFormat="1" applyFont="1" applyFill="1" applyBorder="1" applyAlignment="1">
      <alignment horizontal="center" vertical="center" shrinkToFit="1"/>
    </xf>
    <xf numFmtId="0" fontId="31" fillId="5" borderId="53" xfId="0" applyNumberFormat="1" applyFont="1" applyFill="1" applyBorder="1" applyAlignment="1">
      <alignment horizontal="center" vertical="center" shrinkToFit="1"/>
    </xf>
    <xf numFmtId="0" fontId="31" fillId="5" borderId="8" xfId="0" applyNumberFormat="1" applyFont="1" applyFill="1" applyBorder="1" applyAlignment="1">
      <alignment horizontal="center" vertical="center" shrinkToFit="1"/>
    </xf>
    <xf numFmtId="0" fontId="31" fillId="5" borderId="54" xfId="0" applyNumberFormat="1" applyFont="1" applyFill="1" applyBorder="1" applyAlignment="1">
      <alignment horizontal="center" vertical="center" shrinkToFit="1"/>
    </xf>
    <xf numFmtId="0" fontId="24" fillId="3" borderId="7" xfId="0" applyNumberFormat="1" applyFont="1" applyFill="1" applyBorder="1" applyAlignment="1">
      <alignment horizontal="center" vertical="center" shrinkToFit="1"/>
    </xf>
    <xf numFmtId="0" fontId="3" fillId="8" borderId="4" xfId="0" applyNumberFormat="1" applyFont="1" applyFill="1" applyBorder="1" applyAlignment="1">
      <alignment horizontal="center" vertical="center" shrinkToFit="1"/>
    </xf>
    <xf numFmtId="0" fontId="32" fillId="0" borderId="0" xfId="0" applyNumberFormat="1" applyFont="1" applyAlignment="1">
      <alignment horizontal="right"/>
    </xf>
    <xf numFmtId="0" fontId="3" fillId="4" borderId="4" xfId="0" applyNumberFormat="1" applyFont="1" applyFill="1" applyBorder="1" applyAlignment="1">
      <alignment horizontal="center" vertical="center" shrinkToFit="1"/>
    </xf>
    <xf numFmtId="0" fontId="33" fillId="0" borderId="0" xfId="0" applyNumberFormat="1" applyFont="1" applyAlignment="1">
      <alignment horizontal="center"/>
    </xf>
    <xf numFmtId="0" fontId="33" fillId="0" borderId="0" xfId="0" applyNumberFormat="1" applyFont="1" applyAlignment="1"/>
    <xf numFmtId="0" fontId="3" fillId="3" borderId="4" xfId="0" applyNumberFormat="1" applyFont="1" applyFill="1" applyBorder="1" applyAlignment="1">
      <alignment horizontal="center" vertical="center" shrinkToFit="1"/>
    </xf>
    <xf numFmtId="0" fontId="4" fillId="4" borderId="68" xfId="0" applyNumberFormat="1" applyFont="1" applyFill="1" applyBorder="1" applyAlignment="1">
      <alignment horizontal="center"/>
    </xf>
    <xf numFmtId="0" fontId="4" fillId="4" borderId="16" xfId="0" applyNumberFormat="1" applyFont="1" applyFill="1" applyBorder="1" applyAlignment="1">
      <alignment horizontal="center"/>
    </xf>
    <xf numFmtId="0" fontId="5" fillId="4" borderId="16" xfId="0" applyNumberFormat="1" applyFont="1" applyFill="1" applyBorder="1" applyAlignment="1">
      <alignment horizontal="center"/>
    </xf>
    <xf numFmtId="0" fontId="4" fillId="4" borderId="69" xfId="0" applyNumberFormat="1" applyFont="1" applyFill="1" applyBorder="1" applyAlignment="1">
      <alignment horizontal="center"/>
    </xf>
    <xf numFmtId="0" fontId="3" fillId="4" borderId="1" xfId="0" applyNumberFormat="1" applyFont="1" applyFill="1" applyBorder="1" applyAlignment="1">
      <alignment horizontal="center" vertical="center" wrapText="1"/>
    </xf>
    <xf numFmtId="0" fontId="3" fillId="5" borderId="17" xfId="0" applyNumberFormat="1" applyFont="1" applyFill="1" applyBorder="1" applyAlignment="1">
      <alignment horizontal="center" vertical="center" shrinkToFit="1"/>
    </xf>
    <xf numFmtId="0" fontId="4" fillId="7" borderId="18" xfId="0" applyNumberFormat="1" applyFont="1" applyFill="1" applyBorder="1" applyAlignment="1">
      <alignment horizontal="center" vertical="center" shrinkToFit="1"/>
    </xf>
    <xf numFmtId="0" fontId="3" fillId="5" borderId="19" xfId="0" applyNumberFormat="1" applyFont="1" applyFill="1" applyBorder="1" applyAlignment="1">
      <alignment horizontal="center" vertical="center" shrinkToFit="1"/>
    </xf>
    <xf numFmtId="0" fontId="3" fillId="3" borderId="58" xfId="0" applyNumberFormat="1" applyFont="1" applyFill="1" applyBorder="1" applyAlignment="1">
      <alignment horizontal="center" vertical="center" shrinkToFit="1"/>
    </xf>
    <xf numFmtId="0" fontId="3" fillId="5" borderId="6" xfId="0" applyNumberFormat="1" applyFont="1" applyFill="1" applyBorder="1" applyAlignment="1">
      <alignment horizontal="center" vertical="center" shrinkToFit="1"/>
    </xf>
    <xf numFmtId="0" fontId="3" fillId="3" borderId="60" xfId="0" applyNumberFormat="1" applyFont="1" applyFill="1" applyBorder="1" applyAlignment="1">
      <alignment horizontal="center" vertical="center" shrinkToFit="1"/>
    </xf>
    <xf numFmtId="0" fontId="3" fillId="5" borderId="10" xfId="0" applyNumberFormat="1" applyFont="1" applyFill="1" applyBorder="1" applyAlignment="1">
      <alignment horizontal="center" vertical="center" shrinkToFit="1"/>
    </xf>
    <xf numFmtId="0" fontId="3" fillId="3" borderId="61" xfId="0" applyNumberFormat="1" applyFont="1" applyFill="1" applyBorder="1" applyAlignment="1">
      <alignment horizontal="center" vertical="center" shrinkToFit="1"/>
    </xf>
    <xf numFmtId="0" fontId="3" fillId="3" borderId="10" xfId="0" applyNumberFormat="1" applyFont="1" applyFill="1" applyBorder="1" applyAlignment="1">
      <alignment horizontal="center" vertical="center" shrinkToFit="1"/>
    </xf>
    <xf numFmtId="0" fontId="12" fillId="4" borderId="63" xfId="0" applyNumberFormat="1" applyFont="1" applyFill="1" applyBorder="1" applyAlignment="1">
      <alignment vertical="center"/>
    </xf>
    <xf numFmtId="0" fontId="15" fillId="4" borderId="63" xfId="0" applyNumberFormat="1" applyFont="1" applyFill="1" applyBorder="1" applyAlignment="1">
      <alignment horizontal="left" vertical="center"/>
    </xf>
    <xf numFmtId="0" fontId="15" fillId="4" borderId="63" xfId="0" applyNumberFormat="1" applyFont="1" applyFill="1" applyBorder="1" applyAlignment="1">
      <alignment horizontal="right" vertical="center"/>
    </xf>
    <xf numFmtId="0" fontId="4" fillId="0" borderId="0" xfId="0" applyNumberFormat="1" applyFont="1" applyAlignment="1"/>
    <xf numFmtId="0" fontId="11" fillId="0" borderId="0" xfId="0" applyNumberFormat="1" applyFont="1" applyAlignment="1"/>
    <xf numFmtId="0" fontId="33" fillId="0" borderId="0" xfId="0" applyNumberFormat="1" applyFont="1" applyAlignment="1">
      <alignment horizontal="right"/>
    </xf>
    <xf numFmtId="0" fontId="33" fillId="0" borderId="0" xfId="0" applyNumberFormat="1" applyFont="1"/>
    <xf numFmtId="0" fontId="7" fillId="5" borderId="17" xfId="0" applyNumberFormat="1" applyFont="1" applyFill="1" applyBorder="1" applyAlignment="1">
      <alignment vertical="center"/>
    </xf>
    <xf numFmtId="0" fontId="3" fillId="5" borderId="47" xfId="0" applyNumberFormat="1" applyFont="1" applyFill="1" applyBorder="1" applyAlignment="1">
      <alignment horizontal="center" vertical="center"/>
    </xf>
    <xf numFmtId="0" fontId="4" fillId="7" borderId="47" xfId="0" applyNumberFormat="1" applyFont="1" applyFill="1" applyBorder="1" applyAlignment="1">
      <alignment horizontal="center" vertical="center"/>
    </xf>
    <xf numFmtId="0" fontId="3" fillId="5" borderId="58" xfId="0" applyNumberFormat="1" applyFont="1" applyFill="1" applyBorder="1" applyAlignment="1">
      <alignment horizontal="center" vertical="center"/>
    </xf>
    <xf numFmtId="0" fontId="7" fillId="5" borderId="6" xfId="0" applyNumberFormat="1" applyFont="1" applyFill="1" applyBorder="1" applyAlignment="1">
      <alignment vertical="center"/>
    </xf>
    <xf numFmtId="0" fontId="3" fillId="5" borderId="50" xfId="0" applyNumberFormat="1" applyFont="1" applyFill="1" applyBorder="1" applyAlignment="1">
      <alignment horizontal="center" vertical="center"/>
    </xf>
    <xf numFmtId="0" fontId="4" fillId="7" borderId="50" xfId="0" applyNumberFormat="1" applyFont="1" applyFill="1" applyBorder="1" applyAlignment="1">
      <alignment horizontal="center" vertical="center"/>
    </xf>
    <xf numFmtId="0" fontId="3" fillId="5" borderId="60" xfId="0" applyNumberFormat="1" applyFont="1" applyFill="1" applyBorder="1" applyAlignment="1">
      <alignment horizontal="center" vertical="center"/>
    </xf>
    <xf numFmtId="0" fontId="3" fillId="3" borderId="20" xfId="0" applyNumberFormat="1" applyFont="1" applyFill="1" applyBorder="1" applyAlignment="1">
      <alignment horizontal="right" vertical="center" shrinkToFit="1"/>
    </xf>
    <xf numFmtId="0" fontId="3" fillId="6" borderId="1" xfId="0" applyNumberFormat="1" applyFont="1" applyFill="1" applyBorder="1" applyAlignment="1">
      <alignment horizontal="center" vertical="center"/>
    </xf>
    <xf numFmtId="0" fontId="7" fillId="5" borderId="17" xfId="0" applyNumberFormat="1" applyFont="1" applyFill="1" applyBorder="1" applyAlignment="1">
      <alignment horizontal="left" vertical="center"/>
    </xf>
    <xf numFmtId="0" fontId="3" fillId="0" borderId="59" xfId="0" applyNumberFormat="1" applyFont="1" applyBorder="1" applyAlignment="1">
      <alignment horizontal="center" vertical="center"/>
    </xf>
    <xf numFmtId="0" fontId="3" fillId="6" borderId="66" xfId="0" applyNumberFormat="1" applyFont="1" applyFill="1" applyBorder="1" applyAlignment="1">
      <alignment horizontal="center" vertical="center"/>
    </xf>
    <xf numFmtId="0" fontId="7" fillId="5" borderId="6" xfId="0" applyNumberFormat="1" applyFont="1" applyFill="1" applyBorder="1" applyAlignment="1">
      <alignment horizontal="left" vertical="center"/>
    </xf>
    <xf numFmtId="0" fontId="3" fillId="0" borderId="60" xfId="0" applyNumberFormat="1" applyFont="1" applyBorder="1" applyAlignment="1">
      <alignment horizontal="center" vertical="center"/>
    </xf>
    <xf numFmtId="0" fontId="34" fillId="5" borderId="70" xfId="0" applyNumberFormat="1" applyFont="1" applyFill="1" applyBorder="1" applyAlignment="1"/>
    <xf numFmtId="0" fontId="7" fillId="5" borderId="31" xfId="0" applyNumberFormat="1" applyFont="1" applyFill="1" applyBorder="1" applyAlignment="1">
      <alignment horizontal="left" vertical="center" shrinkToFit="1"/>
    </xf>
    <xf numFmtId="0" fontId="7" fillId="5" borderId="35" xfId="0" applyNumberFormat="1" applyFont="1" applyFill="1" applyBorder="1" applyAlignment="1">
      <alignment horizontal="left" vertical="center" shrinkToFit="1"/>
    </xf>
    <xf numFmtId="0" fontId="3" fillId="6" borderId="45" xfId="0" applyNumberFormat="1" applyFont="1" applyFill="1" applyBorder="1" applyAlignment="1">
      <alignment horizontal="center"/>
    </xf>
    <xf numFmtId="0" fontId="7" fillId="5" borderId="30" xfId="0" applyNumberFormat="1" applyFont="1" applyFill="1" applyBorder="1"/>
    <xf numFmtId="0" fontId="3" fillId="5" borderId="47" xfId="0" applyNumberFormat="1" applyFont="1" applyFill="1" applyBorder="1" applyAlignment="1">
      <alignment vertical="center"/>
    </xf>
    <xf numFmtId="0" fontId="4" fillId="7" borderId="47" xfId="0" applyNumberFormat="1" applyFont="1" applyFill="1" applyBorder="1" applyAlignment="1">
      <alignment vertical="center"/>
    </xf>
    <xf numFmtId="0" fontId="3" fillId="6" borderId="49" xfId="0" applyNumberFormat="1" applyFont="1" applyFill="1" applyBorder="1" applyAlignment="1">
      <alignment horizontal="center"/>
    </xf>
    <xf numFmtId="0" fontId="7" fillId="5" borderId="50" xfId="0" applyNumberFormat="1" applyFont="1" applyFill="1" applyBorder="1"/>
    <xf numFmtId="0" fontId="3" fillId="5" borderId="50" xfId="0" applyNumberFormat="1" applyFont="1" applyFill="1" applyBorder="1" applyAlignment="1">
      <alignment vertical="center"/>
    </xf>
    <xf numFmtId="0" fontId="3" fillId="5" borderId="60" xfId="0" applyNumberFormat="1" applyFont="1" applyFill="1" applyBorder="1" applyAlignment="1">
      <alignment vertical="center"/>
    </xf>
    <xf numFmtId="0" fontId="4" fillId="7" borderId="50" xfId="0" applyNumberFormat="1" applyFont="1" applyFill="1" applyBorder="1" applyAlignment="1">
      <alignment vertical="center"/>
    </xf>
    <xf numFmtId="0" fontId="9" fillId="3" borderId="60" xfId="0" applyNumberFormat="1" applyFont="1" applyFill="1" applyBorder="1" applyAlignment="1">
      <alignment horizontal="center" vertical="center"/>
    </xf>
    <xf numFmtId="0" fontId="11" fillId="6" borderId="60" xfId="0" applyNumberFormat="1" applyFont="1" applyFill="1" applyBorder="1" applyAlignment="1">
      <alignment vertical="center"/>
    </xf>
    <xf numFmtId="0" fontId="4" fillId="7" borderId="32" xfId="0" applyNumberFormat="1" applyFont="1" applyFill="1" applyBorder="1" applyAlignment="1">
      <alignment vertical="center"/>
    </xf>
    <xf numFmtId="0" fontId="4" fillId="7" borderId="4" xfId="0" applyNumberFormat="1" applyFont="1" applyFill="1" applyBorder="1" applyAlignment="1">
      <alignment vertical="center"/>
    </xf>
    <xf numFmtId="0" fontId="4" fillId="7" borderId="60" xfId="0" applyNumberFormat="1" applyFont="1" applyFill="1" applyBorder="1" applyAlignment="1">
      <alignment vertical="center"/>
    </xf>
    <xf numFmtId="0" fontId="7" fillId="5" borderId="50" xfId="0" applyNumberFormat="1" applyFont="1" applyFill="1" applyBorder="1" applyAlignment="1">
      <alignment wrapText="1"/>
    </xf>
    <xf numFmtId="0" fontId="3" fillId="5" borderId="52" xfId="0" applyNumberFormat="1" applyFont="1" applyFill="1" applyBorder="1" applyAlignment="1">
      <alignment vertical="center"/>
    </xf>
    <xf numFmtId="0" fontId="4" fillId="7" borderId="52" xfId="0" applyNumberFormat="1" applyFont="1" applyFill="1" applyBorder="1" applyAlignment="1">
      <alignment vertical="center"/>
    </xf>
    <xf numFmtId="0" fontId="3" fillId="5" borderId="61" xfId="0" applyNumberFormat="1" applyFont="1" applyFill="1" applyBorder="1" applyAlignment="1">
      <alignment vertical="center"/>
    </xf>
    <xf numFmtId="0" fontId="3" fillId="3" borderId="32" xfId="0" applyNumberFormat="1" applyFont="1" applyFill="1" applyBorder="1" applyAlignment="1">
      <alignment horizontal="right" vertical="center"/>
    </xf>
    <xf numFmtId="0" fontId="3" fillId="4" borderId="31" xfId="0" applyNumberFormat="1" applyFont="1" applyFill="1" applyBorder="1" applyAlignment="1">
      <alignment horizontal="center" vertical="center"/>
    </xf>
    <xf numFmtId="0" fontId="7" fillId="5" borderId="6" xfId="0" applyNumberFormat="1" applyFont="1" applyFill="1" applyBorder="1" applyAlignment="1">
      <alignment vertical="center" shrinkToFit="1"/>
    </xf>
    <xf numFmtId="0" fontId="3" fillId="0" borderId="60" xfId="0" applyNumberFormat="1" applyFont="1" applyBorder="1" applyAlignment="1">
      <alignment horizontal="center" vertical="center" shrinkToFit="1"/>
    </xf>
    <xf numFmtId="0" fontId="7" fillId="5" borderId="57" xfId="0" applyNumberFormat="1" applyFont="1" applyFill="1" applyBorder="1" applyAlignment="1">
      <alignment vertical="center" shrinkToFit="1"/>
    </xf>
    <xf numFmtId="0" fontId="2" fillId="0" borderId="0" xfId="0" applyNumberFormat="1" applyFont="1" applyAlignment="1"/>
    <xf numFmtId="0" fontId="3" fillId="5" borderId="3" xfId="0" applyNumberFormat="1" applyFont="1" applyFill="1" applyBorder="1" applyAlignment="1">
      <alignment horizontal="center" vertical="center"/>
    </xf>
    <xf numFmtId="0" fontId="3" fillId="5" borderId="71" xfId="0" applyNumberFormat="1" applyFont="1" applyFill="1" applyBorder="1" applyAlignment="1">
      <alignment horizontal="center" vertical="center"/>
    </xf>
    <xf numFmtId="0" fontId="4" fillId="7" borderId="71" xfId="0" applyNumberFormat="1" applyFont="1" applyFill="1" applyBorder="1" applyAlignment="1">
      <alignment horizontal="center" vertical="center"/>
    </xf>
    <xf numFmtId="0" fontId="7" fillId="5" borderId="50" xfId="0" applyNumberFormat="1" applyFont="1" applyFill="1" applyBorder="1" applyAlignment="1">
      <alignment vertical="center" wrapText="1"/>
    </xf>
    <xf numFmtId="0" fontId="35" fillId="5" borderId="0" xfId="0" applyNumberFormat="1" applyFont="1" applyFill="1" applyAlignment="1">
      <alignment horizontal="left" vertical="center"/>
    </xf>
    <xf numFmtId="0" fontId="2" fillId="3" borderId="53" xfId="0" applyNumberFormat="1" applyFont="1" applyFill="1" applyBorder="1" applyAlignment="1">
      <alignment horizontal="center" vertical="center" wrapText="1"/>
    </xf>
    <xf numFmtId="0" fontId="3" fillId="5" borderId="21" xfId="0" applyNumberFormat="1" applyFont="1" applyFill="1" applyBorder="1" applyAlignment="1">
      <alignment horizontal="center" vertical="center"/>
    </xf>
    <xf numFmtId="0" fontId="1" fillId="0" borderId="22" xfId="0" applyNumberFormat="1" applyFont="1" applyBorder="1"/>
    <xf numFmtId="0" fontId="1" fillId="0" borderId="23" xfId="0" applyNumberFormat="1" applyFont="1" applyBorder="1"/>
    <xf numFmtId="0" fontId="1" fillId="0" borderId="44" xfId="0" applyNumberFormat="1" applyFont="1" applyBorder="1"/>
    <xf numFmtId="0" fontId="0" fillId="0" borderId="0" xfId="0" applyNumberFormat="1" applyFont="1" applyAlignment="1"/>
    <xf numFmtId="0" fontId="1" fillId="0" borderId="55" xfId="0" applyNumberFormat="1" applyFont="1" applyBorder="1"/>
    <xf numFmtId="0" fontId="1" fillId="0" borderId="62" xfId="0" applyNumberFormat="1" applyFont="1" applyBorder="1"/>
    <xf numFmtId="0" fontId="1" fillId="0" borderId="63" xfId="0" applyNumberFormat="1" applyFont="1" applyBorder="1"/>
    <xf numFmtId="0" fontId="1" fillId="0" borderId="64" xfId="0" applyNumberFormat="1" applyFont="1" applyBorder="1"/>
    <xf numFmtId="0" fontId="3" fillId="4" borderId="56" xfId="0" applyNumberFormat="1" applyFont="1" applyFill="1" applyBorder="1" applyAlignment="1">
      <alignment horizontal="center" vertical="center"/>
    </xf>
    <xf numFmtId="0" fontId="1" fillId="0" borderId="56" xfId="0" applyNumberFormat="1" applyFont="1" applyBorder="1"/>
    <xf numFmtId="0" fontId="3" fillId="4" borderId="32" xfId="0" applyNumberFormat="1" applyFont="1" applyFill="1" applyBorder="1" applyAlignment="1">
      <alignment horizontal="center" vertical="center"/>
    </xf>
    <xf numFmtId="0" fontId="1" fillId="0" borderId="32" xfId="0" applyNumberFormat="1" applyFont="1" applyBorder="1"/>
    <xf numFmtId="0" fontId="3" fillId="4" borderId="56" xfId="0" applyNumberFormat="1" applyFont="1" applyFill="1" applyBorder="1" applyAlignment="1">
      <alignment horizontal="center" vertical="center" shrinkToFit="1"/>
    </xf>
    <xf numFmtId="0" fontId="1" fillId="0" borderId="47" xfId="0" applyNumberFormat="1" applyFont="1" applyBorder="1"/>
    <xf numFmtId="0" fontId="12" fillId="4" borderId="37" xfId="0" applyNumberFormat="1" applyFont="1" applyFill="1" applyBorder="1" applyAlignment="1">
      <alignment horizontal="right" vertical="center"/>
    </xf>
    <xf numFmtId="0" fontId="1" fillId="0" borderId="37" xfId="0" applyNumberFormat="1" applyFont="1" applyBorder="1"/>
    <xf numFmtId="0" fontId="1" fillId="0" borderId="26" xfId="0" applyNumberFormat="1" applyFont="1" applyBorder="1"/>
    <xf numFmtId="0" fontId="6" fillId="5" borderId="57" xfId="0" applyNumberFormat="1" applyFont="1" applyFill="1" applyBorder="1" applyAlignment="1">
      <alignment horizontal="center" vertical="center"/>
    </xf>
    <xf numFmtId="0" fontId="1" fillId="0" borderId="58" xfId="0" applyNumberFormat="1" applyFont="1" applyBorder="1"/>
    <xf numFmtId="0" fontId="3" fillId="4" borderId="32" xfId="0" applyNumberFormat="1" applyFont="1" applyFill="1" applyBorder="1" applyAlignment="1">
      <alignment horizontal="center" vertical="center" shrinkToFit="1"/>
    </xf>
    <xf numFmtId="0" fontId="1" fillId="0" borderId="50" xfId="0" applyNumberFormat="1" applyFont="1" applyBorder="1"/>
    <xf numFmtId="0" fontId="3" fillId="4" borderId="35" xfId="0" applyNumberFormat="1" applyFont="1" applyFill="1" applyBorder="1" applyAlignment="1">
      <alignment horizontal="center" vertical="center" shrinkToFit="1"/>
    </xf>
    <xf numFmtId="0" fontId="1" fillId="0" borderId="36" xfId="0" applyNumberFormat="1" applyFont="1" applyBorder="1"/>
    <xf numFmtId="0" fontId="3" fillId="4" borderId="36" xfId="0" applyNumberFormat="1" applyFont="1" applyFill="1" applyBorder="1" applyAlignment="1">
      <alignment horizontal="center" vertical="center"/>
    </xf>
    <xf numFmtId="0" fontId="1" fillId="0" borderId="61" xfId="0" applyNumberFormat="1" applyFont="1" applyBorder="1"/>
    <xf numFmtId="0" fontId="1" fillId="0" borderId="60" xfId="0" applyNumberFormat="1" applyFont="1" applyBorder="1"/>
    <xf numFmtId="0" fontId="13" fillId="5" borderId="31" xfId="0" applyNumberFormat="1" applyFont="1" applyFill="1" applyBorder="1" applyAlignment="1">
      <alignment horizontal="center" vertical="center"/>
    </xf>
    <xf numFmtId="0" fontId="13" fillId="3" borderId="31" xfId="0" applyNumberFormat="1" applyFont="1" applyFill="1" applyBorder="1" applyAlignment="1">
      <alignment horizontal="center" vertical="center"/>
    </xf>
    <xf numFmtId="0" fontId="13" fillId="3" borderId="35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4" fillId="4" borderId="21" xfId="0" applyNumberFormat="1" applyFont="1" applyFill="1" applyBorder="1" applyAlignment="1">
      <alignment horizontal="center" vertical="center"/>
    </xf>
    <xf numFmtId="0" fontId="6" fillId="0" borderId="44" xfId="0" applyNumberFormat="1" applyFont="1" applyBorder="1" applyAlignment="1">
      <alignment horizontal="center" vertical="center"/>
    </xf>
    <xf numFmtId="0" fontId="7" fillId="4" borderId="39" xfId="0" applyNumberFormat="1" applyFont="1" applyFill="1" applyBorder="1" applyAlignment="1">
      <alignment horizontal="center" vertical="center"/>
    </xf>
    <xf numFmtId="0" fontId="0" fillId="0" borderId="32" xfId="0" applyFont="1" applyBorder="1" applyAlignment="1"/>
    <xf numFmtId="0" fontId="0" fillId="0" borderId="60" xfId="0" applyFont="1" applyBorder="1" applyAlignment="1"/>
    <xf numFmtId="0" fontId="0" fillId="0" borderId="22" xfId="0" applyFont="1" applyBorder="1" applyAlignment="1"/>
    <xf numFmtId="0" fontId="0" fillId="0" borderId="23" xfId="0" applyFont="1" applyBorder="1" applyAlignment="1"/>
    <xf numFmtId="0" fontId="6" fillId="5" borderId="27" xfId="0" applyNumberFormat="1" applyFont="1" applyFill="1" applyBorder="1" applyAlignment="1">
      <alignment horizontal="center" vertical="center"/>
    </xf>
    <xf numFmtId="0" fontId="0" fillId="0" borderId="28" xfId="0" applyFont="1" applyBorder="1" applyAlignment="1"/>
    <xf numFmtId="0" fontId="0" fillId="0" borderId="59" xfId="0" applyFont="1" applyBorder="1" applyAlignment="1"/>
    <xf numFmtId="0" fontId="3" fillId="4" borderId="27" xfId="0" applyNumberFormat="1" applyFont="1" applyFill="1" applyBorder="1" applyAlignment="1">
      <alignment horizontal="center" vertical="center" shrinkToFit="1"/>
    </xf>
    <xf numFmtId="0" fontId="0" fillId="0" borderId="30" xfId="0" applyFont="1" applyBorder="1" applyAlignment="1"/>
    <xf numFmtId="0" fontId="3" fillId="4" borderId="31" xfId="0" applyNumberFormat="1" applyFont="1" applyFill="1" applyBorder="1" applyAlignment="1">
      <alignment horizontal="center" vertical="center" shrinkToFit="1"/>
    </xf>
    <xf numFmtId="0" fontId="0" fillId="0" borderId="50" xfId="0" applyFont="1" applyBorder="1" applyAlignment="1"/>
    <xf numFmtId="0" fontId="3" fillId="4" borderId="28" xfId="0" applyNumberFormat="1" applyFont="1" applyFill="1" applyBorder="1" applyAlignment="1">
      <alignment horizontal="center" vertical="center"/>
    </xf>
    <xf numFmtId="0" fontId="7" fillId="0" borderId="33" xfId="0" applyNumberFormat="1" applyFont="1" applyBorder="1" applyAlignment="1">
      <alignment vertical="center" shrinkToFit="1"/>
    </xf>
    <xf numFmtId="0" fontId="12" fillId="4" borderId="39" xfId="0" applyNumberFormat="1" applyFont="1" applyFill="1" applyBorder="1" applyAlignment="1">
      <alignment horizontal="right" vertical="center"/>
    </xf>
    <xf numFmtId="0" fontId="0" fillId="0" borderId="37" xfId="0" applyFont="1" applyBorder="1" applyAlignment="1"/>
    <xf numFmtId="0" fontId="0" fillId="0" borderId="26" xfId="0" applyFont="1" applyBorder="1" applyAlignment="1"/>
    <xf numFmtId="0" fontId="3" fillId="4" borderId="31" xfId="0" applyNumberFormat="1" applyFont="1" applyFill="1" applyBorder="1" applyAlignment="1">
      <alignment horizontal="center" vertical="center"/>
    </xf>
    <xf numFmtId="0" fontId="3" fillId="4" borderId="27" xfId="0" applyNumberFormat="1" applyFont="1" applyFill="1" applyBorder="1" applyAlignment="1">
      <alignment horizontal="center" vertical="center"/>
    </xf>
    <xf numFmtId="0" fontId="3" fillId="4" borderId="35" xfId="0" applyNumberFormat="1" applyFont="1" applyFill="1" applyBorder="1" applyAlignment="1">
      <alignment horizontal="center" vertical="center"/>
    </xf>
    <xf numFmtId="0" fontId="0" fillId="0" borderId="36" xfId="0" applyFont="1" applyBorder="1" applyAlignment="1"/>
    <xf numFmtId="0" fontId="0" fillId="0" borderId="61" xfId="0" applyFont="1" applyBorder="1" applyAlignment="1"/>
    <xf numFmtId="0" fontId="3" fillId="0" borderId="33" xfId="0" applyNumberFormat="1" applyFont="1" applyBorder="1" applyAlignment="1">
      <alignment vertical="center"/>
    </xf>
    <xf numFmtId="0" fontId="0" fillId="0" borderId="52" xfId="0" applyFont="1" applyBorder="1" applyAlignment="1"/>
    <xf numFmtId="0" fontId="3" fillId="0" borderId="21" xfId="0" applyNumberFormat="1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0" fillId="0" borderId="0" xfId="0" applyFont="1" applyAlignment="1"/>
    <xf numFmtId="0" fontId="7" fillId="4" borderId="39" xfId="0" applyFont="1" applyFill="1" applyBorder="1" applyAlignment="1">
      <alignment horizontal="center" vertical="center"/>
    </xf>
    <xf numFmtId="0" fontId="1" fillId="0" borderId="26" xfId="0" applyFont="1" applyBorder="1"/>
    <xf numFmtId="0" fontId="6" fillId="0" borderId="0" xfId="0" applyFont="1" applyAlignment="1">
      <alignment horizontal="center" vertical="center"/>
    </xf>
    <xf numFmtId="0" fontId="3" fillId="2" borderId="21" xfId="0" applyNumberFormat="1" applyFont="1" applyFill="1" applyBorder="1" applyAlignment="1">
      <alignment horizontal="center" vertical="center"/>
    </xf>
    <xf numFmtId="0" fontId="7" fillId="2" borderId="21" xfId="0" applyNumberFormat="1" applyFont="1" applyFill="1" applyBorder="1" applyAlignment="1">
      <alignment vertical="center" shrinkToFit="1"/>
    </xf>
    <xf numFmtId="0" fontId="1" fillId="0" borderId="28" xfId="0" applyNumberFormat="1" applyFont="1" applyBorder="1"/>
    <xf numFmtId="0" fontId="1" fillId="0" borderId="59" xfId="0" applyNumberFormat="1" applyFont="1" applyBorder="1"/>
    <xf numFmtId="0" fontId="3" fillId="3" borderId="31" xfId="0" applyNumberFormat="1" applyFont="1" applyFill="1" applyBorder="1" applyAlignment="1">
      <alignment vertical="center"/>
    </xf>
    <xf numFmtId="0" fontId="3" fillId="5" borderId="31" xfId="0" applyNumberFormat="1" applyFont="1" applyFill="1" applyBorder="1" applyAlignment="1">
      <alignment horizontal="left" vertical="center"/>
    </xf>
    <xf numFmtId="0" fontId="3" fillId="4" borderId="63" xfId="0" applyNumberFormat="1" applyFont="1" applyFill="1" applyBorder="1" applyAlignment="1">
      <alignment vertical="center" shrinkToFit="1"/>
    </xf>
    <xf numFmtId="0" fontId="4" fillId="4" borderId="39" xfId="0" applyNumberFormat="1" applyFont="1" applyFill="1" applyBorder="1" applyAlignment="1">
      <alignment horizontal="center" vertical="center"/>
    </xf>
    <xf numFmtId="0" fontId="11" fillId="4" borderId="37" xfId="0" applyNumberFormat="1" applyFont="1" applyFill="1" applyBorder="1" applyAlignment="1">
      <alignment horizontal="center" vertical="center" shrinkToFit="1"/>
    </xf>
    <xf numFmtId="0" fontId="3" fillId="4" borderId="57" xfId="0" applyNumberFormat="1" applyFont="1" applyFill="1" applyBorder="1" applyAlignment="1">
      <alignment horizontal="center" vertical="center"/>
    </xf>
    <xf numFmtId="0" fontId="12" fillId="4" borderId="37" xfId="0" applyNumberFormat="1" applyFont="1" applyFill="1" applyBorder="1" applyAlignment="1">
      <alignment horizontal="center" vertical="center" shrinkToFit="1"/>
    </xf>
    <xf numFmtId="0" fontId="11" fillId="4" borderId="36" xfId="0" applyNumberFormat="1" applyFont="1" applyFill="1" applyBorder="1" applyAlignment="1">
      <alignment horizontal="center" vertical="center"/>
    </xf>
    <xf numFmtId="0" fontId="15" fillId="4" borderId="37" xfId="0" applyNumberFormat="1" applyFont="1" applyFill="1" applyBorder="1" applyAlignment="1">
      <alignment horizontal="right" vertical="center"/>
    </xf>
    <xf numFmtId="0" fontId="11" fillId="4" borderId="32" xfId="0" applyNumberFormat="1" applyFont="1" applyFill="1" applyBorder="1" applyAlignment="1">
      <alignment horizontal="center" vertical="center"/>
    </xf>
    <xf numFmtId="0" fontId="11" fillId="4" borderId="28" xfId="0" applyNumberFormat="1" applyFont="1" applyFill="1" applyBorder="1" applyAlignment="1">
      <alignment horizontal="center" vertical="center"/>
    </xf>
    <xf numFmtId="0" fontId="3" fillId="4" borderId="28" xfId="0" applyNumberFormat="1" applyFont="1" applyFill="1" applyBorder="1" applyAlignment="1">
      <alignment horizontal="center" vertical="center" shrinkToFit="1"/>
    </xf>
    <xf numFmtId="0" fontId="1" fillId="0" borderId="30" xfId="0" applyNumberFormat="1" applyFont="1" applyBorder="1"/>
    <xf numFmtId="0" fontId="12" fillId="4" borderId="37" xfId="0" applyNumberFormat="1" applyFont="1" applyFill="1" applyBorder="1" applyAlignment="1">
      <alignment horizontal="right" vertical="center" shrinkToFit="1"/>
    </xf>
    <xf numFmtId="0" fontId="3" fillId="4" borderId="37" xfId="0" applyNumberFormat="1" applyFont="1" applyFill="1" applyBorder="1" applyAlignment="1">
      <alignment vertical="center" shrinkToFit="1"/>
    </xf>
    <xf numFmtId="0" fontId="7" fillId="5" borderId="21" xfId="0" applyNumberFormat="1" applyFont="1" applyFill="1" applyBorder="1" applyAlignment="1">
      <alignment vertical="center" shrinkToFit="1"/>
    </xf>
    <xf numFmtId="0" fontId="3" fillId="17" borderId="21" xfId="0" applyNumberFormat="1" applyFont="1" applyFill="1" applyBorder="1" applyAlignment="1">
      <alignment horizontal="center" vertical="center"/>
    </xf>
    <xf numFmtId="0" fontId="1" fillId="5" borderId="31" xfId="0" applyNumberFormat="1" applyFont="1" applyFill="1" applyBorder="1" applyAlignment="1">
      <alignment horizontal="center" vertical="center"/>
    </xf>
    <xf numFmtId="0" fontId="2" fillId="5" borderId="31" xfId="0" applyNumberFormat="1" applyFont="1" applyFill="1" applyBorder="1" applyAlignment="1">
      <alignment horizontal="left" vertical="center"/>
    </xf>
    <xf numFmtId="0" fontId="12" fillId="4" borderId="63" xfId="0" applyNumberFormat="1" applyFont="1" applyFill="1" applyBorder="1" applyAlignment="1">
      <alignment horizontal="right" vertical="center" shrinkToFit="1"/>
    </xf>
    <xf numFmtId="0" fontId="6" fillId="3" borderId="31" xfId="0" applyNumberFormat="1" applyFont="1" applyFill="1" applyBorder="1" applyAlignment="1">
      <alignment horizontal="center" vertical="center"/>
    </xf>
    <xf numFmtId="0" fontId="3" fillId="3" borderId="32" xfId="0" applyNumberFormat="1" applyFont="1" applyFill="1" applyBorder="1" applyAlignment="1">
      <alignment horizontal="left" vertical="center"/>
    </xf>
    <xf numFmtId="0" fontId="3" fillId="0" borderId="0" xfId="0" applyNumberFormat="1" applyFont="1" applyAlignment="1">
      <alignment vertical="center"/>
    </xf>
    <xf numFmtId="0" fontId="3" fillId="0" borderId="56" xfId="0" applyNumberFormat="1" applyFont="1" applyBorder="1" applyAlignment="1">
      <alignment vertical="center"/>
    </xf>
    <xf numFmtId="0" fontId="36" fillId="0" borderId="33" xfId="0" applyFont="1" applyBorder="1" applyAlignment="1">
      <alignment horizontal="center"/>
    </xf>
    <xf numFmtId="0" fontId="1" fillId="0" borderId="32" xfId="0" applyFont="1" applyBorder="1"/>
    <xf numFmtId="0" fontId="1" fillId="0" borderId="50" xfId="0" applyFont="1" applyBorder="1"/>
  </cellXfs>
  <cellStyles count="1">
    <cellStyle name="Normal" xfId="0" builtinId="0"/>
  </cellStyles>
  <dxfs count="665"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B9B9B9"/>
          <bgColor rgb="FFB9B9B9"/>
        </patternFill>
      </fill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border>
        <left/>
        <right/>
        <top/>
        <bottom/>
      </border>
    </dxf>
    <dxf>
      <font>
        <color rgb="FFADADAD"/>
      </font>
      <fill>
        <patternFill patternType="none"/>
      </fill>
      <border>
        <left/>
        <right/>
        <top/>
        <bottom/>
      </border>
    </dxf>
    <dxf>
      <font>
        <color rgb="FF800000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solid">
          <fgColor rgb="FFFF8080"/>
          <bgColor rgb="FFFF8080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99CC00"/>
          <bgColor rgb="FF99CC00"/>
        </patternFill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FF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B9B9B9"/>
          <bgColor rgb="FFB9B9B9"/>
        </patternFill>
      </fill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border>
        <left/>
        <right/>
        <top/>
        <bottom/>
      </border>
    </dxf>
    <dxf>
      <font>
        <color rgb="FFADADAD"/>
      </font>
      <fill>
        <patternFill patternType="none"/>
      </fill>
      <border>
        <left/>
        <right/>
        <top/>
        <bottom/>
      </border>
    </dxf>
    <dxf>
      <font>
        <color rgb="FF800000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solid">
          <fgColor rgb="FFFF8080"/>
          <bgColor rgb="FFFF8080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99CC00"/>
          <bgColor rgb="FF99CC00"/>
        </patternFill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FF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B9B9B9"/>
          <bgColor rgb="FFB9B9B9"/>
        </patternFill>
      </fill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border>
        <left/>
        <right/>
        <top/>
        <bottom/>
      </border>
    </dxf>
    <dxf>
      <font>
        <color rgb="FFADADAD"/>
      </font>
      <fill>
        <patternFill patternType="none"/>
      </fill>
      <border>
        <left/>
        <right/>
        <top/>
        <bottom/>
      </border>
    </dxf>
    <dxf>
      <font>
        <color rgb="FF800000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solid">
          <fgColor rgb="FFFF8080"/>
          <bgColor rgb="FFFF8080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99CC00"/>
          <bgColor rgb="FF99CC00"/>
        </patternFill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FF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B9B9B9"/>
          <bgColor rgb="FFB9B9B9"/>
        </patternFill>
      </fill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border>
        <left/>
        <right/>
        <top/>
        <bottom/>
      </border>
    </dxf>
    <dxf>
      <font>
        <color rgb="FFADADAD"/>
      </font>
      <fill>
        <patternFill patternType="none"/>
      </fill>
      <border>
        <left/>
        <right/>
        <top/>
        <bottom/>
      </border>
    </dxf>
    <dxf>
      <font>
        <color rgb="FF800000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solid">
          <fgColor rgb="FFFF8080"/>
          <bgColor rgb="FFFF8080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99CC00"/>
          <bgColor rgb="FF99CC00"/>
        </patternFill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FF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B9B9B9"/>
          <bgColor rgb="FFB9B9B9"/>
        </patternFill>
      </fill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border>
        <left/>
        <right/>
        <top/>
        <bottom/>
      </border>
    </dxf>
    <dxf>
      <font>
        <color rgb="FFADADAD"/>
      </font>
      <fill>
        <patternFill patternType="none"/>
      </fill>
      <border>
        <left/>
        <right/>
        <top/>
        <bottom/>
      </border>
    </dxf>
    <dxf>
      <font>
        <color rgb="FF800000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solid">
          <fgColor rgb="FFFF8080"/>
          <bgColor rgb="FFFF8080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99CC00"/>
          <bgColor rgb="FF99CC00"/>
        </patternFill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FF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B9B9B9"/>
          <bgColor rgb="FFB9B9B9"/>
        </patternFill>
      </fill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border>
        <left/>
        <right/>
        <top/>
        <bottom/>
      </border>
    </dxf>
    <dxf>
      <font>
        <color rgb="FFADADAD"/>
      </font>
      <fill>
        <patternFill patternType="none"/>
      </fill>
      <border>
        <left/>
        <right/>
        <top/>
        <bottom/>
      </border>
    </dxf>
    <dxf>
      <font>
        <color rgb="FF800000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solid">
          <fgColor rgb="FFFF8080"/>
          <bgColor rgb="FFFF8080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99CC00"/>
          <bgColor rgb="FF99CC00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FF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ont>
        <color rgb="FFFF0000"/>
      </font>
      <fill>
        <patternFill patternType="none"/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B9B9B9"/>
          <bgColor rgb="FFB9B9B9"/>
        </patternFill>
      </fill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border>
        <left/>
        <right/>
        <top/>
        <bottom/>
      </border>
    </dxf>
    <dxf>
      <font>
        <color rgb="FFADADAD"/>
      </font>
      <fill>
        <patternFill patternType="none"/>
      </fill>
      <border>
        <left/>
        <right/>
        <top/>
        <bottom/>
      </border>
    </dxf>
    <dxf>
      <font>
        <color rgb="FF800000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solid">
          <fgColor rgb="FFFF8080"/>
          <bgColor rgb="FFFF8080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99CC00"/>
          <bgColor rgb="FF99CC00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FF0000"/>
      </font>
      <fill>
        <patternFill patternType="none"/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B9B9B9"/>
          <bgColor rgb="FFB9B9B9"/>
        </patternFill>
      </fill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border>
        <left/>
        <right/>
        <top/>
        <bottom/>
      </border>
    </dxf>
    <dxf>
      <font>
        <color rgb="FFADADAD"/>
      </font>
      <fill>
        <patternFill patternType="none"/>
      </fill>
      <border>
        <left/>
        <right/>
        <top/>
        <bottom/>
      </border>
    </dxf>
    <dxf>
      <font>
        <color rgb="FF80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solid">
          <fgColor rgb="FFFF8080"/>
          <bgColor rgb="FFFF8080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99CC00"/>
          <bgColor rgb="FF99CC00"/>
        </patternFill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FF0000"/>
      </font>
      <fill>
        <patternFill patternType="none"/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B9B9B9"/>
          <bgColor rgb="FFB9B9B9"/>
        </patternFill>
      </fill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border>
        <left/>
        <right/>
        <top/>
        <bottom/>
      </border>
    </dxf>
    <dxf>
      <font>
        <color rgb="FFADADAD"/>
      </font>
      <fill>
        <patternFill patternType="none"/>
      </fill>
      <border>
        <left/>
        <right/>
        <top/>
        <bottom/>
      </border>
    </dxf>
    <dxf>
      <font>
        <color rgb="FF80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solid">
          <fgColor rgb="FFFF8080"/>
          <bgColor rgb="FFFF8080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99CC00"/>
          <bgColor rgb="FF99CC00"/>
        </patternFill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B9B9B9"/>
          <bgColor rgb="FFB9B9B9"/>
        </patternFill>
      </fill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border>
        <left/>
        <right/>
        <top/>
        <bottom/>
      </border>
    </dxf>
    <dxf>
      <font>
        <color rgb="FFADADAD"/>
      </font>
      <fill>
        <patternFill patternType="none"/>
      </fill>
      <border>
        <left/>
        <right/>
        <top/>
        <bottom/>
      </border>
    </dxf>
    <dxf>
      <font>
        <color rgb="FF800000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solid">
          <fgColor rgb="FFFF8080"/>
          <bgColor rgb="FFFF8080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99CC00"/>
          <bgColor rgb="FF99CC00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FF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B9B9B9"/>
          <bgColor rgb="FFB9B9B9"/>
        </patternFill>
      </fill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border>
        <left/>
        <right/>
        <top/>
        <bottom/>
      </border>
    </dxf>
    <dxf>
      <font>
        <color rgb="FFADADAD"/>
      </font>
      <fill>
        <patternFill patternType="none"/>
      </fill>
      <border>
        <left/>
        <right/>
        <top/>
        <bottom/>
      </border>
    </dxf>
    <dxf>
      <font>
        <color rgb="FF800000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solid">
          <fgColor rgb="FFFF8080"/>
          <bgColor rgb="FFFF8080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99CC00"/>
          <bgColor rgb="FF99CC00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FF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B9B9B9"/>
          <bgColor rgb="FFB9B9B9"/>
        </patternFill>
      </fill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border>
        <left/>
        <right/>
        <top/>
        <bottom/>
      </border>
    </dxf>
    <dxf>
      <font>
        <color rgb="FFADADAD"/>
      </font>
      <fill>
        <patternFill patternType="none"/>
      </fill>
      <border>
        <left/>
        <right/>
        <top/>
        <bottom/>
      </border>
    </dxf>
    <dxf>
      <font>
        <color rgb="FF800000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solid">
          <fgColor rgb="FFFF8080"/>
          <bgColor rgb="FFFF8080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99CC00"/>
          <bgColor rgb="FF99CC00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FF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B9B9B9"/>
          <bgColor rgb="FFB9B9B9"/>
        </patternFill>
      </fill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border>
        <left/>
        <right/>
        <top/>
        <bottom/>
      </border>
    </dxf>
    <dxf>
      <font>
        <color rgb="FFADADAD"/>
      </font>
      <fill>
        <patternFill patternType="none"/>
      </fill>
      <border>
        <left/>
        <right/>
        <top/>
        <bottom/>
      </border>
    </dxf>
    <dxf>
      <font>
        <color rgb="FF800000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solid">
          <fgColor rgb="FFFF8080"/>
          <bgColor rgb="FFFF8080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99CC00"/>
          <bgColor rgb="FF99CC00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FF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B9B9B9"/>
          <bgColor rgb="FFB9B9B9"/>
        </patternFill>
      </fill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border>
        <left/>
        <right/>
        <top/>
        <bottom/>
      </border>
    </dxf>
    <dxf>
      <font>
        <color rgb="FFADADAD"/>
      </font>
      <fill>
        <patternFill patternType="none"/>
      </fill>
      <border>
        <left/>
        <right/>
        <top/>
        <bottom/>
      </border>
    </dxf>
    <dxf>
      <font>
        <color rgb="FF80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solid">
          <fgColor rgb="FFFF8080"/>
          <bgColor rgb="FFFF8080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99CC00"/>
          <bgColor rgb="FF99CC00"/>
        </patternFill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FF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B9B9B9"/>
          <bgColor rgb="FFB9B9B9"/>
        </patternFill>
      </fill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border>
        <left/>
        <right/>
        <top/>
        <bottom/>
      </border>
    </dxf>
    <dxf>
      <font>
        <color rgb="FFADADAD"/>
      </font>
      <fill>
        <patternFill patternType="none"/>
      </fill>
      <border>
        <left/>
        <right/>
        <top/>
        <bottom/>
      </border>
    </dxf>
    <dxf>
      <font>
        <color rgb="FF800000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solid">
          <fgColor rgb="FFFF8080"/>
          <bgColor rgb="FFFF8080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99CC00"/>
          <bgColor rgb="FF99CC00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FF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B9B9B9"/>
          <bgColor rgb="FFB9B9B9"/>
        </patternFill>
      </fill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border>
        <left/>
        <right/>
        <top/>
        <bottom/>
      </border>
    </dxf>
    <dxf>
      <font>
        <color rgb="FFADADAD"/>
      </font>
      <fill>
        <patternFill patternType="none"/>
      </fill>
      <border>
        <left/>
        <right/>
        <top/>
        <bottom/>
      </border>
    </dxf>
    <dxf>
      <font>
        <color rgb="FF800000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solid">
          <fgColor rgb="FFFF8080"/>
          <bgColor rgb="FFFF8080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99CC00"/>
          <bgColor rgb="FF99CC00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FF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B9B9B9"/>
          <bgColor rgb="FFB9B9B9"/>
        </patternFill>
      </fill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border>
        <left/>
        <right/>
        <top/>
        <bottom/>
      </border>
    </dxf>
    <dxf>
      <font>
        <color rgb="FFADADAD"/>
      </font>
      <fill>
        <patternFill patternType="none"/>
      </fill>
      <border>
        <left/>
        <right/>
        <top/>
        <bottom/>
      </border>
    </dxf>
    <dxf>
      <font>
        <color rgb="FF80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solid">
          <fgColor rgb="FFFF8080"/>
          <bgColor rgb="FFFF8080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99CC00"/>
          <bgColor rgb="FF99CC00"/>
        </patternFill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FF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B9B9B9"/>
          <bgColor rgb="FFB9B9B9"/>
        </patternFill>
      </fill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border>
        <left/>
        <right/>
        <top/>
        <bottom/>
      </border>
    </dxf>
    <dxf>
      <font>
        <color rgb="FFADADAD"/>
      </font>
      <fill>
        <patternFill patternType="none"/>
      </fill>
      <border>
        <left/>
        <right/>
        <top/>
        <bottom/>
      </border>
    </dxf>
    <dxf>
      <font>
        <color rgb="FF80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solid">
          <fgColor rgb="FFFF8080"/>
          <bgColor rgb="FFFF8080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99CC00"/>
          <bgColor rgb="FF99CC00"/>
        </patternFill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FF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B9B9B9"/>
          <bgColor rgb="FFB9B9B9"/>
        </patternFill>
      </fill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border>
        <left/>
        <right/>
        <top/>
        <bottom/>
      </border>
    </dxf>
    <dxf>
      <font>
        <color rgb="FFADADAD"/>
      </font>
      <fill>
        <patternFill patternType="none"/>
      </fill>
      <border>
        <left/>
        <right/>
        <top/>
        <bottom/>
      </border>
    </dxf>
    <dxf>
      <font>
        <color rgb="FF80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solid">
          <fgColor rgb="FFFF8080"/>
          <bgColor rgb="FFFF8080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99CC00"/>
          <bgColor rgb="FF99CC00"/>
        </patternFill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FF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B9B9B9"/>
          <bgColor rgb="FFB9B9B9"/>
        </patternFill>
      </fill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border>
        <left/>
        <right/>
        <top/>
        <bottom/>
      </border>
    </dxf>
    <dxf>
      <font>
        <color rgb="FFADADAD"/>
      </font>
      <fill>
        <patternFill patternType="none"/>
      </fill>
      <border>
        <left/>
        <right/>
        <top/>
        <bottom/>
      </border>
    </dxf>
    <dxf>
      <font>
        <color rgb="FF80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solid">
          <fgColor rgb="FFFF8080"/>
          <bgColor rgb="FFFF8080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99CC00"/>
          <bgColor rgb="FF99CC00"/>
        </patternFill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FF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B9B9B9"/>
          <bgColor rgb="FFB9B9B9"/>
        </patternFill>
      </fill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border>
        <left/>
        <right/>
        <top/>
        <bottom/>
      </border>
    </dxf>
    <dxf>
      <font>
        <color rgb="FFADADAD"/>
      </font>
      <fill>
        <patternFill patternType="none"/>
      </fill>
      <border>
        <left/>
        <right/>
        <top/>
        <bottom/>
      </border>
    </dxf>
    <dxf>
      <font>
        <color rgb="FF80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solid">
          <fgColor rgb="FFFF8080"/>
          <bgColor rgb="FFFF8080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99CC00"/>
          <bgColor rgb="FF99CC00"/>
        </patternFill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FF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B9B9B9"/>
          <bgColor rgb="FFB9B9B9"/>
        </patternFill>
      </fill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border>
        <left/>
        <right/>
        <top/>
        <bottom/>
      </border>
    </dxf>
    <dxf>
      <font>
        <color rgb="FFADADAD"/>
      </font>
      <fill>
        <patternFill patternType="none"/>
      </fill>
      <border>
        <left/>
        <right/>
        <top/>
        <bottom/>
      </border>
    </dxf>
    <dxf>
      <font>
        <color rgb="FF80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solid">
          <fgColor rgb="FFFF8080"/>
          <bgColor rgb="FFFF8080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99CC00"/>
          <bgColor rgb="FF99CC00"/>
        </patternFill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FF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BDBDBD"/>
          <bgColor rgb="FFBDBDBD"/>
        </patternFill>
      </fill>
      <border>
        <left/>
        <right/>
        <top/>
        <bottom/>
      </border>
    </dxf>
  </dxfs>
  <tableStyles count="17">
    <tableStyle name="Printable Roster-style" pivot="0" count="3">
      <tableStyleElement type="headerRow" dxfId="664"/>
      <tableStyleElement type="firstRowStripe" dxfId="663"/>
      <tableStyleElement type="secondRowStripe" dxfId="662"/>
    </tableStyle>
    <tableStyle name="JR1-style" pivot="0" count="2">
      <tableStyleElement type="firstRowStripe" dxfId="661"/>
      <tableStyleElement type="secondRowStripe" dxfId="660"/>
    </tableStyle>
    <tableStyle name="JR2-style" pivot="0" count="2">
      <tableStyleElement type="firstRowStripe" dxfId="659"/>
      <tableStyleElement type="secondRowStripe" dxfId="658"/>
    </tableStyle>
    <tableStyle name="Blank-style" pivot="0" count="2">
      <tableStyleElement type="firstRowStripe" dxfId="657"/>
      <tableStyleElement type="secondRowStripe" dxfId="656"/>
    </tableStyle>
    <tableStyle name="JR3-style" pivot="0" count="2">
      <tableStyleElement type="firstRowStripe" dxfId="655"/>
      <tableStyleElement type="secondRowStripe" dxfId="654"/>
    </tableStyle>
    <tableStyle name="CT2-style" pivot="0" count="2">
      <tableStyleElement type="firstRowStripe" dxfId="653"/>
      <tableStyleElement type="secondRowStripe" dxfId="652"/>
    </tableStyle>
    <tableStyle name="CT3-style" pivot="0" count="2">
      <tableStyleElement type="firstRowStripe" dxfId="651"/>
      <tableStyleElement type="secondRowStripe" dxfId="650"/>
    </tableStyle>
    <tableStyle name="KB1-style" pivot="0" count="2">
      <tableStyleElement type="firstRowStripe" dxfId="649"/>
      <tableStyleElement type="secondRowStripe" dxfId="648"/>
    </tableStyle>
    <tableStyle name="DH3-style" pivot="0" count="2">
      <tableStyleElement type="firstRowStripe" dxfId="647"/>
      <tableStyleElement type="secondRowStripe" dxfId="646"/>
    </tableStyle>
    <tableStyle name="PP1-style" pivot="0" count="2">
      <tableStyleElement type="firstRowStripe" dxfId="645"/>
      <tableStyleElement type="secondRowStripe" dxfId="644"/>
    </tableStyle>
    <tableStyle name="Copy of PP2-style" pivot="0" count="2">
      <tableStyleElement type="firstRowStripe" dxfId="643"/>
      <tableStyleElement type="secondRowStripe" dxfId="642"/>
    </tableStyle>
    <tableStyle name="PP2-style" pivot="0" count="2">
      <tableStyleElement type="firstRowStripe" dxfId="641"/>
      <tableStyleElement type="secondRowStripe" dxfId="640"/>
    </tableStyle>
    <tableStyle name="RC1-style" pivot="0" count="2">
      <tableStyleElement type="firstRowStripe" dxfId="639"/>
      <tableStyleElement type="secondRowStripe" dxfId="638"/>
    </tableStyle>
    <tableStyle name="RC2 S3-style" pivot="0" count="2">
      <tableStyleElement type="firstRowStripe" dxfId="637"/>
      <tableStyleElement type="secondRowStripe" dxfId="636"/>
    </tableStyle>
    <tableStyle name="TL1-style" pivot="0" count="2">
      <tableStyleElement type="firstRowStripe" dxfId="635"/>
      <tableStyleElement type="secondRowStripe" dxfId="634"/>
    </tableStyle>
    <tableStyle name="LoTR-style" pivot="0" count="2">
      <tableStyleElement type="firstRowStripe" dxfId="633"/>
      <tableStyleElement type="secondRowStripe" dxfId="632"/>
    </tableStyle>
    <tableStyle name="LoTR-style 2" pivot="0" count="2">
      <tableStyleElement type="firstRowStripe" dxfId="631"/>
      <tableStyleElement type="secondRowStripe" dxfId="63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7"/>
  <sheetViews>
    <sheetView showGridLines="0" workbookViewId="0"/>
  </sheetViews>
  <sheetFormatPr defaultColWidth="14.42578125" defaultRowHeight="15.75" customHeight="1"/>
  <cols>
    <col min="1" max="1" width="1.85546875" style="139" customWidth="1"/>
    <col min="2" max="2" width="3.140625" style="139" customWidth="1"/>
    <col min="3" max="3" width="19.28515625" style="139" customWidth="1"/>
    <col min="4" max="4" width="21.28515625" style="139" customWidth="1"/>
    <col min="5" max="8" width="3.42578125" style="139" customWidth="1"/>
    <col min="9" max="9" width="30.85546875" style="139" customWidth="1"/>
    <col min="10" max="10" width="23" style="139" customWidth="1"/>
    <col min="11" max="11" width="1.85546875" style="139" customWidth="1"/>
    <col min="12" max="15" width="2.42578125" style="139" customWidth="1"/>
    <col min="16" max="19" width="2.7109375" style="139" customWidth="1"/>
    <col min="20" max="21" width="3.28515625" style="139" customWidth="1"/>
    <col min="22" max="22" width="2.42578125" style="139" customWidth="1"/>
    <col min="23" max="23" width="3.28515625" style="139" customWidth="1"/>
    <col min="24" max="24" width="2.7109375" style="139" customWidth="1"/>
    <col min="25" max="25" width="3.28515625" style="139" customWidth="1"/>
    <col min="26" max="26" width="4.42578125" style="139" customWidth="1"/>
    <col min="27" max="27" width="10.28515625" style="139" customWidth="1"/>
    <col min="28" max="28" width="5.5703125" style="139" customWidth="1"/>
    <col min="29" max="29" width="8.85546875" style="139" customWidth="1"/>
    <col min="30" max="35" width="4.140625" style="139" customWidth="1"/>
    <col min="36" max="36" width="12.28515625" style="139" customWidth="1"/>
    <col min="37" max="37" width="6.42578125" style="139" customWidth="1"/>
    <col min="38" max="38" width="12.7109375" style="139" customWidth="1"/>
    <col min="39" max="39" width="11.42578125" style="139" customWidth="1"/>
    <col min="40" max="41" width="10.7109375" style="139" customWidth="1"/>
    <col min="42" max="42" width="26.140625" style="139" customWidth="1"/>
    <col min="43" max="44" width="10.7109375" style="139" customWidth="1"/>
    <col min="45" max="45" width="12.28515625" style="139" customWidth="1"/>
    <col min="46" max="46" width="10.7109375" style="139" customWidth="1"/>
    <col min="47" max="47" width="2.28515625" style="139" customWidth="1"/>
    <col min="48" max="16384" width="14.42578125" style="139"/>
  </cols>
  <sheetData>
    <row r="1" spans="1:47" ht="9" customHeight="1">
      <c r="A1" s="136"/>
      <c r="B1" s="137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</row>
    <row r="2" spans="1:47" ht="9.75" customHeight="1">
      <c r="A2" s="136"/>
      <c r="B2" s="140"/>
      <c r="C2" s="140"/>
      <c r="D2" s="141"/>
      <c r="E2" s="140"/>
      <c r="F2" s="140"/>
      <c r="G2" s="140"/>
      <c r="H2" s="140"/>
      <c r="I2" s="140"/>
      <c r="J2" s="140"/>
      <c r="K2" s="136"/>
      <c r="L2" s="140"/>
      <c r="M2" s="140"/>
      <c r="N2" s="140"/>
      <c r="O2" s="140"/>
      <c r="P2" s="602" t="s">
        <v>218</v>
      </c>
      <c r="Q2" s="572"/>
      <c r="R2" s="572"/>
      <c r="S2" s="573"/>
      <c r="T2" s="142"/>
      <c r="U2" s="142"/>
      <c r="V2" s="142"/>
      <c r="W2" s="142"/>
      <c r="X2" s="143"/>
      <c r="Y2" s="142"/>
      <c r="Z2" s="140"/>
      <c r="AA2" s="140"/>
      <c r="AB2" s="136"/>
      <c r="AC2" s="140"/>
      <c r="AD2" s="140"/>
      <c r="AE2" s="140"/>
      <c r="AF2" s="144"/>
      <c r="AG2" s="140"/>
      <c r="AH2" s="140"/>
      <c r="AI2" s="140"/>
      <c r="AJ2" s="140"/>
      <c r="AK2" s="136"/>
      <c r="AL2" s="145"/>
      <c r="AM2" s="145"/>
      <c r="AN2" s="145"/>
      <c r="AO2" s="145"/>
      <c r="AP2" s="145"/>
      <c r="AQ2" s="145"/>
      <c r="AR2" s="145"/>
      <c r="AS2" s="145"/>
      <c r="AT2" s="145"/>
      <c r="AU2" s="145"/>
    </row>
    <row r="3" spans="1:47" ht="8.25" customHeight="1">
      <c r="A3" s="137"/>
      <c r="B3" s="146" t="s">
        <v>203</v>
      </c>
      <c r="C3" s="147" t="s">
        <v>32</v>
      </c>
      <c r="D3" s="148" t="s">
        <v>229</v>
      </c>
      <c r="E3" s="149" t="s">
        <v>206</v>
      </c>
      <c r="F3" s="150" t="s">
        <v>207</v>
      </c>
      <c r="G3" s="151" t="s">
        <v>208</v>
      </c>
      <c r="H3" s="152" t="s">
        <v>209</v>
      </c>
      <c r="I3" s="153" t="s">
        <v>230</v>
      </c>
      <c r="J3" s="152" t="s">
        <v>231</v>
      </c>
      <c r="K3" s="154" t="s">
        <v>203</v>
      </c>
      <c r="L3" s="155" t="s">
        <v>232</v>
      </c>
      <c r="M3" s="156" t="s">
        <v>233</v>
      </c>
      <c r="N3" s="156" t="s">
        <v>234</v>
      </c>
      <c r="O3" s="157" t="s">
        <v>235</v>
      </c>
      <c r="P3" s="158" t="s">
        <v>206</v>
      </c>
      <c r="Q3" s="159" t="s">
        <v>207</v>
      </c>
      <c r="R3" s="159" t="s">
        <v>208</v>
      </c>
      <c r="S3" s="160" t="s">
        <v>209</v>
      </c>
      <c r="T3" s="161" t="s">
        <v>236</v>
      </c>
      <c r="U3" s="156" t="s">
        <v>237</v>
      </c>
      <c r="V3" s="156" t="s">
        <v>210</v>
      </c>
      <c r="W3" s="156" t="s">
        <v>240</v>
      </c>
      <c r="X3" s="162" t="s">
        <v>35</v>
      </c>
      <c r="Y3" s="157" t="s">
        <v>211</v>
      </c>
      <c r="Z3" s="153" t="s">
        <v>212</v>
      </c>
      <c r="AA3" s="163" t="s">
        <v>241</v>
      </c>
      <c r="AB3" s="136"/>
      <c r="AC3" s="146" t="s">
        <v>242</v>
      </c>
      <c r="AD3" s="153" t="s">
        <v>233</v>
      </c>
      <c r="AE3" s="150" t="s">
        <v>243</v>
      </c>
      <c r="AF3" s="164" t="str">
        <f>"+MA"</f>
        <v>+MA</v>
      </c>
      <c r="AG3" s="150" t="str">
        <f>"+ST"</f>
        <v>+ST</v>
      </c>
      <c r="AH3" s="150" t="str">
        <f>"+AG"</f>
        <v>+AG</v>
      </c>
      <c r="AI3" s="150" t="str">
        <f>"+AV"</f>
        <v>+AV</v>
      </c>
      <c r="AJ3" s="163" t="s">
        <v>244</v>
      </c>
      <c r="AK3" s="136"/>
      <c r="AL3" s="601" t="s">
        <v>245</v>
      </c>
      <c r="AM3" s="575"/>
      <c r="AN3" s="575"/>
      <c r="AO3" s="575"/>
      <c r="AP3" s="603" t="s">
        <v>246</v>
      </c>
      <c r="AQ3" s="575"/>
      <c r="AR3" s="575"/>
      <c r="AS3" s="575"/>
      <c r="AT3" s="575"/>
      <c r="AU3" s="145"/>
    </row>
    <row r="4" spans="1:47" ht="15.75" customHeight="1">
      <c r="A4" s="137"/>
      <c r="B4" s="165">
        <v>1</v>
      </c>
      <c r="C4" s="166" t="s">
        <v>177</v>
      </c>
      <c r="D4" s="167" t="s">
        <v>147</v>
      </c>
      <c r="E4" s="168">
        <f>IFERROR(VLOOKUP($I$22&amp;$D4,'Development-Hidden'!$C$2:$J$118,4,FALSE)-P4+AF4,"")</f>
        <v>6</v>
      </c>
      <c r="F4" s="169">
        <f>IFERROR(VLOOKUP($I$22&amp;$D4,'Development-Hidden'!$C$2:$J$118,5,FALSE)-Q4+AG4,"")</f>
        <v>4</v>
      </c>
      <c r="G4" s="169">
        <f>IFERROR(VLOOKUP($I$22&amp;$D4,'Development-Hidden'!$C$2:$J$118,6,FALSE)-R4+AH4,"")</f>
        <v>4</v>
      </c>
      <c r="H4" s="170">
        <f>IFERROR(VLOOKUP($I$22&amp;$D4,'Development-Hidden'!$C$2:$J$118,7,FALSE)-S4+AI4,"")</f>
        <v>8</v>
      </c>
      <c r="I4" s="171" t="str">
        <f>IFERROR(VLOOKUP($I$22&amp;$D4,'Development-Hidden'!$C$2:$J$118,8,FALSE),"")</f>
        <v>Animosity</v>
      </c>
      <c r="J4" s="172" t="s">
        <v>251</v>
      </c>
      <c r="K4" s="173">
        <f t="shared" ref="K4:K7" si="0">IF(Z4&gt;175,6,IF(Z4&gt;75,5,IF(Z4&gt;50,4,IF(Z4&gt;30,3,IF(Z4&gt;15,2,IF(Z4&gt;5,1,0))))))</f>
        <v>3</v>
      </c>
      <c r="L4" s="174"/>
      <c r="M4" s="174"/>
      <c r="N4" s="174">
        <v>1</v>
      </c>
      <c r="O4" s="175"/>
      <c r="P4" s="176"/>
      <c r="Q4" s="177"/>
      <c r="R4" s="177"/>
      <c r="S4" s="178"/>
      <c r="T4" s="179"/>
      <c r="U4" s="180">
        <v>1</v>
      </c>
      <c r="V4" s="180">
        <v>11</v>
      </c>
      <c r="W4" s="180">
        <v>1</v>
      </c>
      <c r="X4" s="177"/>
      <c r="Y4" s="181">
        <v>1</v>
      </c>
      <c r="Z4" s="182">
        <f t="shared" ref="Z4:Z19" si="1">2*T4+U4+3*V4+2*W4+5*Y4</f>
        <v>41</v>
      </c>
      <c r="AA4" s="183">
        <f t="shared" ref="AA4:AA19" si="2">IF(L4=1,0,AC4+(20000*O4)+(20000*AD4)+(30000*AE4)+(30000*AF4)+(50000*AG4)+(40000*AH4)+(50000*AI4)+AJ4)</f>
        <v>160000</v>
      </c>
      <c r="AB4" s="136"/>
      <c r="AC4" s="184">
        <f>IFERROR(VLOOKUP($I$22&amp;D4,'Development-Hidden'!$C$2:$E$118,3,FALSE),"")</f>
        <v>70000</v>
      </c>
      <c r="AD4" s="179">
        <v>2</v>
      </c>
      <c r="AE4" s="180"/>
      <c r="AF4" s="180"/>
      <c r="AG4" s="180">
        <v>1</v>
      </c>
      <c r="AH4" s="180"/>
      <c r="AI4" s="180"/>
      <c r="AJ4" s="185"/>
      <c r="AK4" s="136"/>
      <c r="AL4" s="186" t="s">
        <v>252</v>
      </c>
      <c r="AM4" s="187">
        <v>0</v>
      </c>
      <c r="AN4" s="136"/>
      <c r="AO4" s="136"/>
      <c r="AP4" s="188"/>
      <c r="AQ4" s="189"/>
      <c r="AR4" s="189"/>
      <c r="AS4" s="186" t="s">
        <v>253</v>
      </c>
      <c r="AT4" s="190">
        <v>7</v>
      </c>
      <c r="AU4" s="191"/>
    </row>
    <row r="5" spans="1:47" ht="15.75" customHeight="1">
      <c r="A5" s="137"/>
      <c r="B5" s="192">
        <v>2</v>
      </c>
      <c r="C5" s="193" t="s">
        <v>254</v>
      </c>
      <c r="D5" s="194" t="s">
        <v>255</v>
      </c>
      <c r="E5" s="195">
        <f>IFERROR(VLOOKUP($I$22&amp;$D5,'Development-Hidden'!$C$2:$J$118,4,FALSE)-P5+AF5,"")</f>
        <v>6</v>
      </c>
      <c r="F5" s="196">
        <f>IFERROR(VLOOKUP($I$22&amp;$D5,'Development-Hidden'!$C$2:$J$118,5,FALSE)-Q5+AG5,"")</f>
        <v>2</v>
      </c>
      <c r="G5" s="196">
        <f>IFERROR(VLOOKUP($I$22&amp;$D5,'Development-Hidden'!$C$2:$J$118,6,FALSE)-R5+AH5,"")</f>
        <v>3</v>
      </c>
      <c r="H5" s="197">
        <f>IFERROR(VLOOKUP($I$22&amp;$D5,'Development-Hidden'!$C$2:$J$118,7,FALSE)-S5+AI5,"")</f>
        <v>7</v>
      </c>
      <c r="I5" s="198" t="str">
        <f>IFERROR(VLOOKUP($I$22&amp;$D5,'Development-Hidden'!$C$2:$J$118,8,FALSE),"")</f>
        <v>Animosity, Dodge, Right Stuff, Stunty</v>
      </c>
      <c r="J5" s="199"/>
      <c r="K5" s="200">
        <f t="shared" si="0"/>
        <v>0</v>
      </c>
      <c r="L5" s="201"/>
      <c r="M5" s="201"/>
      <c r="N5" s="201"/>
      <c r="O5" s="202"/>
      <c r="P5" s="203"/>
      <c r="Q5" s="204"/>
      <c r="R5" s="204"/>
      <c r="S5" s="205"/>
      <c r="T5" s="206"/>
      <c r="U5" s="207"/>
      <c r="V5" s="207"/>
      <c r="W5" s="207"/>
      <c r="X5" s="204"/>
      <c r="Y5" s="208"/>
      <c r="Z5" s="209">
        <f t="shared" si="1"/>
        <v>0</v>
      </c>
      <c r="AA5" s="183">
        <f t="shared" si="2"/>
        <v>40000</v>
      </c>
      <c r="AB5" s="136"/>
      <c r="AC5" s="210">
        <f>IFERROR(VLOOKUP($I$22&amp;D5,'Development-Hidden'!$C$2:$E$118,3,FALSE),"")</f>
        <v>40000</v>
      </c>
      <c r="AD5" s="206"/>
      <c r="AE5" s="207"/>
      <c r="AF5" s="207"/>
      <c r="AG5" s="207"/>
      <c r="AH5" s="207"/>
      <c r="AI5" s="207"/>
      <c r="AJ5" s="211"/>
      <c r="AK5" s="136"/>
      <c r="AL5" s="212" t="s">
        <v>256</v>
      </c>
      <c r="AM5" s="213" t="s">
        <v>257</v>
      </c>
      <c r="AN5" s="214" t="s">
        <v>258</v>
      </c>
      <c r="AO5" s="215" t="s">
        <v>259</v>
      </c>
      <c r="AP5" s="216" t="s">
        <v>260</v>
      </c>
      <c r="AQ5" s="214" t="s">
        <v>261</v>
      </c>
      <c r="AR5" s="217" t="s">
        <v>33</v>
      </c>
      <c r="AS5" s="217" t="s">
        <v>262</v>
      </c>
      <c r="AT5" s="218" t="s">
        <v>221</v>
      </c>
      <c r="AU5" s="144"/>
    </row>
    <row r="6" spans="1:47" ht="15.75" customHeight="1">
      <c r="A6" s="137"/>
      <c r="B6" s="192">
        <v>3</v>
      </c>
      <c r="C6" s="193"/>
      <c r="D6" s="194"/>
      <c r="E6" s="195" t="str">
        <f>IFERROR(VLOOKUP($I$22&amp;$D6,'Development-Hidden'!$C$2:$J$118,4,FALSE)-P6+AF6,"")</f>
        <v/>
      </c>
      <c r="F6" s="196" t="str">
        <f>IFERROR(VLOOKUP($I$22&amp;$D6,'Development-Hidden'!$C$2:$J$118,5,FALSE)-Q6+AG6,"")</f>
        <v/>
      </c>
      <c r="G6" s="196" t="str">
        <f>IFERROR(VLOOKUP($I$22&amp;$D6,'Development-Hidden'!$C$2:$J$118,6,FALSE)-R6+AH6,"")</f>
        <v/>
      </c>
      <c r="H6" s="197" t="str">
        <f>IFERROR(VLOOKUP($I$22&amp;$D6,'Development-Hidden'!$C$2:$J$118,7,FALSE)-S6+AI6,"")</f>
        <v/>
      </c>
      <c r="I6" s="198" t="str">
        <f>IFERROR(VLOOKUP($I$22&amp;$D6,'Development-Hidden'!$C$2:$J$118,8,FALSE),"")</f>
        <v/>
      </c>
      <c r="J6" s="199"/>
      <c r="K6" s="200">
        <f t="shared" si="0"/>
        <v>0</v>
      </c>
      <c r="L6" s="201"/>
      <c r="M6" s="201"/>
      <c r="N6" s="201"/>
      <c r="O6" s="202"/>
      <c r="P6" s="203"/>
      <c r="Q6" s="204"/>
      <c r="R6" s="204"/>
      <c r="S6" s="205"/>
      <c r="T6" s="206"/>
      <c r="U6" s="207"/>
      <c r="V6" s="207"/>
      <c r="W6" s="207"/>
      <c r="X6" s="204"/>
      <c r="Y6" s="208"/>
      <c r="Z6" s="209">
        <f t="shared" si="1"/>
        <v>0</v>
      </c>
      <c r="AA6" s="183">
        <f t="shared" si="2"/>
        <v>0</v>
      </c>
      <c r="AB6" s="136"/>
      <c r="AC6" s="210" t="str">
        <f>IFERROR(VLOOKUP($I$22&amp;D6,'Development-Hidden'!$C$2:$E$118,3,FALSE),"0")</f>
        <v>0</v>
      </c>
      <c r="AD6" s="206"/>
      <c r="AE6" s="207"/>
      <c r="AF6" s="207"/>
      <c r="AG6" s="207"/>
      <c r="AH6" s="207"/>
      <c r="AI6" s="207"/>
      <c r="AJ6" s="211"/>
      <c r="AK6" s="136"/>
      <c r="AL6" s="219" t="s">
        <v>267</v>
      </c>
      <c r="AM6" s="220">
        <v>80000</v>
      </c>
      <c r="AN6" s="221">
        <v>40000</v>
      </c>
      <c r="AO6" s="222">
        <v>0</v>
      </c>
      <c r="AP6" s="223" t="s">
        <v>8</v>
      </c>
      <c r="AQ6" s="221" t="s">
        <v>270</v>
      </c>
      <c r="AR6" s="224">
        <v>2</v>
      </c>
      <c r="AS6" s="225">
        <v>5</v>
      </c>
      <c r="AT6" s="226">
        <f>1</f>
        <v>1</v>
      </c>
      <c r="AU6" s="136"/>
    </row>
    <row r="7" spans="1:47" ht="15.75" customHeight="1">
      <c r="A7" s="137"/>
      <c r="B7" s="192">
        <v>4</v>
      </c>
      <c r="C7" s="193" t="s">
        <v>223</v>
      </c>
      <c r="D7" s="194" t="s">
        <v>179</v>
      </c>
      <c r="E7" s="195">
        <f>IFERROR(VLOOKUP($I$22&amp;$D7,'Development-Hidden'!$C$2:$J$118,4,FALSE)-P7+AF7,"")</f>
        <v>6</v>
      </c>
      <c r="F7" s="196">
        <f>IFERROR(VLOOKUP($I$22&amp;$D7,'Development-Hidden'!$C$2:$J$118,5,FALSE)-Q7+AG7,"")</f>
        <v>3</v>
      </c>
      <c r="G7" s="196">
        <f>IFERROR(VLOOKUP($I$22&amp;$D7,'Development-Hidden'!$C$2:$J$118,6,FALSE)-R7+AH7,"")</f>
        <v>3</v>
      </c>
      <c r="H7" s="197">
        <f>IFERROR(VLOOKUP($I$22&amp;$D7,'Development-Hidden'!$C$2:$J$118,7,FALSE)-S7+AI7,"")</f>
        <v>8</v>
      </c>
      <c r="I7" s="198">
        <f>IFERROR(VLOOKUP($I$22&amp;$D7,'Development-Hidden'!$C$2:$J$118,8,FALSE),"")</f>
        <v>0</v>
      </c>
      <c r="J7" s="199" t="s">
        <v>277</v>
      </c>
      <c r="K7" s="200">
        <f t="shared" si="0"/>
        <v>1</v>
      </c>
      <c r="L7" s="201"/>
      <c r="M7" s="201"/>
      <c r="N7" s="201">
        <v>1</v>
      </c>
      <c r="O7" s="202"/>
      <c r="P7" s="203"/>
      <c r="Q7" s="204"/>
      <c r="R7" s="204"/>
      <c r="S7" s="205"/>
      <c r="T7" s="206"/>
      <c r="U7" s="207">
        <v>1</v>
      </c>
      <c r="V7" s="207">
        <v>1</v>
      </c>
      <c r="W7" s="207">
        <v>2</v>
      </c>
      <c r="X7" s="204"/>
      <c r="Y7" s="208">
        <v>1</v>
      </c>
      <c r="Z7" s="209">
        <f t="shared" si="1"/>
        <v>13</v>
      </c>
      <c r="AA7" s="183">
        <f t="shared" si="2"/>
        <v>70000</v>
      </c>
      <c r="AB7" s="136"/>
      <c r="AC7" s="210">
        <f>IFERROR(VLOOKUP($I$22&amp;D7,'Development-Hidden'!$C$2:$E$118,3,FALSE),"")</f>
        <v>50000</v>
      </c>
      <c r="AD7" s="206">
        <v>1</v>
      </c>
      <c r="AE7" s="207"/>
      <c r="AF7" s="207"/>
      <c r="AG7" s="207"/>
      <c r="AH7" s="207"/>
      <c r="AI7" s="207"/>
      <c r="AJ7" s="211"/>
      <c r="AK7" s="136"/>
      <c r="AL7" s="227" t="s">
        <v>278</v>
      </c>
      <c r="AM7" s="228"/>
      <c r="AN7" s="229"/>
      <c r="AO7" s="230"/>
      <c r="AP7" s="231"/>
      <c r="AQ7" s="229"/>
      <c r="AR7" s="232"/>
      <c r="AS7" s="233"/>
      <c r="AT7" s="234"/>
      <c r="AU7" s="136"/>
    </row>
    <row r="8" spans="1:47" ht="15.75" customHeight="1">
      <c r="A8" s="137"/>
      <c r="B8" s="192">
        <v>5</v>
      </c>
      <c r="C8" s="193" t="s">
        <v>178</v>
      </c>
      <c r="D8" s="194" t="s">
        <v>179</v>
      </c>
      <c r="E8" s="195">
        <f>IFERROR(VLOOKUP($I$22&amp;$D8,'Development-Hidden'!$C$2:$J$118,4,FALSE)-P8+AF8,"")</f>
        <v>6</v>
      </c>
      <c r="F8" s="196">
        <f>IFERROR(VLOOKUP($I$22&amp;$D8,'Development-Hidden'!$C$2:$J$118,5,FALSE)-Q8+AG8,"")</f>
        <v>3</v>
      </c>
      <c r="G8" s="196">
        <f>IFERROR(VLOOKUP($I$22&amp;$D8,'Development-Hidden'!$C$2:$J$118,6,FALSE)-R8+AH8,"")</f>
        <v>3</v>
      </c>
      <c r="H8" s="197">
        <f>IFERROR(VLOOKUP($I$22&amp;$D8,'Development-Hidden'!$C$2:$J$118,7,FALSE)-S8+AI8,"")</f>
        <v>8</v>
      </c>
      <c r="I8" s="198">
        <f>IFERROR(VLOOKUP($I$22&amp;$D8,'Development-Hidden'!$C$2:$J$118,8,FALSE),"")</f>
        <v>0</v>
      </c>
      <c r="J8" s="199" t="s">
        <v>287</v>
      </c>
      <c r="K8" s="200">
        <f>IF(Z8&gt;175,6,IF(Z8&gt;75,5,IF(Z8&gt;50,4,IF(Z8&gt;30,3,IF(Z8&gt;15,2,IF(Z8&gt;5,1,0))))))+1</f>
        <v>1</v>
      </c>
      <c r="L8" s="201"/>
      <c r="M8" s="201"/>
      <c r="N8" s="201">
        <v>1</v>
      </c>
      <c r="O8" s="202"/>
      <c r="P8" s="203"/>
      <c r="Q8" s="204"/>
      <c r="R8" s="204"/>
      <c r="S8" s="205"/>
      <c r="T8" s="206"/>
      <c r="U8" s="207"/>
      <c r="V8" s="207">
        <v>1</v>
      </c>
      <c r="W8" s="207"/>
      <c r="X8" s="204"/>
      <c r="Y8" s="208"/>
      <c r="Z8" s="209">
        <f t="shared" si="1"/>
        <v>3</v>
      </c>
      <c r="AA8" s="183">
        <f t="shared" si="2"/>
        <v>80000</v>
      </c>
      <c r="AB8" s="136"/>
      <c r="AC8" s="210">
        <f>IFERROR(VLOOKUP($I$22&amp;D8,'Development-Hidden'!$C$2:$E$118,3,FALSE),"")</f>
        <v>50000</v>
      </c>
      <c r="AD8" s="206"/>
      <c r="AE8" s="207">
        <v>1</v>
      </c>
      <c r="AF8" s="207"/>
      <c r="AG8" s="207"/>
      <c r="AH8" s="207"/>
      <c r="AI8" s="207"/>
      <c r="AJ8" s="211"/>
      <c r="AK8" s="136"/>
      <c r="AL8" s="227" t="s">
        <v>289</v>
      </c>
      <c r="AM8" s="228"/>
      <c r="AN8" s="229"/>
      <c r="AO8" s="230"/>
      <c r="AP8" s="231"/>
      <c r="AQ8" s="229"/>
      <c r="AR8" s="232"/>
      <c r="AS8" s="233"/>
      <c r="AT8" s="234"/>
      <c r="AU8" s="136"/>
    </row>
    <row r="9" spans="1:47" ht="15.75" customHeight="1">
      <c r="A9" s="137"/>
      <c r="B9" s="192">
        <v>6</v>
      </c>
      <c r="C9" s="193" t="s">
        <v>281</v>
      </c>
      <c r="D9" s="194" t="s">
        <v>179</v>
      </c>
      <c r="E9" s="195">
        <f>IFERROR(VLOOKUP($I$22&amp;$D9,'Development-Hidden'!$C$2:$J$118,4,FALSE)-P9+AF9,"")</f>
        <v>6</v>
      </c>
      <c r="F9" s="196">
        <f>IFERROR(VLOOKUP($I$22&amp;$D9,'Development-Hidden'!$C$2:$J$118,5,FALSE)-Q9+AG9,"")</f>
        <v>3</v>
      </c>
      <c r="G9" s="196">
        <f>IFERROR(VLOOKUP($I$22&amp;$D9,'Development-Hidden'!$C$2:$J$118,6,FALSE)-R9+AH9,"")</f>
        <v>3</v>
      </c>
      <c r="H9" s="197">
        <f>IFERROR(VLOOKUP($I$22&amp;$D9,'Development-Hidden'!$C$2:$J$118,7,FALSE)-S9+AI9,"")</f>
        <v>8</v>
      </c>
      <c r="I9" s="198">
        <f>IFERROR(VLOOKUP($I$22&amp;$D9,'Development-Hidden'!$C$2:$J$118,8,FALSE),"")</f>
        <v>0</v>
      </c>
      <c r="J9" s="199" t="s">
        <v>291</v>
      </c>
      <c r="K9" s="200">
        <f t="shared" ref="K9:K16" si="3">IF(Z9&gt;175,6,IF(Z9&gt;75,5,IF(Z9&gt;50,4,IF(Z9&gt;30,3,IF(Z9&gt;15,2,IF(Z9&gt;5,1,0))))))</f>
        <v>1</v>
      </c>
      <c r="L9" s="201"/>
      <c r="M9" s="201"/>
      <c r="N9" s="201">
        <v>1</v>
      </c>
      <c r="O9" s="202"/>
      <c r="P9" s="203"/>
      <c r="Q9" s="204"/>
      <c r="R9" s="204"/>
      <c r="S9" s="205"/>
      <c r="T9" s="206"/>
      <c r="U9" s="207"/>
      <c r="V9" s="207"/>
      <c r="W9" s="207">
        <v>1</v>
      </c>
      <c r="X9" s="204"/>
      <c r="Y9" s="208">
        <v>1</v>
      </c>
      <c r="Z9" s="209">
        <f t="shared" si="1"/>
        <v>7</v>
      </c>
      <c r="AA9" s="183">
        <f t="shared" si="2"/>
        <v>80000</v>
      </c>
      <c r="AB9" s="136"/>
      <c r="AC9" s="210">
        <f>IFERROR(VLOOKUP($I$22&amp;D9,'Development-Hidden'!$C$2:$E$118,3,FALSE),"")</f>
        <v>50000</v>
      </c>
      <c r="AD9" s="206"/>
      <c r="AE9" s="207">
        <v>1</v>
      </c>
      <c r="AF9" s="207"/>
      <c r="AG9" s="207"/>
      <c r="AH9" s="207"/>
      <c r="AI9" s="207"/>
      <c r="AJ9" s="211"/>
      <c r="AK9" s="136"/>
      <c r="AL9" s="227" t="s">
        <v>296</v>
      </c>
      <c r="AM9" s="228"/>
      <c r="AN9" s="229"/>
      <c r="AO9" s="230"/>
      <c r="AP9" s="231"/>
      <c r="AQ9" s="229"/>
      <c r="AR9" s="232"/>
      <c r="AS9" s="233"/>
      <c r="AT9" s="234"/>
      <c r="AU9" s="136"/>
    </row>
    <row r="10" spans="1:47" ht="15.75" customHeight="1">
      <c r="A10" s="137"/>
      <c r="B10" s="192">
        <v>7</v>
      </c>
      <c r="C10" s="193" t="s">
        <v>188</v>
      </c>
      <c r="D10" s="194" t="s">
        <v>179</v>
      </c>
      <c r="E10" s="195">
        <f>IFERROR(VLOOKUP($I$22&amp;$D10,'Development-Hidden'!$C$2:$J$118,4,FALSE)-P10+AF10,"")</f>
        <v>6</v>
      </c>
      <c r="F10" s="196">
        <f>IFERROR(VLOOKUP($I$22&amp;$D10,'Development-Hidden'!$C$2:$J$118,5,FALSE)-Q10+AG10,"")</f>
        <v>3</v>
      </c>
      <c r="G10" s="196">
        <f>IFERROR(VLOOKUP($I$22&amp;$D10,'Development-Hidden'!$C$2:$J$118,6,FALSE)-R10+AH10,"")</f>
        <v>3</v>
      </c>
      <c r="H10" s="197">
        <f>IFERROR(VLOOKUP($I$22&amp;$D10,'Development-Hidden'!$C$2:$J$118,7,FALSE)-S10+AI10,"")</f>
        <v>8</v>
      </c>
      <c r="I10" s="198">
        <f>IFERROR(VLOOKUP($I$22&amp;$D10,'Development-Hidden'!$C$2:$J$118,8,FALSE),"")</f>
        <v>0</v>
      </c>
      <c r="J10" s="199" t="s">
        <v>303</v>
      </c>
      <c r="K10" s="200">
        <f t="shared" si="3"/>
        <v>3</v>
      </c>
      <c r="L10" s="201"/>
      <c r="M10" s="201"/>
      <c r="N10" s="201">
        <v>1</v>
      </c>
      <c r="O10" s="202"/>
      <c r="P10" s="203"/>
      <c r="Q10" s="204"/>
      <c r="R10" s="204"/>
      <c r="S10" s="205"/>
      <c r="T10" s="206"/>
      <c r="U10" s="207">
        <v>1</v>
      </c>
      <c r="V10" s="207">
        <v>1</v>
      </c>
      <c r="W10" s="207">
        <v>6</v>
      </c>
      <c r="X10" s="204"/>
      <c r="Y10" s="208">
        <v>3</v>
      </c>
      <c r="Z10" s="209">
        <f t="shared" si="1"/>
        <v>31</v>
      </c>
      <c r="AA10" s="183">
        <f t="shared" si="2"/>
        <v>110000</v>
      </c>
      <c r="AB10" s="136"/>
      <c r="AC10" s="210">
        <f>IFERROR(VLOOKUP($I$22&amp;D10,'Development-Hidden'!$C$2:$E$118,3,FALSE),"")</f>
        <v>50000</v>
      </c>
      <c r="AD10" s="206">
        <v>3</v>
      </c>
      <c r="AE10" s="207"/>
      <c r="AF10" s="207"/>
      <c r="AG10" s="207"/>
      <c r="AH10" s="207"/>
      <c r="AI10" s="207"/>
      <c r="AJ10" s="211"/>
      <c r="AK10" s="136"/>
      <c r="AL10" s="227" t="s">
        <v>306</v>
      </c>
      <c r="AM10" s="228"/>
      <c r="AN10" s="229"/>
      <c r="AO10" s="230"/>
      <c r="AP10" s="231"/>
      <c r="AQ10" s="229"/>
      <c r="AR10" s="232"/>
      <c r="AS10" s="233"/>
      <c r="AT10" s="234"/>
      <c r="AU10" s="136"/>
    </row>
    <row r="11" spans="1:47" ht="15.75" customHeight="1">
      <c r="A11" s="137"/>
      <c r="B11" s="192">
        <v>8</v>
      </c>
      <c r="C11" s="193" t="s">
        <v>307</v>
      </c>
      <c r="D11" s="194" t="s">
        <v>179</v>
      </c>
      <c r="E11" s="195">
        <f>IFERROR(VLOOKUP($I$22&amp;$D11,'Development-Hidden'!$C$2:$J$118,4,FALSE)-P11+AF11,"")</f>
        <v>6</v>
      </c>
      <c r="F11" s="196">
        <f>IFERROR(VLOOKUP($I$22&amp;$D11,'Development-Hidden'!$C$2:$J$118,5,FALSE)-Q11+AG11,"")</f>
        <v>3</v>
      </c>
      <c r="G11" s="196">
        <f>IFERROR(VLOOKUP($I$22&amp;$D11,'Development-Hidden'!$C$2:$J$118,6,FALSE)-R11+AH11,"")</f>
        <v>3</v>
      </c>
      <c r="H11" s="197">
        <f>IFERROR(VLOOKUP($I$22&amp;$D11,'Development-Hidden'!$C$2:$J$118,7,FALSE)-S11+AI11,"")</f>
        <v>8</v>
      </c>
      <c r="I11" s="198">
        <f>IFERROR(VLOOKUP($I$22&amp;$D11,'Development-Hidden'!$C$2:$J$118,8,FALSE),"")</f>
        <v>0</v>
      </c>
      <c r="J11" s="199"/>
      <c r="K11" s="200">
        <f t="shared" si="3"/>
        <v>0</v>
      </c>
      <c r="L11" s="201"/>
      <c r="M11" s="201"/>
      <c r="N11" s="201">
        <v>1</v>
      </c>
      <c r="O11" s="202"/>
      <c r="P11" s="203"/>
      <c r="Q11" s="204"/>
      <c r="R11" s="204"/>
      <c r="S11" s="205"/>
      <c r="T11" s="206"/>
      <c r="U11" s="207"/>
      <c r="V11" s="207"/>
      <c r="W11" s="207"/>
      <c r="X11" s="204"/>
      <c r="Y11" s="208"/>
      <c r="Z11" s="209">
        <f t="shared" si="1"/>
        <v>0</v>
      </c>
      <c r="AA11" s="183">
        <f t="shared" si="2"/>
        <v>50000</v>
      </c>
      <c r="AB11" s="136"/>
      <c r="AC11" s="210">
        <f>IFERROR(VLOOKUP($I$22&amp;D11,'Development-Hidden'!$C$2:$E$118,3,FALSE),"")</f>
        <v>50000</v>
      </c>
      <c r="AD11" s="206"/>
      <c r="AE11" s="207"/>
      <c r="AF11" s="207"/>
      <c r="AG11" s="207"/>
      <c r="AH11" s="207"/>
      <c r="AI11" s="207"/>
      <c r="AJ11" s="211"/>
      <c r="AK11" s="136"/>
      <c r="AL11" s="227" t="s">
        <v>316</v>
      </c>
      <c r="AM11" s="228"/>
      <c r="AN11" s="229"/>
      <c r="AO11" s="230"/>
      <c r="AP11" s="231"/>
      <c r="AQ11" s="229"/>
      <c r="AR11" s="232"/>
      <c r="AS11" s="233"/>
      <c r="AT11" s="234"/>
      <c r="AU11" s="136"/>
    </row>
    <row r="12" spans="1:47" ht="15.75" customHeight="1">
      <c r="A12" s="137"/>
      <c r="B12" s="192">
        <v>9</v>
      </c>
      <c r="C12" s="193" t="s">
        <v>317</v>
      </c>
      <c r="D12" s="194" t="s">
        <v>179</v>
      </c>
      <c r="E12" s="195">
        <f>IFERROR(VLOOKUP($I$22&amp;$D12,'Development-Hidden'!$C$2:$J$118,4,FALSE)-P12+AF12,"")</f>
        <v>6</v>
      </c>
      <c r="F12" s="196">
        <f>IFERROR(VLOOKUP($I$22&amp;$D12,'Development-Hidden'!$C$2:$J$118,5,FALSE)-Q12+AG12,"")</f>
        <v>3</v>
      </c>
      <c r="G12" s="196">
        <f>IFERROR(VLOOKUP($I$22&amp;$D12,'Development-Hidden'!$C$2:$J$118,6,FALSE)-R12+AH12,"")</f>
        <v>3</v>
      </c>
      <c r="H12" s="197">
        <f>IFERROR(VLOOKUP($I$22&amp;$D12,'Development-Hidden'!$C$2:$J$118,7,FALSE)-S12+AI12,"")</f>
        <v>8</v>
      </c>
      <c r="I12" s="198">
        <f>IFERROR(VLOOKUP($I$22&amp;$D12,'Development-Hidden'!$C$2:$J$118,8,FALSE),"")</f>
        <v>0</v>
      </c>
      <c r="J12" s="199"/>
      <c r="K12" s="200">
        <f t="shared" si="3"/>
        <v>0</v>
      </c>
      <c r="L12" s="201"/>
      <c r="M12" s="201"/>
      <c r="N12" s="201">
        <v>1</v>
      </c>
      <c r="O12" s="202"/>
      <c r="P12" s="203"/>
      <c r="Q12" s="204"/>
      <c r="R12" s="204"/>
      <c r="S12" s="205"/>
      <c r="T12" s="206"/>
      <c r="U12" s="207"/>
      <c r="V12" s="207"/>
      <c r="W12" s="207"/>
      <c r="X12" s="204"/>
      <c r="Y12" s="208"/>
      <c r="Z12" s="209">
        <f t="shared" si="1"/>
        <v>0</v>
      </c>
      <c r="AA12" s="183">
        <f t="shared" si="2"/>
        <v>50000</v>
      </c>
      <c r="AB12" s="136"/>
      <c r="AC12" s="210">
        <f>IFERROR(VLOOKUP($I$22&amp;D12,'Development-Hidden'!$C$2:$E$118,3,FALSE),"")</f>
        <v>50000</v>
      </c>
      <c r="AD12" s="206"/>
      <c r="AE12" s="207"/>
      <c r="AF12" s="207"/>
      <c r="AG12" s="207"/>
      <c r="AH12" s="207"/>
      <c r="AI12" s="207"/>
      <c r="AJ12" s="211"/>
      <c r="AK12" s="136"/>
      <c r="AL12" s="227" t="s">
        <v>330</v>
      </c>
      <c r="AM12" s="228"/>
      <c r="AN12" s="229"/>
      <c r="AO12" s="230"/>
      <c r="AP12" s="231"/>
      <c r="AQ12" s="229"/>
      <c r="AR12" s="232"/>
      <c r="AS12" s="233"/>
      <c r="AT12" s="234"/>
      <c r="AU12" s="136"/>
    </row>
    <row r="13" spans="1:47" ht="15.75" customHeight="1">
      <c r="A13" s="137"/>
      <c r="B13" s="192">
        <v>10</v>
      </c>
      <c r="C13" s="193" t="s">
        <v>238</v>
      </c>
      <c r="D13" s="194" t="s">
        <v>179</v>
      </c>
      <c r="E13" s="195">
        <f>IFERROR(VLOOKUP($I$22&amp;$D13,'Development-Hidden'!$C$2:$J$118,4,FALSE)-P13+AF13,"")</f>
        <v>6</v>
      </c>
      <c r="F13" s="196">
        <f>IFERROR(VLOOKUP($I$22&amp;$D13,'Development-Hidden'!$C$2:$J$118,5,FALSE)-Q13+AG13,"")</f>
        <v>3</v>
      </c>
      <c r="G13" s="196">
        <f>IFERROR(VLOOKUP($I$22&amp;$D13,'Development-Hidden'!$C$2:$J$118,6,FALSE)-R13+AH13,"")</f>
        <v>3</v>
      </c>
      <c r="H13" s="197">
        <f>IFERROR(VLOOKUP($I$22&amp;$D13,'Development-Hidden'!$C$2:$J$118,7,FALSE)-S13+AI13,"")</f>
        <v>8</v>
      </c>
      <c r="I13" s="198">
        <f>IFERROR(VLOOKUP($I$22&amp;$D13,'Development-Hidden'!$C$2:$J$118,8,FALSE),"")</f>
        <v>0</v>
      </c>
      <c r="J13" s="199" t="s">
        <v>277</v>
      </c>
      <c r="K13" s="200">
        <f t="shared" si="3"/>
        <v>1</v>
      </c>
      <c r="L13" s="201"/>
      <c r="M13" s="201"/>
      <c r="N13" s="201">
        <v>1</v>
      </c>
      <c r="O13" s="202"/>
      <c r="P13" s="203"/>
      <c r="Q13" s="204"/>
      <c r="R13" s="204"/>
      <c r="S13" s="205"/>
      <c r="T13" s="206"/>
      <c r="U13" s="207"/>
      <c r="V13" s="207">
        <v>1</v>
      </c>
      <c r="W13" s="207">
        <v>1</v>
      </c>
      <c r="X13" s="204"/>
      <c r="Y13" s="208">
        <v>1</v>
      </c>
      <c r="Z13" s="209">
        <f t="shared" si="1"/>
        <v>10</v>
      </c>
      <c r="AA13" s="183">
        <f t="shared" si="2"/>
        <v>70000</v>
      </c>
      <c r="AB13" s="136"/>
      <c r="AC13" s="210">
        <f>IFERROR(VLOOKUP($I$22&amp;D13,'Development-Hidden'!$C$2:$E$118,3,FALSE),"")</f>
        <v>50000</v>
      </c>
      <c r="AD13" s="206">
        <v>1</v>
      </c>
      <c r="AE13" s="207"/>
      <c r="AF13" s="207"/>
      <c r="AG13" s="207"/>
      <c r="AH13" s="207"/>
      <c r="AI13" s="207"/>
      <c r="AJ13" s="211"/>
      <c r="AK13" s="136"/>
      <c r="AL13" s="227" t="s">
        <v>342</v>
      </c>
      <c r="AM13" s="228"/>
      <c r="AN13" s="229"/>
      <c r="AO13" s="230"/>
      <c r="AP13" s="231"/>
      <c r="AQ13" s="229"/>
      <c r="AR13" s="232"/>
      <c r="AS13" s="233"/>
      <c r="AT13" s="234"/>
      <c r="AU13" s="136"/>
    </row>
    <row r="14" spans="1:47" ht="15.75" customHeight="1">
      <c r="A14" s="137"/>
      <c r="B14" s="192">
        <v>11</v>
      </c>
      <c r="C14" s="193" t="s">
        <v>308</v>
      </c>
      <c r="D14" s="194" t="s">
        <v>179</v>
      </c>
      <c r="E14" s="195">
        <f>IFERROR(VLOOKUP($I$22&amp;$D14,'Development-Hidden'!$C$2:$J$118,4,FALSE)-P14+AF14,"")</f>
        <v>6</v>
      </c>
      <c r="F14" s="196">
        <f>IFERROR(VLOOKUP($I$22&amp;$D14,'Development-Hidden'!$C$2:$J$118,5,FALSE)-Q14+AG14,"")</f>
        <v>3</v>
      </c>
      <c r="G14" s="196">
        <f>IFERROR(VLOOKUP($I$22&amp;$D14,'Development-Hidden'!$C$2:$J$118,6,FALSE)-R14+AH14,"")</f>
        <v>3</v>
      </c>
      <c r="H14" s="197">
        <f>IFERROR(VLOOKUP($I$22&amp;$D14,'Development-Hidden'!$C$2:$J$118,7,FALSE)-S14+AI14,"")</f>
        <v>8</v>
      </c>
      <c r="I14" s="198">
        <f>IFERROR(VLOOKUP($I$22&amp;$D14,'Development-Hidden'!$C$2:$J$118,8,FALSE),"")</f>
        <v>0</v>
      </c>
      <c r="J14" s="199"/>
      <c r="K14" s="200">
        <f t="shared" si="3"/>
        <v>0</v>
      </c>
      <c r="L14" s="201"/>
      <c r="M14" s="201"/>
      <c r="N14" s="201">
        <v>1</v>
      </c>
      <c r="O14" s="202"/>
      <c r="P14" s="203"/>
      <c r="Q14" s="204"/>
      <c r="R14" s="204"/>
      <c r="S14" s="205"/>
      <c r="T14" s="206"/>
      <c r="U14" s="207"/>
      <c r="V14" s="207"/>
      <c r="W14" s="207"/>
      <c r="X14" s="204"/>
      <c r="Y14" s="208"/>
      <c r="Z14" s="209">
        <f t="shared" si="1"/>
        <v>0</v>
      </c>
      <c r="AA14" s="183">
        <f t="shared" si="2"/>
        <v>50000</v>
      </c>
      <c r="AB14" s="136"/>
      <c r="AC14" s="210">
        <f>IFERROR(VLOOKUP($I$22&amp;D14,'Development-Hidden'!$C$2:$E$118,3,FALSE),"")</f>
        <v>50000</v>
      </c>
      <c r="AD14" s="206"/>
      <c r="AE14" s="207"/>
      <c r="AF14" s="207"/>
      <c r="AG14" s="207"/>
      <c r="AH14" s="207"/>
      <c r="AI14" s="207"/>
      <c r="AJ14" s="211"/>
      <c r="AK14" s="136"/>
      <c r="AL14" s="227" t="s">
        <v>354</v>
      </c>
      <c r="AM14" s="228"/>
      <c r="AN14" s="229"/>
      <c r="AO14" s="230"/>
      <c r="AP14" s="231"/>
      <c r="AQ14" s="229"/>
      <c r="AR14" s="232"/>
      <c r="AS14" s="233"/>
      <c r="AT14" s="234"/>
      <c r="AU14" s="136"/>
    </row>
    <row r="15" spans="1:47" ht="15.75" customHeight="1">
      <c r="A15" s="137"/>
      <c r="B15" s="192">
        <v>12</v>
      </c>
      <c r="C15" s="193"/>
      <c r="D15" s="194"/>
      <c r="E15" s="195" t="str">
        <f>IFERROR(VLOOKUP($I$22&amp;$D15,'Development-Hidden'!$C$2:$J$118,4,FALSE)-P15+AF15,"")</f>
        <v/>
      </c>
      <c r="F15" s="196" t="str">
        <f>IFERROR(VLOOKUP($I$22&amp;$D15,'Development-Hidden'!$C$2:$J$118,5,FALSE)-Q15+AG15,"")</f>
        <v/>
      </c>
      <c r="G15" s="196" t="str">
        <f>IFERROR(VLOOKUP($I$22&amp;$D15,'Development-Hidden'!$C$2:$J$118,6,FALSE)-R15+AH15,"")</f>
        <v/>
      </c>
      <c r="H15" s="197" t="str">
        <f>IFERROR(VLOOKUP($I$22&amp;$D15,'Development-Hidden'!$C$2:$J$118,7,FALSE)-S15+AI15,"")</f>
        <v/>
      </c>
      <c r="I15" s="198" t="str">
        <f>IFERROR(VLOOKUP($I$22&amp;$D15,'Development-Hidden'!$C$2:$J$118,8,FALSE),"")</f>
        <v/>
      </c>
      <c r="J15" s="199"/>
      <c r="K15" s="200">
        <f t="shared" si="3"/>
        <v>0</v>
      </c>
      <c r="L15" s="201"/>
      <c r="M15" s="201"/>
      <c r="N15" s="201"/>
      <c r="O15" s="202"/>
      <c r="P15" s="203"/>
      <c r="Q15" s="204"/>
      <c r="R15" s="204"/>
      <c r="S15" s="205"/>
      <c r="T15" s="206"/>
      <c r="U15" s="207"/>
      <c r="V15" s="207"/>
      <c r="W15" s="207"/>
      <c r="X15" s="204"/>
      <c r="Y15" s="208"/>
      <c r="Z15" s="209">
        <f t="shared" si="1"/>
        <v>0</v>
      </c>
      <c r="AA15" s="183">
        <f t="shared" si="2"/>
        <v>0</v>
      </c>
      <c r="AB15" s="136"/>
      <c r="AC15" s="210" t="str">
        <f>IFERROR(VLOOKUP($I$22&amp;D15,'Development-Hidden'!$C$2:$E$118,3,FALSE),"0")</f>
        <v>0</v>
      </c>
      <c r="AD15" s="206"/>
      <c r="AE15" s="207"/>
      <c r="AF15" s="207"/>
      <c r="AG15" s="207"/>
      <c r="AH15" s="207"/>
      <c r="AI15" s="207"/>
      <c r="AJ15" s="211"/>
      <c r="AK15" s="136"/>
      <c r="AL15" s="227" t="s">
        <v>355</v>
      </c>
      <c r="AM15" s="228"/>
      <c r="AN15" s="229"/>
      <c r="AO15" s="230"/>
      <c r="AP15" s="231"/>
      <c r="AQ15" s="229"/>
      <c r="AR15" s="232"/>
      <c r="AS15" s="233"/>
      <c r="AT15" s="234"/>
      <c r="AU15" s="136"/>
    </row>
    <row r="16" spans="1:47" ht="15.75" customHeight="1">
      <c r="A16" s="137"/>
      <c r="B16" s="192">
        <v>13</v>
      </c>
      <c r="C16" s="193"/>
      <c r="D16" s="194"/>
      <c r="E16" s="195" t="str">
        <f>IFERROR(VLOOKUP($I$22&amp;$D16,'Development-Hidden'!$C$2:$J$118,4,FALSE)-P16+AF16,"")</f>
        <v/>
      </c>
      <c r="F16" s="196" t="str">
        <f>IFERROR(VLOOKUP($I$22&amp;$D16,'Development-Hidden'!$C$2:$J$118,5,FALSE)-Q16+AG16,"")</f>
        <v/>
      </c>
      <c r="G16" s="196" t="str">
        <f>IFERROR(VLOOKUP($I$22&amp;$D16,'Development-Hidden'!$C$2:$J$118,6,FALSE)-R16+AH16,"")</f>
        <v/>
      </c>
      <c r="H16" s="197" t="str">
        <f>IFERROR(VLOOKUP($I$22&amp;$D16,'Development-Hidden'!$C$2:$J$118,7,FALSE)-S16+AI16,"")</f>
        <v/>
      </c>
      <c r="I16" s="198" t="str">
        <f>IFERROR(VLOOKUP($I$22&amp;$D16,'Development-Hidden'!$C$2:$J$118,8,FALSE),"")</f>
        <v/>
      </c>
      <c r="J16" s="199"/>
      <c r="K16" s="200">
        <f t="shared" si="3"/>
        <v>0</v>
      </c>
      <c r="L16" s="201"/>
      <c r="M16" s="201"/>
      <c r="N16" s="201"/>
      <c r="O16" s="202"/>
      <c r="P16" s="203"/>
      <c r="Q16" s="204"/>
      <c r="R16" s="204"/>
      <c r="S16" s="205"/>
      <c r="T16" s="206"/>
      <c r="U16" s="207"/>
      <c r="V16" s="207"/>
      <c r="W16" s="207"/>
      <c r="X16" s="204"/>
      <c r="Y16" s="208"/>
      <c r="Z16" s="209">
        <f t="shared" si="1"/>
        <v>0</v>
      </c>
      <c r="AA16" s="183">
        <f t="shared" si="2"/>
        <v>0</v>
      </c>
      <c r="AB16" s="136"/>
      <c r="AC16" s="210" t="str">
        <f>IFERROR(VLOOKUP($I$22&amp;D16,'Development-Hidden'!$C$2:$E$118,3,FALSE),"0")</f>
        <v>0</v>
      </c>
      <c r="AD16" s="206"/>
      <c r="AE16" s="207"/>
      <c r="AF16" s="207"/>
      <c r="AG16" s="207"/>
      <c r="AH16" s="207"/>
      <c r="AI16" s="207"/>
      <c r="AJ16" s="211"/>
      <c r="AK16" s="136"/>
      <c r="AL16" s="227" t="s">
        <v>357</v>
      </c>
      <c r="AM16" s="228"/>
      <c r="AN16" s="229"/>
      <c r="AO16" s="230"/>
      <c r="AP16" s="231"/>
      <c r="AQ16" s="229"/>
      <c r="AR16" s="232"/>
      <c r="AS16" s="233"/>
      <c r="AT16" s="234"/>
      <c r="AU16" s="136"/>
    </row>
    <row r="17" spans="1:47" ht="15.75" customHeight="1">
      <c r="A17" s="137"/>
      <c r="B17" s="192">
        <v>14</v>
      </c>
      <c r="C17" s="193" t="s">
        <v>198</v>
      </c>
      <c r="D17" s="194" t="s">
        <v>77</v>
      </c>
      <c r="E17" s="195">
        <f>IFERROR(VLOOKUP($I$22&amp;$D17,'Development-Hidden'!$C$2:$J$118,4,FALSE)-P17+AF17,"")</f>
        <v>5</v>
      </c>
      <c r="F17" s="196">
        <f>IFERROR(VLOOKUP($I$22&amp;$D17,'Development-Hidden'!$C$2:$J$118,5,FALSE)-Q17+AG17,"")</f>
        <v>5</v>
      </c>
      <c r="G17" s="196">
        <f>IFERROR(VLOOKUP($I$22&amp;$D17,'Development-Hidden'!$C$2:$J$118,6,FALSE)-R17+AH17,"")</f>
        <v>2</v>
      </c>
      <c r="H17" s="197">
        <f>IFERROR(VLOOKUP($I$22&amp;$D17,'Development-Hidden'!$C$2:$J$118,7,FALSE)-S17+AI17,"")</f>
        <v>9</v>
      </c>
      <c r="I17" s="198" t="str">
        <f>IFERROR(VLOOKUP($I$22&amp;$D17,'Development-Hidden'!$C$2:$J$118,8,FALSE),"")</f>
        <v>Loner, Bone-head, Mighty Blow, Thick Skull, Throw Team-mate</v>
      </c>
      <c r="J17" s="199" t="s">
        <v>358</v>
      </c>
      <c r="K17" s="200">
        <f>IF(Z17&gt;175,6,IF(Z17&gt;75,5,IF(Z17&gt;50,4,IF(Z17&gt;30,3,IF(Z17&gt;15,2,IF(Z17&gt;5,1,0))))))+1</f>
        <v>3</v>
      </c>
      <c r="L17" s="201"/>
      <c r="M17" s="201"/>
      <c r="N17" s="201">
        <v>1</v>
      </c>
      <c r="O17" s="202"/>
      <c r="P17" s="203"/>
      <c r="Q17" s="204"/>
      <c r="R17" s="204"/>
      <c r="S17" s="205"/>
      <c r="T17" s="206"/>
      <c r="U17" s="207"/>
      <c r="V17" s="207"/>
      <c r="W17" s="207">
        <v>3</v>
      </c>
      <c r="X17" s="204"/>
      <c r="Y17" s="208">
        <v>2</v>
      </c>
      <c r="Z17" s="209">
        <f t="shared" si="1"/>
        <v>16</v>
      </c>
      <c r="AA17" s="183">
        <f t="shared" si="2"/>
        <v>210000</v>
      </c>
      <c r="AB17" s="136"/>
      <c r="AC17" s="210">
        <f>IFERROR(VLOOKUP($I$22&amp;D17,'Development-Hidden'!$C$2:$E$118,3,FALSE),"")</f>
        <v>140000</v>
      </c>
      <c r="AD17" s="206">
        <v>2</v>
      </c>
      <c r="AE17" s="207">
        <v>1</v>
      </c>
      <c r="AF17" s="207"/>
      <c r="AG17" s="207"/>
      <c r="AH17" s="207"/>
      <c r="AI17" s="207"/>
      <c r="AJ17" s="211"/>
      <c r="AK17" s="136"/>
      <c r="AL17" s="235" t="s">
        <v>359</v>
      </c>
      <c r="AM17" s="236"/>
      <c r="AN17" s="237"/>
      <c r="AO17" s="238"/>
      <c r="AP17" s="239"/>
      <c r="AQ17" s="237"/>
      <c r="AR17" s="240"/>
      <c r="AS17" s="241"/>
      <c r="AT17" s="242"/>
      <c r="AU17" s="136"/>
    </row>
    <row r="18" spans="1:47" ht="15.75" customHeight="1">
      <c r="A18" s="137"/>
      <c r="B18" s="192">
        <v>15</v>
      </c>
      <c r="C18" s="193" t="s">
        <v>360</v>
      </c>
      <c r="D18" s="194" t="s">
        <v>309</v>
      </c>
      <c r="E18" s="195">
        <f>IFERROR(VLOOKUP($I$22&amp;$D18,'Development-Hidden'!$C$2:$J$118,4,FALSE)-P18+AF18,"")</f>
        <v>5</v>
      </c>
      <c r="F18" s="196">
        <f>IFERROR(VLOOKUP($I$22&amp;$D18,'Development-Hidden'!$C$2:$J$118,5,FALSE)-Q18+AG18,"")</f>
        <v>5</v>
      </c>
      <c r="G18" s="196">
        <f>IFERROR(VLOOKUP($I$22&amp;$D18,'Development-Hidden'!$C$2:$J$118,6,FALSE)-R18+AH18,"")</f>
        <v>2</v>
      </c>
      <c r="H18" s="197">
        <f>IFERROR(VLOOKUP($I$22&amp;$D18,'Development-Hidden'!$C$2:$J$118,7,FALSE)-S18+AI18,"")</f>
        <v>8</v>
      </c>
      <c r="I18" s="198" t="str">
        <f>IFERROR(VLOOKUP($I$22&amp;$D18,'Development-Hidden'!$C$2:$J$118,8,FALSE),"")</f>
        <v>Loner, Frenzy, Wild Animal, Horns, Mighty Blow, Thick Skull</v>
      </c>
      <c r="J18" s="199"/>
      <c r="K18" s="200">
        <f t="shared" ref="K18:K19" si="4">IF(Z18&gt;175,6,IF(Z18&gt;75,5,IF(Z18&gt;50,4,IF(Z18&gt;30,3,IF(Z18&gt;15,2,IF(Z18&gt;5,1,0))))))</f>
        <v>0</v>
      </c>
      <c r="L18" s="201"/>
      <c r="M18" s="201"/>
      <c r="N18" s="201"/>
      <c r="O18" s="202"/>
      <c r="P18" s="203"/>
      <c r="Q18" s="204"/>
      <c r="R18" s="204"/>
      <c r="S18" s="205"/>
      <c r="T18" s="206"/>
      <c r="U18" s="207"/>
      <c r="V18" s="207"/>
      <c r="W18" s="207"/>
      <c r="X18" s="204"/>
      <c r="Y18" s="208"/>
      <c r="Z18" s="209">
        <f t="shared" si="1"/>
        <v>0</v>
      </c>
      <c r="AA18" s="183">
        <f t="shared" si="2"/>
        <v>150000</v>
      </c>
      <c r="AB18" s="136"/>
      <c r="AC18" s="210">
        <f>IFERROR(VLOOKUP($I$22&amp;D18,'Development-Hidden'!$C$2:$E$118,3,FALSE),"")</f>
        <v>150000</v>
      </c>
      <c r="AD18" s="206"/>
      <c r="AE18" s="207"/>
      <c r="AF18" s="207"/>
      <c r="AG18" s="207"/>
      <c r="AH18" s="207"/>
      <c r="AI18" s="207"/>
      <c r="AJ18" s="211"/>
      <c r="AK18" s="136"/>
      <c r="AL18" s="243" t="s">
        <v>219</v>
      </c>
      <c r="AM18" s="244">
        <f>AM4+SUM(AM6:AM17)-SUM(AN6:AN17)-SUM(AO6:AO17)</f>
        <v>40000</v>
      </c>
      <c r="AN18" s="136"/>
      <c r="AO18" s="136"/>
      <c r="AP18" s="189"/>
      <c r="AQ18" s="243" t="s">
        <v>219</v>
      </c>
      <c r="AR18" s="245">
        <f t="shared" ref="AR18:AS18" si="5">SUM(AR6:AR17)</f>
        <v>2</v>
      </c>
      <c r="AS18" s="246">
        <f t="shared" si="5"/>
        <v>5</v>
      </c>
      <c r="AT18" s="247">
        <f>AT4+SUM(AT6:AT17)</f>
        <v>8</v>
      </c>
      <c r="AU18" s="140"/>
    </row>
    <row r="19" spans="1:47" ht="15.75" customHeight="1">
      <c r="A19" s="137"/>
      <c r="B19" s="248">
        <v>16</v>
      </c>
      <c r="C19" s="249" t="s">
        <v>362</v>
      </c>
      <c r="D19" s="250" t="s">
        <v>132</v>
      </c>
      <c r="E19" s="251">
        <f>IFERROR(VLOOKUP($I$22&amp;$D19,'Development-Hidden'!$C$2:$J$118,4,FALSE)-P19+AF19,"")</f>
        <v>4</v>
      </c>
      <c r="F19" s="252">
        <f>IFERROR(VLOOKUP($I$22&amp;$D19,'Development-Hidden'!$C$2:$J$118,5,FALSE)-Q19+AG19,"")</f>
        <v>5</v>
      </c>
      <c r="G19" s="252">
        <f>IFERROR(VLOOKUP($I$22&amp;$D19,'Development-Hidden'!$C$2:$J$118,6,FALSE)-R19+AH19,"")</f>
        <v>1</v>
      </c>
      <c r="H19" s="253">
        <f>IFERROR(VLOOKUP($I$22&amp;$D19,'Development-Hidden'!$C$2:$J$118,7,FALSE)-S19+AI19,"")</f>
        <v>9</v>
      </c>
      <c r="I19" s="254" t="str">
        <f>IFERROR(VLOOKUP($I$22&amp;$D19,'Development-Hidden'!$C$2:$J$118,8,FALSE),"")</f>
        <v>Loner, Always Hungry, Mighty Blow, Really Stupid, Regeneration, Throw Team-mate</v>
      </c>
      <c r="J19" s="255" t="s">
        <v>377</v>
      </c>
      <c r="K19" s="256">
        <f t="shared" si="4"/>
        <v>1</v>
      </c>
      <c r="L19" s="257"/>
      <c r="M19" s="257"/>
      <c r="N19" s="257">
        <v>1</v>
      </c>
      <c r="O19" s="258"/>
      <c r="P19" s="259"/>
      <c r="Q19" s="260"/>
      <c r="R19" s="260"/>
      <c r="S19" s="261"/>
      <c r="T19" s="262"/>
      <c r="U19" s="263"/>
      <c r="V19" s="263"/>
      <c r="W19" s="263">
        <v>3</v>
      </c>
      <c r="X19" s="260"/>
      <c r="Y19" s="264">
        <v>1</v>
      </c>
      <c r="Z19" s="265">
        <f t="shared" si="1"/>
        <v>11</v>
      </c>
      <c r="AA19" s="183">
        <f t="shared" si="2"/>
        <v>130000</v>
      </c>
      <c r="AB19" s="136"/>
      <c r="AC19" s="266">
        <f>IFERROR(VLOOKUP($I$22&amp;D19,'Development-Hidden'!$C$2:$E$118,3,FALSE),"")</f>
        <v>110000</v>
      </c>
      <c r="AD19" s="267">
        <v>1</v>
      </c>
      <c r="AE19" s="268"/>
      <c r="AF19" s="268"/>
      <c r="AG19" s="268"/>
      <c r="AH19" s="268"/>
      <c r="AI19" s="268"/>
      <c r="AJ19" s="269"/>
      <c r="AK19" s="136"/>
    </row>
    <row r="20" spans="1:47" ht="15.75" customHeight="1">
      <c r="A20" s="137"/>
      <c r="B20" s="571"/>
      <c r="C20" s="572"/>
      <c r="D20" s="573"/>
      <c r="E20" s="586" t="s">
        <v>364</v>
      </c>
      <c r="F20" s="587"/>
      <c r="G20" s="587"/>
      <c r="H20" s="587"/>
      <c r="I20" s="587"/>
      <c r="J20" s="587"/>
      <c r="K20" s="587"/>
      <c r="L20" s="587"/>
      <c r="M20" s="587"/>
      <c r="N20" s="587"/>
      <c r="O20" s="587"/>
      <c r="P20" s="587"/>
      <c r="Q20" s="587"/>
      <c r="R20" s="587"/>
      <c r="S20" s="587"/>
      <c r="T20" s="587"/>
      <c r="U20" s="587"/>
      <c r="V20" s="587"/>
      <c r="W20" s="587"/>
      <c r="X20" s="587"/>
      <c r="Y20" s="587"/>
      <c r="Z20" s="588"/>
      <c r="AA20" s="270">
        <f>SUM(AA4:AA19)</f>
        <v>1250000</v>
      </c>
      <c r="AB20" s="136"/>
      <c r="AC20" s="136"/>
      <c r="AD20" s="136"/>
      <c r="AE20" s="136"/>
      <c r="AF20" s="136"/>
      <c r="AG20" s="136"/>
      <c r="AH20" s="136"/>
      <c r="AI20" s="136"/>
      <c r="AJ20" s="136"/>
      <c r="AK20" s="136"/>
      <c r="AL20" s="189"/>
      <c r="AM20" s="189"/>
      <c r="AN20" s="189"/>
      <c r="AO20" s="189"/>
      <c r="AP20" s="189"/>
      <c r="AQ20" s="189"/>
      <c r="AR20" s="189"/>
      <c r="AS20" s="189"/>
      <c r="AT20" s="189"/>
      <c r="AU20" s="189"/>
    </row>
    <row r="21" spans="1:47" ht="15.75" customHeight="1">
      <c r="A21" s="137"/>
      <c r="B21" s="574"/>
      <c r="C21" s="575"/>
      <c r="D21" s="576"/>
      <c r="E21" s="580" t="s">
        <v>365</v>
      </c>
      <c r="F21" s="581"/>
      <c r="G21" s="581"/>
      <c r="H21" s="581"/>
      <c r="I21" s="589" t="s">
        <v>20</v>
      </c>
      <c r="J21" s="581"/>
      <c r="K21" s="590"/>
      <c r="L21" s="584" t="s">
        <v>366</v>
      </c>
      <c r="M21" s="581"/>
      <c r="N21" s="581"/>
      <c r="O21" s="581"/>
      <c r="P21" s="581"/>
      <c r="Q21" s="581"/>
      <c r="R21" s="581"/>
      <c r="S21" s="585"/>
      <c r="T21" s="271">
        <v>3</v>
      </c>
      <c r="U21" s="272" t="s">
        <v>220</v>
      </c>
      <c r="V21" s="580">
        <f>IFERROR(VLOOKUP(I22,'Development-Hidden'!N2:O28,2,FALSE),"")</f>
        <v>70000</v>
      </c>
      <c r="W21" s="581"/>
      <c r="X21" s="581"/>
      <c r="Y21" s="581"/>
      <c r="Z21" s="590"/>
      <c r="AA21" s="273">
        <f t="shared" ref="AA21:AA25" si="6">T21*V21</f>
        <v>210000</v>
      </c>
      <c r="AB21" s="136"/>
      <c r="AC21" s="136"/>
      <c r="AD21" s="136"/>
      <c r="AE21" s="136"/>
      <c r="AF21" s="136"/>
      <c r="AG21" s="136"/>
      <c r="AH21" s="136"/>
      <c r="AI21" s="136"/>
      <c r="AJ21" s="136"/>
      <c r="AK21" s="136"/>
      <c r="AL21" s="604" t="s">
        <v>367</v>
      </c>
      <c r="AM21" s="588"/>
      <c r="AN21" s="136"/>
      <c r="AO21" s="136"/>
      <c r="AP21" s="136"/>
      <c r="AQ21" s="136"/>
      <c r="AR21" s="136"/>
      <c r="AS21" s="136"/>
      <c r="AT21" s="136"/>
      <c r="AU21" s="136"/>
    </row>
    <row r="22" spans="1:47" ht="15.75" customHeight="1">
      <c r="A22" s="137"/>
      <c r="B22" s="574"/>
      <c r="C22" s="575"/>
      <c r="D22" s="576"/>
      <c r="E22" s="582" t="s">
        <v>368</v>
      </c>
      <c r="F22" s="583"/>
      <c r="G22" s="583"/>
      <c r="H22" s="583"/>
      <c r="I22" s="598" t="s">
        <v>21</v>
      </c>
      <c r="J22" s="583"/>
      <c r="K22" s="597"/>
      <c r="L22" s="591" t="s">
        <v>369</v>
      </c>
      <c r="M22" s="583"/>
      <c r="N22" s="583"/>
      <c r="O22" s="583"/>
      <c r="P22" s="583"/>
      <c r="Q22" s="583"/>
      <c r="R22" s="583"/>
      <c r="S22" s="592"/>
      <c r="T22" s="274">
        <f>AT18</f>
        <v>8</v>
      </c>
      <c r="U22" s="275" t="s">
        <v>220</v>
      </c>
      <c r="V22" s="582">
        <v>10000</v>
      </c>
      <c r="W22" s="583"/>
      <c r="X22" s="583"/>
      <c r="Y22" s="583"/>
      <c r="Z22" s="597"/>
      <c r="AA22" s="276">
        <f t="shared" si="6"/>
        <v>80000</v>
      </c>
      <c r="AB22" s="136"/>
      <c r="AC22" s="136"/>
      <c r="AD22" s="136"/>
      <c r="AE22" s="136"/>
      <c r="AF22" s="136"/>
      <c r="AG22" s="136"/>
      <c r="AH22" s="136"/>
      <c r="AI22" s="136"/>
      <c r="AJ22" s="136"/>
      <c r="AK22" s="136"/>
      <c r="AL22" s="277" t="s">
        <v>370</v>
      </c>
      <c r="AM22" s="278">
        <f>AM18</f>
        <v>40000</v>
      </c>
      <c r="AN22" s="136"/>
      <c r="AO22" s="136"/>
      <c r="AP22" s="136"/>
      <c r="AQ22" s="136"/>
      <c r="AR22" s="136"/>
      <c r="AS22" s="136"/>
      <c r="AT22" s="136"/>
      <c r="AU22" s="136"/>
    </row>
    <row r="23" spans="1:47" ht="15.75" customHeight="1">
      <c r="A23" s="137"/>
      <c r="B23" s="574"/>
      <c r="C23" s="575"/>
      <c r="D23" s="576"/>
      <c r="E23" s="582" t="str">
        <f>IFERROR(IF(VLOOKUP(I22,'Development-Hidden'!X2:Y28,2,FALSE)="Yes","NECROMANCER","HEAD COACH"),"HEAD COACH")</f>
        <v>HEAD COACH</v>
      </c>
      <c r="F23" s="583"/>
      <c r="G23" s="583"/>
      <c r="H23" s="583"/>
      <c r="I23" s="598" t="s">
        <v>374</v>
      </c>
      <c r="J23" s="583"/>
      <c r="K23" s="597"/>
      <c r="L23" s="591" t="s">
        <v>371</v>
      </c>
      <c r="M23" s="583"/>
      <c r="N23" s="583"/>
      <c r="O23" s="583"/>
      <c r="P23" s="583"/>
      <c r="Q23" s="583"/>
      <c r="R23" s="583"/>
      <c r="S23" s="592"/>
      <c r="T23" s="274">
        <v>0</v>
      </c>
      <c r="U23" s="275" t="s">
        <v>220</v>
      </c>
      <c r="V23" s="582">
        <v>10000</v>
      </c>
      <c r="W23" s="583"/>
      <c r="X23" s="583"/>
      <c r="Y23" s="583"/>
      <c r="Z23" s="597"/>
      <c r="AA23" s="276">
        <f t="shared" si="6"/>
        <v>0</v>
      </c>
      <c r="AB23" s="136"/>
      <c r="AC23" s="136"/>
      <c r="AD23" s="136"/>
      <c r="AE23" s="136"/>
      <c r="AF23" s="136"/>
      <c r="AG23" s="136"/>
      <c r="AH23" s="136"/>
      <c r="AI23" s="136"/>
      <c r="AJ23" s="136"/>
      <c r="AK23" s="136"/>
      <c r="AL23" s="279" t="s">
        <v>372</v>
      </c>
      <c r="AM23" s="280">
        <f>COUNTA(AP6:AP17)*10000</f>
        <v>10000</v>
      </c>
      <c r="AN23" s="136"/>
      <c r="AO23" s="136"/>
      <c r="AP23" s="136"/>
      <c r="AQ23" s="136"/>
      <c r="AR23" s="136"/>
      <c r="AS23" s="136"/>
      <c r="AT23" s="136"/>
      <c r="AU23" s="136"/>
    </row>
    <row r="24" spans="1:47" ht="15.75" customHeight="1">
      <c r="A24" s="137"/>
      <c r="B24" s="574"/>
      <c r="C24" s="575"/>
      <c r="D24" s="576"/>
      <c r="E24" s="582" t="s">
        <v>373</v>
      </c>
      <c r="F24" s="583"/>
      <c r="G24" s="583"/>
      <c r="H24" s="583"/>
      <c r="I24" s="599">
        <f>AA20+AA26</f>
        <v>1590000</v>
      </c>
      <c r="J24" s="583"/>
      <c r="K24" s="597"/>
      <c r="L24" s="591" t="s">
        <v>375</v>
      </c>
      <c r="M24" s="583"/>
      <c r="N24" s="583"/>
      <c r="O24" s="583"/>
      <c r="P24" s="583"/>
      <c r="Q24" s="583"/>
      <c r="R24" s="583"/>
      <c r="S24" s="592"/>
      <c r="T24" s="274">
        <v>0</v>
      </c>
      <c r="U24" s="275" t="s">
        <v>220</v>
      </c>
      <c r="V24" s="582">
        <v>10000</v>
      </c>
      <c r="W24" s="583"/>
      <c r="X24" s="583"/>
      <c r="Y24" s="583"/>
      <c r="Z24" s="597"/>
      <c r="AA24" s="276">
        <f t="shared" si="6"/>
        <v>0</v>
      </c>
      <c r="AB24" s="136"/>
      <c r="AC24" s="136"/>
      <c r="AD24" s="136"/>
      <c r="AE24" s="136"/>
      <c r="AF24" s="136"/>
      <c r="AG24" s="136"/>
      <c r="AH24" s="136"/>
      <c r="AI24" s="136"/>
      <c r="AJ24" s="136"/>
      <c r="AK24" s="136"/>
      <c r="AL24" s="279" t="s">
        <v>33</v>
      </c>
      <c r="AM24" s="280">
        <f>AR18*5000</f>
        <v>10000</v>
      </c>
      <c r="AN24" s="136"/>
      <c r="AO24" s="136"/>
      <c r="AP24" s="136"/>
      <c r="AQ24" s="136"/>
      <c r="AR24" s="136"/>
      <c r="AS24" s="136"/>
      <c r="AT24" s="136"/>
      <c r="AU24" s="136"/>
    </row>
    <row r="25" spans="1:47" ht="15.75" customHeight="1">
      <c r="A25" s="137"/>
      <c r="B25" s="574"/>
      <c r="C25" s="575"/>
      <c r="D25" s="576"/>
      <c r="E25" s="595" t="s">
        <v>376</v>
      </c>
      <c r="F25" s="594"/>
      <c r="G25" s="594"/>
      <c r="H25" s="596"/>
      <c r="I25" s="600">
        <f>AM18</f>
        <v>40000</v>
      </c>
      <c r="J25" s="594"/>
      <c r="K25" s="596"/>
      <c r="L25" s="593" t="str">
        <f>IFERROR(IF(VLOOKUP(I22,'Development-Hidden'!X2:Y28,1,FALSE)&lt;&gt;"","",""),"APOTHECARY")</f>
        <v>APOTHECARY</v>
      </c>
      <c r="M25" s="594"/>
      <c r="N25" s="594"/>
      <c r="O25" s="594"/>
      <c r="P25" s="594"/>
      <c r="Q25" s="594"/>
      <c r="R25" s="594"/>
      <c r="S25" s="594"/>
      <c r="T25" s="281">
        <v>1</v>
      </c>
      <c r="U25" s="275" t="str">
        <f>IF(L25&lt;&gt;"","x","")</f>
        <v>x</v>
      </c>
      <c r="V25" s="595">
        <f>IF(L25&lt;&gt;"",50000,"")</f>
        <v>50000</v>
      </c>
      <c r="W25" s="594"/>
      <c r="X25" s="594"/>
      <c r="Y25" s="594"/>
      <c r="Z25" s="596"/>
      <c r="AA25" s="276">
        <f t="shared" si="6"/>
        <v>50000</v>
      </c>
      <c r="AB25" s="136"/>
      <c r="AC25" s="136"/>
      <c r="AD25" s="136"/>
      <c r="AE25" s="136"/>
      <c r="AF25" s="136"/>
      <c r="AG25" s="136"/>
      <c r="AH25" s="136"/>
      <c r="AI25" s="136"/>
      <c r="AJ25" s="136"/>
      <c r="AK25" s="136"/>
      <c r="AL25" s="282" t="s">
        <v>34</v>
      </c>
      <c r="AM25" s="283">
        <f>AS18*5000</f>
        <v>25000</v>
      </c>
      <c r="AN25" s="136"/>
      <c r="AO25" s="136"/>
      <c r="AP25" s="136"/>
      <c r="AQ25" s="136"/>
      <c r="AR25" s="136"/>
      <c r="AS25" s="136"/>
      <c r="AT25" s="136"/>
      <c r="AU25" s="136"/>
    </row>
    <row r="26" spans="1:47" ht="15.75" customHeight="1">
      <c r="A26" s="137"/>
      <c r="B26" s="577"/>
      <c r="C26" s="578"/>
      <c r="D26" s="579"/>
      <c r="E26" s="586" t="s">
        <v>379</v>
      </c>
      <c r="F26" s="587"/>
      <c r="G26" s="587"/>
      <c r="H26" s="587"/>
      <c r="I26" s="587"/>
      <c r="J26" s="587"/>
      <c r="K26" s="587"/>
      <c r="L26" s="587"/>
      <c r="M26" s="587"/>
      <c r="N26" s="587"/>
      <c r="O26" s="587"/>
      <c r="P26" s="587"/>
      <c r="Q26" s="587"/>
      <c r="R26" s="587"/>
      <c r="S26" s="587"/>
      <c r="T26" s="587"/>
      <c r="U26" s="587"/>
      <c r="V26" s="587"/>
      <c r="W26" s="587"/>
      <c r="X26" s="587"/>
      <c r="Y26" s="587"/>
      <c r="Z26" s="588"/>
      <c r="AA26" s="270">
        <f>SUM(AA21:AA25)</f>
        <v>340000</v>
      </c>
      <c r="AB26" s="136"/>
      <c r="AC26" s="136"/>
      <c r="AD26" s="136"/>
      <c r="AE26" s="136"/>
      <c r="AF26" s="136"/>
      <c r="AG26" s="136"/>
      <c r="AH26" s="136"/>
      <c r="AI26" s="136"/>
      <c r="AJ26" s="136"/>
      <c r="AK26" s="136"/>
      <c r="AL26" s="284" t="s">
        <v>219</v>
      </c>
      <c r="AM26" s="285">
        <f>SUM(AM22:AM25)</f>
        <v>85000</v>
      </c>
      <c r="AN26" s="136"/>
      <c r="AO26" s="136"/>
      <c r="AP26" s="136"/>
      <c r="AQ26" s="136"/>
      <c r="AR26" s="136"/>
      <c r="AS26" s="136"/>
      <c r="AT26" s="136"/>
      <c r="AU26" s="136"/>
    </row>
    <row r="27" spans="1:47" ht="8.25" customHeight="1">
      <c r="A27" s="136"/>
      <c r="B27" s="140"/>
      <c r="C27" s="286"/>
      <c r="D27" s="286"/>
      <c r="E27" s="287"/>
      <c r="F27" s="136"/>
      <c r="G27" s="136"/>
      <c r="H27" s="136"/>
      <c r="I27" s="288"/>
      <c r="J27" s="289"/>
      <c r="K27" s="136"/>
      <c r="L27" s="290"/>
      <c r="M27" s="290"/>
      <c r="N27" s="290"/>
      <c r="O27" s="290"/>
      <c r="P27" s="290"/>
      <c r="Q27" s="290"/>
      <c r="R27" s="290"/>
      <c r="S27" s="290"/>
      <c r="T27" s="291"/>
      <c r="U27" s="292"/>
      <c r="V27" s="143"/>
      <c r="W27" s="293"/>
      <c r="X27" s="293"/>
      <c r="Y27" s="293"/>
      <c r="Z27" s="293"/>
      <c r="AA27" s="294"/>
      <c r="AB27" s="136"/>
      <c r="AC27" s="136"/>
      <c r="AD27" s="136"/>
      <c r="AE27" s="136"/>
      <c r="AF27" s="136"/>
      <c r="AG27" s="136"/>
      <c r="AH27" s="136"/>
      <c r="AI27" s="136"/>
      <c r="AJ27" s="136"/>
      <c r="AK27" s="136"/>
      <c r="AL27" s="136"/>
      <c r="AM27" s="136"/>
      <c r="AN27" s="136"/>
      <c r="AO27" s="136"/>
      <c r="AP27" s="136"/>
      <c r="AQ27" s="136"/>
      <c r="AR27" s="136"/>
      <c r="AS27" s="136"/>
      <c r="AT27" s="136"/>
      <c r="AU27" s="136"/>
    </row>
    <row r="28" spans="1:47" ht="17.25" hidden="1" customHeight="1">
      <c r="A28" s="295"/>
      <c r="B28" s="296"/>
      <c r="C28" s="297">
        <f>MATCH(I22,'Development-Hidden'!A2:A118,0)</f>
        <v>15</v>
      </c>
      <c r="D28" s="297" t="str">
        <f t="array" ref="D28">IFERROR(IF(INDEX('Development-Hidden'!$A$2:$B$118,$C28,1)=$I$22,INDEX('Development-Hidden'!$A$2:$B$118,$C28,2),""),"")</f>
        <v>Marauder</v>
      </c>
      <c r="E28" s="298"/>
      <c r="F28" s="298"/>
      <c r="G28" s="298"/>
      <c r="H28" s="298"/>
      <c r="I28" s="298"/>
      <c r="J28" s="299"/>
      <c r="K28" s="295"/>
      <c r="L28" s="300"/>
      <c r="M28" s="300"/>
      <c r="N28" s="300"/>
      <c r="O28" s="300"/>
      <c r="P28" s="300"/>
      <c r="Q28" s="300"/>
      <c r="R28" s="300"/>
      <c r="S28" s="300"/>
      <c r="T28" s="301"/>
      <c r="U28" s="302"/>
      <c r="V28" s="301"/>
      <c r="W28" s="303"/>
      <c r="X28" s="303"/>
      <c r="Y28" s="303"/>
      <c r="Z28" s="303"/>
      <c r="AA28" s="298"/>
      <c r="AB28" s="295"/>
      <c r="AC28" s="295"/>
      <c r="AD28" s="295"/>
      <c r="AE28" s="295"/>
      <c r="AF28" s="295"/>
      <c r="AG28" s="295"/>
      <c r="AH28" s="295"/>
      <c r="AI28" s="295"/>
      <c r="AJ28" s="295"/>
      <c r="AK28" s="295"/>
      <c r="AL28" s="295"/>
      <c r="AM28" s="295"/>
      <c r="AN28" s="295"/>
      <c r="AO28" s="295"/>
      <c r="AP28" s="295"/>
      <c r="AQ28" s="295"/>
      <c r="AR28" s="295"/>
      <c r="AS28" s="295"/>
      <c r="AT28" s="295"/>
      <c r="AU28" s="295"/>
    </row>
    <row r="29" spans="1:47" ht="17.25" hidden="1" customHeight="1">
      <c r="A29" s="295"/>
      <c r="B29" s="296"/>
      <c r="C29" s="297">
        <f t="shared" ref="C29:C37" si="7">C28+1</f>
        <v>16</v>
      </c>
      <c r="D29" s="297" t="str">
        <f t="array" ref="D29">IFERROR(IF(INDEX('Development-Hidden'!$A$2:$B$118,$C29,1)=$I$22,INDEX('Development-Hidden'!$A$2:$B$118,$C29,2),""),"")</f>
        <v>Goblin Renegade</v>
      </c>
      <c r="E29" s="298"/>
      <c r="F29" s="298"/>
      <c r="G29" s="298"/>
      <c r="H29" s="298"/>
      <c r="I29" s="298"/>
      <c r="J29" s="299"/>
      <c r="K29" s="295"/>
      <c r="L29" s="300"/>
      <c r="M29" s="300"/>
      <c r="N29" s="300"/>
      <c r="O29" s="300"/>
      <c r="P29" s="300"/>
      <c r="Q29" s="300"/>
      <c r="R29" s="300"/>
      <c r="S29" s="300"/>
      <c r="T29" s="301"/>
      <c r="U29" s="302"/>
      <c r="V29" s="301"/>
      <c r="W29" s="303"/>
      <c r="X29" s="303"/>
      <c r="Y29" s="303"/>
      <c r="Z29" s="303"/>
      <c r="AA29" s="298"/>
      <c r="AB29" s="295"/>
      <c r="AC29" s="295"/>
      <c r="AD29" s="295"/>
      <c r="AE29" s="295"/>
      <c r="AF29" s="295"/>
      <c r="AG29" s="295"/>
      <c r="AH29" s="295"/>
      <c r="AI29" s="295"/>
      <c r="AJ29" s="295"/>
      <c r="AK29" s="295"/>
      <c r="AL29" s="295"/>
      <c r="AM29" s="295"/>
      <c r="AN29" s="295"/>
      <c r="AO29" s="295"/>
      <c r="AP29" s="295"/>
      <c r="AQ29" s="295"/>
      <c r="AR29" s="295"/>
      <c r="AS29" s="295"/>
      <c r="AT29" s="295"/>
      <c r="AU29" s="295"/>
    </row>
    <row r="30" spans="1:47" ht="17.25" hidden="1" customHeight="1">
      <c r="A30" s="295"/>
      <c r="B30" s="296"/>
      <c r="C30" s="297">
        <f t="shared" si="7"/>
        <v>17</v>
      </c>
      <c r="D30" s="297" t="str">
        <f t="array" ref="D30">IFERROR(IF(INDEX('Development-Hidden'!$A$2:$B$118,$C30,1)=$I$22,INDEX('Development-Hidden'!$A$2:$B$118,$C30,2),""),"")</f>
        <v>Skaven Renegade</v>
      </c>
      <c r="E30" s="298"/>
      <c r="F30" s="298"/>
      <c r="G30" s="298"/>
      <c r="H30" s="298"/>
      <c r="I30" s="298"/>
      <c r="J30" s="299"/>
      <c r="K30" s="295"/>
      <c r="L30" s="300"/>
      <c r="M30" s="300"/>
      <c r="N30" s="300"/>
      <c r="O30" s="300"/>
      <c r="P30" s="300"/>
      <c r="Q30" s="300"/>
      <c r="R30" s="300"/>
      <c r="S30" s="300"/>
      <c r="T30" s="301"/>
      <c r="U30" s="302"/>
      <c r="V30" s="301"/>
      <c r="W30" s="303"/>
      <c r="X30" s="303"/>
      <c r="Y30" s="303"/>
      <c r="Z30" s="303"/>
      <c r="AA30" s="298"/>
      <c r="AB30" s="295"/>
      <c r="AC30" s="295"/>
      <c r="AD30" s="295"/>
      <c r="AE30" s="295"/>
      <c r="AF30" s="295"/>
      <c r="AG30" s="295"/>
      <c r="AH30" s="295"/>
      <c r="AI30" s="295"/>
      <c r="AJ30" s="295"/>
      <c r="AK30" s="295"/>
      <c r="AL30" s="295"/>
      <c r="AM30" s="295"/>
      <c r="AN30" s="295"/>
      <c r="AO30" s="295"/>
      <c r="AP30" s="295"/>
      <c r="AQ30" s="295"/>
      <c r="AR30" s="295"/>
      <c r="AS30" s="295"/>
      <c r="AT30" s="295"/>
      <c r="AU30" s="295"/>
    </row>
    <row r="31" spans="1:47" ht="17.25" hidden="1" customHeight="1">
      <c r="A31" s="295"/>
      <c r="B31" s="296"/>
      <c r="C31" s="297">
        <f t="shared" si="7"/>
        <v>18</v>
      </c>
      <c r="D31" s="297" t="str">
        <f t="array" ref="D31">IFERROR(IF(INDEX('Development-Hidden'!$A$2:$B$118,$C31,1)=$I$22,INDEX('Development-Hidden'!$A$2:$B$118,$C31,2),""),"")</f>
        <v>Dark Elf Renegade</v>
      </c>
      <c r="E31" s="298"/>
      <c r="F31" s="298"/>
      <c r="G31" s="298"/>
      <c r="H31" s="298"/>
      <c r="I31" s="298"/>
      <c r="J31" s="299"/>
      <c r="K31" s="295"/>
      <c r="L31" s="300"/>
      <c r="M31" s="300"/>
      <c r="N31" s="300"/>
      <c r="O31" s="300"/>
      <c r="P31" s="300"/>
      <c r="Q31" s="300"/>
      <c r="R31" s="300"/>
      <c r="S31" s="300"/>
      <c r="T31" s="301"/>
      <c r="U31" s="302"/>
      <c r="V31" s="301"/>
      <c r="W31" s="303"/>
      <c r="X31" s="303"/>
      <c r="Y31" s="303"/>
      <c r="Z31" s="303"/>
      <c r="AA31" s="298"/>
      <c r="AB31" s="295"/>
      <c r="AC31" s="295"/>
      <c r="AD31" s="295"/>
      <c r="AE31" s="295"/>
      <c r="AF31" s="295"/>
      <c r="AG31" s="295"/>
      <c r="AH31" s="295"/>
      <c r="AI31" s="295"/>
      <c r="AJ31" s="295"/>
      <c r="AK31" s="295"/>
      <c r="AL31" s="295"/>
      <c r="AM31" s="295"/>
      <c r="AN31" s="295"/>
      <c r="AO31" s="295"/>
      <c r="AP31" s="295"/>
      <c r="AQ31" s="295"/>
      <c r="AR31" s="295"/>
      <c r="AS31" s="295"/>
      <c r="AT31" s="295"/>
      <c r="AU31" s="295"/>
    </row>
    <row r="32" spans="1:47" ht="17.25" hidden="1" customHeight="1">
      <c r="A32" s="295"/>
      <c r="B32" s="296"/>
      <c r="C32" s="297">
        <f t="shared" si="7"/>
        <v>19</v>
      </c>
      <c r="D32" s="297" t="str">
        <f t="array" ref="D32">IFERROR(IF(INDEX('Development-Hidden'!$A$2:$B$118,$C32,1)=$I$22,INDEX('Development-Hidden'!$A$2:$B$118,$C32,2),""),"")</f>
        <v>Troll</v>
      </c>
      <c r="E32" s="298"/>
      <c r="F32" s="298"/>
      <c r="G32" s="298"/>
      <c r="H32" s="298"/>
      <c r="I32" s="298"/>
      <c r="J32" s="299"/>
      <c r="K32" s="295"/>
      <c r="L32" s="300"/>
      <c r="M32" s="300"/>
      <c r="N32" s="300"/>
      <c r="O32" s="300"/>
      <c r="P32" s="300"/>
      <c r="Q32" s="300"/>
      <c r="R32" s="300"/>
      <c r="S32" s="300"/>
      <c r="T32" s="301"/>
      <c r="U32" s="302"/>
      <c r="V32" s="301"/>
      <c r="W32" s="303"/>
      <c r="X32" s="303"/>
      <c r="Y32" s="303"/>
      <c r="Z32" s="303"/>
      <c r="AA32" s="298"/>
      <c r="AB32" s="295"/>
      <c r="AC32" s="295"/>
      <c r="AD32" s="295"/>
      <c r="AE32" s="295"/>
      <c r="AF32" s="295"/>
      <c r="AG32" s="295"/>
      <c r="AH32" s="295"/>
      <c r="AI32" s="295"/>
      <c r="AJ32" s="295"/>
      <c r="AK32" s="295"/>
      <c r="AL32" s="295"/>
      <c r="AM32" s="295"/>
      <c r="AN32" s="295"/>
      <c r="AO32" s="295"/>
      <c r="AP32" s="295"/>
      <c r="AQ32" s="295"/>
      <c r="AR32" s="295"/>
      <c r="AS32" s="295"/>
      <c r="AT32" s="295"/>
      <c r="AU32" s="295"/>
    </row>
    <row r="33" spans="1:47" ht="17.25" hidden="1" customHeight="1">
      <c r="A33" s="295"/>
      <c r="B33" s="296"/>
      <c r="C33" s="297">
        <f t="shared" si="7"/>
        <v>20</v>
      </c>
      <c r="D33" s="297" t="str">
        <f t="array" ref="D33">IFERROR(IF(INDEX('Development-Hidden'!$A$2:$B$118,$C33,1)=$I$22,INDEX('Development-Hidden'!$A$2:$B$118,$C33,2),""),"")</f>
        <v>Ogre</v>
      </c>
      <c r="E33" s="298"/>
      <c r="F33" s="298"/>
      <c r="G33" s="298"/>
      <c r="H33" s="298"/>
      <c r="I33" s="298"/>
      <c r="J33" s="299"/>
      <c r="K33" s="295"/>
      <c r="L33" s="300"/>
      <c r="M33" s="300"/>
      <c r="N33" s="300"/>
      <c r="O33" s="300"/>
      <c r="P33" s="300"/>
      <c r="Q33" s="300"/>
      <c r="R33" s="300"/>
      <c r="S33" s="300"/>
      <c r="T33" s="301"/>
      <c r="U33" s="302"/>
      <c r="V33" s="301"/>
      <c r="W33" s="303"/>
      <c r="X33" s="303"/>
      <c r="Y33" s="303"/>
      <c r="Z33" s="303"/>
      <c r="AA33" s="298"/>
      <c r="AB33" s="295"/>
      <c r="AC33" s="295"/>
      <c r="AD33" s="295"/>
      <c r="AE33" s="295"/>
      <c r="AF33" s="295"/>
      <c r="AG33" s="295"/>
      <c r="AH33" s="295"/>
      <c r="AI33" s="295"/>
      <c r="AJ33" s="295"/>
      <c r="AK33" s="295"/>
      <c r="AL33" s="295"/>
      <c r="AM33" s="295"/>
      <c r="AN33" s="295"/>
      <c r="AO33" s="295"/>
      <c r="AP33" s="295"/>
      <c r="AQ33" s="295"/>
      <c r="AR33" s="295"/>
      <c r="AS33" s="295"/>
      <c r="AT33" s="295"/>
      <c r="AU33" s="295"/>
    </row>
    <row r="34" spans="1:47" ht="17.25" hidden="1" customHeight="1">
      <c r="A34" s="295"/>
      <c r="B34" s="296"/>
      <c r="C34" s="297">
        <f t="shared" si="7"/>
        <v>21</v>
      </c>
      <c r="D34" s="297" t="str">
        <f t="array" ref="D34">IFERROR(IF(INDEX('Development-Hidden'!$A$2:$B$118,$C34,1)=$I$22,INDEX('Development-Hidden'!$A$2:$B$118,$C34,2),""),"")</f>
        <v>Minotaur</v>
      </c>
      <c r="E34" s="298"/>
      <c r="F34" s="298"/>
      <c r="G34" s="298"/>
      <c r="H34" s="298"/>
      <c r="I34" s="298"/>
      <c r="J34" s="299"/>
      <c r="K34" s="295"/>
      <c r="L34" s="300"/>
      <c r="M34" s="300"/>
      <c r="N34" s="300"/>
      <c r="O34" s="300"/>
      <c r="P34" s="300"/>
      <c r="Q34" s="300"/>
      <c r="R34" s="300"/>
      <c r="S34" s="300"/>
      <c r="T34" s="301"/>
      <c r="U34" s="302"/>
      <c r="V34" s="301"/>
      <c r="W34" s="303"/>
      <c r="X34" s="303"/>
      <c r="Y34" s="303"/>
      <c r="Z34" s="303"/>
      <c r="AA34" s="298"/>
      <c r="AB34" s="295"/>
      <c r="AC34" s="295"/>
      <c r="AD34" s="295"/>
      <c r="AE34" s="295"/>
      <c r="AF34" s="295"/>
      <c r="AG34" s="295"/>
      <c r="AH34" s="295"/>
      <c r="AI34" s="295"/>
      <c r="AJ34" s="295"/>
      <c r="AK34" s="295"/>
      <c r="AL34" s="295"/>
      <c r="AM34" s="295"/>
      <c r="AN34" s="295"/>
      <c r="AO34" s="295"/>
      <c r="AP34" s="295"/>
      <c r="AQ34" s="295"/>
      <c r="AR34" s="295"/>
      <c r="AS34" s="295"/>
      <c r="AT34" s="295"/>
      <c r="AU34" s="295"/>
    </row>
    <row r="35" spans="1:47" ht="17.25" hidden="1" customHeight="1">
      <c r="A35" s="295"/>
      <c r="B35" s="296"/>
      <c r="C35" s="297">
        <f t="shared" si="7"/>
        <v>22</v>
      </c>
      <c r="D35" s="297" t="str">
        <f t="array" ref="D35">IFERROR(IF(INDEX('Development-Hidden'!$A$2:$B$118,$C35,1)=$I$22,INDEX('Development-Hidden'!$A$2:$B$118,$C35,2),""),"")</f>
        <v/>
      </c>
      <c r="E35" s="298"/>
      <c r="F35" s="298"/>
      <c r="G35" s="298"/>
      <c r="H35" s="298"/>
      <c r="I35" s="298"/>
      <c r="J35" s="299"/>
      <c r="K35" s="295"/>
      <c r="L35" s="300"/>
      <c r="M35" s="300"/>
      <c r="N35" s="300"/>
      <c r="O35" s="300"/>
      <c r="P35" s="300"/>
      <c r="Q35" s="300"/>
      <c r="R35" s="300"/>
      <c r="S35" s="300"/>
      <c r="T35" s="301"/>
      <c r="U35" s="302"/>
      <c r="V35" s="301"/>
      <c r="W35" s="303"/>
      <c r="X35" s="303"/>
      <c r="Y35" s="303"/>
      <c r="Z35" s="303"/>
      <c r="AA35" s="298"/>
      <c r="AB35" s="295"/>
      <c r="AC35" s="295"/>
      <c r="AD35" s="295"/>
      <c r="AE35" s="295"/>
      <c r="AF35" s="295"/>
      <c r="AG35" s="295"/>
      <c r="AH35" s="295"/>
      <c r="AI35" s="295"/>
      <c r="AJ35" s="295"/>
      <c r="AK35" s="295"/>
      <c r="AL35" s="295"/>
      <c r="AM35" s="295"/>
      <c r="AN35" s="295"/>
      <c r="AO35" s="295"/>
      <c r="AP35" s="295"/>
      <c r="AQ35" s="295"/>
      <c r="AR35" s="295"/>
      <c r="AS35" s="295"/>
      <c r="AT35" s="295"/>
      <c r="AU35" s="295"/>
    </row>
    <row r="36" spans="1:47" ht="17.25" hidden="1" customHeight="1">
      <c r="A36" s="295"/>
      <c r="B36" s="296"/>
      <c r="C36" s="297">
        <f t="shared" si="7"/>
        <v>23</v>
      </c>
      <c r="D36" s="297" t="str">
        <f t="array" ref="D36">IFERROR(IF(INDEX('Development-Hidden'!$A$2:$B$118,$C36,1)=$I$22,INDEX('Development-Hidden'!$A$2:$B$118,$C36,2),""),"")</f>
        <v/>
      </c>
      <c r="E36" s="298"/>
      <c r="F36" s="298"/>
      <c r="G36" s="298"/>
      <c r="H36" s="298"/>
      <c r="I36" s="298"/>
      <c r="J36" s="299"/>
      <c r="K36" s="295"/>
      <c r="L36" s="300"/>
      <c r="M36" s="300"/>
      <c r="N36" s="300"/>
      <c r="O36" s="300"/>
      <c r="P36" s="300"/>
      <c r="Q36" s="300"/>
      <c r="R36" s="300"/>
      <c r="S36" s="300"/>
      <c r="T36" s="301"/>
      <c r="U36" s="302"/>
      <c r="V36" s="301"/>
      <c r="W36" s="303"/>
      <c r="X36" s="303"/>
      <c r="Y36" s="303"/>
      <c r="Z36" s="303"/>
      <c r="AA36" s="298"/>
      <c r="AB36" s="295"/>
      <c r="AC36" s="295"/>
      <c r="AD36" s="295"/>
      <c r="AE36" s="295"/>
      <c r="AF36" s="295"/>
      <c r="AG36" s="295"/>
      <c r="AH36" s="295"/>
      <c r="AI36" s="295"/>
      <c r="AJ36" s="295"/>
      <c r="AK36" s="295"/>
      <c r="AL36" s="295"/>
      <c r="AM36" s="295"/>
      <c r="AN36" s="295"/>
      <c r="AO36" s="295"/>
      <c r="AP36" s="295"/>
      <c r="AQ36" s="295"/>
      <c r="AR36" s="295"/>
      <c r="AS36" s="295"/>
      <c r="AT36" s="295"/>
      <c r="AU36" s="295"/>
    </row>
    <row r="37" spans="1:47" ht="17.25" hidden="1" customHeight="1">
      <c r="A37" s="295"/>
      <c r="B37" s="296"/>
      <c r="C37" s="297">
        <f t="shared" si="7"/>
        <v>24</v>
      </c>
      <c r="D37" s="297" t="str">
        <f t="array" ref="D37">IFERROR(IF(INDEX('Development-Hidden'!$A$2:$B$118,$C37,1)=$I$22,INDEX('Development-Hidden'!$A$2:$B$118,$C37,2),""),"")</f>
        <v/>
      </c>
      <c r="E37" s="298"/>
      <c r="F37" s="298"/>
      <c r="G37" s="298"/>
      <c r="H37" s="298"/>
      <c r="I37" s="298"/>
      <c r="J37" s="299"/>
      <c r="K37" s="295"/>
      <c r="L37" s="300"/>
      <c r="M37" s="300"/>
      <c r="N37" s="300"/>
      <c r="O37" s="300"/>
      <c r="P37" s="300"/>
      <c r="Q37" s="300"/>
      <c r="R37" s="300"/>
      <c r="S37" s="300"/>
      <c r="T37" s="301"/>
      <c r="U37" s="302"/>
      <c r="V37" s="301"/>
      <c r="W37" s="303"/>
      <c r="X37" s="303"/>
      <c r="Y37" s="303"/>
      <c r="Z37" s="303"/>
      <c r="AA37" s="298"/>
      <c r="AB37" s="295"/>
      <c r="AC37" s="295"/>
      <c r="AD37" s="295"/>
      <c r="AE37" s="295"/>
      <c r="AF37" s="295"/>
      <c r="AG37" s="295"/>
      <c r="AH37" s="295"/>
      <c r="AI37" s="295"/>
      <c r="AJ37" s="295"/>
      <c r="AK37" s="295"/>
      <c r="AL37" s="295"/>
      <c r="AM37" s="295"/>
      <c r="AN37" s="295"/>
      <c r="AO37" s="295"/>
      <c r="AP37" s="295"/>
      <c r="AQ37" s="295"/>
      <c r="AR37" s="295"/>
      <c r="AS37" s="295"/>
      <c r="AT37" s="295"/>
      <c r="AU37" s="295"/>
    </row>
  </sheetData>
  <mergeCells count="27">
    <mergeCell ref="AL3:AO3"/>
    <mergeCell ref="P2:S2"/>
    <mergeCell ref="AP3:AT3"/>
    <mergeCell ref="V22:Z22"/>
    <mergeCell ref="AL21:AM21"/>
    <mergeCell ref="V21:Z21"/>
    <mergeCell ref="I25:K25"/>
    <mergeCell ref="E25:H25"/>
    <mergeCell ref="E24:H24"/>
    <mergeCell ref="V23:Z23"/>
    <mergeCell ref="E23:H23"/>
    <mergeCell ref="B20:D26"/>
    <mergeCell ref="E21:H21"/>
    <mergeCell ref="E22:H22"/>
    <mergeCell ref="L21:S21"/>
    <mergeCell ref="E20:Z20"/>
    <mergeCell ref="I21:K21"/>
    <mergeCell ref="L22:S22"/>
    <mergeCell ref="L25:S25"/>
    <mergeCell ref="E26:Z26"/>
    <mergeCell ref="V25:Z25"/>
    <mergeCell ref="V24:Z24"/>
    <mergeCell ref="I23:K23"/>
    <mergeCell ref="I22:K22"/>
    <mergeCell ref="L23:S23"/>
    <mergeCell ref="L24:S24"/>
    <mergeCell ref="I24:K24"/>
  </mergeCells>
  <conditionalFormatting sqref="AA4:AA19">
    <cfRule type="cellIs" dxfId="629" priority="1" operator="equal">
      <formula>0</formula>
    </cfRule>
  </conditionalFormatting>
  <conditionalFormatting sqref="J4">
    <cfRule type="expression" dxfId="628" priority="2">
      <formula>K4&lt;&gt;SUM(AD4:AI4)</formula>
    </cfRule>
  </conditionalFormatting>
  <conditionalFormatting sqref="I4:I19">
    <cfRule type="cellIs" dxfId="627" priority="3" stopIfTrue="1" operator="equal">
      <formula>"Player type quantity surpassed"</formula>
    </cfRule>
  </conditionalFormatting>
  <conditionalFormatting sqref="J5">
    <cfRule type="expression" dxfId="626" priority="4">
      <formula>K5&lt;&gt;SUM(AD5:AI5)</formula>
    </cfRule>
  </conditionalFormatting>
  <conditionalFormatting sqref="J6">
    <cfRule type="expression" dxfId="625" priority="5">
      <formula>K6&lt;&gt;SUM(AD6:AI6)</formula>
    </cfRule>
  </conditionalFormatting>
  <conditionalFormatting sqref="J7">
    <cfRule type="expression" dxfId="624" priority="6">
      <formula>K7&lt;&gt;SUM(AD7:AI7)</formula>
    </cfRule>
  </conditionalFormatting>
  <conditionalFormatting sqref="J8">
    <cfRule type="expression" dxfId="623" priority="7">
      <formula>K8&lt;&gt;SUM(AD8:AI8)</formula>
    </cfRule>
  </conditionalFormatting>
  <conditionalFormatting sqref="J9">
    <cfRule type="expression" dxfId="622" priority="8">
      <formula>K9&lt;&gt;SUM(AD9:AI9)</formula>
    </cfRule>
  </conditionalFormatting>
  <conditionalFormatting sqref="J10">
    <cfRule type="expression" dxfId="621" priority="9">
      <formula>K10&lt;&gt;SUM(AD10:AI10)</formula>
    </cfRule>
  </conditionalFormatting>
  <conditionalFormatting sqref="J11">
    <cfRule type="expression" dxfId="620" priority="10">
      <formula>K11&lt;&gt;SUM(AD11:AI11)</formula>
    </cfRule>
  </conditionalFormatting>
  <conditionalFormatting sqref="J12">
    <cfRule type="expression" dxfId="619" priority="11">
      <formula>K12&lt;&gt;SUM(AD12:AI12)</formula>
    </cfRule>
  </conditionalFormatting>
  <conditionalFormatting sqref="J13">
    <cfRule type="expression" dxfId="618" priority="12">
      <formula>K13&lt;&gt;SUM(AD13:AI13)</formula>
    </cfRule>
  </conditionalFormatting>
  <conditionalFormatting sqref="J14">
    <cfRule type="expression" dxfId="617" priority="13">
      <formula>K14&lt;&gt;SUM(AD14:AI14)</formula>
    </cfRule>
  </conditionalFormatting>
  <conditionalFormatting sqref="J15">
    <cfRule type="expression" dxfId="616" priority="14">
      <formula>K15&lt;&gt;SUM(AD15:AI15)</formula>
    </cfRule>
  </conditionalFormatting>
  <conditionalFormatting sqref="J16">
    <cfRule type="expression" dxfId="615" priority="15">
      <formula>K16&lt;&gt;SUM(AD16:AI16)</formula>
    </cfRule>
  </conditionalFormatting>
  <conditionalFormatting sqref="J17">
    <cfRule type="expression" dxfId="614" priority="16">
      <formula>K17&lt;&gt;SUM(AD17:AI17)</formula>
    </cfRule>
  </conditionalFormatting>
  <conditionalFormatting sqref="J18">
    <cfRule type="expression" dxfId="613" priority="17">
      <formula>K18&lt;&gt;SUM(AD18:AI18)</formula>
    </cfRule>
  </conditionalFormatting>
  <conditionalFormatting sqref="J19">
    <cfRule type="expression" dxfId="612" priority="18">
      <formula>K19&lt;&gt;SUM(AD19:AI19)</formula>
    </cfRule>
  </conditionalFormatting>
  <conditionalFormatting sqref="K4:K19">
    <cfRule type="cellIs" dxfId="611" priority="19" operator="equal">
      <formula>0</formula>
    </cfRule>
  </conditionalFormatting>
  <conditionalFormatting sqref="E4:H19">
    <cfRule type="expression" dxfId="610" priority="20">
      <formula>AF4&gt;0</formula>
    </cfRule>
  </conditionalFormatting>
  <conditionalFormatting sqref="E4:H19">
    <cfRule type="expression" dxfId="609" priority="21">
      <formula>P4&gt;0</formula>
    </cfRule>
  </conditionalFormatting>
  <conditionalFormatting sqref="I4:I19 T4:W19 Y4:Y19 U27:U37">
    <cfRule type="cellIs" dxfId="608" priority="22" stopIfTrue="1" operator="equal">
      <formula>0</formula>
    </cfRule>
  </conditionalFormatting>
  <conditionalFormatting sqref="K4:K19">
    <cfRule type="cellIs" dxfId="607" priority="23" stopIfTrue="1" operator="equal">
      <formula>"n/a"</formula>
    </cfRule>
  </conditionalFormatting>
  <conditionalFormatting sqref="P4:S19">
    <cfRule type="cellIs" dxfId="606" priority="24" stopIfTrue="1" operator="lessThanOrEqual">
      <formula>-1</formula>
    </cfRule>
  </conditionalFormatting>
  <conditionalFormatting sqref="V25:W25">
    <cfRule type="cellIs" dxfId="605" priority="25" stopIfTrue="1" operator="equal">
      <formula>-500</formula>
    </cfRule>
  </conditionalFormatting>
  <conditionalFormatting sqref="T25">
    <cfRule type="cellIs" dxfId="604" priority="26" stopIfTrue="1" operator="greaterThan">
      <formula>$V$25</formula>
    </cfRule>
  </conditionalFormatting>
  <conditionalFormatting sqref="Z4:Z19">
    <cfRule type="cellIs" dxfId="603" priority="27" stopIfTrue="1" operator="equal">
      <formula>"Star"</formula>
    </cfRule>
  </conditionalFormatting>
  <conditionalFormatting sqref="Z4:Z19">
    <cfRule type="cellIs" dxfId="602" priority="28" stopIfTrue="1" operator="equal">
      <formula>AA4</formula>
    </cfRule>
  </conditionalFormatting>
  <dataValidations count="2">
    <dataValidation type="list" allowBlank="1" showErrorMessage="1" sqref="D4:D19">
      <formula1>'JR1'!$D$28:$D$37</formula1>
    </dataValidation>
    <dataValidation type="list" allowBlank="1" showErrorMessage="1" sqref="I22">
      <formula1>'Development-Hidden'!$N$2:$N$28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7"/>
  <sheetViews>
    <sheetView showGridLines="0" workbookViewId="0"/>
  </sheetViews>
  <sheetFormatPr defaultColWidth="14.42578125" defaultRowHeight="15.75" customHeight="1"/>
  <cols>
    <col min="1" max="1" width="1.85546875" style="139" customWidth="1"/>
    <col min="2" max="2" width="3.140625" style="139" customWidth="1"/>
    <col min="3" max="3" width="19.28515625" style="139" customWidth="1"/>
    <col min="4" max="4" width="21.28515625" style="139" customWidth="1"/>
    <col min="5" max="8" width="3.42578125" style="139" customWidth="1"/>
    <col min="9" max="9" width="30.85546875" style="139" customWidth="1"/>
    <col min="10" max="10" width="23" style="139" customWidth="1"/>
    <col min="11" max="11" width="1.85546875" style="139" customWidth="1"/>
    <col min="12" max="15" width="2.42578125" style="139" customWidth="1"/>
    <col min="16" max="19" width="2.7109375" style="139" customWidth="1"/>
    <col min="20" max="21" width="3.28515625" style="139" customWidth="1"/>
    <col min="22" max="22" width="2.42578125" style="139" customWidth="1"/>
    <col min="23" max="23" width="3.28515625" style="139" customWidth="1"/>
    <col min="24" max="24" width="2.7109375" style="139" customWidth="1"/>
    <col min="25" max="25" width="3.28515625" style="139" customWidth="1"/>
    <col min="26" max="26" width="4.42578125" style="139" customWidth="1"/>
    <col min="27" max="27" width="10.28515625" style="139" customWidth="1"/>
    <col min="28" max="28" width="5.5703125" style="139" customWidth="1"/>
    <col min="29" max="29" width="8.85546875" style="139" customWidth="1"/>
    <col min="30" max="35" width="4.140625" style="139" customWidth="1"/>
    <col min="36" max="36" width="12.28515625" style="139" customWidth="1"/>
    <col min="37" max="37" width="6.42578125" style="139" customWidth="1"/>
    <col min="38" max="38" width="12.7109375" style="139" customWidth="1"/>
    <col min="39" max="39" width="11.42578125" style="139" customWidth="1"/>
    <col min="40" max="41" width="10.7109375" style="139" customWidth="1"/>
    <col min="42" max="42" width="26.140625" style="139" customWidth="1"/>
    <col min="43" max="44" width="10.7109375" style="139" customWidth="1"/>
    <col min="45" max="45" width="12.28515625" style="139" customWidth="1"/>
    <col min="46" max="46" width="10.7109375" style="139" customWidth="1"/>
    <col min="47" max="47" width="2.28515625" style="139" customWidth="1"/>
    <col min="48" max="16384" width="14.42578125" style="139"/>
  </cols>
  <sheetData>
    <row r="1" spans="1:47" ht="9" customHeight="1">
      <c r="A1" s="136"/>
      <c r="B1" s="137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</row>
    <row r="2" spans="1:47" ht="9.75" customHeight="1">
      <c r="A2" s="136"/>
      <c r="B2" s="140"/>
      <c r="C2" s="140"/>
      <c r="D2" s="141"/>
      <c r="E2" s="140"/>
      <c r="F2" s="140"/>
      <c r="G2" s="140"/>
      <c r="H2" s="140"/>
      <c r="I2" s="140"/>
      <c r="J2" s="140"/>
      <c r="K2" s="136"/>
      <c r="L2" s="140"/>
      <c r="M2" s="140"/>
      <c r="N2" s="140"/>
      <c r="O2" s="140"/>
      <c r="P2" s="602" t="s">
        <v>218</v>
      </c>
      <c r="Q2" s="572"/>
      <c r="R2" s="572"/>
      <c r="S2" s="573"/>
      <c r="T2" s="142"/>
      <c r="U2" s="142"/>
      <c r="V2" s="142"/>
      <c r="W2" s="142"/>
      <c r="X2" s="143"/>
      <c r="Y2" s="142"/>
      <c r="Z2" s="140"/>
      <c r="AA2" s="140"/>
      <c r="AB2" s="136"/>
      <c r="AC2" s="140"/>
      <c r="AD2" s="140"/>
      <c r="AE2" s="140"/>
      <c r="AF2" s="144"/>
      <c r="AG2" s="140"/>
      <c r="AH2" s="140"/>
      <c r="AI2" s="140"/>
      <c r="AJ2" s="140"/>
      <c r="AK2" s="136"/>
      <c r="AL2" s="145"/>
      <c r="AM2" s="145"/>
      <c r="AN2" s="145"/>
      <c r="AO2" s="145"/>
      <c r="AP2" s="145"/>
      <c r="AQ2" s="145"/>
      <c r="AR2" s="145"/>
      <c r="AS2" s="145"/>
      <c r="AT2" s="145"/>
      <c r="AU2" s="145"/>
    </row>
    <row r="3" spans="1:47" ht="8.25" customHeight="1">
      <c r="A3" s="137"/>
      <c r="B3" s="146" t="s">
        <v>203</v>
      </c>
      <c r="C3" s="147" t="s">
        <v>32</v>
      </c>
      <c r="D3" s="148" t="s">
        <v>229</v>
      </c>
      <c r="E3" s="149" t="s">
        <v>206</v>
      </c>
      <c r="F3" s="150" t="s">
        <v>207</v>
      </c>
      <c r="G3" s="151" t="s">
        <v>208</v>
      </c>
      <c r="H3" s="152" t="s">
        <v>209</v>
      </c>
      <c r="I3" s="153" t="s">
        <v>230</v>
      </c>
      <c r="J3" s="152" t="s">
        <v>231</v>
      </c>
      <c r="K3" s="154" t="s">
        <v>203</v>
      </c>
      <c r="L3" s="155" t="s">
        <v>232</v>
      </c>
      <c r="M3" s="156" t="s">
        <v>233</v>
      </c>
      <c r="N3" s="156" t="s">
        <v>234</v>
      </c>
      <c r="O3" s="157" t="s">
        <v>235</v>
      </c>
      <c r="P3" s="158" t="s">
        <v>206</v>
      </c>
      <c r="Q3" s="159" t="s">
        <v>207</v>
      </c>
      <c r="R3" s="159" t="s">
        <v>208</v>
      </c>
      <c r="S3" s="160" t="s">
        <v>209</v>
      </c>
      <c r="T3" s="161" t="s">
        <v>236</v>
      </c>
      <c r="U3" s="156" t="s">
        <v>237</v>
      </c>
      <c r="V3" s="156" t="s">
        <v>210</v>
      </c>
      <c r="W3" s="156" t="s">
        <v>240</v>
      </c>
      <c r="X3" s="162" t="s">
        <v>35</v>
      </c>
      <c r="Y3" s="157" t="s">
        <v>211</v>
      </c>
      <c r="Z3" s="153" t="s">
        <v>212</v>
      </c>
      <c r="AA3" s="163" t="s">
        <v>241</v>
      </c>
      <c r="AB3" s="136"/>
      <c r="AC3" s="146" t="s">
        <v>242</v>
      </c>
      <c r="AD3" s="153" t="s">
        <v>233</v>
      </c>
      <c r="AE3" s="150" t="s">
        <v>243</v>
      </c>
      <c r="AF3" s="164" t="str">
        <f>"+MA"</f>
        <v>+MA</v>
      </c>
      <c r="AG3" s="150" t="str">
        <f>"+ST"</f>
        <v>+ST</v>
      </c>
      <c r="AH3" s="150" t="str">
        <f>"+AG"</f>
        <v>+AG</v>
      </c>
      <c r="AI3" s="150" t="str">
        <f>"+AV"</f>
        <v>+AV</v>
      </c>
      <c r="AJ3" s="163" t="s">
        <v>244</v>
      </c>
      <c r="AK3" s="136"/>
      <c r="AL3" s="601" t="s">
        <v>245</v>
      </c>
      <c r="AM3" s="575"/>
      <c r="AN3" s="575"/>
      <c r="AO3" s="575"/>
      <c r="AP3" s="603" t="s">
        <v>246</v>
      </c>
      <c r="AQ3" s="575"/>
      <c r="AR3" s="575"/>
      <c r="AS3" s="575"/>
      <c r="AT3" s="575"/>
      <c r="AU3" s="145"/>
    </row>
    <row r="4" spans="1:47" ht="15.75" customHeight="1">
      <c r="A4" s="137"/>
      <c r="B4" s="165">
        <v>1</v>
      </c>
      <c r="C4" s="166" t="s">
        <v>356</v>
      </c>
      <c r="D4" s="167" t="s">
        <v>228</v>
      </c>
      <c r="E4" s="168">
        <f>IFERROR(VLOOKUP($I$22&amp;$D4,'Development-Hidden'!$C$2:$J$118,4,FALSE)-P4+AF4,"")</f>
        <v>8</v>
      </c>
      <c r="F4" s="169">
        <f>IFERROR(VLOOKUP($I$22&amp;$D4,'Development-Hidden'!$C$2:$J$118,5,FALSE)-Q4+AG4,"")</f>
        <v>3</v>
      </c>
      <c r="G4" s="169">
        <f>IFERROR(VLOOKUP($I$22&amp;$D4,'Development-Hidden'!$C$2:$J$118,6,FALSE)-R4+AH4,"")</f>
        <v>3</v>
      </c>
      <c r="H4" s="170">
        <f>IFERROR(VLOOKUP($I$22&amp;$D4,'Development-Hidden'!$C$2:$J$118,7,FALSE)-S4+AI4,"")</f>
        <v>8</v>
      </c>
      <c r="I4" s="171" t="str">
        <f>IFERROR(VLOOKUP($I$22&amp;$D4,'Development-Hidden'!$C$2:$J$118,8,FALSE),"")</f>
        <v>Claws, Frenzy, Regeneration</v>
      </c>
      <c r="J4" s="172" t="s">
        <v>277</v>
      </c>
      <c r="K4" s="173">
        <f t="shared" ref="K4:K19" si="0">IF(Z4&gt;175,6,IF(Z4&gt;75,5,IF(Z4&gt;50,4,IF(Z4&gt;30,3,IF(Z4&gt;15,2,IF(Z4&gt;5,1,0))))))</f>
        <v>1</v>
      </c>
      <c r="L4" s="174"/>
      <c r="M4" s="174"/>
      <c r="N4" s="174"/>
      <c r="O4" s="175"/>
      <c r="P4" s="176"/>
      <c r="Q4" s="177"/>
      <c r="R4" s="177"/>
      <c r="S4" s="178"/>
      <c r="T4" s="179"/>
      <c r="U4" s="180"/>
      <c r="V4" s="180">
        <v>2</v>
      </c>
      <c r="W4" s="180"/>
      <c r="X4" s="177"/>
      <c r="Y4" s="181"/>
      <c r="Z4" s="182">
        <f t="shared" ref="Z4:Z19" si="1">2*T4+U4+3*V4+2*W4+5*Y4</f>
        <v>6</v>
      </c>
      <c r="AA4" s="183">
        <f t="shared" ref="AA4:AA19" si="2">IF(L4=1,0,AC4+(20000*O4)+(20000*AD4)+(30000*AE4)+(30000*AF4)+(50000*AG4)+(40000*AH4)+(50000*AI4)+AJ4)</f>
        <v>140000</v>
      </c>
      <c r="AB4" s="136"/>
      <c r="AC4" s="184">
        <f>IFERROR(VLOOKUP($I$22&amp;D4,'Development-Hidden'!$C$2:$E$118,3,FALSE),"")</f>
        <v>120000</v>
      </c>
      <c r="AD4" s="179">
        <v>1</v>
      </c>
      <c r="AE4" s="180"/>
      <c r="AF4" s="180"/>
      <c r="AG4" s="180"/>
      <c r="AH4" s="180"/>
      <c r="AI4" s="180"/>
      <c r="AJ4" s="185"/>
      <c r="AK4" s="136"/>
      <c r="AL4" s="186" t="s">
        <v>252</v>
      </c>
      <c r="AM4" s="187">
        <v>140000</v>
      </c>
      <c r="AN4" s="136"/>
      <c r="AO4" s="136"/>
      <c r="AP4" s="188"/>
      <c r="AQ4" s="189"/>
      <c r="AR4" s="189"/>
      <c r="AS4" s="186" t="s">
        <v>253</v>
      </c>
      <c r="AT4" s="190">
        <v>4</v>
      </c>
      <c r="AU4" s="191"/>
    </row>
    <row r="5" spans="1:47" ht="15.75" customHeight="1">
      <c r="A5" s="137"/>
      <c r="B5" s="192">
        <v>2</v>
      </c>
      <c r="C5" s="193" t="s">
        <v>263</v>
      </c>
      <c r="D5" s="194" t="s">
        <v>228</v>
      </c>
      <c r="E5" s="195">
        <f>IFERROR(VLOOKUP($I$22&amp;$D5,'Development-Hidden'!$C$2:$J$118,4,FALSE)-P5+AF5,"")</f>
        <v>8</v>
      </c>
      <c r="F5" s="196">
        <f>IFERROR(VLOOKUP($I$22&amp;$D5,'Development-Hidden'!$C$2:$J$118,5,FALSE)-Q5+AG5,"")</f>
        <v>3</v>
      </c>
      <c r="G5" s="196">
        <f>IFERROR(VLOOKUP($I$22&amp;$D5,'Development-Hidden'!$C$2:$J$118,6,FALSE)-R5+AH5,"")</f>
        <v>3</v>
      </c>
      <c r="H5" s="197">
        <f>IFERROR(VLOOKUP($I$22&amp;$D5,'Development-Hidden'!$C$2:$J$118,7,FALSE)-S5+AI5,"")</f>
        <v>8</v>
      </c>
      <c r="I5" s="198" t="str">
        <f>IFERROR(VLOOKUP($I$22&amp;$D5,'Development-Hidden'!$C$2:$J$118,8,FALSE),"")</f>
        <v>Claws, Frenzy, Regeneration</v>
      </c>
      <c r="J5" s="199"/>
      <c r="K5" s="200">
        <f t="shared" si="0"/>
        <v>0</v>
      </c>
      <c r="L5" s="201"/>
      <c r="M5" s="201"/>
      <c r="N5" s="201"/>
      <c r="O5" s="202"/>
      <c r="P5" s="203"/>
      <c r="Q5" s="204"/>
      <c r="R5" s="204"/>
      <c r="S5" s="205"/>
      <c r="T5" s="206"/>
      <c r="U5" s="207"/>
      <c r="V5" s="207">
        <v>1</v>
      </c>
      <c r="W5" s="207"/>
      <c r="X5" s="204"/>
      <c r="Y5" s="208"/>
      <c r="Z5" s="209">
        <f t="shared" si="1"/>
        <v>3</v>
      </c>
      <c r="AA5" s="183">
        <f t="shared" si="2"/>
        <v>120000</v>
      </c>
      <c r="AB5" s="136"/>
      <c r="AC5" s="210">
        <f>IFERROR(VLOOKUP($I$22&amp;D5,'Development-Hidden'!$C$2:$E$118,3,FALSE),"")</f>
        <v>120000</v>
      </c>
      <c r="AD5" s="206"/>
      <c r="AE5" s="207"/>
      <c r="AF5" s="207"/>
      <c r="AG5" s="207"/>
      <c r="AH5" s="207"/>
      <c r="AI5" s="207"/>
      <c r="AJ5" s="211"/>
      <c r="AK5" s="136"/>
      <c r="AL5" s="212" t="s">
        <v>256</v>
      </c>
      <c r="AM5" s="213" t="s">
        <v>257</v>
      </c>
      <c r="AN5" s="214" t="s">
        <v>258</v>
      </c>
      <c r="AO5" s="215" t="s">
        <v>259</v>
      </c>
      <c r="AP5" s="216" t="s">
        <v>260</v>
      </c>
      <c r="AQ5" s="214" t="s">
        <v>261</v>
      </c>
      <c r="AR5" s="217" t="s">
        <v>33</v>
      </c>
      <c r="AS5" s="217" t="s">
        <v>262</v>
      </c>
      <c r="AT5" s="218" t="s">
        <v>221</v>
      </c>
      <c r="AU5" s="144"/>
    </row>
    <row r="6" spans="1:47" ht="15.75" customHeight="1">
      <c r="A6" s="137"/>
      <c r="B6" s="192">
        <v>3</v>
      </c>
      <c r="C6" s="193" t="s">
        <v>325</v>
      </c>
      <c r="D6" s="194" t="s">
        <v>326</v>
      </c>
      <c r="E6" s="195">
        <f>IFERROR(VLOOKUP($I$22&amp;$D6,'Development-Hidden'!$C$2:$J$118,4,FALSE)-P6+AF6,"")</f>
        <v>4</v>
      </c>
      <c r="F6" s="196">
        <f>IFERROR(VLOOKUP($I$22&amp;$D6,'Development-Hidden'!$C$2:$J$118,5,FALSE)-Q6+AG6,"")</f>
        <v>4</v>
      </c>
      <c r="G6" s="196">
        <f>IFERROR(VLOOKUP($I$22&amp;$D6,'Development-Hidden'!$C$2:$J$118,6,FALSE)-R6+AH6,"")</f>
        <v>2</v>
      </c>
      <c r="H6" s="197">
        <f>IFERROR(VLOOKUP($I$22&amp;$D6,'Development-Hidden'!$C$2:$J$118,7,FALSE)-S6+AI6,"")</f>
        <v>9</v>
      </c>
      <c r="I6" s="198" t="str">
        <f>IFERROR(VLOOKUP($I$22&amp;$D6,'Development-Hidden'!$C$2:$J$118,8,FALSE),"")</f>
        <v>Stand Firm, Thick Skull, Regeneration</v>
      </c>
      <c r="J6" s="199"/>
      <c r="K6" s="200">
        <f t="shared" si="0"/>
        <v>0</v>
      </c>
      <c r="L6" s="201"/>
      <c r="M6" s="201"/>
      <c r="N6" s="201"/>
      <c r="O6" s="202"/>
      <c r="P6" s="203"/>
      <c r="Q6" s="204"/>
      <c r="R6" s="204"/>
      <c r="S6" s="205"/>
      <c r="T6" s="206"/>
      <c r="U6" s="207"/>
      <c r="V6" s="207"/>
      <c r="W6" s="207"/>
      <c r="X6" s="204"/>
      <c r="Y6" s="208"/>
      <c r="Z6" s="209">
        <f t="shared" si="1"/>
        <v>0</v>
      </c>
      <c r="AA6" s="183">
        <f t="shared" si="2"/>
        <v>110000</v>
      </c>
      <c r="AB6" s="136"/>
      <c r="AC6" s="210">
        <f>IFERROR(VLOOKUP($I$22&amp;D6,'Development-Hidden'!$C$2:$E$118,3,FALSE),"")</f>
        <v>110000</v>
      </c>
      <c r="AD6" s="206"/>
      <c r="AE6" s="207"/>
      <c r="AF6" s="207"/>
      <c r="AG6" s="207"/>
      <c r="AH6" s="207"/>
      <c r="AI6" s="207"/>
      <c r="AJ6" s="211"/>
      <c r="AK6" s="136"/>
      <c r="AL6" s="219" t="s">
        <v>267</v>
      </c>
      <c r="AM6" s="220">
        <v>60000</v>
      </c>
      <c r="AN6" s="221">
        <v>110000</v>
      </c>
      <c r="AO6" s="222">
        <v>0</v>
      </c>
      <c r="AP6" s="223" t="s">
        <v>8</v>
      </c>
      <c r="AQ6" s="221" t="s">
        <v>361</v>
      </c>
      <c r="AR6" s="224">
        <v>0</v>
      </c>
      <c r="AS6" s="225">
        <v>2</v>
      </c>
      <c r="AT6" s="226">
        <v>0</v>
      </c>
      <c r="AU6" s="136"/>
    </row>
    <row r="7" spans="1:47" ht="15.75" customHeight="1">
      <c r="A7" s="137"/>
      <c r="B7" s="192">
        <v>4</v>
      </c>
      <c r="C7" s="193"/>
      <c r="D7" s="194"/>
      <c r="E7" s="195" t="str">
        <f>IFERROR(VLOOKUP($I$22&amp;$D7,'Development-Hidden'!$C$2:$J$118,4,FALSE)-P7+AF7,"")</f>
        <v/>
      </c>
      <c r="F7" s="196" t="str">
        <f>IFERROR(VLOOKUP($I$22&amp;$D7,'Development-Hidden'!$C$2:$J$118,5,FALSE)-Q7+AG7,"")</f>
        <v/>
      </c>
      <c r="G7" s="196" t="str">
        <f>IFERROR(VLOOKUP($I$22&amp;$D7,'Development-Hidden'!$C$2:$J$118,6,FALSE)-R7+AH7,"")</f>
        <v/>
      </c>
      <c r="H7" s="197" t="str">
        <f>IFERROR(VLOOKUP($I$22&amp;$D7,'Development-Hidden'!$C$2:$J$118,7,FALSE)-S7+AI7,"")</f>
        <v/>
      </c>
      <c r="I7" s="198" t="str">
        <f>IFERROR(VLOOKUP($I$22&amp;$D7,'Development-Hidden'!$C$2:$J$118,8,FALSE),"")</f>
        <v/>
      </c>
      <c r="J7" s="199"/>
      <c r="K7" s="200">
        <f t="shared" si="0"/>
        <v>0</v>
      </c>
      <c r="L7" s="201"/>
      <c r="M7" s="201"/>
      <c r="N7" s="201"/>
      <c r="O7" s="202"/>
      <c r="P7" s="203"/>
      <c r="Q7" s="204"/>
      <c r="R7" s="204"/>
      <c r="S7" s="205"/>
      <c r="T7" s="206"/>
      <c r="U7" s="207"/>
      <c r="V7" s="207"/>
      <c r="W7" s="207"/>
      <c r="X7" s="204"/>
      <c r="Y7" s="208"/>
      <c r="Z7" s="209">
        <f t="shared" si="1"/>
        <v>0</v>
      </c>
      <c r="AA7" s="183">
        <f t="shared" si="2"/>
        <v>0</v>
      </c>
      <c r="AB7" s="136"/>
      <c r="AC7" s="210" t="str">
        <f>IFERROR(VLOOKUP($I$22&amp;D7,'Development-Hidden'!$C$2:$E$118,3,FALSE),"0")</f>
        <v>0</v>
      </c>
      <c r="AD7" s="206"/>
      <c r="AE7" s="207"/>
      <c r="AF7" s="207"/>
      <c r="AG7" s="207"/>
      <c r="AH7" s="207"/>
      <c r="AI7" s="207"/>
      <c r="AJ7" s="211"/>
      <c r="AK7" s="136"/>
      <c r="AL7" s="227" t="s">
        <v>278</v>
      </c>
      <c r="AM7" s="228"/>
      <c r="AN7" s="229"/>
      <c r="AO7" s="230"/>
      <c r="AP7" s="231"/>
      <c r="AQ7" s="229"/>
      <c r="AR7" s="232"/>
      <c r="AS7" s="233"/>
      <c r="AT7" s="234"/>
      <c r="AU7" s="136"/>
    </row>
    <row r="8" spans="1:47" ht="15.75" customHeight="1">
      <c r="A8" s="137"/>
      <c r="B8" s="192">
        <v>5</v>
      </c>
      <c r="C8" s="193" t="s">
        <v>327</v>
      </c>
      <c r="D8" s="194" t="s">
        <v>152</v>
      </c>
      <c r="E8" s="195">
        <f>IFERROR(VLOOKUP($I$22&amp;$D8,'Development-Hidden'!$C$2:$J$118,4,FALSE)-P8+AF8,"")</f>
        <v>4</v>
      </c>
      <c r="F8" s="196">
        <f>IFERROR(VLOOKUP($I$22&amp;$D8,'Development-Hidden'!$C$2:$J$118,5,FALSE)-Q8+AG8,"")</f>
        <v>3</v>
      </c>
      <c r="G8" s="196">
        <f>IFERROR(VLOOKUP($I$22&amp;$D8,'Development-Hidden'!$C$2:$J$118,6,FALSE)-R8+AH8,"")</f>
        <v>2</v>
      </c>
      <c r="H8" s="197">
        <f>IFERROR(VLOOKUP($I$22&amp;$D8,'Development-Hidden'!$C$2:$J$118,7,FALSE)-S8+AI8,"")</f>
        <v>8</v>
      </c>
      <c r="I8" s="198" t="str">
        <f>IFERROR(VLOOKUP($I$22&amp;$D8,'Development-Hidden'!$C$2:$J$118,8,FALSE),"")</f>
        <v>Regeneration</v>
      </c>
      <c r="J8" s="199"/>
      <c r="K8" s="200">
        <f t="shared" si="0"/>
        <v>0</v>
      </c>
      <c r="L8" s="201"/>
      <c r="M8" s="201"/>
      <c r="N8" s="201"/>
      <c r="O8" s="202"/>
      <c r="P8" s="203"/>
      <c r="Q8" s="204"/>
      <c r="R8" s="204"/>
      <c r="S8" s="205"/>
      <c r="T8" s="206"/>
      <c r="U8" s="207"/>
      <c r="V8" s="207"/>
      <c r="W8" s="207"/>
      <c r="X8" s="204"/>
      <c r="Y8" s="208"/>
      <c r="Z8" s="209">
        <f t="shared" si="1"/>
        <v>0</v>
      </c>
      <c r="AA8" s="183">
        <f t="shared" si="2"/>
        <v>40000</v>
      </c>
      <c r="AB8" s="136"/>
      <c r="AC8" s="210">
        <f>IFERROR(VLOOKUP($I$22&amp;D8,'Development-Hidden'!$C$2:$E$118,3,FALSE),"")</f>
        <v>40000</v>
      </c>
      <c r="AD8" s="206"/>
      <c r="AE8" s="207"/>
      <c r="AF8" s="207"/>
      <c r="AG8" s="207"/>
      <c r="AH8" s="207"/>
      <c r="AI8" s="207"/>
      <c r="AJ8" s="211"/>
      <c r="AK8" s="136"/>
      <c r="AL8" s="227" t="s">
        <v>289</v>
      </c>
      <c r="AM8" s="228"/>
      <c r="AN8" s="229"/>
      <c r="AO8" s="230"/>
      <c r="AP8" s="231"/>
      <c r="AQ8" s="229"/>
      <c r="AR8" s="232"/>
      <c r="AS8" s="233"/>
      <c r="AT8" s="234"/>
      <c r="AU8" s="136"/>
    </row>
    <row r="9" spans="1:47" ht="15.75" customHeight="1">
      <c r="A9" s="137"/>
      <c r="B9" s="192">
        <v>6</v>
      </c>
      <c r="C9" s="193" t="s">
        <v>328</v>
      </c>
      <c r="D9" s="194" t="s">
        <v>152</v>
      </c>
      <c r="E9" s="195">
        <f>IFERROR(VLOOKUP($I$22&amp;$D9,'Development-Hidden'!$C$2:$J$118,4,FALSE)-P9+AF9,"")</f>
        <v>4</v>
      </c>
      <c r="F9" s="196">
        <f>IFERROR(VLOOKUP($I$22&amp;$D9,'Development-Hidden'!$C$2:$J$118,5,FALSE)-Q9+AG9,"")</f>
        <v>3</v>
      </c>
      <c r="G9" s="196">
        <f>IFERROR(VLOOKUP($I$22&amp;$D9,'Development-Hidden'!$C$2:$J$118,6,FALSE)-R9+AH9,"")</f>
        <v>2</v>
      </c>
      <c r="H9" s="197">
        <f>IFERROR(VLOOKUP($I$22&amp;$D9,'Development-Hidden'!$C$2:$J$118,7,FALSE)-S9+AI9,"")</f>
        <v>8</v>
      </c>
      <c r="I9" s="198" t="str">
        <f>IFERROR(VLOOKUP($I$22&amp;$D9,'Development-Hidden'!$C$2:$J$118,8,FALSE),"")</f>
        <v>Regeneration</v>
      </c>
      <c r="J9" s="199"/>
      <c r="K9" s="200">
        <f t="shared" si="0"/>
        <v>0</v>
      </c>
      <c r="L9" s="201"/>
      <c r="M9" s="201"/>
      <c r="N9" s="201"/>
      <c r="O9" s="202"/>
      <c r="P9" s="203"/>
      <c r="Q9" s="204"/>
      <c r="R9" s="204"/>
      <c r="S9" s="205"/>
      <c r="T9" s="206"/>
      <c r="U9" s="207"/>
      <c r="V9" s="207"/>
      <c r="W9" s="207"/>
      <c r="X9" s="204"/>
      <c r="Y9" s="208"/>
      <c r="Z9" s="209">
        <f t="shared" si="1"/>
        <v>0</v>
      </c>
      <c r="AA9" s="183">
        <f t="shared" si="2"/>
        <v>40000</v>
      </c>
      <c r="AB9" s="136"/>
      <c r="AC9" s="210">
        <f>IFERROR(VLOOKUP($I$22&amp;D9,'Development-Hidden'!$C$2:$E$118,3,FALSE),"")</f>
        <v>40000</v>
      </c>
      <c r="AD9" s="206"/>
      <c r="AE9" s="207"/>
      <c r="AF9" s="207"/>
      <c r="AG9" s="207"/>
      <c r="AH9" s="207"/>
      <c r="AI9" s="207"/>
      <c r="AJ9" s="211"/>
      <c r="AK9" s="136"/>
      <c r="AL9" s="227" t="s">
        <v>296</v>
      </c>
      <c r="AM9" s="228"/>
      <c r="AN9" s="229"/>
      <c r="AO9" s="230"/>
      <c r="AP9" s="231"/>
      <c r="AQ9" s="229"/>
      <c r="AR9" s="232"/>
      <c r="AS9" s="233"/>
      <c r="AT9" s="234"/>
      <c r="AU9" s="136"/>
    </row>
    <row r="10" spans="1:47" ht="15.75" customHeight="1">
      <c r="A10" s="137"/>
      <c r="B10" s="192">
        <v>7</v>
      </c>
      <c r="C10" s="193" t="s">
        <v>329</v>
      </c>
      <c r="D10" s="194" t="s">
        <v>152</v>
      </c>
      <c r="E10" s="195">
        <f>IFERROR(VLOOKUP($I$22&amp;$D10,'Development-Hidden'!$C$2:$J$118,4,FALSE)-P10+AF10,"")</f>
        <v>4</v>
      </c>
      <c r="F10" s="196">
        <f>IFERROR(VLOOKUP($I$22&amp;$D10,'Development-Hidden'!$C$2:$J$118,5,FALSE)-Q10+AG10,"")</f>
        <v>3</v>
      </c>
      <c r="G10" s="196">
        <f>IFERROR(VLOOKUP($I$22&amp;$D10,'Development-Hidden'!$C$2:$J$118,6,FALSE)-R10+AH10,"")</f>
        <v>2</v>
      </c>
      <c r="H10" s="197">
        <f>IFERROR(VLOOKUP($I$22&amp;$D10,'Development-Hidden'!$C$2:$J$118,7,FALSE)-S10+AI10,"")</f>
        <v>8</v>
      </c>
      <c r="I10" s="198" t="str">
        <f>IFERROR(VLOOKUP($I$22&amp;$D10,'Development-Hidden'!$C$2:$J$118,8,FALSE),"")</f>
        <v>Regeneration</v>
      </c>
      <c r="J10" s="199"/>
      <c r="K10" s="200">
        <f t="shared" si="0"/>
        <v>0</v>
      </c>
      <c r="L10" s="201"/>
      <c r="M10" s="201"/>
      <c r="N10" s="201"/>
      <c r="O10" s="202"/>
      <c r="P10" s="203"/>
      <c r="Q10" s="204"/>
      <c r="R10" s="204"/>
      <c r="S10" s="205"/>
      <c r="T10" s="206"/>
      <c r="U10" s="207"/>
      <c r="V10" s="207"/>
      <c r="W10" s="207"/>
      <c r="X10" s="204"/>
      <c r="Y10" s="208"/>
      <c r="Z10" s="209">
        <f t="shared" si="1"/>
        <v>0</v>
      </c>
      <c r="AA10" s="183">
        <f t="shared" si="2"/>
        <v>40000</v>
      </c>
      <c r="AB10" s="136"/>
      <c r="AC10" s="210">
        <f>IFERROR(VLOOKUP($I$22&amp;D10,'Development-Hidden'!$C$2:$E$118,3,FALSE),"")</f>
        <v>40000</v>
      </c>
      <c r="AD10" s="206"/>
      <c r="AE10" s="207"/>
      <c r="AF10" s="207"/>
      <c r="AG10" s="207"/>
      <c r="AH10" s="207"/>
      <c r="AI10" s="207"/>
      <c r="AJ10" s="211"/>
      <c r="AK10" s="136"/>
      <c r="AL10" s="227" t="s">
        <v>306</v>
      </c>
      <c r="AM10" s="228"/>
      <c r="AN10" s="229"/>
      <c r="AO10" s="230"/>
      <c r="AP10" s="231"/>
      <c r="AQ10" s="229"/>
      <c r="AR10" s="232"/>
      <c r="AS10" s="233"/>
      <c r="AT10" s="234"/>
      <c r="AU10" s="136"/>
    </row>
    <row r="11" spans="1:47" ht="15.75" customHeight="1">
      <c r="A11" s="137"/>
      <c r="B11" s="192">
        <v>8</v>
      </c>
      <c r="C11" s="193" t="s">
        <v>331</v>
      </c>
      <c r="D11" s="194" t="s">
        <v>152</v>
      </c>
      <c r="E11" s="195">
        <f>IFERROR(VLOOKUP($I$22&amp;$D11,'Development-Hidden'!$C$2:$J$118,4,FALSE)-P11+AF11,"")</f>
        <v>4</v>
      </c>
      <c r="F11" s="196">
        <f>IFERROR(VLOOKUP($I$22&amp;$D11,'Development-Hidden'!$C$2:$J$118,5,FALSE)-Q11+AG11,"")</f>
        <v>3</v>
      </c>
      <c r="G11" s="196">
        <f>IFERROR(VLOOKUP($I$22&amp;$D11,'Development-Hidden'!$C$2:$J$118,6,FALSE)-R11+AH11,"")</f>
        <v>2</v>
      </c>
      <c r="H11" s="197">
        <f>IFERROR(VLOOKUP($I$22&amp;$D11,'Development-Hidden'!$C$2:$J$118,7,FALSE)-S11+AI11,"")</f>
        <v>8</v>
      </c>
      <c r="I11" s="198" t="str">
        <f>IFERROR(VLOOKUP($I$22&amp;$D11,'Development-Hidden'!$C$2:$J$118,8,FALSE),"")</f>
        <v>Regeneration</v>
      </c>
      <c r="J11" s="199"/>
      <c r="K11" s="200">
        <f t="shared" si="0"/>
        <v>0</v>
      </c>
      <c r="L11" s="201"/>
      <c r="M11" s="201"/>
      <c r="N11" s="201"/>
      <c r="O11" s="202"/>
      <c r="P11" s="203"/>
      <c r="Q11" s="204"/>
      <c r="R11" s="204"/>
      <c r="S11" s="205"/>
      <c r="T11" s="206"/>
      <c r="U11" s="207"/>
      <c r="V11" s="207"/>
      <c r="W11" s="207"/>
      <c r="X11" s="204"/>
      <c r="Y11" s="208"/>
      <c r="Z11" s="209">
        <f t="shared" si="1"/>
        <v>0</v>
      </c>
      <c r="AA11" s="183">
        <f t="shared" si="2"/>
        <v>40000</v>
      </c>
      <c r="AB11" s="136"/>
      <c r="AC11" s="210">
        <f>IFERROR(VLOOKUP($I$22&amp;D11,'Development-Hidden'!$C$2:$E$118,3,FALSE),"")</f>
        <v>40000</v>
      </c>
      <c r="AD11" s="206"/>
      <c r="AE11" s="207"/>
      <c r="AF11" s="207"/>
      <c r="AG11" s="207"/>
      <c r="AH11" s="207"/>
      <c r="AI11" s="207"/>
      <c r="AJ11" s="211"/>
      <c r="AK11" s="136"/>
      <c r="AL11" s="227" t="s">
        <v>316</v>
      </c>
      <c r="AM11" s="228"/>
      <c r="AN11" s="229"/>
      <c r="AO11" s="230"/>
      <c r="AP11" s="231"/>
      <c r="AQ11" s="229"/>
      <c r="AR11" s="232"/>
      <c r="AS11" s="233"/>
      <c r="AT11" s="234"/>
      <c r="AU11" s="136"/>
    </row>
    <row r="12" spans="1:47" ht="15.75" customHeight="1">
      <c r="A12" s="137"/>
      <c r="B12" s="192">
        <v>9</v>
      </c>
      <c r="C12" s="193" t="s">
        <v>332</v>
      </c>
      <c r="D12" s="194" t="s">
        <v>152</v>
      </c>
      <c r="E12" s="195">
        <f>IFERROR(VLOOKUP($I$22&amp;$D12,'Development-Hidden'!$C$2:$J$118,4,FALSE)-P12+AF12,"")</f>
        <v>4</v>
      </c>
      <c r="F12" s="196">
        <f>IFERROR(VLOOKUP($I$22&amp;$D12,'Development-Hidden'!$C$2:$J$118,5,FALSE)-Q12+AG12,"")</f>
        <v>3</v>
      </c>
      <c r="G12" s="196">
        <f>IFERROR(VLOOKUP($I$22&amp;$D12,'Development-Hidden'!$C$2:$J$118,6,FALSE)-R12+AH12,"")</f>
        <v>2</v>
      </c>
      <c r="H12" s="197">
        <f>IFERROR(VLOOKUP($I$22&amp;$D12,'Development-Hidden'!$C$2:$J$118,7,FALSE)-S12+AI12,"")</f>
        <v>8</v>
      </c>
      <c r="I12" s="198" t="str">
        <f>IFERROR(VLOOKUP($I$22&amp;$D12,'Development-Hidden'!$C$2:$J$118,8,FALSE),"")</f>
        <v>Regeneration</v>
      </c>
      <c r="J12" s="199"/>
      <c r="K12" s="200">
        <f t="shared" si="0"/>
        <v>0</v>
      </c>
      <c r="L12" s="201"/>
      <c r="M12" s="201"/>
      <c r="N12" s="201"/>
      <c r="O12" s="202"/>
      <c r="P12" s="203"/>
      <c r="Q12" s="204"/>
      <c r="R12" s="204"/>
      <c r="S12" s="205"/>
      <c r="T12" s="206"/>
      <c r="U12" s="207"/>
      <c r="V12" s="207"/>
      <c r="W12" s="207"/>
      <c r="X12" s="204"/>
      <c r="Y12" s="208"/>
      <c r="Z12" s="209">
        <f t="shared" si="1"/>
        <v>0</v>
      </c>
      <c r="AA12" s="183">
        <f t="shared" si="2"/>
        <v>40000</v>
      </c>
      <c r="AB12" s="136"/>
      <c r="AC12" s="210">
        <f>IFERROR(VLOOKUP($I$22&amp;D12,'Development-Hidden'!$C$2:$E$118,3,FALSE),"")</f>
        <v>40000</v>
      </c>
      <c r="AD12" s="206"/>
      <c r="AE12" s="207"/>
      <c r="AF12" s="207"/>
      <c r="AG12" s="207"/>
      <c r="AH12" s="207"/>
      <c r="AI12" s="207"/>
      <c r="AJ12" s="211"/>
      <c r="AK12" s="136"/>
      <c r="AL12" s="227" t="s">
        <v>330</v>
      </c>
      <c r="AM12" s="228"/>
      <c r="AN12" s="229"/>
      <c r="AO12" s="230"/>
      <c r="AP12" s="231"/>
      <c r="AQ12" s="229"/>
      <c r="AR12" s="232"/>
      <c r="AS12" s="233"/>
      <c r="AT12" s="234"/>
      <c r="AU12" s="136"/>
    </row>
    <row r="13" spans="1:47" ht="15.75" customHeight="1">
      <c r="A13" s="137"/>
      <c r="B13" s="192">
        <v>10</v>
      </c>
      <c r="C13" s="193" t="s">
        <v>333</v>
      </c>
      <c r="D13" s="194" t="s">
        <v>152</v>
      </c>
      <c r="E13" s="195">
        <f>IFERROR(VLOOKUP($I$22&amp;$D13,'Development-Hidden'!$C$2:$J$118,4,FALSE)-P13+AF13,"")</f>
        <v>4</v>
      </c>
      <c r="F13" s="196">
        <f>IFERROR(VLOOKUP($I$22&amp;$D13,'Development-Hidden'!$C$2:$J$118,5,FALSE)-Q13+AG13,"")</f>
        <v>3</v>
      </c>
      <c r="G13" s="196">
        <f>IFERROR(VLOOKUP($I$22&amp;$D13,'Development-Hidden'!$C$2:$J$118,6,FALSE)-R13+AH13,"")</f>
        <v>2</v>
      </c>
      <c r="H13" s="197">
        <f>IFERROR(VLOOKUP($I$22&amp;$D13,'Development-Hidden'!$C$2:$J$118,7,FALSE)-S13+AI13,"")</f>
        <v>8</v>
      </c>
      <c r="I13" s="198" t="str">
        <f>IFERROR(VLOOKUP($I$22&amp;$D13,'Development-Hidden'!$C$2:$J$118,8,FALSE),"")</f>
        <v>Regeneration</v>
      </c>
      <c r="J13" s="199"/>
      <c r="K13" s="200">
        <f t="shared" si="0"/>
        <v>0</v>
      </c>
      <c r="L13" s="201"/>
      <c r="M13" s="201"/>
      <c r="N13" s="201"/>
      <c r="O13" s="202"/>
      <c r="P13" s="203"/>
      <c r="Q13" s="204"/>
      <c r="R13" s="204"/>
      <c r="S13" s="205"/>
      <c r="T13" s="206"/>
      <c r="U13" s="207"/>
      <c r="V13" s="207"/>
      <c r="W13" s="207"/>
      <c r="X13" s="204"/>
      <c r="Y13" s="208"/>
      <c r="Z13" s="209">
        <f t="shared" si="1"/>
        <v>0</v>
      </c>
      <c r="AA13" s="183">
        <f t="shared" si="2"/>
        <v>40000</v>
      </c>
      <c r="AB13" s="136"/>
      <c r="AC13" s="210">
        <f>IFERROR(VLOOKUP($I$22&amp;D13,'Development-Hidden'!$C$2:$E$118,3,FALSE),"")</f>
        <v>40000</v>
      </c>
      <c r="AD13" s="206"/>
      <c r="AE13" s="207"/>
      <c r="AF13" s="207"/>
      <c r="AG13" s="207"/>
      <c r="AH13" s="207"/>
      <c r="AI13" s="207"/>
      <c r="AJ13" s="211"/>
      <c r="AK13" s="136"/>
      <c r="AL13" s="227" t="s">
        <v>342</v>
      </c>
      <c r="AM13" s="228"/>
      <c r="AN13" s="229"/>
      <c r="AO13" s="230"/>
      <c r="AP13" s="231"/>
      <c r="AQ13" s="229"/>
      <c r="AR13" s="232"/>
      <c r="AS13" s="233"/>
      <c r="AT13" s="234"/>
      <c r="AU13" s="136"/>
    </row>
    <row r="14" spans="1:47" ht="15.75" customHeight="1">
      <c r="A14" s="137"/>
      <c r="B14" s="192">
        <v>11</v>
      </c>
      <c r="C14" s="193" t="s">
        <v>151</v>
      </c>
      <c r="D14" s="194" t="s">
        <v>152</v>
      </c>
      <c r="E14" s="195">
        <f>IFERROR(VLOOKUP($I$22&amp;$D14,'Development-Hidden'!$C$2:$J$118,4,FALSE)-P14+AF14,"")</f>
        <v>4</v>
      </c>
      <c r="F14" s="196">
        <f>IFERROR(VLOOKUP($I$22&amp;$D14,'Development-Hidden'!$C$2:$J$118,5,FALSE)-Q14+AG14,"")</f>
        <v>3</v>
      </c>
      <c r="G14" s="196">
        <f>IFERROR(VLOOKUP($I$22&amp;$D14,'Development-Hidden'!$C$2:$J$118,6,FALSE)-R14+AH14,"")</f>
        <v>2</v>
      </c>
      <c r="H14" s="197">
        <f>IFERROR(VLOOKUP($I$22&amp;$D14,'Development-Hidden'!$C$2:$J$118,7,FALSE)-S14+AI14,"")</f>
        <v>8</v>
      </c>
      <c r="I14" s="198" t="str">
        <f>IFERROR(VLOOKUP($I$22&amp;$D14,'Development-Hidden'!$C$2:$J$118,8,FALSE),"")</f>
        <v>Regeneration</v>
      </c>
      <c r="J14" s="199" t="s">
        <v>363</v>
      </c>
      <c r="K14" s="200">
        <f t="shared" si="0"/>
        <v>1</v>
      </c>
      <c r="L14" s="201"/>
      <c r="M14" s="201"/>
      <c r="N14" s="201"/>
      <c r="O14" s="202"/>
      <c r="P14" s="203"/>
      <c r="Q14" s="204"/>
      <c r="R14" s="204"/>
      <c r="S14" s="205"/>
      <c r="T14" s="206"/>
      <c r="U14" s="207"/>
      <c r="V14" s="207"/>
      <c r="W14" s="207">
        <v>1</v>
      </c>
      <c r="X14" s="204"/>
      <c r="Y14" s="208">
        <v>1</v>
      </c>
      <c r="Z14" s="209">
        <f t="shared" si="1"/>
        <v>7</v>
      </c>
      <c r="AA14" s="183">
        <f t="shared" si="2"/>
        <v>60000</v>
      </c>
      <c r="AB14" s="136"/>
      <c r="AC14" s="210">
        <f>IFERROR(VLOOKUP($I$22&amp;D14,'Development-Hidden'!$C$2:$E$118,3,FALSE),"")</f>
        <v>40000</v>
      </c>
      <c r="AD14" s="206">
        <v>1</v>
      </c>
      <c r="AE14" s="207"/>
      <c r="AF14" s="207"/>
      <c r="AG14" s="207"/>
      <c r="AH14" s="207"/>
      <c r="AI14" s="207"/>
      <c r="AJ14" s="211"/>
      <c r="AK14" s="136"/>
      <c r="AL14" s="227" t="s">
        <v>354</v>
      </c>
      <c r="AM14" s="228"/>
      <c r="AN14" s="229"/>
      <c r="AO14" s="230"/>
      <c r="AP14" s="231"/>
      <c r="AQ14" s="229"/>
      <c r="AR14" s="232"/>
      <c r="AS14" s="233"/>
      <c r="AT14" s="234"/>
      <c r="AU14" s="136"/>
    </row>
    <row r="15" spans="1:47" ht="15.75" customHeight="1">
      <c r="A15" s="137"/>
      <c r="B15" s="192">
        <v>12</v>
      </c>
      <c r="C15" s="193" t="s">
        <v>268</v>
      </c>
      <c r="D15" s="194" t="s">
        <v>152</v>
      </c>
      <c r="E15" s="195">
        <f>IFERROR(VLOOKUP($I$22&amp;$D15,'Development-Hidden'!$C$2:$J$118,4,FALSE)-P15+AF15,"")</f>
        <v>4</v>
      </c>
      <c r="F15" s="196">
        <f>IFERROR(VLOOKUP($I$22&amp;$D15,'Development-Hidden'!$C$2:$J$118,5,FALSE)-Q15+AG15,"")</f>
        <v>3</v>
      </c>
      <c r="G15" s="196">
        <f>IFERROR(VLOOKUP($I$22&amp;$D15,'Development-Hidden'!$C$2:$J$118,6,FALSE)-R15+AH15,"")</f>
        <v>2</v>
      </c>
      <c r="H15" s="197">
        <f>IFERROR(VLOOKUP($I$22&amp;$D15,'Development-Hidden'!$C$2:$J$118,7,FALSE)-S15+AI15,"")</f>
        <v>8</v>
      </c>
      <c r="I15" s="198" t="str">
        <f>IFERROR(VLOOKUP($I$22&amp;$D15,'Development-Hidden'!$C$2:$J$118,8,FALSE),"")</f>
        <v>Regeneration</v>
      </c>
      <c r="J15" s="199" t="s">
        <v>277</v>
      </c>
      <c r="K15" s="200">
        <f t="shared" si="0"/>
        <v>1</v>
      </c>
      <c r="L15" s="201"/>
      <c r="M15" s="201"/>
      <c r="N15" s="201"/>
      <c r="O15" s="202"/>
      <c r="P15" s="203"/>
      <c r="Q15" s="204"/>
      <c r="R15" s="204"/>
      <c r="S15" s="205"/>
      <c r="T15" s="206"/>
      <c r="U15" s="207"/>
      <c r="V15" s="207"/>
      <c r="W15" s="207">
        <v>1</v>
      </c>
      <c r="X15" s="204"/>
      <c r="Y15" s="208">
        <v>1</v>
      </c>
      <c r="Z15" s="209">
        <f t="shared" si="1"/>
        <v>7</v>
      </c>
      <c r="AA15" s="183">
        <f t="shared" si="2"/>
        <v>60000</v>
      </c>
      <c r="AB15" s="136"/>
      <c r="AC15" s="210">
        <f>IFERROR(VLOOKUP($I$22&amp;D15,'Development-Hidden'!$C$2:$E$118,3,FALSE),"")</f>
        <v>40000</v>
      </c>
      <c r="AD15" s="206">
        <v>1</v>
      </c>
      <c r="AE15" s="207"/>
      <c r="AF15" s="207"/>
      <c r="AG15" s="207"/>
      <c r="AH15" s="207"/>
      <c r="AI15" s="207"/>
      <c r="AJ15" s="211"/>
      <c r="AK15" s="136"/>
      <c r="AL15" s="227" t="s">
        <v>355</v>
      </c>
      <c r="AM15" s="228"/>
      <c r="AN15" s="229"/>
      <c r="AO15" s="230"/>
      <c r="AP15" s="231"/>
      <c r="AQ15" s="229"/>
      <c r="AR15" s="232"/>
      <c r="AS15" s="233"/>
      <c r="AT15" s="234"/>
      <c r="AU15" s="136"/>
    </row>
    <row r="16" spans="1:47" ht="15.75" customHeight="1">
      <c r="A16" s="137"/>
      <c r="B16" s="192">
        <v>13</v>
      </c>
      <c r="C16" s="193" t="s">
        <v>153</v>
      </c>
      <c r="D16" s="194" t="s">
        <v>152</v>
      </c>
      <c r="E16" s="195">
        <f>IFERROR(VLOOKUP($I$22&amp;$D16,'Development-Hidden'!$C$2:$J$118,4,FALSE)-P16+AF16,"")</f>
        <v>4</v>
      </c>
      <c r="F16" s="196">
        <f>IFERROR(VLOOKUP($I$22&amp;$D16,'Development-Hidden'!$C$2:$J$118,5,FALSE)-Q16+AG16,"")</f>
        <v>3</v>
      </c>
      <c r="G16" s="196">
        <f>IFERROR(VLOOKUP($I$22&amp;$D16,'Development-Hidden'!$C$2:$J$118,6,FALSE)-R16+AH16,"")</f>
        <v>2</v>
      </c>
      <c r="H16" s="197">
        <f>IFERROR(VLOOKUP($I$22&amp;$D16,'Development-Hidden'!$C$2:$J$118,7,FALSE)-S16+AI16,"")</f>
        <v>8</v>
      </c>
      <c r="I16" s="198" t="str">
        <f>IFERROR(VLOOKUP($I$22&amp;$D16,'Development-Hidden'!$C$2:$J$118,8,FALSE),"")</f>
        <v>Regeneration</v>
      </c>
      <c r="J16" s="199" t="s">
        <v>277</v>
      </c>
      <c r="K16" s="200">
        <f t="shared" si="0"/>
        <v>1</v>
      </c>
      <c r="L16" s="201"/>
      <c r="M16" s="201"/>
      <c r="N16" s="201"/>
      <c r="O16" s="202"/>
      <c r="P16" s="203"/>
      <c r="Q16" s="204"/>
      <c r="R16" s="204"/>
      <c r="S16" s="205"/>
      <c r="T16" s="206"/>
      <c r="U16" s="207"/>
      <c r="V16" s="207"/>
      <c r="W16" s="207">
        <v>2</v>
      </c>
      <c r="X16" s="204"/>
      <c r="Y16" s="208">
        <v>1</v>
      </c>
      <c r="Z16" s="209">
        <f t="shared" si="1"/>
        <v>9</v>
      </c>
      <c r="AA16" s="183">
        <f t="shared" si="2"/>
        <v>60000</v>
      </c>
      <c r="AB16" s="136"/>
      <c r="AC16" s="210">
        <f>IFERROR(VLOOKUP($I$22&amp;D16,'Development-Hidden'!$C$2:$E$118,3,FALSE),"")</f>
        <v>40000</v>
      </c>
      <c r="AD16" s="206">
        <v>1</v>
      </c>
      <c r="AE16" s="207"/>
      <c r="AF16" s="207"/>
      <c r="AG16" s="207"/>
      <c r="AH16" s="207"/>
      <c r="AI16" s="207"/>
      <c r="AJ16" s="211"/>
      <c r="AK16" s="136"/>
      <c r="AL16" s="227" t="s">
        <v>357</v>
      </c>
      <c r="AM16" s="228"/>
      <c r="AN16" s="229"/>
      <c r="AO16" s="230"/>
      <c r="AP16" s="231"/>
      <c r="AQ16" s="229"/>
      <c r="AR16" s="232"/>
      <c r="AS16" s="233"/>
      <c r="AT16" s="234"/>
      <c r="AU16" s="136"/>
    </row>
    <row r="17" spans="1:47" ht="15.75" customHeight="1">
      <c r="A17" s="137"/>
      <c r="B17" s="192">
        <v>14</v>
      </c>
      <c r="C17" s="193" t="s">
        <v>334</v>
      </c>
      <c r="D17" s="194" t="s">
        <v>152</v>
      </c>
      <c r="E17" s="195">
        <f>IFERROR(VLOOKUP($I$22&amp;$D17,'Development-Hidden'!$C$2:$J$118,4,FALSE)-P17+AF17,"")</f>
        <v>4</v>
      </c>
      <c r="F17" s="196">
        <f>IFERROR(VLOOKUP($I$22&amp;$D17,'Development-Hidden'!$C$2:$J$118,5,FALSE)-Q17+AG17,"")</f>
        <v>3</v>
      </c>
      <c r="G17" s="196">
        <f>IFERROR(VLOOKUP($I$22&amp;$D17,'Development-Hidden'!$C$2:$J$118,6,FALSE)-R17+AH17,"")</f>
        <v>2</v>
      </c>
      <c r="H17" s="197">
        <f>IFERROR(VLOOKUP($I$22&amp;$D17,'Development-Hidden'!$C$2:$J$118,7,FALSE)-S17+AI17,"")</f>
        <v>8</v>
      </c>
      <c r="I17" s="198" t="str">
        <f>IFERROR(VLOOKUP($I$22&amp;$D17,'Development-Hidden'!$C$2:$J$118,8,FALSE),"")</f>
        <v>Regeneration</v>
      </c>
      <c r="J17" s="199"/>
      <c r="K17" s="200">
        <f t="shared" si="0"/>
        <v>0</v>
      </c>
      <c r="L17" s="201"/>
      <c r="M17" s="201"/>
      <c r="N17" s="201"/>
      <c r="O17" s="202"/>
      <c r="P17" s="203"/>
      <c r="Q17" s="204"/>
      <c r="R17" s="204"/>
      <c r="S17" s="205"/>
      <c r="T17" s="206"/>
      <c r="U17" s="207"/>
      <c r="V17" s="207"/>
      <c r="W17" s="207"/>
      <c r="X17" s="204"/>
      <c r="Y17" s="208"/>
      <c r="Z17" s="209">
        <f t="shared" si="1"/>
        <v>0</v>
      </c>
      <c r="AA17" s="183">
        <f t="shared" si="2"/>
        <v>40000</v>
      </c>
      <c r="AB17" s="136"/>
      <c r="AC17" s="210">
        <f>IFERROR(VLOOKUP($I$22&amp;D17,'Development-Hidden'!$C$2:$E$118,3,FALSE),"")</f>
        <v>40000</v>
      </c>
      <c r="AD17" s="206"/>
      <c r="AE17" s="207"/>
      <c r="AF17" s="207"/>
      <c r="AG17" s="207"/>
      <c r="AH17" s="207"/>
      <c r="AI17" s="207"/>
      <c r="AJ17" s="211"/>
      <c r="AK17" s="136"/>
      <c r="AL17" s="235" t="s">
        <v>359</v>
      </c>
      <c r="AM17" s="236"/>
      <c r="AN17" s="237"/>
      <c r="AO17" s="238"/>
      <c r="AP17" s="239"/>
      <c r="AQ17" s="237"/>
      <c r="AR17" s="240"/>
      <c r="AS17" s="241"/>
      <c r="AT17" s="242"/>
      <c r="AU17" s="136"/>
    </row>
    <row r="18" spans="1:47" ht="15.75" customHeight="1">
      <c r="A18" s="137"/>
      <c r="B18" s="192">
        <v>15</v>
      </c>
      <c r="C18" s="249" t="s">
        <v>335</v>
      </c>
      <c r="D18" s="194" t="s">
        <v>152</v>
      </c>
      <c r="E18" s="195">
        <f>IFERROR(VLOOKUP($I$22&amp;$D18,'Development-Hidden'!$C$2:$J$118,4,FALSE)-P18+AF18,"")</f>
        <v>4</v>
      </c>
      <c r="F18" s="196">
        <f>IFERROR(VLOOKUP($I$22&amp;$D18,'Development-Hidden'!$C$2:$J$118,5,FALSE)-Q18+AG18,"")</f>
        <v>3</v>
      </c>
      <c r="G18" s="196">
        <f>IFERROR(VLOOKUP($I$22&amp;$D18,'Development-Hidden'!$C$2:$J$118,6,FALSE)-R18+AH18,"")</f>
        <v>2</v>
      </c>
      <c r="H18" s="197">
        <f>IFERROR(VLOOKUP($I$22&amp;$D18,'Development-Hidden'!$C$2:$J$118,7,FALSE)-S18+AI18,"")</f>
        <v>8</v>
      </c>
      <c r="I18" s="198" t="str">
        <f>IFERROR(VLOOKUP($I$22&amp;$D18,'Development-Hidden'!$C$2:$J$118,8,FALSE),"")</f>
        <v>Regeneration</v>
      </c>
      <c r="J18" s="199"/>
      <c r="K18" s="200">
        <f t="shared" si="0"/>
        <v>0</v>
      </c>
      <c r="L18" s="201"/>
      <c r="M18" s="201"/>
      <c r="N18" s="201"/>
      <c r="O18" s="202"/>
      <c r="P18" s="203"/>
      <c r="Q18" s="204"/>
      <c r="R18" s="204"/>
      <c r="S18" s="205"/>
      <c r="T18" s="206"/>
      <c r="U18" s="207"/>
      <c r="V18" s="207"/>
      <c r="W18" s="207"/>
      <c r="X18" s="204"/>
      <c r="Y18" s="208"/>
      <c r="Z18" s="209">
        <f t="shared" si="1"/>
        <v>0</v>
      </c>
      <c r="AA18" s="183">
        <f t="shared" si="2"/>
        <v>40000</v>
      </c>
      <c r="AB18" s="136"/>
      <c r="AC18" s="210">
        <f>IFERROR(VLOOKUP($I$22&amp;D18,'Development-Hidden'!$C$2:$E$118,3,FALSE),"")</f>
        <v>40000</v>
      </c>
      <c r="AD18" s="206"/>
      <c r="AE18" s="207"/>
      <c r="AF18" s="207"/>
      <c r="AG18" s="207"/>
      <c r="AH18" s="207"/>
      <c r="AI18" s="207"/>
      <c r="AJ18" s="211"/>
      <c r="AK18" s="136"/>
      <c r="AL18" s="243" t="s">
        <v>219</v>
      </c>
      <c r="AM18" s="244">
        <f>AM4+SUM(AM6:AM17)-SUM(AN6:AN17)-SUM(AO6:AO17)</f>
        <v>90000</v>
      </c>
      <c r="AN18" s="136"/>
      <c r="AO18" s="136"/>
      <c r="AP18" s="189"/>
      <c r="AQ18" s="243" t="s">
        <v>219</v>
      </c>
      <c r="AR18" s="245">
        <f t="shared" ref="AR18:AS18" si="3">SUM(AR6:AR17)</f>
        <v>0</v>
      </c>
      <c r="AS18" s="246">
        <f t="shared" si="3"/>
        <v>2</v>
      </c>
      <c r="AT18" s="247">
        <f>AT4+SUM(AT6:AT17)</f>
        <v>4</v>
      </c>
      <c r="AU18" s="140"/>
    </row>
    <row r="19" spans="1:47" ht="15.75" customHeight="1">
      <c r="A19" s="137"/>
      <c r="B19" s="248">
        <v>16</v>
      </c>
      <c r="C19" s="249"/>
      <c r="D19" s="250"/>
      <c r="E19" s="251" t="str">
        <f>IFERROR(VLOOKUP($I$22&amp;$D19,'Development-Hidden'!$C$2:$J$118,4,FALSE)-P19+AF19,"")</f>
        <v/>
      </c>
      <c r="F19" s="252" t="str">
        <f>IFERROR(VLOOKUP($I$22&amp;$D19,'Development-Hidden'!$C$2:$J$118,5,FALSE)-Q19+AG19,"")</f>
        <v/>
      </c>
      <c r="G19" s="252" t="str">
        <f>IFERROR(VLOOKUP($I$22&amp;$D19,'Development-Hidden'!$C$2:$J$118,6,FALSE)-R19+AH19,"")</f>
        <v/>
      </c>
      <c r="H19" s="253" t="str">
        <f>IFERROR(VLOOKUP($I$22&amp;$D19,'Development-Hidden'!$C$2:$J$118,7,FALSE)-S19+AI19,"")</f>
        <v/>
      </c>
      <c r="I19" s="254" t="str">
        <f>IFERROR(VLOOKUP($I$22&amp;$D19,'Development-Hidden'!$C$2:$J$118,8,FALSE),"")</f>
        <v/>
      </c>
      <c r="J19" s="255"/>
      <c r="K19" s="256">
        <f t="shared" si="0"/>
        <v>0</v>
      </c>
      <c r="L19" s="257"/>
      <c r="M19" s="257"/>
      <c r="N19" s="257"/>
      <c r="O19" s="258"/>
      <c r="P19" s="259"/>
      <c r="Q19" s="260"/>
      <c r="R19" s="260"/>
      <c r="S19" s="261"/>
      <c r="T19" s="262"/>
      <c r="U19" s="263"/>
      <c r="V19" s="263"/>
      <c r="W19" s="263"/>
      <c r="X19" s="260"/>
      <c r="Y19" s="264"/>
      <c r="Z19" s="265">
        <f t="shared" si="1"/>
        <v>0</v>
      </c>
      <c r="AA19" s="183">
        <f t="shared" si="2"/>
        <v>0</v>
      </c>
      <c r="AB19" s="136"/>
      <c r="AC19" s="210" t="str">
        <f>IFERROR(VLOOKUP($I$22&amp;D19,'Development-Hidden'!$C$2:$E$118,3,FALSE),"0")</f>
        <v>0</v>
      </c>
      <c r="AD19" s="267"/>
      <c r="AE19" s="268"/>
      <c r="AF19" s="268"/>
      <c r="AG19" s="268"/>
      <c r="AH19" s="268"/>
      <c r="AI19" s="268"/>
      <c r="AJ19" s="269"/>
      <c r="AK19" s="136"/>
    </row>
    <row r="20" spans="1:47" ht="15.75" customHeight="1">
      <c r="A20" s="137"/>
      <c r="B20" s="571"/>
      <c r="C20" s="572"/>
      <c r="D20" s="573"/>
      <c r="E20" s="586" t="s">
        <v>364</v>
      </c>
      <c r="F20" s="587"/>
      <c r="G20" s="587"/>
      <c r="H20" s="587"/>
      <c r="I20" s="587"/>
      <c r="J20" s="587"/>
      <c r="K20" s="587"/>
      <c r="L20" s="587"/>
      <c r="M20" s="587"/>
      <c r="N20" s="587"/>
      <c r="O20" s="587"/>
      <c r="P20" s="587"/>
      <c r="Q20" s="587"/>
      <c r="R20" s="587"/>
      <c r="S20" s="587"/>
      <c r="T20" s="587"/>
      <c r="U20" s="587"/>
      <c r="V20" s="587"/>
      <c r="W20" s="587"/>
      <c r="X20" s="587"/>
      <c r="Y20" s="587"/>
      <c r="Z20" s="588"/>
      <c r="AA20" s="270">
        <f>SUM(AA4:AA19)</f>
        <v>870000</v>
      </c>
      <c r="AB20" s="136"/>
      <c r="AC20" s="136"/>
      <c r="AD20" s="136"/>
      <c r="AE20" s="136"/>
      <c r="AF20" s="136"/>
      <c r="AG20" s="136"/>
      <c r="AH20" s="136"/>
      <c r="AI20" s="136"/>
      <c r="AJ20" s="136"/>
      <c r="AK20" s="136"/>
      <c r="AL20" s="189"/>
      <c r="AM20" s="189"/>
      <c r="AN20" s="189"/>
      <c r="AO20" s="189"/>
      <c r="AP20" s="189"/>
      <c r="AQ20" s="189"/>
      <c r="AR20" s="189"/>
      <c r="AS20" s="189"/>
      <c r="AT20" s="189"/>
      <c r="AU20" s="189"/>
    </row>
    <row r="21" spans="1:47" ht="15.75" customHeight="1">
      <c r="A21" s="137"/>
      <c r="B21" s="574"/>
      <c r="C21" s="575"/>
      <c r="D21" s="576"/>
      <c r="E21" s="580" t="s">
        <v>365</v>
      </c>
      <c r="F21" s="581"/>
      <c r="G21" s="581"/>
      <c r="H21" s="581"/>
      <c r="I21" s="589" t="s">
        <v>26</v>
      </c>
      <c r="J21" s="581"/>
      <c r="K21" s="590"/>
      <c r="L21" s="584" t="s">
        <v>366</v>
      </c>
      <c r="M21" s="581"/>
      <c r="N21" s="581"/>
      <c r="O21" s="581"/>
      <c r="P21" s="581"/>
      <c r="Q21" s="581"/>
      <c r="R21" s="581"/>
      <c r="S21" s="585"/>
      <c r="T21" s="271">
        <v>4</v>
      </c>
      <c r="U21" s="272" t="s">
        <v>220</v>
      </c>
      <c r="V21" s="580">
        <f>IFERROR(VLOOKUP(I22,'Development-Hidden'!N2:O28,2,FALSE),"")</f>
        <v>70000</v>
      </c>
      <c r="W21" s="581"/>
      <c r="X21" s="581"/>
      <c r="Y21" s="581"/>
      <c r="Z21" s="590"/>
      <c r="AA21" s="273">
        <f t="shared" ref="AA21:AA25" si="4">T21*V21</f>
        <v>280000</v>
      </c>
      <c r="AB21" s="136"/>
      <c r="AC21" s="136"/>
      <c r="AD21" s="136"/>
      <c r="AE21" s="136"/>
      <c r="AF21" s="136"/>
      <c r="AG21" s="136"/>
      <c r="AH21" s="136"/>
      <c r="AI21" s="136"/>
      <c r="AJ21" s="136"/>
      <c r="AK21" s="136"/>
      <c r="AL21" s="604" t="s">
        <v>367</v>
      </c>
      <c r="AM21" s="588"/>
      <c r="AN21" s="136"/>
      <c r="AO21" s="136"/>
      <c r="AP21" s="136"/>
      <c r="AQ21" s="136"/>
      <c r="AR21" s="136"/>
      <c r="AS21" s="136"/>
      <c r="AT21" s="136"/>
      <c r="AU21" s="136"/>
    </row>
    <row r="22" spans="1:47" ht="15.75" customHeight="1">
      <c r="A22" s="137"/>
      <c r="B22" s="574"/>
      <c r="C22" s="575"/>
      <c r="D22" s="576"/>
      <c r="E22" s="582" t="s">
        <v>368</v>
      </c>
      <c r="F22" s="583"/>
      <c r="G22" s="583"/>
      <c r="H22" s="583"/>
      <c r="I22" s="598" t="s">
        <v>27</v>
      </c>
      <c r="J22" s="583"/>
      <c r="K22" s="597"/>
      <c r="L22" s="591" t="s">
        <v>369</v>
      </c>
      <c r="M22" s="583"/>
      <c r="N22" s="583"/>
      <c r="O22" s="583"/>
      <c r="P22" s="583"/>
      <c r="Q22" s="583"/>
      <c r="R22" s="583"/>
      <c r="S22" s="592"/>
      <c r="T22" s="274">
        <f>AT18</f>
        <v>4</v>
      </c>
      <c r="U22" s="275" t="s">
        <v>220</v>
      </c>
      <c r="V22" s="582">
        <v>10000</v>
      </c>
      <c r="W22" s="583"/>
      <c r="X22" s="583"/>
      <c r="Y22" s="583"/>
      <c r="Z22" s="597"/>
      <c r="AA22" s="276">
        <f t="shared" si="4"/>
        <v>40000</v>
      </c>
      <c r="AB22" s="136"/>
      <c r="AC22" s="136"/>
      <c r="AD22" s="136"/>
      <c r="AE22" s="136"/>
      <c r="AF22" s="136"/>
      <c r="AG22" s="136"/>
      <c r="AH22" s="136"/>
      <c r="AI22" s="136"/>
      <c r="AJ22" s="136"/>
      <c r="AK22" s="136"/>
      <c r="AL22" s="277" t="s">
        <v>370</v>
      </c>
      <c r="AM22" s="278">
        <f>AM18</f>
        <v>90000</v>
      </c>
      <c r="AN22" s="136"/>
      <c r="AO22" s="136"/>
      <c r="AP22" s="136"/>
      <c r="AQ22" s="136"/>
      <c r="AR22" s="136"/>
      <c r="AS22" s="136"/>
      <c r="AT22" s="136"/>
      <c r="AU22" s="136"/>
    </row>
    <row r="23" spans="1:47" ht="15.75" customHeight="1">
      <c r="A23" s="137"/>
      <c r="B23" s="574"/>
      <c r="C23" s="575"/>
      <c r="D23" s="576"/>
      <c r="E23" s="582" t="str">
        <f>IFERROR(IF(VLOOKUP(I22,'Development-Hidden'!X2:Y28,2,FALSE)="Yes","NECROMANCER","HEAD COACH"),"HEAD COACH")</f>
        <v>NECROMANCER</v>
      </c>
      <c r="F23" s="583"/>
      <c r="G23" s="583"/>
      <c r="H23" s="583"/>
      <c r="I23" s="598" t="s">
        <v>374</v>
      </c>
      <c r="J23" s="583"/>
      <c r="K23" s="597"/>
      <c r="L23" s="591" t="s">
        <v>371</v>
      </c>
      <c r="M23" s="583"/>
      <c r="N23" s="583"/>
      <c r="O23" s="583"/>
      <c r="P23" s="583"/>
      <c r="Q23" s="583"/>
      <c r="R23" s="583"/>
      <c r="S23" s="592"/>
      <c r="T23" s="274">
        <v>1</v>
      </c>
      <c r="U23" s="275" t="s">
        <v>220</v>
      </c>
      <c r="V23" s="582">
        <v>10000</v>
      </c>
      <c r="W23" s="583"/>
      <c r="X23" s="583"/>
      <c r="Y23" s="583"/>
      <c r="Z23" s="597"/>
      <c r="AA23" s="276">
        <f t="shared" si="4"/>
        <v>10000</v>
      </c>
      <c r="AB23" s="136"/>
      <c r="AC23" s="136"/>
      <c r="AD23" s="136"/>
      <c r="AE23" s="136"/>
      <c r="AF23" s="136"/>
      <c r="AG23" s="136"/>
      <c r="AH23" s="136"/>
      <c r="AI23" s="136"/>
      <c r="AJ23" s="136"/>
      <c r="AK23" s="136"/>
      <c r="AL23" s="279" t="s">
        <v>372</v>
      </c>
      <c r="AM23" s="280">
        <f>COUNTA(AP6:AP17)*10000</f>
        <v>10000</v>
      </c>
      <c r="AN23" s="136"/>
      <c r="AO23" s="136"/>
      <c r="AP23" s="136"/>
      <c r="AQ23" s="136"/>
      <c r="AR23" s="136"/>
      <c r="AS23" s="136"/>
      <c r="AT23" s="136"/>
      <c r="AU23" s="136"/>
    </row>
    <row r="24" spans="1:47" ht="15.75" customHeight="1">
      <c r="A24" s="137"/>
      <c r="B24" s="574"/>
      <c r="C24" s="575"/>
      <c r="D24" s="576"/>
      <c r="E24" s="582" t="s">
        <v>373</v>
      </c>
      <c r="F24" s="583"/>
      <c r="G24" s="583"/>
      <c r="H24" s="583"/>
      <c r="I24" s="599">
        <f>AA20+AA26</f>
        <v>1210000</v>
      </c>
      <c r="J24" s="583"/>
      <c r="K24" s="597"/>
      <c r="L24" s="591" t="s">
        <v>375</v>
      </c>
      <c r="M24" s="583"/>
      <c r="N24" s="583"/>
      <c r="O24" s="583"/>
      <c r="P24" s="583"/>
      <c r="Q24" s="583"/>
      <c r="R24" s="583"/>
      <c r="S24" s="592"/>
      <c r="T24" s="274">
        <v>1</v>
      </c>
      <c r="U24" s="275" t="s">
        <v>220</v>
      </c>
      <c r="V24" s="582">
        <v>10000</v>
      </c>
      <c r="W24" s="583"/>
      <c r="X24" s="583"/>
      <c r="Y24" s="583"/>
      <c r="Z24" s="597"/>
      <c r="AA24" s="276">
        <f t="shared" si="4"/>
        <v>10000</v>
      </c>
      <c r="AB24" s="136"/>
      <c r="AC24" s="136"/>
      <c r="AD24" s="136"/>
      <c r="AE24" s="136"/>
      <c r="AF24" s="136"/>
      <c r="AG24" s="136"/>
      <c r="AH24" s="136"/>
      <c r="AI24" s="136"/>
      <c r="AJ24" s="136"/>
      <c r="AK24" s="136"/>
      <c r="AL24" s="279" t="s">
        <v>33</v>
      </c>
      <c r="AM24" s="280">
        <f>AR18*5000</f>
        <v>0</v>
      </c>
      <c r="AN24" s="136"/>
      <c r="AO24" s="136"/>
      <c r="AP24" s="136"/>
      <c r="AQ24" s="136"/>
      <c r="AR24" s="136"/>
      <c r="AS24" s="136"/>
      <c r="AT24" s="136"/>
      <c r="AU24" s="136"/>
    </row>
    <row r="25" spans="1:47" ht="15.75" customHeight="1">
      <c r="A25" s="137"/>
      <c r="B25" s="574"/>
      <c r="C25" s="575"/>
      <c r="D25" s="576"/>
      <c r="E25" s="595" t="s">
        <v>376</v>
      </c>
      <c r="F25" s="594"/>
      <c r="G25" s="594"/>
      <c r="H25" s="596"/>
      <c r="I25" s="600">
        <f>AM18</f>
        <v>90000</v>
      </c>
      <c r="J25" s="594"/>
      <c r="K25" s="596"/>
      <c r="L25" s="593" t="s">
        <v>378</v>
      </c>
      <c r="M25" s="594"/>
      <c r="N25" s="594"/>
      <c r="O25" s="594"/>
      <c r="P25" s="594"/>
      <c r="Q25" s="594"/>
      <c r="R25" s="594"/>
      <c r="S25" s="594"/>
      <c r="T25" s="281">
        <v>1</v>
      </c>
      <c r="U25" s="275" t="str">
        <f>IF(L25&lt;&gt;"","x","")</f>
        <v>x</v>
      </c>
      <c r="V25" s="595"/>
      <c r="W25" s="594"/>
      <c r="X25" s="594"/>
      <c r="Y25" s="594"/>
      <c r="Z25" s="596"/>
      <c r="AA25" s="276">
        <f t="shared" si="4"/>
        <v>0</v>
      </c>
      <c r="AB25" s="136"/>
      <c r="AC25" s="136"/>
      <c r="AD25" s="136"/>
      <c r="AE25" s="136"/>
      <c r="AF25" s="136"/>
      <c r="AG25" s="136"/>
      <c r="AH25" s="136"/>
      <c r="AI25" s="136"/>
      <c r="AJ25" s="136"/>
      <c r="AK25" s="136"/>
      <c r="AL25" s="282" t="s">
        <v>34</v>
      </c>
      <c r="AM25" s="283">
        <f>AS18*5000</f>
        <v>10000</v>
      </c>
      <c r="AN25" s="136"/>
      <c r="AO25" s="136"/>
      <c r="AP25" s="136"/>
      <c r="AQ25" s="136"/>
      <c r="AR25" s="136"/>
      <c r="AS25" s="136"/>
      <c r="AT25" s="136"/>
      <c r="AU25" s="136"/>
    </row>
    <row r="26" spans="1:47" ht="15.75" customHeight="1">
      <c r="A26" s="137"/>
      <c r="B26" s="577"/>
      <c r="C26" s="578"/>
      <c r="D26" s="579"/>
      <c r="E26" s="586" t="s">
        <v>379</v>
      </c>
      <c r="F26" s="587"/>
      <c r="G26" s="587"/>
      <c r="H26" s="587"/>
      <c r="I26" s="587"/>
      <c r="J26" s="587"/>
      <c r="K26" s="587"/>
      <c r="L26" s="587"/>
      <c r="M26" s="587"/>
      <c r="N26" s="587"/>
      <c r="O26" s="587"/>
      <c r="P26" s="587"/>
      <c r="Q26" s="587"/>
      <c r="R26" s="587"/>
      <c r="S26" s="587"/>
      <c r="T26" s="587"/>
      <c r="U26" s="587"/>
      <c r="V26" s="587"/>
      <c r="W26" s="587"/>
      <c r="X26" s="587"/>
      <c r="Y26" s="587"/>
      <c r="Z26" s="588"/>
      <c r="AA26" s="270">
        <f>SUM(AA21:AA25)</f>
        <v>340000</v>
      </c>
      <c r="AB26" s="136"/>
      <c r="AC26" s="136"/>
      <c r="AD26" s="136"/>
      <c r="AE26" s="136"/>
      <c r="AF26" s="136"/>
      <c r="AG26" s="136"/>
      <c r="AH26" s="136"/>
      <c r="AI26" s="136"/>
      <c r="AJ26" s="136"/>
      <c r="AK26" s="136"/>
      <c r="AL26" s="284" t="s">
        <v>219</v>
      </c>
      <c r="AM26" s="285">
        <f>SUM(AM22:AM25)</f>
        <v>110000</v>
      </c>
      <c r="AN26" s="136"/>
      <c r="AO26" s="136"/>
      <c r="AP26" s="136"/>
      <c r="AQ26" s="136"/>
      <c r="AR26" s="136"/>
      <c r="AS26" s="136"/>
      <c r="AT26" s="136"/>
      <c r="AU26" s="136"/>
    </row>
    <row r="27" spans="1:47" ht="8.25" customHeight="1">
      <c r="A27" s="136"/>
      <c r="B27" s="140"/>
      <c r="C27" s="286"/>
      <c r="D27" s="286"/>
      <c r="E27" s="287"/>
      <c r="F27" s="136"/>
      <c r="G27" s="136"/>
      <c r="H27" s="136"/>
      <c r="I27" s="288"/>
      <c r="J27" s="289"/>
      <c r="K27" s="136"/>
      <c r="L27" s="290"/>
      <c r="M27" s="290"/>
      <c r="N27" s="290"/>
      <c r="O27" s="290"/>
      <c r="P27" s="290"/>
      <c r="Q27" s="290"/>
      <c r="R27" s="290"/>
      <c r="S27" s="290"/>
      <c r="T27" s="291"/>
      <c r="U27" s="292"/>
      <c r="V27" s="143"/>
      <c r="W27" s="293"/>
      <c r="X27" s="293"/>
      <c r="Y27" s="293"/>
      <c r="Z27" s="293"/>
      <c r="AA27" s="294"/>
      <c r="AB27" s="136"/>
      <c r="AC27" s="136"/>
      <c r="AD27" s="136"/>
      <c r="AE27" s="136"/>
      <c r="AF27" s="136"/>
      <c r="AG27" s="136"/>
      <c r="AH27" s="136"/>
      <c r="AI27" s="136"/>
      <c r="AJ27" s="136"/>
      <c r="AK27" s="136"/>
      <c r="AL27" s="136"/>
      <c r="AM27" s="136"/>
      <c r="AN27" s="136"/>
      <c r="AO27" s="136"/>
      <c r="AP27" s="136"/>
      <c r="AQ27" s="136"/>
      <c r="AR27" s="136"/>
      <c r="AS27" s="136"/>
      <c r="AT27" s="136"/>
      <c r="AU27" s="136"/>
    </row>
    <row r="28" spans="1:47" ht="17.25" hidden="1" customHeight="1">
      <c r="A28" s="295"/>
      <c r="B28" s="296"/>
      <c r="C28" s="297">
        <f>MATCH(I22,'Development-Hidden'!A2:A118,0)</f>
        <v>64</v>
      </c>
      <c r="D28" s="297" t="str">
        <f t="array" ref="D28">IFERROR(IF(INDEX('Development-Hidden'!$A$2:$B$118,$C28,1)=$I$22,INDEX('Development-Hidden'!$A$2:$B$118,$C28,2),""),"")</f>
        <v>Zombie</v>
      </c>
      <c r="E28" s="298"/>
      <c r="F28" s="298"/>
      <c r="G28" s="298"/>
      <c r="H28" s="298"/>
      <c r="I28" s="298"/>
      <c r="J28" s="299"/>
      <c r="K28" s="295"/>
      <c r="L28" s="300"/>
      <c r="M28" s="300"/>
      <c r="N28" s="300"/>
      <c r="O28" s="300"/>
      <c r="P28" s="300"/>
      <c r="Q28" s="300"/>
      <c r="R28" s="300"/>
      <c r="S28" s="300"/>
      <c r="T28" s="301"/>
      <c r="U28" s="302"/>
      <c r="V28" s="301"/>
      <c r="W28" s="303"/>
      <c r="X28" s="303"/>
      <c r="Y28" s="303"/>
      <c r="Z28" s="303"/>
      <c r="AA28" s="298"/>
      <c r="AB28" s="295"/>
      <c r="AC28" s="295"/>
      <c r="AD28" s="295"/>
      <c r="AE28" s="295"/>
      <c r="AF28" s="295"/>
      <c r="AG28" s="295"/>
      <c r="AH28" s="295"/>
      <c r="AI28" s="295"/>
      <c r="AJ28" s="295"/>
      <c r="AK28" s="295"/>
      <c r="AL28" s="295"/>
      <c r="AM28" s="295"/>
      <c r="AN28" s="295"/>
      <c r="AO28" s="295"/>
      <c r="AP28" s="295"/>
      <c r="AQ28" s="295"/>
      <c r="AR28" s="295"/>
      <c r="AS28" s="295"/>
      <c r="AT28" s="295"/>
      <c r="AU28" s="295"/>
    </row>
    <row r="29" spans="1:47" ht="17.25" hidden="1" customHeight="1">
      <c r="A29" s="295"/>
      <c r="B29" s="296"/>
      <c r="C29" s="297">
        <f t="shared" ref="C29:C37" si="5">C28+1</f>
        <v>65</v>
      </c>
      <c r="D29" s="297" t="str">
        <f t="array" ref="D29">IFERROR(IF(INDEX('Development-Hidden'!$A$2:$B$118,$C29,1)=$I$22,INDEX('Development-Hidden'!$A$2:$B$118,$C29,2),""),"")</f>
        <v>Ghoul</v>
      </c>
      <c r="E29" s="298"/>
      <c r="F29" s="298"/>
      <c r="G29" s="298"/>
      <c r="H29" s="298"/>
      <c r="I29" s="298"/>
      <c r="J29" s="299"/>
      <c r="K29" s="295"/>
      <c r="L29" s="300"/>
      <c r="M29" s="300"/>
      <c r="N29" s="300"/>
      <c r="O29" s="300"/>
      <c r="P29" s="300"/>
      <c r="Q29" s="300"/>
      <c r="R29" s="300"/>
      <c r="S29" s="300"/>
      <c r="T29" s="301"/>
      <c r="U29" s="302"/>
      <c r="V29" s="301"/>
      <c r="W29" s="303"/>
      <c r="X29" s="303"/>
      <c r="Y29" s="303"/>
      <c r="Z29" s="303"/>
      <c r="AA29" s="298"/>
      <c r="AB29" s="295"/>
      <c r="AC29" s="295"/>
      <c r="AD29" s="295"/>
      <c r="AE29" s="295"/>
      <c r="AF29" s="295"/>
      <c r="AG29" s="295"/>
      <c r="AH29" s="295"/>
      <c r="AI29" s="295"/>
      <c r="AJ29" s="295"/>
      <c r="AK29" s="295"/>
      <c r="AL29" s="295"/>
      <c r="AM29" s="295"/>
      <c r="AN29" s="295"/>
      <c r="AO29" s="295"/>
      <c r="AP29" s="295"/>
      <c r="AQ29" s="295"/>
      <c r="AR29" s="295"/>
      <c r="AS29" s="295"/>
      <c r="AT29" s="295"/>
      <c r="AU29" s="295"/>
    </row>
    <row r="30" spans="1:47" ht="17.25" hidden="1" customHeight="1">
      <c r="A30" s="295"/>
      <c r="B30" s="296"/>
      <c r="C30" s="297">
        <f t="shared" si="5"/>
        <v>66</v>
      </c>
      <c r="D30" s="297" t="str">
        <f t="array" ref="D30">IFERROR(IF(INDEX('Development-Hidden'!$A$2:$B$118,$C30,1)=$I$22,INDEX('Development-Hidden'!$A$2:$B$118,$C30,2),""),"")</f>
        <v>Wight</v>
      </c>
      <c r="E30" s="298"/>
      <c r="F30" s="298"/>
      <c r="G30" s="298"/>
      <c r="H30" s="298"/>
      <c r="I30" s="298"/>
      <c r="J30" s="299"/>
      <c r="K30" s="295"/>
      <c r="L30" s="300"/>
      <c r="M30" s="300"/>
      <c r="N30" s="300"/>
      <c r="O30" s="300"/>
      <c r="P30" s="300"/>
      <c r="Q30" s="300"/>
      <c r="R30" s="300"/>
      <c r="S30" s="300"/>
      <c r="T30" s="301"/>
      <c r="U30" s="302"/>
      <c r="V30" s="301"/>
      <c r="W30" s="303"/>
      <c r="X30" s="303"/>
      <c r="Y30" s="303"/>
      <c r="Z30" s="303"/>
      <c r="AA30" s="298"/>
      <c r="AB30" s="295"/>
      <c r="AC30" s="295"/>
      <c r="AD30" s="295"/>
      <c r="AE30" s="295"/>
      <c r="AF30" s="295"/>
      <c r="AG30" s="295"/>
      <c r="AH30" s="295"/>
      <c r="AI30" s="295"/>
      <c r="AJ30" s="295"/>
      <c r="AK30" s="295"/>
      <c r="AL30" s="295"/>
      <c r="AM30" s="295"/>
      <c r="AN30" s="295"/>
      <c r="AO30" s="295"/>
      <c r="AP30" s="295"/>
      <c r="AQ30" s="295"/>
      <c r="AR30" s="295"/>
      <c r="AS30" s="295"/>
      <c r="AT30" s="295"/>
      <c r="AU30" s="295"/>
    </row>
    <row r="31" spans="1:47" ht="17.25" hidden="1" customHeight="1">
      <c r="A31" s="295"/>
      <c r="B31" s="296"/>
      <c r="C31" s="297">
        <f t="shared" si="5"/>
        <v>67</v>
      </c>
      <c r="D31" s="297" t="str">
        <f t="array" ref="D31">IFERROR(IF(INDEX('Development-Hidden'!$A$2:$B$118,$C31,1)=$I$22,INDEX('Development-Hidden'!$A$2:$B$118,$C31,2),""),"")</f>
        <v>Flesh Golem</v>
      </c>
      <c r="E31" s="298"/>
      <c r="F31" s="298"/>
      <c r="G31" s="298"/>
      <c r="H31" s="298"/>
      <c r="I31" s="298"/>
      <c r="J31" s="299"/>
      <c r="K31" s="295"/>
      <c r="L31" s="300"/>
      <c r="M31" s="300"/>
      <c r="N31" s="300"/>
      <c r="O31" s="300"/>
      <c r="P31" s="300"/>
      <c r="Q31" s="300"/>
      <c r="R31" s="300"/>
      <c r="S31" s="300"/>
      <c r="T31" s="301"/>
      <c r="U31" s="302"/>
      <c r="V31" s="301"/>
      <c r="W31" s="303"/>
      <c r="X31" s="303"/>
      <c r="Y31" s="303"/>
      <c r="Z31" s="303"/>
      <c r="AA31" s="298"/>
      <c r="AB31" s="295"/>
      <c r="AC31" s="295"/>
      <c r="AD31" s="295"/>
      <c r="AE31" s="295"/>
      <c r="AF31" s="295"/>
      <c r="AG31" s="295"/>
      <c r="AH31" s="295"/>
      <c r="AI31" s="295"/>
      <c r="AJ31" s="295"/>
      <c r="AK31" s="295"/>
      <c r="AL31" s="295"/>
      <c r="AM31" s="295"/>
      <c r="AN31" s="295"/>
      <c r="AO31" s="295"/>
      <c r="AP31" s="295"/>
      <c r="AQ31" s="295"/>
      <c r="AR31" s="295"/>
      <c r="AS31" s="295"/>
      <c r="AT31" s="295"/>
      <c r="AU31" s="295"/>
    </row>
    <row r="32" spans="1:47" ht="17.25" hidden="1" customHeight="1">
      <c r="A32" s="295"/>
      <c r="B32" s="296"/>
      <c r="C32" s="297">
        <f t="shared" si="5"/>
        <v>68</v>
      </c>
      <c r="D32" s="297" t="str">
        <f t="array" ref="D32">IFERROR(IF(INDEX('Development-Hidden'!$A$2:$B$118,$C32,1)=$I$22,INDEX('Development-Hidden'!$A$2:$B$118,$C32,2),""),"")</f>
        <v>Werewolf</v>
      </c>
      <c r="E32" s="298"/>
      <c r="F32" s="298"/>
      <c r="G32" s="298"/>
      <c r="H32" s="298"/>
      <c r="I32" s="298"/>
      <c r="J32" s="299"/>
      <c r="K32" s="295"/>
      <c r="L32" s="300"/>
      <c r="M32" s="300"/>
      <c r="N32" s="300"/>
      <c r="O32" s="300"/>
      <c r="P32" s="300"/>
      <c r="Q32" s="300"/>
      <c r="R32" s="300"/>
      <c r="S32" s="300"/>
      <c r="T32" s="301"/>
      <c r="U32" s="302"/>
      <c r="V32" s="301"/>
      <c r="W32" s="303"/>
      <c r="X32" s="303"/>
      <c r="Y32" s="303"/>
      <c r="Z32" s="303"/>
      <c r="AA32" s="298"/>
      <c r="AB32" s="295"/>
      <c r="AC32" s="295"/>
      <c r="AD32" s="295"/>
      <c r="AE32" s="295"/>
      <c r="AF32" s="295"/>
      <c r="AG32" s="295"/>
      <c r="AH32" s="295"/>
      <c r="AI32" s="295"/>
      <c r="AJ32" s="295"/>
      <c r="AK32" s="295"/>
      <c r="AL32" s="295"/>
      <c r="AM32" s="295"/>
      <c r="AN32" s="295"/>
      <c r="AO32" s="295"/>
      <c r="AP32" s="295"/>
      <c r="AQ32" s="295"/>
      <c r="AR32" s="295"/>
      <c r="AS32" s="295"/>
      <c r="AT32" s="295"/>
      <c r="AU32" s="295"/>
    </row>
    <row r="33" spans="1:47" ht="17.25" hidden="1" customHeight="1">
      <c r="A33" s="295"/>
      <c r="B33" s="296"/>
      <c r="C33" s="297">
        <f t="shared" si="5"/>
        <v>69</v>
      </c>
      <c r="D33" s="297" t="str">
        <f t="array" ref="D33">IFERROR(IF(INDEX('Development-Hidden'!$A$2:$B$118,$C33,1)=$I$22,INDEX('Development-Hidden'!$A$2:$B$118,$C33,2),""),"")</f>
        <v/>
      </c>
      <c r="E33" s="298"/>
      <c r="F33" s="298"/>
      <c r="G33" s="298"/>
      <c r="H33" s="298"/>
      <c r="I33" s="298"/>
      <c r="J33" s="299"/>
      <c r="K33" s="295"/>
      <c r="L33" s="300"/>
      <c r="M33" s="300"/>
      <c r="N33" s="300"/>
      <c r="O33" s="300"/>
      <c r="P33" s="300"/>
      <c r="Q33" s="300"/>
      <c r="R33" s="300"/>
      <c r="S33" s="300"/>
      <c r="T33" s="301"/>
      <c r="U33" s="302"/>
      <c r="V33" s="301"/>
      <c r="W33" s="303"/>
      <c r="X33" s="303"/>
      <c r="Y33" s="303"/>
      <c r="Z33" s="303"/>
      <c r="AA33" s="298"/>
      <c r="AB33" s="295"/>
      <c r="AC33" s="295"/>
      <c r="AD33" s="295"/>
      <c r="AE33" s="295"/>
      <c r="AF33" s="295"/>
      <c r="AG33" s="295"/>
      <c r="AH33" s="295"/>
      <c r="AI33" s="295"/>
      <c r="AJ33" s="295"/>
      <c r="AK33" s="295"/>
      <c r="AL33" s="295"/>
      <c r="AM33" s="295"/>
      <c r="AN33" s="295"/>
      <c r="AO33" s="295"/>
      <c r="AP33" s="295"/>
      <c r="AQ33" s="295"/>
      <c r="AR33" s="295"/>
      <c r="AS33" s="295"/>
      <c r="AT33" s="295"/>
      <c r="AU33" s="295"/>
    </row>
    <row r="34" spans="1:47" ht="17.25" hidden="1" customHeight="1">
      <c r="A34" s="295"/>
      <c r="B34" s="296"/>
      <c r="C34" s="297">
        <f t="shared" si="5"/>
        <v>70</v>
      </c>
      <c r="D34" s="297" t="str">
        <f t="array" ref="D34">IFERROR(IF(INDEX('Development-Hidden'!$A$2:$B$118,$C34,1)=$I$22,INDEX('Development-Hidden'!$A$2:$B$118,$C34,2),""),"")</f>
        <v/>
      </c>
      <c r="E34" s="298"/>
      <c r="F34" s="298"/>
      <c r="G34" s="298"/>
      <c r="H34" s="298"/>
      <c r="I34" s="298"/>
      <c r="J34" s="299"/>
      <c r="K34" s="295"/>
      <c r="L34" s="300"/>
      <c r="M34" s="300"/>
      <c r="N34" s="300"/>
      <c r="O34" s="300"/>
      <c r="P34" s="300"/>
      <c r="Q34" s="300"/>
      <c r="R34" s="300"/>
      <c r="S34" s="300"/>
      <c r="T34" s="301"/>
      <c r="U34" s="302"/>
      <c r="V34" s="301"/>
      <c r="W34" s="303"/>
      <c r="X34" s="303"/>
      <c r="Y34" s="303"/>
      <c r="Z34" s="303"/>
      <c r="AA34" s="298"/>
      <c r="AB34" s="295"/>
      <c r="AC34" s="295"/>
      <c r="AD34" s="295"/>
      <c r="AE34" s="295"/>
      <c r="AF34" s="295"/>
      <c r="AG34" s="295"/>
      <c r="AH34" s="295"/>
      <c r="AI34" s="295"/>
      <c r="AJ34" s="295"/>
      <c r="AK34" s="295"/>
      <c r="AL34" s="295"/>
      <c r="AM34" s="295"/>
      <c r="AN34" s="295"/>
      <c r="AO34" s="295"/>
      <c r="AP34" s="295"/>
      <c r="AQ34" s="295"/>
      <c r="AR34" s="295"/>
      <c r="AS34" s="295"/>
      <c r="AT34" s="295"/>
      <c r="AU34" s="295"/>
    </row>
    <row r="35" spans="1:47" ht="17.25" hidden="1" customHeight="1">
      <c r="A35" s="295"/>
      <c r="B35" s="296"/>
      <c r="C35" s="297">
        <f t="shared" si="5"/>
        <v>71</v>
      </c>
      <c r="D35" s="297" t="str">
        <f t="array" ref="D35">IFERROR(IF(INDEX('Development-Hidden'!$A$2:$B$118,$C35,1)=$I$22,INDEX('Development-Hidden'!$A$2:$B$118,$C35,2),""),"")</f>
        <v/>
      </c>
      <c r="E35" s="298"/>
      <c r="F35" s="298"/>
      <c r="G35" s="298"/>
      <c r="H35" s="298"/>
      <c r="I35" s="298"/>
      <c r="J35" s="299"/>
      <c r="K35" s="295"/>
      <c r="L35" s="300"/>
      <c r="M35" s="300"/>
      <c r="N35" s="300"/>
      <c r="O35" s="300"/>
      <c r="P35" s="300"/>
      <c r="Q35" s="300"/>
      <c r="R35" s="300"/>
      <c r="S35" s="300"/>
      <c r="T35" s="301"/>
      <c r="U35" s="302"/>
      <c r="V35" s="301"/>
      <c r="W35" s="303"/>
      <c r="X35" s="303"/>
      <c r="Y35" s="303"/>
      <c r="Z35" s="303"/>
      <c r="AA35" s="298"/>
      <c r="AB35" s="295"/>
      <c r="AC35" s="295"/>
      <c r="AD35" s="295"/>
      <c r="AE35" s="295"/>
      <c r="AF35" s="295"/>
      <c r="AG35" s="295"/>
      <c r="AH35" s="295"/>
      <c r="AI35" s="295"/>
      <c r="AJ35" s="295"/>
      <c r="AK35" s="295"/>
      <c r="AL35" s="295"/>
      <c r="AM35" s="295"/>
      <c r="AN35" s="295"/>
      <c r="AO35" s="295"/>
      <c r="AP35" s="295"/>
      <c r="AQ35" s="295"/>
      <c r="AR35" s="295"/>
      <c r="AS35" s="295"/>
      <c r="AT35" s="295"/>
      <c r="AU35" s="295"/>
    </row>
    <row r="36" spans="1:47" ht="17.25" hidden="1" customHeight="1">
      <c r="A36" s="295"/>
      <c r="B36" s="296"/>
      <c r="C36" s="297">
        <f t="shared" si="5"/>
        <v>72</v>
      </c>
      <c r="D36" s="297" t="str">
        <f t="array" ref="D36">IFERROR(IF(INDEX('Development-Hidden'!$A$2:$B$118,$C36,1)=$I$22,INDEX('Development-Hidden'!$A$2:$B$118,$C36,2),""),"")</f>
        <v/>
      </c>
      <c r="E36" s="298"/>
      <c r="F36" s="298"/>
      <c r="G36" s="298"/>
      <c r="H36" s="298"/>
      <c r="I36" s="298"/>
      <c r="J36" s="299"/>
      <c r="K36" s="295"/>
      <c r="L36" s="300"/>
      <c r="M36" s="300"/>
      <c r="N36" s="300"/>
      <c r="O36" s="300"/>
      <c r="P36" s="300"/>
      <c r="Q36" s="300"/>
      <c r="R36" s="300"/>
      <c r="S36" s="300"/>
      <c r="T36" s="301"/>
      <c r="U36" s="302"/>
      <c r="V36" s="301"/>
      <c r="W36" s="303"/>
      <c r="X36" s="303"/>
      <c r="Y36" s="303"/>
      <c r="Z36" s="303"/>
      <c r="AA36" s="298"/>
      <c r="AB36" s="295"/>
      <c r="AC36" s="295"/>
      <c r="AD36" s="295"/>
      <c r="AE36" s="295"/>
      <c r="AF36" s="295"/>
      <c r="AG36" s="295"/>
      <c r="AH36" s="295"/>
      <c r="AI36" s="295"/>
      <c r="AJ36" s="295"/>
      <c r="AK36" s="295"/>
      <c r="AL36" s="295"/>
      <c r="AM36" s="295"/>
      <c r="AN36" s="295"/>
      <c r="AO36" s="295"/>
      <c r="AP36" s="295"/>
      <c r="AQ36" s="295"/>
      <c r="AR36" s="295"/>
      <c r="AS36" s="295"/>
      <c r="AT36" s="295"/>
      <c r="AU36" s="295"/>
    </row>
    <row r="37" spans="1:47" ht="17.25" hidden="1" customHeight="1">
      <c r="A37" s="295"/>
      <c r="B37" s="296"/>
      <c r="C37" s="297">
        <f t="shared" si="5"/>
        <v>73</v>
      </c>
      <c r="D37" s="297" t="str">
        <f t="array" ref="D37">IFERROR(IF(INDEX('Development-Hidden'!$A$2:$B$118,$C37,1)=$I$22,INDEX('Development-Hidden'!$A$2:$B$118,$C37,2),""),"")</f>
        <v/>
      </c>
      <c r="E37" s="298"/>
      <c r="F37" s="298"/>
      <c r="G37" s="298"/>
      <c r="H37" s="298"/>
      <c r="I37" s="298"/>
      <c r="J37" s="299"/>
      <c r="K37" s="295"/>
      <c r="L37" s="300"/>
      <c r="M37" s="300"/>
      <c r="N37" s="300"/>
      <c r="O37" s="300"/>
      <c r="P37" s="300"/>
      <c r="Q37" s="300"/>
      <c r="R37" s="300"/>
      <c r="S37" s="300"/>
      <c r="T37" s="301"/>
      <c r="U37" s="302"/>
      <c r="V37" s="301"/>
      <c r="W37" s="303"/>
      <c r="X37" s="303"/>
      <c r="Y37" s="303"/>
      <c r="Z37" s="303"/>
      <c r="AA37" s="298"/>
      <c r="AB37" s="295"/>
      <c r="AC37" s="295"/>
      <c r="AD37" s="295"/>
      <c r="AE37" s="295"/>
      <c r="AF37" s="295"/>
      <c r="AG37" s="295"/>
      <c r="AH37" s="295"/>
      <c r="AI37" s="295"/>
      <c r="AJ37" s="295"/>
      <c r="AK37" s="295"/>
      <c r="AL37" s="295"/>
      <c r="AM37" s="295"/>
      <c r="AN37" s="295"/>
      <c r="AO37" s="295"/>
      <c r="AP37" s="295"/>
      <c r="AQ37" s="295"/>
      <c r="AR37" s="295"/>
      <c r="AS37" s="295"/>
      <c r="AT37" s="295"/>
      <c r="AU37" s="295"/>
    </row>
  </sheetData>
  <mergeCells count="27">
    <mergeCell ref="AL3:AO3"/>
    <mergeCell ref="P2:S2"/>
    <mergeCell ref="AP3:AT3"/>
    <mergeCell ref="V22:Z22"/>
    <mergeCell ref="AL21:AM21"/>
    <mergeCell ref="V21:Z21"/>
    <mergeCell ref="I25:K25"/>
    <mergeCell ref="E25:H25"/>
    <mergeCell ref="E24:H24"/>
    <mergeCell ref="V23:Z23"/>
    <mergeCell ref="E23:H23"/>
    <mergeCell ref="B20:D26"/>
    <mergeCell ref="E21:H21"/>
    <mergeCell ref="E22:H22"/>
    <mergeCell ref="L21:S21"/>
    <mergeCell ref="E20:Z20"/>
    <mergeCell ref="I21:K21"/>
    <mergeCell ref="L22:S22"/>
    <mergeCell ref="L25:S25"/>
    <mergeCell ref="E26:Z26"/>
    <mergeCell ref="V25:Z25"/>
    <mergeCell ref="V24:Z24"/>
    <mergeCell ref="I23:K23"/>
    <mergeCell ref="I22:K22"/>
    <mergeCell ref="L23:S23"/>
    <mergeCell ref="L24:S24"/>
    <mergeCell ref="I24:K24"/>
  </mergeCells>
  <conditionalFormatting sqref="AA4:AA19">
    <cfRule type="cellIs" dxfId="601" priority="1" operator="equal">
      <formula>0</formula>
    </cfRule>
  </conditionalFormatting>
  <conditionalFormatting sqref="J4">
    <cfRule type="expression" dxfId="600" priority="2">
      <formula>K4&lt;&gt;SUM(AD4:AI4)</formula>
    </cfRule>
  </conditionalFormatting>
  <conditionalFormatting sqref="I4:I19">
    <cfRule type="cellIs" dxfId="599" priority="3" stopIfTrue="1" operator="equal">
      <formula>"Player type quantity surpassed"</formula>
    </cfRule>
  </conditionalFormatting>
  <conditionalFormatting sqref="J5">
    <cfRule type="expression" dxfId="598" priority="4">
      <formula>K5&lt;&gt;SUM(AD5:AI5)</formula>
    </cfRule>
  </conditionalFormatting>
  <conditionalFormatting sqref="J6">
    <cfRule type="expression" dxfId="597" priority="5">
      <formula>K6&lt;&gt;SUM(AD6:AI6)</formula>
    </cfRule>
  </conditionalFormatting>
  <conditionalFormatting sqref="J7">
    <cfRule type="expression" dxfId="596" priority="6">
      <formula>K7&lt;&gt;SUM(AD7:AI7)</formula>
    </cfRule>
  </conditionalFormatting>
  <conditionalFormatting sqref="J8">
    <cfRule type="expression" dxfId="595" priority="7">
      <formula>K8&lt;&gt;SUM(AD8:AI8)</formula>
    </cfRule>
  </conditionalFormatting>
  <conditionalFormatting sqref="J9">
    <cfRule type="expression" dxfId="594" priority="8">
      <formula>K9&lt;&gt;SUM(AD9:AI9)</formula>
    </cfRule>
  </conditionalFormatting>
  <conditionalFormatting sqref="J10">
    <cfRule type="expression" dxfId="593" priority="9">
      <formula>K10&lt;&gt;SUM(AD10:AI10)</formula>
    </cfRule>
  </conditionalFormatting>
  <conditionalFormatting sqref="J11">
    <cfRule type="expression" dxfId="592" priority="10">
      <formula>K11&lt;&gt;SUM(AD11:AI11)</formula>
    </cfRule>
  </conditionalFormatting>
  <conditionalFormatting sqref="J12">
    <cfRule type="expression" dxfId="591" priority="11">
      <formula>K12&lt;&gt;SUM(AD12:AI12)</formula>
    </cfRule>
  </conditionalFormatting>
  <conditionalFormatting sqref="J13">
    <cfRule type="expression" dxfId="590" priority="12">
      <formula>K13&lt;&gt;SUM(AD13:AI13)</formula>
    </cfRule>
  </conditionalFormatting>
  <conditionalFormatting sqref="J14">
    <cfRule type="expression" dxfId="589" priority="13">
      <formula>K14&lt;&gt;SUM(AD14:AI14)</formula>
    </cfRule>
  </conditionalFormatting>
  <conditionalFormatting sqref="J15">
    <cfRule type="expression" dxfId="588" priority="14">
      <formula>K15&lt;&gt;SUM(AD15:AI15)</formula>
    </cfRule>
  </conditionalFormatting>
  <conditionalFormatting sqref="J16">
    <cfRule type="expression" dxfId="587" priority="15">
      <formula>K16&lt;&gt;SUM(AD16:AI16)</formula>
    </cfRule>
  </conditionalFormatting>
  <conditionalFormatting sqref="J17">
    <cfRule type="expression" dxfId="586" priority="16">
      <formula>K17&lt;&gt;SUM(AD17:AI17)</formula>
    </cfRule>
  </conditionalFormatting>
  <conditionalFormatting sqref="J18">
    <cfRule type="expression" dxfId="585" priority="17">
      <formula>K18&lt;&gt;SUM(AD18:AI18)</formula>
    </cfRule>
  </conditionalFormatting>
  <conditionalFormatting sqref="J19">
    <cfRule type="expression" dxfId="584" priority="18">
      <formula>K19&lt;&gt;SUM(AD19:AI19)</formula>
    </cfRule>
  </conditionalFormatting>
  <conditionalFormatting sqref="K4:K19">
    <cfRule type="cellIs" dxfId="583" priority="19" operator="equal">
      <formula>0</formula>
    </cfRule>
  </conditionalFormatting>
  <conditionalFormatting sqref="E4:H19">
    <cfRule type="expression" dxfId="582" priority="20">
      <formula>AF4&gt;0</formula>
    </cfRule>
  </conditionalFormatting>
  <conditionalFormatting sqref="E4:H19">
    <cfRule type="expression" dxfId="581" priority="21">
      <formula>P4&gt;0</formula>
    </cfRule>
  </conditionalFormatting>
  <conditionalFormatting sqref="I4:I19 T4:W19 Y4:Y19 U27:U37">
    <cfRule type="cellIs" dxfId="580" priority="22" stopIfTrue="1" operator="equal">
      <formula>0</formula>
    </cfRule>
  </conditionalFormatting>
  <conditionalFormatting sqref="K4:K19">
    <cfRule type="cellIs" dxfId="579" priority="23" stopIfTrue="1" operator="equal">
      <formula>"n/a"</formula>
    </cfRule>
  </conditionalFormatting>
  <conditionalFormatting sqref="P4:S19">
    <cfRule type="cellIs" dxfId="578" priority="24" stopIfTrue="1" operator="lessThanOrEqual">
      <formula>-1</formula>
    </cfRule>
  </conditionalFormatting>
  <conditionalFormatting sqref="V25:W25">
    <cfRule type="cellIs" dxfId="577" priority="25" stopIfTrue="1" operator="equal">
      <formula>-500</formula>
    </cfRule>
  </conditionalFormatting>
  <conditionalFormatting sqref="T25">
    <cfRule type="cellIs" dxfId="576" priority="26" stopIfTrue="1" operator="greaterThan">
      <formula>$V$25</formula>
    </cfRule>
  </conditionalFormatting>
  <conditionalFormatting sqref="Z4:Z19">
    <cfRule type="cellIs" dxfId="575" priority="27" stopIfTrue="1" operator="equal">
      <formula>"Star"</formula>
    </cfRule>
  </conditionalFormatting>
  <conditionalFormatting sqref="Z4:Z19">
    <cfRule type="cellIs" dxfId="574" priority="28" stopIfTrue="1" operator="equal">
      <formula>AA4</formula>
    </cfRule>
  </conditionalFormatting>
  <dataValidations count="2">
    <dataValidation type="list" allowBlank="1" showErrorMessage="1" sqref="I22">
      <formula1>'Development-Hidden'!$N$2:$N$28</formula1>
    </dataValidation>
    <dataValidation type="list" allowBlank="1" showErrorMessage="1" sqref="D4:D19">
      <formula1>'JR2'!$D$28:$D$37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7"/>
  <sheetViews>
    <sheetView showGridLines="0" workbookViewId="0"/>
  </sheetViews>
  <sheetFormatPr defaultColWidth="14.42578125" defaultRowHeight="15.75" customHeight="1"/>
  <cols>
    <col min="1" max="1" width="1.85546875" style="139" customWidth="1"/>
    <col min="2" max="2" width="3.140625" style="139" customWidth="1"/>
    <col min="3" max="3" width="19.28515625" style="139" customWidth="1"/>
    <col min="4" max="4" width="21.28515625" style="139" customWidth="1"/>
    <col min="5" max="8" width="3.42578125" style="139" customWidth="1"/>
    <col min="9" max="9" width="30.85546875" style="139" customWidth="1"/>
    <col min="10" max="10" width="23" style="139" customWidth="1"/>
    <col min="11" max="11" width="1.85546875" style="139" customWidth="1"/>
    <col min="12" max="15" width="2.42578125" style="139" customWidth="1"/>
    <col min="16" max="19" width="2.7109375" style="139" customWidth="1"/>
    <col min="20" max="21" width="3.28515625" style="139" customWidth="1"/>
    <col min="22" max="22" width="2.42578125" style="139" customWidth="1"/>
    <col min="23" max="23" width="3.28515625" style="139" customWidth="1"/>
    <col min="24" max="24" width="2.7109375" style="139" customWidth="1"/>
    <col min="25" max="25" width="3.28515625" style="139" customWidth="1"/>
    <col min="26" max="26" width="4.42578125" style="139" customWidth="1"/>
    <col min="27" max="27" width="10.28515625" style="139" customWidth="1"/>
    <col min="28" max="28" width="5.5703125" style="139" customWidth="1"/>
    <col min="29" max="29" width="8.85546875" style="139" customWidth="1"/>
    <col min="30" max="35" width="4.140625" style="139" customWidth="1"/>
    <col min="36" max="36" width="12.28515625" style="139" customWidth="1"/>
    <col min="37" max="37" width="6.42578125" style="139" customWidth="1"/>
    <col min="38" max="38" width="12.7109375" style="139" customWidth="1"/>
    <col min="39" max="39" width="11.42578125" style="139" customWidth="1"/>
    <col min="40" max="41" width="10.7109375" style="139" customWidth="1"/>
    <col min="42" max="42" width="26.140625" style="139" customWidth="1"/>
    <col min="43" max="44" width="10.7109375" style="139" customWidth="1"/>
    <col min="45" max="45" width="12.28515625" style="139" customWidth="1"/>
    <col min="46" max="46" width="10.7109375" style="139" customWidth="1"/>
    <col min="47" max="47" width="2.28515625" style="139" customWidth="1"/>
    <col min="48" max="16384" width="14.42578125" style="139"/>
  </cols>
  <sheetData>
    <row r="1" spans="1:47" ht="9" customHeight="1" thickBot="1">
      <c r="A1" s="136"/>
      <c r="B1" s="137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</row>
    <row r="2" spans="1:47" ht="9.75" customHeight="1" thickBot="1">
      <c r="A2" s="136"/>
      <c r="B2" s="140"/>
      <c r="C2" s="140"/>
      <c r="D2" s="141"/>
      <c r="E2" s="140"/>
      <c r="F2" s="140"/>
      <c r="G2" s="140"/>
      <c r="H2" s="140"/>
      <c r="I2" s="140"/>
      <c r="J2" s="140"/>
      <c r="K2" s="136"/>
      <c r="L2" s="140"/>
      <c r="M2" s="140"/>
      <c r="N2" s="140"/>
      <c r="O2" s="140"/>
      <c r="P2" s="602" t="s">
        <v>218</v>
      </c>
      <c r="Q2" s="607"/>
      <c r="R2" s="607"/>
      <c r="S2" s="608"/>
      <c r="T2" s="142"/>
      <c r="U2" s="142"/>
      <c r="V2" s="142"/>
      <c r="W2" s="142"/>
      <c r="X2" s="143"/>
      <c r="Y2" s="142"/>
      <c r="Z2" s="140"/>
      <c r="AA2" s="140"/>
      <c r="AB2" s="136"/>
      <c r="AC2" s="140"/>
      <c r="AD2" s="140"/>
      <c r="AE2" s="140"/>
      <c r="AF2" s="144"/>
      <c r="AG2" s="140"/>
      <c r="AH2" s="140"/>
      <c r="AI2" s="140"/>
      <c r="AJ2" s="140"/>
      <c r="AK2" s="136"/>
      <c r="AL2" s="145"/>
      <c r="AM2" s="145"/>
      <c r="AN2" s="145"/>
      <c r="AO2" s="145"/>
      <c r="AP2" s="145"/>
      <c r="AQ2" s="145"/>
      <c r="AR2" s="145"/>
      <c r="AS2" s="145"/>
      <c r="AT2" s="145"/>
      <c r="AU2" s="145"/>
    </row>
    <row r="3" spans="1:47" ht="8.25" customHeight="1" thickBot="1">
      <c r="A3" s="137"/>
      <c r="B3" s="146" t="s">
        <v>203</v>
      </c>
      <c r="C3" s="147" t="s">
        <v>32</v>
      </c>
      <c r="D3" s="148" t="s">
        <v>229</v>
      </c>
      <c r="E3" s="149" t="s">
        <v>206</v>
      </c>
      <c r="F3" s="150" t="s">
        <v>207</v>
      </c>
      <c r="G3" s="151" t="s">
        <v>208</v>
      </c>
      <c r="H3" s="152" t="s">
        <v>209</v>
      </c>
      <c r="I3" s="153" t="s">
        <v>230</v>
      </c>
      <c r="J3" s="152" t="s">
        <v>231</v>
      </c>
      <c r="K3" s="154" t="s">
        <v>203</v>
      </c>
      <c r="L3" s="155" t="s">
        <v>232</v>
      </c>
      <c r="M3" s="156" t="s">
        <v>233</v>
      </c>
      <c r="N3" s="156" t="s">
        <v>234</v>
      </c>
      <c r="O3" s="157" t="s">
        <v>235</v>
      </c>
      <c r="P3" s="158" t="s">
        <v>206</v>
      </c>
      <c r="Q3" s="159" t="s">
        <v>207</v>
      </c>
      <c r="R3" s="159" t="s">
        <v>208</v>
      </c>
      <c r="S3" s="160" t="s">
        <v>209</v>
      </c>
      <c r="T3" s="161" t="s">
        <v>236</v>
      </c>
      <c r="U3" s="156" t="s">
        <v>237</v>
      </c>
      <c r="V3" s="156" t="s">
        <v>210</v>
      </c>
      <c r="W3" s="156" t="s">
        <v>240</v>
      </c>
      <c r="X3" s="162" t="s">
        <v>35</v>
      </c>
      <c r="Y3" s="157" t="s">
        <v>211</v>
      </c>
      <c r="Z3" s="153" t="s">
        <v>212</v>
      </c>
      <c r="AA3" s="163" t="s">
        <v>241</v>
      </c>
      <c r="AB3" s="136"/>
      <c r="AC3" s="146" t="s">
        <v>242</v>
      </c>
      <c r="AD3" s="153" t="s">
        <v>233</v>
      </c>
      <c r="AE3" s="150" t="s">
        <v>243</v>
      </c>
      <c r="AF3" s="164" t="str">
        <f>"+MA"</f>
        <v>+MA</v>
      </c>
      <c r="AG3" s="150" t="str">
        <f>"+ST"</f>
        <v>+ST</v>
      </c>
      <c r="AH3" s="150" t="str">
        <f>"+AG"</f>
        <v>+AG</v>
      </c>
      <c r="AI3" s="150" t="str">
        <f>"+AV"</f>
        <v>+AV</v>
      </c>
      <c r="AJ3" s="163" t="s">
        <v>244</v>
      </c>
      <c r="AK3" s="136"/>
      <c r="AL3" s="601" t="s">
        <v>245</v>
      </c>
      <c r="AM3" s="575"/>
      <c r="AN3" s="575"/>
      <c r="AO3" s="575"/>
      <c r="AP3" s="603" t="s">
        <v>246</v>
      </c>
      <c r="AQ3" s="575"/>
      <c r="AR3" s="575"/>
      <c r="AS3" s="575"/>
      <c r="AT3" s="575"/>
      <c r="AU3" s="145"/>
    </row>
    <row r="4" spans="1:47" ht="15.75" customHeight="1">
      <c r="A4" s="137"/>
      <c r="B4" s="165">
        <v>1</v>
      </c>
      <c r="C4" s="166" t="s">
        <v>80</v>
      </c>
      <c r="D4" s="167" t="s">
        <v>49</v>
      </c>
      <c r="E4" s="168">
        <f>IFERROR(VLOOKUP($I$22&amp;$D4,'Development-Hidden'!$C$2:$J$118,4,FALSE)-P4+AF4,"")</f>
        <v>8</v>
      </c>
      <c r="F4" s="169">
        <f>IFERROR(VLOOKUP($I$22&amp;$D4,'Development-Hidden'!$C$2:$J$118,5,FALSE)-Q4+AG4,"")</f>
        <v>3</v>
      </c>
      <c r="G4" s="169">
        <f>IFERROR(VLOOKUP($I$22&amp;$D4,'Development-Hidden'!$C$2:$J$118,6,FALSE)-R4+AH4,"")</f>
        <v>4</v>
      </c>
      <c r="H4" s="170">
        <f>IFERROR(VLOOKUP($I$22&amp;$D4,'Development-Hidden'!$C$2:$J$118,7,FALSE)-S4+AI4,"")</f>
        <v>8</v>
      </c>
      <c r="I4" s="171" t="str">
        <f>IFERROR(VLOOKUP($I$22&amp;$D4,'Development-Hidden'!$C$2:$J$118,8,FALSE),"")</f>
        <v>Block</v>
      </c>
      <c r="J4" s="172" t="s">
        <v>380</v>
      </c>
      <c r="K4" s="173">
        <f t="shared" ref="K4:K19" si="0">IF(Z4&gt;175,6,IF(Z4&gt;75,5,IF(Z4&gt;50,4,IF(Z4&gt;30,3,IF(Z4&gt;15,2,IF(Z4&gt;5,1,0))))))</f>
        <v>2</v>
      </c>
      <c r="L4" s="174"/>
      <c r="M4" s="174"/>
      <c r="N4" s="174"/>
      <c r="O4" s="175"/>
      <c r="P4" s="176"/>
      <c r="Q4" s="177"/>
      <c r="R4" s="177"/>
      <c r="S4" s="178"/>
      <c r="T4" s="179"/>
      <c r="U4" s="180"/>
      <c r="V4" s="180">
        <v>4</v>
      </c>
      <c r="W4" s="180">
        <v>1</v>
      </c>
      <c r="X4" s="177"/>
      <c r="Y4" s="181">
        <v>2</v>
      </c>
      <c r="Z4" s="182">
        <f t="shared" ref="Z4:Z19" si="1">2*T4+U4+3*V4+2*W4+5*Y4</f>
        <v>24</v>
      </c>
      <c r="AA4" s="183">
        <f t="shared" ref="AA4:AA19" si="2">IF(L4=1,0,AC4+(20000*O4)+(20000*AD4)+(30000*AE4)+(30000*AF4)+(50000*AG4)+(40000*AH4)+(50000*AI4)+AJ4)</f>
        <v>150000</v>
      </c>
      <c r="AB4" s="136"/>
      <c r="AC4" s="184">
        <f>IFERROR(VLOOKUP($I$22&amp;D4,'Development-Hidden'!$C$2:$E$118,3,FALSE),"")</f>
        <v>100000</v>
      </c>
      <c r="AD4" s="179">
        <v>1</v>
      </c>
      <c r="AE4" s="180"/>
      <c r="AF4" s="180">
        <v>1</v>
      </c>
      <c r="AG4" s="180"/>
      <c r="AH4" s="180"/>
      <c r="AI4" s="180"/>
      <c r="AJ4" s="185"/>
      <c r="AK4" s="136"/>
      <c r="AL4" s="186" t="s">
        <v>252</v>
      </c>
      <c r="AM4" s="187">
        <v>0</v>
      </c>
      <c r="AN4" s="136"/>
      <c r="AO4" s="136"/>
      <c r="AP4" s="188"/>
      <c r="AQ4" s="189"/>
      <c r="AR4" s="189"/>
      <c r="AS4" s="186" t="s">
        <v>253</v>
      </c>
      <c r="AT4" s="304">
        <v>0</v>
      </c>
      <c r="AU4" s="191"/>
    </row>
    <row r="5" spans="1:47" ht="15.75" customHeight="1">
      <c r="A5" s="137"/>
      <c r="B5" s="192">
        <v>2</v>
      </c>
      <c r="C5" s="193" t="s">
        <v>61</v>
      </c>
      <c r="D5" s="194" t="s">
        <v>49</v>
      </c>
      <c r="E5" s="195">
        <f>IFERROR(VLOOKUP($I$22&amp;$D5,'Development-Hidden'!$C$2:$J$118,4,FALSE)-P5+AF5,"")</f>
        <v>7</v>
      </c>
      <c r="F5" s="196">
        <f>IFERROR(VLOOKUP($I$22&amp;$D5,'Development-Hidden'!$C$2:$J$118,5,FALSE)-Q5+AG5,"")</f>
        <v>3</v>
      </c>
      <c r="G5" s="196">
        <f>IFERROR(VLOOKUP($I$22&amp;$D5,'Development-Hidden'!$C$2:$J$118,6,FALSE)-R5+AH5,"")</f>
        <v>4</v>
      </c>
      <c r="H5" s="197">
        <f>IFERROR(VLOOKUP($I$22&amp;$D5,'Development-Hidden'!$C$2:$J$118,7,FALSE)-S5+AI5,"")</f>
        <v>8</v>
      </c>
      <c r="I5" s="198" t="str">
        <f>IFERROR(VLOOKUP($I$22&amp;$D5,'Development-Hidden'!$C$2:$J$118,8,FALSE),"")</f>
        <v>Block</v>
      </c>
      <c r="J5" s="199" t="s">
        <v>381</v>
      </c>
      <c r="K5" s="200">
        <f t="shared" si="0"/>
        <v>2</v>
      </c>
      <c r="L5" s="201"/>
      <c r="M5" s="201"/>
      <c r="N5" s="201"/>
      <c r="O5" s="202"/>
      <c r="P5" s="203"/>
      <c r="Q5" s="204"/>
      <c r="R5" s="204"/>
      <c r="S5" s="205"/>
      <c r="T5" s="206"/>
      <c r="U5" s="207"/>
      <c r="V5" s="207">
        <v>1</v>
      </c>
      <c r="W5" s="207">
        <v>2</v>
      </c>
      <c r="X5" s="204"/>
      <c r="Y5" s="208">
        <v>2</v>
      </c>
      <c r="Z5" s="209">
        <f t="shared" si="1"/>
        <v>17</v>
      </c>
      <c r="AA5" s="183">
        <f t="shared" si="2"/>
        <v>150000</v>
      </c>
      <c r="AB5" s="136"/>
      <c r="AC5" s="210">
        <f>IFERROR(VLOOKUP($I$22&amp;D5,'Development-Hidden'!$C$2:$E$118,3,FALSE),"")</f>
        <v>100000</v>
      </c>
      <c r="AD5" s="206">
        <v>1</v>
      </c>
      <c r="AE5" s="207">
        <v>1</v>
      </c>
      <c r="AF5" s="207"/>
      <c r="AG5" s="207"/>
      <c r="AH5" s="207"/>
      <c r="AI5" s="207"/>
      <c r="AJ5" s="211"/>
      <c r="AK5" s="136"/>
      <c r="AL5" s="212" t="s">
        <v>256</v>
      </c>
      <c r="AM5" s="213" t="s">
        <v>257</v>
      </c>
      <c r="AN5" s="214" t="s">
        <v>258</v>
      </c>
      <c r="AO5" s="215" t="s">
        <v>259</v>
      </c>
      <c r="AP5" s="216" t="s">
        <v>260</v>
      </c>
      <c r="AQ5" s="214" t="s">
        <v>261</v>
      </c>
      <c r="AR5" s="217" t="s">
        <v>33</v>
      </c>
      <c r="AS5" s="217" t="s">
        <v>262</v>
      </c>
      <c r="AT5" s="218" t="s">
        <v>221</v>
      </c>
      <c r="AU5" s="144"/>
    </row>
    <row r="6" spans="1:47" ht="15.75" customHeight="1">
      <c r="A6" s="137"/>
      <c r="B6" s="192">
        <v>3</v>
      </c>
      <c r="C6" s="193" t="s">
        <v>382</v>
      </c>
      <c r="D6" s="194" t="s">
        <v>49</v>
      </c>
      <c r="E6" s="195">
        <f>IFERROR(VLOOKUP($I$22&amp;$D6,'Development-Hidden'!$C$2:$J$118,4,FALSE)-P6+AF6,"")</f>
        <v>7</v>
      </c>
      <c r="F6" s="196">
        <f>IFERROR(VLOOKUP($I$22&amp;$D6,'Development-Hidden'!$C$2:$J$118,5,FALSE)-Q6+AG6,"")</f>
        <v>3</v>
      </c>
      <c r="G6" s="196">
        <f>IFERROR(VLOOKUP($I$22&amp;$D6,'Development-Hidden'!$C$2:$J$118,6,FALSE)-R6+AH6,"")</f>
        <v>4</v>
      </c>
      <c r="H6" s="197">
        <f>IFERROR(VLOOKUP($I$22&amp;$D6,'Development-Hidden'!$C$2:$J$118,7,FALSE)-S6+AI6,"")</f>
        <v>8</v>
      </c>
      <c r="I6" s="198" t="str">
        <f>IFERROR(VLOOKUP($I$22&amp;$D6,'Development-Hidden'!$C$2:$J$118,8,FALSE),"")</f>
        <v>Block</v>
      </c>
      <c r="J6" s="199"/>
      <c r="K6" s="200">
        <f t="shared" si="0"/>
        <v>0</v>
      </c>
      <c r="L6" s="201"/>
      <c r="M6" s="201"/>
      <c r="N6" s="201"/>
      <c r="O6" s="202"/>
      <c r="P6" s="203"/>
      <c r="Q6" s="204"/>
      <c r="R6" s="204"/>
      <c r="S6" s="205"/>
      <c r="T6" s="206"/>
      <c r="U6" s="207"/>
      <c r="V6" s="207"/>
      <c r="W6" s="207"/>
      <c r="X6" s="204"/>
      <c r="Y6" s="208"/>
      <c r="Z6" s="209">
        <f t="shared" si="1"/>
        <v>0</v>
      </c>
      <c r="AA6" s="183">
        <f t="shared" si="2"/>
        <v>100000</v>
      </c>
      <c r="AB6" s="136"/>
      <c r="AC6" s="210">
        <f>IFERROR(VLOOKUP($I$22&amp;D6,'Development-Hidden'!$C$2:$E$118,3,FALSE),"")</f>
        <v>100000</v>
      </c>
      <c r="AD6" s="206"/>
      <c r="AE6" s="207"/>
      <c r="AF6" s="207"/>
      <c r="AG6" s="207"/>
      <c r="AH6" s="207"/>
      <c r="AI6" s="207"/>
      <c r="AJ6" s="211"/>
      <c r="AK6" s="136"/>
      <c r="AL6" s="219" t="s">
        <v>267</v>
      </c>
      <c r="AM6" s="220">
        <v>60000</v>
      </c>
      <c r="AN6" s="221">
        <v>0</v>
      </c>
      <c r="AO6" s="222">
        <v>0</v>
      </c>
      <c r="AP6" s="223" t="s">
        <v>1</v>
      </c>
      <c r="AQ6" s="221" t="s">
        <v>383</v>
      </c>
      <c r="AR6" s="224">
        <v>1</v>
      </c>
      <c r="AS6" s="225">
        <v>2</v>
      </c>
      <c r="AT6" s="226">
        <v>0</v>
      </c>
      <c r="AU6" s="136"/>
    </row>
    <row r="7" spans="1:47" ht="15.75" customHeight="1">
      <c r="A7" s="137"/>
      <c r="B7" s="192">
        <v>4</v>
      </c>
      <c r="C7" s="193" t="s">
        <v>384</v>
      </c>
      <c r="D7" s="194" t="s">
        <v>49</v>
      </c>
      <c r="E7" s="195">
        <f>IFERROR(VLOOKUP($I$22&amp;$D7,'Development-Hidden'!$C$2:$J$118,4,FALSE)-P7+AF7,"")</f>
        <v>7</v>
      </c>
      <c r="F7" s="196">
        <f>IFERROR(VLOOKUP($I$22&amp;$D7,'Development-Hidden'!$C$2:$J$118,5,FALSE)-Q7+AG7,"")</f>
        <v>3</v>
      </c>
      <c r="G7" s="196">
        <f>IFERROR(VLOOKUP($I$22&amp;$D7,'Development-Hidden'!$C$2:$J$118,6,FALSE)-R7+AH7,"")</f>
        <v>4</v>
      </c>
      <c r="H7" s="197">
        <f>IFERROR(VLOOKUP($I$22&amp;$D7,'Development-Hidden'!$C$2:$J$118,7,FALSE)-S7+AI7,"")</f>
        <v>8</v>
      </c>
      <c r="I7" s="198" t="str">
        <f>IFERROR(VLOOKUP($I$22&amp;$D7,'Development-Hidden'!$C$2:$J$118,8,FALSE),"")</f>
        <v>Block</v>
      </c>
      <c r="J7" s="199"/>
      <c r="K7" s="200">
        <f t="shared" si="0"/>
        <v>0</v>
      </c>
      <c r="L7" s="201"/>
      <c r="M7" s="201"/>
      <c r="N7" s="201"/>
      <c r="O7" s="202"/>
      <c r="P7" s="203"/>
      <c r="Q7" s="204"/>
      <c r="R7" s="204"/>
      <c r="S7" s="205"/>
      <c r="T7" s="206"/>
      <c r="U7" s="207"/>
      <c r="V7" s="207"/>
      <c r="W7" s="207"/>
      <c r="X7" s="204"/>
      <c r="Y7" s="208"/>
      <c r="Z7" s="209">
        <f t="shared" si="1"/>
        <v>0</v>
      </c>
      <c r="AA7" s="183">
        <f t="shared" si="2"/>
        <v>100000</v>
      </c>
      <c r="AB7" s="136"/>
      <c r="AC7" s="210">
        <f>IFERROR(VLOOKUP($I$22&amp;D7,'Development-Hidden'!$C$2:$E$118,3,FALSE),"")</f>
        <v>100000</v>
      </c>
      <c r="AD7" s="206"/>
      <c r="AE7" s="207"/>
      <c r="AF7" s="207"/>
      <c r="AG7" s="207"/>
      <c r="AH7" s="207"/>
      <c r="AI7" s="207"/>
      <c r="AJ7" s="211"/>
      <c r="AK7" s="136"/>
      <c r="AL7" s="227" t="s">
        <v>278</v>
      </c>
      <c r="AM7" s="228">
        <v>40000</v>
      </c>
      <c r="AN7" s="229">
        <v>50000</v>
      </c>
      <c r="AO7" s="230">
        <v>0</v>
      </c>
      <c r="AP7" s="231" t="s">
        <v>385</v>
      </c>
      <c r="AQ7" s="229" t="s">
        <v>270</v>
      </c>
      <c r="AR7" s="232">
        <v>1</v>
      </c>
      <c r="AS7" s="233">
        <v>2</v>
      </c>
      <c r="AT7" s="234">
        <v>1</v>
      </c>
      <c r="AU7" s="136"/>
    </row>
    <row r="8" spans="1:47" ht="15.75" customHeight="1">
      <c r="A8" s="137"/>
      <c r="B8" s="192">
        <v>5</v>
      </c>
      <c r="C8" s="193" t="s">
        <v>160</v>
      </c>
      <c r="D8" s="194" t="s">
        <v>161</v>
      </c>
      <c r="E8" s="195">
        <f>IFERROR(VLOOKUP($I$22&amp;$D8,'Development-Hidden'!$C$2:$J$118,4,FALSE)-P8+AF8,"")</f>
        <v>7</v>
      </c>
      <c r="F8" s="196">
        <f>IFERROR(VLOOKUP($I$22&amp;$D8,'Development-Hidden'!$C$2:$J$118,5,FALSE)-Q8+AG8,"")</f>
        <v>4</v>
      </c>
      <c r="G8" s="196">
        <f>IFERROR(VLOOKUP($I$22&amp;$D8,'Development-Hidden'!$C$2:$J$118,6,FALSE)-R8+AH8,"")</f>
        <v>4</v>
      </c>
      <c r="H8" s="197">
        <f>IFERROR(VLOOKUP($I$22&amp;$D8,'Development-Hidden'!$C$2:$J$118,7,FALSE)-S8+AI8,"")</f>
        <v>7</v>
      </c>
      <c r="I8" s="198" t="str">
        <f>IFERROR(VLOOKUP($I$22&amp;$D8,'Development-Hidden'!$C$2:$J$118,8,FALSE),"")</f>
        <v>Frenzy, Dodge, Jump Up</v>
      </c>
      <c r="J8" s="199" t="s">
        <v>386</v>
      </c>
      <c r="K8" s="200">
        <f t="shared" si="0"/>
        <v>2</v>
      </c>
      <c r="L8" s="201"/>
      <c r="M8" s="201"/>
      <c r="N8" s="201"/>
      <c r="O8" s="202"/>
      <c r="P8" s="203"/>
      <c r="Q8" s="204"/>
      <c r="R8" s="204"/>
      <c r="S8" s="205"/>
      <c r="T8" s="206"/>
      <c r="U8" s="207">
        <v>4</v>
      </c>
      <c r="V8" s="207">
        <v>2</v>
      </c>
      <c r="W8" s="207">
        <v>1</v>
      </c>
      <c r="X8" s="204"/>
      <c r="Y8" s="208">
        <v>1</v>
      </c>
      <c r="Z8" s="209">
        <f t="shared" si="1"/>
        <v>17</v>
      </c>
      <c r="AA8" s="183">
        <f t="shared" si="2"/>
        <v>180000</v>
      </c>
      <c r="AB8" s="136"/>
      <c r="AC8" s="210">
        <f>IFERROR(VLOOKUP($I$22&amp;D8,'Development-Hidden'!$C$2:$E$118,3,FALSE),"")</f>
        <v>110000</v>
      </c>
      <c r="AD8" s="206">
        <v>1</v>
      </c>
      <c r="AE8" s="207"/>
      <c r="AF8" s="207"/>
      <c r="AG8" s="207">
        <v>1</v>
      </c>
      <c r="AH8" s="207"/>
      <c r="AI8" s="207"/>
      <c r="AJ8" s="211"/>
      <c r="AK8" s="136"/>
      <c r="AL8" s="227" t="s">
        <v>289</v>
      </c>
      <c r="AM8" s="228">
        <v>40000</v>
      </c>
      <c r="AN8" s="229">
        <v>0</v>
      </c>
      <c r="AO8" s="230">
        <v>0</v>
      </c>
      <c r="AP8" s="231" t="s">
        <v>47</v>
      </c>
      <c r="AQ8" s="229" t="s">
        <v>270</v>
      </c>
      <c r="AR8" s="232">
        <v>2</v>
      </c>
      <c r="AS8" s="233">
        <v>0</v>
      </c>
      <c r="AT8" s="234">
        <v>1</v>
      </c>
      <c r="AU8" s="136"/>
    </row>
    <row r="9" spans="1:47" ht="15.75" customHeight="1">
      <c r="A9" s="137"/>
      <c r="B9" s="192">
        <v>6</v>
      </c>
      <c r="C9" s="193" t="s">
        <v>387</v>
      </c>
      <c r="D9" s="194" t="s">
        <v>71</v>
      </c>
      <c r="E9" s="195">
        <f>IFERROR(VLOOKUP($I$22&amp;$D9,'Development-Hidden'!$C$2:$J$118,4,FALSE)-P9+AF9,"")</f>
        <v>7</v>
      </c>
      <c r="F9" s="196">
        <f>IFERROR(VLOOKUP($I$22&amp;$D9,'Development-Hidden'!$C$2:$J$118,5,FALSE)-Q9+AG9,"")</f>
        <v>3</v>
      </c>
      <c r="G9" s="196">
        <f>IFERROR(VLOOKUP($I$22&amp;$D9,'Development-Hidden'!$C$2:$J$118,6,FALSE)-R9+AH9,"")</f>
        <v>4</v>
      </c>
      <c r="H9" s="197">
        <f>IFERROR(VLOOKUP($I$22&amp;$D9,'Development-Hidden'!$C$2:$J$118,7,FALSE)-S9+AI9,"")</f>
        <v>7</v>
      </c>
      <c r="I9" s="198" t="str">
        <f>IFERROR(VLOOKUP($I$22&amp;$D9,'Development-Hidden'!$C$2:$J$118,8,FALSE),"")</f>
        <v>Dump-Off</v>
      </c>
      <c r="J9" s="199"/>
      <c r="K9" s="200">
        <f t="shared" si="0"/>
        <v>0</v>
      </c>
      <c r="L9" s="201"/>
      <c r="M9" s="201"/>
      <c r="N9" s="201"/>
      <c r="O9" s="202"/>
      <c r="P9" s="203"/>
      <c r="Q9" s="204"/>
      <c r="R9" s="204"/>
      <c r="S9" s="205"/>
      <c r="T9" s="206"/>
      <c r="U9" s="207"/>
      <c r="V9" s="207"/>
      <c r="W9" s="207"/>
      <c r="X9" s="204"/>
      <c r="Y9" s="208"/>
      <c r="Z9" s="209">
        <f t="shared" si="1"/>
        <v>0</v>
      </c>
      <c r="AA9" s="183">
        <f t="shared" si="2"/>
        <v>80000</v>
      </c>
      <c r="AB9" s="136"/>
      <c r="AC9" s="210">
        <f>IFERROR(VLOOKUP($I$22&amp;D9,'Development-Hidden'!$C$2:$E$118,3,FALSE),"")</f>
        <v>80000</v>
      </c>
      <c r="AD9" s="206"/>
      <c r="AE9" s="207"/>
      <c r="AF9" s="207"/>
      <c r="AG9" s="207"/>
      <c r="AH9" s="207"/>
      <c r="AI9" s="207"/>
      <c r="AJ9" s="211"/>
      <c r="AK9" s="136"/>
      <c r="AL9" s="227" t="s">
        <v>296</v>
      </c>
      <c r="AM9" s="228">
        <v>60000</v>
      </c>
      <c r="AN9" s="229">
        <v>100000</v>
      </c>
      <c r="AO9" s="230">
        <v>0</v>
      </c>
      <c r="AP9" s="231" t="s">
        <v>388</v>
      </c>
      <c r="AQ9" s="229" t="s">
        <v>389</v>
      </c>
      <c r="AR9" s="232">
        <v>2</v>
      </c>
      <c r="AS9" s="233">
        <v>1</v>
      </c>
      <c r="AT9" s="234">
        <v>1</v>
      </c>
      <c r="AU9" s="136"/>
    </row>
    <row r="10" spans="1:47" ht="15.75" customHeight="1">
      <c r="A10" s="137"/>
      <c r="B10" s="192">
        <v>7</v>
      </c>
      <c r="C10" s="193"/>
      <c r="D10" s="194"/>
      <c r="E10" s="195" t="str">
        <f>IFERROR(VLOOKUP($I$22&amp;$D10,'Development-Hidden'!$C$2:$J$118,4,FALSE)-P10+AF10,"")</f>
        <v/>
      </c>
      <c r="F10" s="196" t="str">
        <f>IFERROR(VLOOKUP($I$22&amp;$D10,'Development-Hidden'!$C$2:$J$118,5,FALSE)-Q10+AG10,"")</f>
        <v/>
      </c>
      <c r="G10" s="196" t="str">
        <f>IFERROR(VLOOKUP($I$22&amp;$D10,'Development-Hidden'!$C$2:$J$118,6,FALSE)-R10+AH10,"")</f>
        <v/>
      </c>
      <c r="H10" s="197" t="str">
        <f>IFERROR(VLOOKUP($I$22&amp;$D10,'Development-Hidden'!$C$2:$J$118,7,FALSE)-S10+AI10,"")</f>
        <v/>
      </c>
      <c r="I10" s="198" t="str">
        <f>IFERROR(VLOOKUP($I$22&amp;$D10,'Development-Hidden'!$C$2:$J$118,8,FALSE),"")</f>
        <v/>
      </c>
      <c r="J10" s="199"/>
      <c r="K10" s="200">
        <f t="shared" si="0"/>
        <v>0</v>
      </c>
      <c r="L10" s="201"/>
      <c r="M10" s="201"/>
      <c r="N10" s="201"/>
      <c r="O10" s="202"/>
      <c r="P10" s="203"/>
      <c r="Q10" s="204"/>
      <c r="R10" s="204"/>
      <c r="S10" s="205"/>
      <c r="T10" s="206"/>
      <c r="U10" s="207"/>
      <c r="V10" s="207"/>
      <c r="W10" s="207"/>
      <c r="X10" s="204"/>
      <c r="Y10" s="208"/>
      <c r="Z10" s="209">
        <f t="shared" si="1"/>
        <v>0</v>
      </c>
      <c r="AA10" s="183">
        <f t="shared" si="2"/>
        <v>0</v>
      </c>
      <c r="AB10" s="136"/>
      <c r="AC10" s="210" t="str">
        <f>IFERROR(VLOOKUP($I$22&amp;D10,'Development-Hidden'!$C$2:$E$118,3,FALSE),"0")</f>
        <v>0</v>
      </c>
      <c r="AD10" s="206"/>
      <c r="AE10" s="207"/>
      <c r="AF10" s="207"/>
      <c r="AG10" s="207"/>
      <c r="AH10" s="207"/>
      <c r="AI10" s="207"/>
      <c r="AJ10" s="211"/>
      <c r="AK10" s="136"/>
      <c r="AL10" s="227" t="s">
        <v>306</v>
      </c>
      <c r="AM10" s="228">
        <v>40000</v>
      </c>
      <c r="AN10" s="229">
        <v>0</v>
      </c>
      <c r="AO10" s="230">
        <v>0</v>
      </c>
      <c r="AP10" s="231" t="s">
        <v>390</v>
      </c>
      <c r="AQ10" s="229" t="s">
        <v>389</v>
      </c>
      <c r="AR10" s="232">
        <v>1</v>
      </c>
      <c r="AS10" s="233">
        <v>5</v>
      </c>
      <c r="AT10" s="234">
        <v>1</v>
      </c>
      <c r="AU10" s="136"/>
    </row>
    <row r="11" spans="1:47" ht="15.75" customHeight="1">
      <c r="A11" s="137"/>
      <c r="B11" s="192">
        <v>8</v>
      </c>
      <c r="C11" s="193"/>
      <c r="D11" s="194"/>
      <c r="E11" s="195" t="str">
        <f>IFERROR(VLOOKUP($I$22&amp;$D11,'Development-Hidden'!$C$2:$J$118,4,FALSE)-P11+AF11,"")</f>
        <v/>
      </c>
      <c r="F11" s="196" t="str">
        <f>IFERROR(VLOOKUP($I$22&amp;$D11,'Development-Hidden'!$C$2:$J$118,5,FALSE)-Q11+AG11,"")</f>
        <v/>
      </c>
      <c r="G11" s="196" t="str">
        <f>IFERROR(VLOOKUP($I$22&amp;$D11,'Development-Hidden'!$C$2:$J$118,6,FALSE)-R11+AH11,"")</f>
        <v/>
      </c>
      <c r="H11" s="197" t="str">
        <f>IFERROR(VLOOKUP($I$22&amp;$D11,'Development-Hidden'!$C$2:$J$118,7,FALSE)-S11+AI11,"")</f>
        <v/>
      </c>
      <c r="I11" s="198" t="str">
        <f>IFERROR(VLOOKUP($I$22&amp;$D11,'Development-Hidden'!$C$2:$J$118,8,FALSE),"")</f>
        <v/>
      </c>
      <c r="J11" s="199"/>
      <c r="K11" s="200">
        <f t="shared" si="0"/>
        <v>0</v>
      </c>
      <c r="L11" s="201"/>
      <c r="M11" s="201"/>
      <c r="N11" s="201"/>
      <c r="O11" s="202"/>
      <c r="P11" s="203"/>
      <c r="Q11" s="204"/>
      <c r="R11" s="204"/>
      <c r="S11" s="205"/>
      <c r="T11" s="206"/>
      <c r="U11" s="207"/>
      <c r="V11" s="207"/>
      <c r="W11" s="207"/>
      <c r="X11" s="204"/>
      <c r="Y11" s="208"/>
      <c r="Z11" s="209">
        <f t="shared" si="1"/>
        <v>0</v>
      </c>
      <c r="AA11" s="183">
        <f t="shared" si="2"/>
        <v>0</v>
      </c>
      <c r="AB11" s="136"/>
      <c r="AC11" s="210" t="str">
        <f>IFERROR(VLOOKUP($I$22&amp;D11,'Development-Hidden'!$C$2:$E$118,3,FALSE),"0")</f>
        <v>0</v>
      </c>
      <c r="AD11" s="206"/>
      <c r="AE11" s="207"/>
      <c r="AF11" s="207"/>
      <c r="AG11" s="207"/>
      <c r="AH11" s="207"/>
      <c r="AI11" s="207"/>
      <c r="AJ11" s="211"/>
      <c r="AK11" s="136"/>
      <c r="AL11" s="227" t="s">
        <v>316</v>
      </c>
      <c r="AM11" s="228">
        <v>60000</v>
      </c>
      <c r="AN11" s="229">
        <v>100000</v>
      </c>
      <c r="AO11" s="230">
        <v>0</v>
      </c>
      <c r="AP11" s="231" t="s">
        <v>10</v>
      </c>
      <c r="AQ11" s="229" t="s">
        <v>270</v>
      </c>
      <c r="AR11" s="232">
        <v>2</v>
      </c>
      <c r="AS11" s="233">
        <v>0</v>
      </c>
      <c r="AT11" s="234">
        <v>1</v>
      </c>
      <c r="AU11" s="136"/>
    </row>
    <row r="12" spans="1:47" ht="15.75" customHeight="1">
      <c r="A12" s="137"/>
      <c r="B12" s="192">
        <v>9</v>
      </c>
      <c r="C12" s="193"/>
      <c r="D12" s="194"/>
      <c r="E12" s="195" t="str">
        <f>IFERROR(VLOOKUP($I$22&amp;$D12,'Development-Hidden'!$C$2:$J$118,4,FALSE)-P12+AF12,"")</f>
        <v/>
      </c>
      <c r="F12" s="196" t="str">
        <f>IFERROR(VLOOKUP($I$22&amp;$D12,'Development-Hidden'!$C$2:$J$118,5,FALSE)-Q12+AG12,"")</f>
        <v/>
      </c>
      <c r="G12" s="196" t="str">
        <f>IFERROR(VLOOKUP($I$22&amp;$D12,'Development-Hidden'!$C$2:$J$118,6,FALSE)-R12+AH12,"")</f>
        <v/>
      </c>
      <c r="H12" s="197" t="str">
        <f>IFERROR(VLOOKUP($I$22&amp;$D12,'Development-Hidden'!$C$2:$J$118,7,FALSE)-S12+AI12,"")</f>
        <v/>
      </c>
      <c r="I12" s="198" t="str">
        <f>IFERROR(VLOOKUP($I$22&amp;$D12,'Development-Hidden'!$C$2:$J$118,8,FALSE),"")</f>
        <v/>
      </c>
      <c r="J12" s="199"/>
      <c r="K12" s="200">
        <f t="shared" si="0"/>
        <v>0</v>
      </c>
      <c r="L12" s="201"/>
      <c r="M12" s="201"/>
      <c r="N12" s="201"/>
      <c r="O12" s="202"/>
      <c r="P12" s="203"/>
      <c r="Q12" s="204"/>
      <c r="R12" s="204"/>
      <c r="S12" s="205"/>
      <c r="T12" s="206"/>
      <c r="U12" s="207"/>
      <c r="V12" s="207"/>
      <c r="W12" s="207"/>
      <c r="X12" s="204"/>
      <c r="Y12" s="208"/>
      <c r="Z12" s="209">
        <f t="shared" si="1"/>
        <v>0</v>
      </c>
      <c r="AA12" s="183">
        <f t="shared" si="2"/>
        <v>0</v>
      </c>
      <c r="AB12" s="136"/>
      <c r="AC12" s="210" t="str">
        <f>IFERROR(VLOOKUP($I$22&amp;D12,'Development-Hidden'!$C$2:$E$118,3,FALSE),"0")</f>
        <v>0</v>
      </c>
      <c r="AD12" s="206"/>
      <c r="AE12" s="207"/>
      <c r="AF12" s="207"/>
      <c r="AG12" s="207"/>
      <c r="AH12" s="207"/>
      <c r="AI12" s="207"/>
      <c r="AJ12" s="211"/>
      <c r="AK12" s="136"/>
      <c r="AL12" s="227" t="s">
        <v>330</v>
      </c>
      <c r="AM12" s="228">
        <v>40000</v>
      </c>
      <c r="AN12" s="229">
        <v>80000</v>
      </c>
      <c r="AO12" s="230">
        <v>0</v>
      </c>
      <c r="AP12" s="231" t="s">
        <v>17</v>
      </c>
      <c r="AQ12" s="229" t="s">
        <v>270</v>
      </c>
      <c r="AR12" s="232">
        <v>2</v>
      </c>
      <c r="AS12" s="233">
        <v>0</v>
      </c>
      <c r="AT12" s="234">
        <v>1</v>
      </c>
      <c r="AU12" s="136"/>
    </row>
    <row r="13" spans="1:47" ht="15.75" customHeight="1">
      <c r="A13" s="137"/>
      <c r="B13" s="192">
        <v>10</v>
      </c>
      <c r="C13" s="193" t="s">
        <v>184</v>
      </c>
      <c r="D13" s="194" t="s">
        <v>58</v>
      </c>
      <c r="E13" s="195">
        <f>IFERROR(VLOOKUP($I$22&amp;$D13,'Development-Hidden'!$C$2:$J$118,4,FALSE)-P13+AF13,"")</f>
        <v>6</v>
      </c>
      <c r="F13" s="196">
        <f>IFERROR(VLOOKUP($I$22&amp;$D13,'Development-Hidden'!$C$2:$J$118,5,FALSE)-Q13+AG13,"")</f>
        <v>3</v>
      </c>
      <c r="G13" s="196">
        <f>IFERROR(VLOOKUP($I$22&amp;$D13,'Development-Hidden'!$C$2:$J$118,6,FALSE)-R13+AH13,"")</f>
        <v>4</v>
      </c>
      <c r="H13" s="197">
        <f>IFERROR(VLOOKUP($I$22&amp;$D13,'Development-Hidden'!$C$2:$J$118,7,FALSE)-S13+AI13,"")</f>
        <v>8</v>
      </c>
      <c r="I13" s="198">
        <f>IFERROR(VLOOKUP($I$22&amp;$D13,'Development-Hidden'!$C$2:$J$118,8,FALSE),"")</f>
        <v>0</v>
      </c>
      <c r="J13" s="199" t="s">
        <v>377</v>
      </c>
      <c r="K13" s="200">
        <f t="shared" si="0"/>
        <v>1</v>
      </c>
      <c r="L13" s="201"/>
      <c r="M13" s="201"/>
      <c r="N13" s="201"/>
      <c r="O13" s="202"/>
      <c r="P13" s="203"/>
      <c r="Q13" s="204"/>
      <c r="R13" s="204"/>
      <c r="S13" s="205"/>
      <c r="T13" s="206"/>
      <c r="U13" s="207"/>
      <c r="V13" s="207"/>
      <c r="W13" s="207">
        <v>1</v>
      </c>
      <c r="X13" s="204">
        <v>1</v>
      </c>
      <c r="Y13" s="208">
        <v>1</v>
      </c>
      <c r="Z13" s="209">
        <f t="shared" si="1"/>
        <v>7</v>
      </c>
      <c r="AA13" s="183">
        <f t="shared" si="2"/>
        <v>100000</v>
      </c>
      <c r="AB13" s="136"/>
      <c r="AC13" s="210">
        <f>IFERROR(VLOOKUP($I$22&amp;D13,'Development-Hidden'!$C$2:$E$118,3,FALSE),"")</f>
        <v>70000</v>
      </c>
      <c r="AD13" s="206"/>
      <c r="AE13" s="207">
        <v>1</v>
      </c>
      <c r="AF13" s="207"/>
      <c r="AG13" s="207"/>
      <c r="AH13" s="207"/>
      <c r="AI13" s="207"/>
      <c r="AJ13" s="211"/>
      <c r="AK13" s="136"/>
      <c r="AL13" s="227" t="s">
        <v>342</v>
      </c>
      <c r="AM13" s="228"/>
      <c r="AN13" s="229"/>
      <c r="AO13" s="230"/>
      <c r="AP13" s="231"/>
      <c r="AQ13" s="229"/>
      <c r="AR13" s="232"/>
      <c r="AS13" s="233"/>
      <c r="AT13" s="234"/>
      <c r="AU13" s="136"/>
    </row>
    <row r="14" spans="1:47" ht="15.75" customHeight="1">
      <c r="A14" s="137"/>
      <c r="B14" s="192">
        <v>11</v>
      </c>
      <c r="C14" s="193" t="s">
        <v>189</v>
      </c>
      <c r="D14" s="194" t="s">
        <v>58</v>
      </c>
      <c r="E14" s="195">
        <f>IFERROR(VLOOKUP($I$22&amp;$D14,'Development-Hidden'!$C$2:$J$118,4,FALSE)-P14+AF14,"")</f>
        <v>5</v>
      </c>
      <c r="F14" s="196">
        <f>IFERROR(VLOOKUP($I$22&amp;$D14,'Development-Hidden'!$C$2:$J$118,5,FALSE)-Q14+AG14,"")</f>
        <v>3</v>
      </c>
      <c r="G14" s="196">
        <f>IFERROR(VLOOKUP($I$22&amp;$D14,'Development-Hidden'!$C$2:$J$118,6,FALSE)-R14+AH14,"")</f>
        <v>4</v>
      </c>
      <c r="H14" s="197">
        <f>IFERROR(VLOOKUP($I$22&amp;$D14,'Development-Hidden'!$C$2:$J$118,7,FALSE)-S14+AI14,"")</f>
        <v>8</v>
      </c>
      <c r="I14" s="198">
        <f>IFERROR(VLOOKUP($I$22&amp;$D14,'Development-Hidden'!$C$2:$J$118,8,FALSE),"")</f>
        <v>0</v>
      </c>
      <c r="J14" s="199"/>
      <c r="K14" s="200">
        <f t="shared" si="0"/>
        <v>0</v>
      </c>
      <c r="L14" s="201"/>
      <c r="M14" s="201"/>
      <c r="N14" s="201"/>
      <c r="O14" s="202"/>
      <c r="P14" s="203">
        <v>1</v>
      </c>
      <c r="Q14" s="204"/>
      <c r="R14" s="204"/>
      <c r="S14" s="205"/>
      <c r="T14" s="206"/>
      <c r="U14" s="207"/>
      <c r="V14" s="207"/>
      <c r="W14" s="207">
        <v>1</v>
      </c>
      <c r="X14" s="204"/>
      <c r="Y14" s="208"/>
      <c r="Z14" s="209">
        <f t="shared" si="1"/>
        <v>2</v>
      </c>
      <c r="AA14" s="183">
        <f t="shared" si="2"/>
        <v>70000</v>
      </c>
      <c r="AB14" s="136"/>
      <c r="AC14" s="210">
        <f>IFERROR(VLOOKUP($I$22&amp;D14,'Development-Hidden'!$C$2:$E$118,3,FALSE),"")</f>
        <v>70000</v>
      </c>
      <c r="AD14" s="206"/>
      <c r="AE14" s="207"/>
      <c r="AF14" s="207"/>
      <c r="AG14" s="207"/>
      <c r="AH14" s="207"/>
      <c r="AI14" s="207"/>
      <c r="AJ14" s="211"/>
      <c r="AK14" s="136"/>
      <c r="AL14" s="227" t="s">
        <v>354</v>
      </c>
      <c r="AM14" s="228"/>
      <c r="AN14" s="229"/>
      <c r="AO14" s="230"/>
      <c r="AP14" s="231"/>
      <c r="AQ14" s="229"/>
      <c r="AR14" s="232"/>
      <c r="AS14" s="233"/>
      <c r="AT14" s="234"/>
      <c r="AU14" s="136"/>
    </row>
    <row r="15" spans="1:47" ht="15.75" customHeight="1">
      <c r="A15" s="137"/>
      <c r="B15" s="192">
        <v>12</v>
      </c>
      <c r="C15" s="193" t="s">
        <v>321</v>
      </c>
      <c r="D15" s="194" t="s">
        <v>58</v>
      </c>
      <c r="E15" s="195">
        <f>IFERROR(VLOOKUP($I$22&amp;$D15,'Development-Hidden'!$C$2:$J$118,4,FALSE)-P15+AF15,"")</f>
        <v>6</v>
      </c>
      <c r="F15" s="196">
        <f>IFERROR(VLOOKUP($I$22&amp;$D15,'Development-Hidden'!$C$2:$J$118,5,FALSE)-Q15+AG15,"")</f>
        <v>3</v>
      </c>
      <c r="G15" s="196">
        <f>IFERROR(VLOOKUP($I$22&amp;$D15,'Development-Hidden'!$C$2:$J$118,6,FALSE)-R15+AH15,"")</f>
        <v>4</v>
      </c>
      <c r="H15" s="197">
        <f>IFERROR(VLOOKUP($I$22&amp;$D15,'Development-Hidden'!$C$2:$J$118,7,FALSE)-S15+AI15,"")</f>
        <v>8</v>
      </c>
      <c r="I15" s="198">
        <f>IFERROR(VLOOKUP($I$22&amp;$D15,'Development-Hidden'!$C$2:$J$118,8,FALSE),"")</f>
        <v>0</v>
      </c>
      <c r="J15" s="199"/>
      <c r="K15" s="200">
        <f t="shared" si="0"/>
        <v>0</v>
      </c>
      <c r="L15" s="201"/>
      <c r="M15" s="201"/>
      <c r="N15" s="201"/>
      <c r="O15" s="202"/>
      <c r="P15" s="203"/>
      <c r="Q15" s="204"/>
      <c r="R15" s="204"/>
      <c r="S15" s="205"/>
      <c r="T15" s="206"/>
      <c r="U15" s="207"/>
      <c r="V15" s="207"/>
      <c r="W15" s="207"/>
      <c r="X15" s="204"/>
      <c r="Y15" s="208"/>
      <c r="Z15" s="209">
        <f t="shared" si="1"/>
        <v>0</v>
      </c>
      <c r="AA15" s="183">
        <f t="shared" si="2"/>
        <v>70000</v>
      </c>
      <c r="AB15" s="136"/>
      <c r="AC15" s="210">
        <f>IFERROR(VLOOKUP($I$22&amp;D15,'Development-Hidden'!$C$2:$E$118,3,FALSE),"")</f>
        <v>70000</v>
      </c>
      <c r="AD15" s="206"/>
      <c r="AE15" s="207"/>
      <c r="AF15" s="207"/>
      <c r="AG15" s="207"/>
      <c r="AH15" s="207"/>
      <c r="AI15" s="207"/>
      <c r="AJ15" s="211"/>
      <c r="AK15" s="136"/>
      <c r="AL15" s="227" t="s">
        <v>355</v>
      </c>
      <c r="AM15" s="228"/>
      <c r="AN15" s="229"/>
      <c r="AO15" s="230"/>
      <c r="AP15" s="231"/>
      <c r="AQ15" s="229"/>
      <c r="AR15" s="232"/>
      <c r="AS15" s="233"/>
      <c r="AT15" s="234"/>
      <c r="AU15" s="136"/>
    </row>
    <row r="16" spans="1:47" ht="15.75" customHeight="1">
      <c r="A16" s="137"/>
      <c r="B16" s="192">
        <v>13</v>
      </c>
      <c r="C16" s="193" t="s">
        <v>190</v>
      </c>
      <c r="D16" s="194" t="s">
        <v>58</v>
      </c>
      <c r="E16" s="195">
        <f>IFERROR(VLOOKUP($I$22&amp;$D16,'Development-Hidden'!$C$2:$J$118,4,FALSE)-P16+AF16,"")</f>
        <v>6</v>
      </c>
      <c r="F16" s="196">
        <f>IFERROR(VLOOKUP($I$22&amp;$D16,'Development-Hidden'!$C$2:$J$118,5,FALSE)-Q16+AG16,"")</f>
        <v>3</v>
      </c>
      <c r="G16" s="196">
        <f>IFERROR(VLOOKUP($I$22&amp;$D16,'Development-Hidden'!$C$2:$J$118,6,FALSE)-R16+AH16,"")</f>
        <v>4</v>
      </c>
      <c r="H16" s="197">
        <f>IFERROR(VLOOKUP($I$22&amp;$D16,'Development-Hidden'!$C$2:$J$118,7,FALSE)-S16+AI16,"")</f>
        <v>8</v>
      </c>
      <c r="I16" s="198">
        <f>IFERROR(VLOOKUP($I$22&amp;$D16,'Development-Hidden'!$C$2:$J$118,8,FALSE),"")</f>
        <v>0</v>
      </c>
      <c r="J16" s="199"/>
      <c r="K16" s="200">
        <f t="shared" si="0"/>
        <v>0</v>
      </c>
      <c r="L16" s="201"/>
      <c r="M16" s="201"/>
      <c r="N16" s="201"/>
      <c r="O16" s="202"/>
      <c r="P16" s="203"/>
      <c r="Q16" s="204"/>
      <c r="R16" s="204"/>
      <c r="S16" s="205"/>
      <c r="T16" s="206"/>
      <c r="U16" s="207"/>
      <c r="V16" s="207"/>
      <c r="W16" s="207">
        <v>1</v>
      </c>
      <c r="X16" s="204"/>
      <c r="Y16" s="208"/>
      <c r="Z16" s="209">
        <f t="shared" si="1"/>
        <v>2</v>
      </c>
      <c r="AA16" s="183">
        <f t="shared" si="2"/>
        <v>70000</v>
      </c>
      <c r="AB16" s="136"/>
      <c r="AC16" s="210">
        <f>IFERROR(VLOOKUP($I$22&amp;D16,'Development-Hidden'!$C$2:$E$118,3,FALSE),"")</f>
        <v>70000</v>
      </c>
      <c r="AD16" s="206"/>
      <c r="AE16" s="207"/>
      <c r="AF16" s="207"/>
      <c r="AG16" s="207"/>
      <c r="AH16" s="207"/>
      <c r="AI16" s="207"/>
      <c r="AJ16" s="211"/>
      <c r="AK16" s="136"/>
      <c r="AL16" s="227" t="s">
        <v>357</v>
      </c>
      <c r="AM16" s="228"/>
      <c r="AN16" s="229"/>
      <c r="AO16" s="230"/>
      <c r="AP16" s="231"/>
      <c r="AQ16" s="229"/>
      <c r="AR16" s="232"/>
      <c r="AS16" s="233"/>
      <c r="AT16" s="234"/>
      <c r="AU16" s="136"/>
    </row>
    <row r="17" spans="1:47" ht="15.75" customHeight="1">
      <c r="A17" s="137"/>
      <c r="B17" s="192">
        <v>14</v>
      </c>
      <c r="C17" s="193"/>
      <c r="D17" s="194"/>
      <c r="E17" s="195" t="str">
        <f>IFERROR(VLOOKUP($I$22&amp;$D17,'Development-Hidden'!$C$2:$J$118,4,FALSE)-P17+AF17,"")</f>
        <v/>
      </c>
      <c r="F17" s="196" t="str">
        <f>IFERROR(VLOOKUP($I$22&amp;$D17,'Development-Hidden'!$C$2:$J$118,5,FALSE)-Q17+AG17,"")</f>
        <v/>
      </c>
      <c r="G17" s="196" t="str">
        <f>IFERROR(VLOOKUP($I$22&amp;$D17,'Development-Hidden'!$C$2:$J$118,6,FALSE)-R17+AH17,"")</f>
        <v/>
      </c>
      <c r="H17" s="197" t="str">
        <f>IFERROR(VLOOKUP($I$22&amp;$D17,'Development-Hidden'!$C$2:$J$118,7,FALSE)-S17+AI17,"")</f>
        <v/>
      </c>
      <c r="I17" s="198" t="str">
        <f>IFERROR(VLOOKUP($I$22&amp;$D17,'Development-Hidden'!$C$2:$J$118,8,FALSE),"")</f>
        <v/>
      </c>
      <c r="J17" s="199"/>
      <c r="K17" s="200">
        <f t="shared" si="0"/>
        <v>0</v>
      </c>
      <c r="L17" s="201"/>
      <c r="M17" s="201"/>
      <c r="N17" s="201"/>
      <c r="O17" s="202"/>
      <c r="P17" s="203"/>
      <c r="Q17" s="204"/>
      <c r="R17" s="204"/>
      <c r="S17" s="205"/>
      <c r="T17" s="206"/>
      <c r="U17" s="207"/>
      <c r="V17" s="207"/>
      <c r="W17" s="207"/>
      <c r="X17" s="204"/>
      <c r="Y17" s="208"/>
      <c r="Z17" s="209">
        <f t="shared" si="1"/>
        <v>0</v>
      </c>
      <c r="AA17" s="183">
        <f t="shared" si="2"/>
        <v>0</v>
      </c>
      <c r="AB17" s="136"/>
      <c r="AC17" s="210" t="str">
        <f>IFERROR(VLOOKUP($I$22&amp;D17,'Development-Hidden'!$C$2:$E$118,3,FALSE),"0")</f>
        <v>0</v>
      </c>
      <c r="AD17" s="206"/>
      <c r="AE17" s="207"/>
      <c r="AF17" s="207"/>
      <c r="AG17" s="207"/>
      <c r="AH17" s="207"/>
      <c r="AI17" s="207"/>
      <c r="AJ17" s="211"/>
      <c r="AK17" s="136"/>
      <c r="AL17" s="235" t="s">
        <v>359</v>
      </c>
      <c r="AM17" s="236"/>
      <c r="AN17" s="237"/>
      <c r="AO17" s="238"/>
      <c r="AP17" s="239"/>
      <c r="AQ17" s="237"/>
      <c r="AR17" s="240"/>
      <c r="AS17" s="241"/>
      <c r="AT17" s="242"/>
      <c r="AU17" s="136"/>
    </row>
    <row r="18" spans="1:47" ht="15.75" customHeight="1">
      <c r="A18" s="137"/>
      <c r="B18" s="192">
        <v>15</v>
      </c>
      <c r="C18" s="193" t="s">
        <v>129</v>
      </c>
      <c r="D18" s="194" t="s">
        <v>58</v>
      </c>
      <c r="E18" s="195">
        <f>IFERROR(VLOOKUP($I$22&amp;$D18,'Development-Hidden'!$C$2:$J$118,4,FALSE)-P18+AF18,"")</f>
        <v>6</v>
      </c>
      <c r="F18" s="196">
        <f>IFERROR(VLOOKUP($I$22&amp;$D18,'Development-Hidden'!$C$2:$J$118,5,FALSE)-Q18+AG18,"")</f>
        <v>3</v>
      </c>
      <c r="G18" s="196">
        <f>IFERROR(VLOOKUP($I$22&amp;$D18,'Development-Hidden'!$C$2:$J$118,6,FALSE)-R18+AH18,"")</f>
        <v>4</v>
      </c>
      <c r="H18" s="197">
        <f>IFERROR(VLOOKUP($I$22&amp;$D18,'Development-Hidden'!$C$2:$J$118,7,FALSE)-S18+AI18,"")</f>
        <v>8</v>
      </c>
      <c r="I18" s="198">
        <f>IFERROR(VLOOKUP($I$22&amp;$D18,'Development-Hidden'!$C$2:$J$118,8,FALSE),"")</f>
        <v>0</v>
      </c>
      <c r="J18" s="199" t="s">
        <v>291</v>
      </c>
      <c r="K18" s="200">
        <f t="shared" si="0"/>
        <v>1</v>
      </c>
      <c r="L18" s="201"/>
      <c r="M18" s="201"/>
      <c r="N18" s="201"/>
      <c r="O18" s="202"/>
      <c r="P18" s="203"/>
      <c r="Q18" s="204"/>
      <c r="R18" s="204"/>
      <c r="S18" s="205"/>
      <c r="T18" s="206"/>
      <c r="U18" s="207"/>
      <c r="V18" s="207">
        <v>2</v>
      </c>
      <c r="W18" s="207"/>
      <c r="X18" s="204"/>
      <c r="Y18" s="208">
        <v>1</v>
      </c>
      <c r="Z18" s="209">
        <f t="shared" si="1"/>
        <v>11</v>
      </c>
      <c r="AA18" s="183">
        <f t="shared" si="2"/>
        <v>90000</v>
      </c>
      <c r="AB18" s="136"/>
      <c r="AC18" s="210">
        <f>IFERROR(VLOOKUP($I$22&amp;D18,'Development-Hidden'!$C$2:$E$118,3,FALSE),"")</f>
        <v>70000</v>
      </c>
      <c r="AD18" s="206">
        <v>1</v>
      </c>
      <c r="AE18" s="207"/>
      <c r="AF18" s="207"/>
      <c r="AG18" s="207"/>
      <c r="AH18" s="207"/>
      <c r="AI18" s="207"/>
      <c r="AJ18" s="211"/>
      <c r="AK18" s="136"/>
      <c r="AL18" s="243" t="s">
        <v>219</v>
      </c>
      <c r="AM18" s="244">
        <f>AM4+SUM(AM6:AM17)-SUM(AN6:AN17)-SUM(AO6:AO17)</f>
        <v>10000</v>
      </c>
      <c r="AN18" s="136"/>
      <c r="AO18" s="136"/>
      <c r="AP18" s="189"/>
      <c r="AQ18" s="243" t="s">
        <v>219</v>
      </c>
      <c r="AR18" s="245">
        <f t="shared" ref="AR18:AS18" si="3">SUM(AR6:AR17)</f>
        <v>11</v>
      </c>
      <c r="AS18" s="246">
        <f t="shared" si="3"/>
        <v>10</v>
      </c>
      <c r="AT18" s="247">
        <f>AT4+SUM(AT6:AT17)</f>
        <v>6</v>
      </c>
      <c r="AU18" s="140"/>
    </row>
    <row r="19" spans="1:47" ht="15.75" customHeight="1" thickBot="1">
      <c r="A19" s="137"/>
      <c r="B19" s="248">
        <v>16</v>
      </c>
      <c r="C19" s="249"/>
      <c r="D19" s="250"/>
      <c r="E19" s="251" t="str">
        <f>IFERROR(VLOOKUP($I$22&amp;$D19,'Development-Hidden'!$C$2:$J$118,4,FALSE)-P19+AF19,"")</f>
        <v/>
      </c>
      <c r="F19" s="252" t="str">
        <f>IFERROR(VLOOKUP($I$22&amp;$D19,'Development-Hidden'!$C$2:$J$118,5,FALSE)-Q19+AG19,"")</f>
        <v/>
      </c>
      <c r="G19" s="252" t="str">
        <f>IFERROR(VLOOKUP($I$22&amp;$D19,'Development-Hidden'!$C$2:$J$118,6,FALSE)-R19+AH19,"")</f>
        <v/>
      </c>
      <c r="H19" s="253" t="str">
        <f>IFERROR(VLOOKUP($I$22&amp;$D19,'Development-Hidden'!$C$2:$J$118,7,FALSE)-S19+AI19,"")</f>
        <v/>
      </c>
      <c r="I19" s="254" t="str">
        <f>IFERROR(VLOOKUP($I$22&amp;$D19,'Development-Hidden'!$C$2:$J$118,8,FALSE),"")</f>
        <v/>
      </c>
      <c r="J19" s="255"/>
      <c r="K19" s="256">
        <f t="shared" si="0"/>
        <v>0</v>
      </c>
      <c r="L19" s="257"/>
      <c r="M19" s="257"/>
      <c r="N19" s="257"/>
      <c r="O19" s="258"/>
      <c r="P19" s="259"/>
      <c r="Q19" s="260"/>
      <c r="R19" s="260"/>
      <c r="S19" s="261"/>
      <c r="T19" s="262"/>
      <c r="U19" s="263"/>
      <c r="V19" s="263"/>
      <c r="W19" s="263"/>
      <c r="X19" s="260"/>
      <c r="Y19" s="264"/>
      <c r="Z19" s="265">
        <f t="shared" si="1"/>
        <v>0</v>
      </c>
      <c r="AA19" s="183">
        <f t="shared" si="2"/>
        <v>0</v>
      </c>
      <c r="AB19" s="136"/>
      <c r="AC19" s="210" t="str">
        <f>IFERROR(VLOOKUP($I$22&amp;D19,'Development-Hidden'!$C$2:$E$118,3,FALSE),"0")</f>
        <v>0</v>
      </c>
      <c r="AD19" s="267"/>
      <c r="AE19" s="268"/>
      <c r="AF19" s="268"/>
      <c r="AG19" s="268"/>
      <c r="AH19" s="268"/>
      <c r="AI19" s="268"/>
      <c r="AJ19" s="269"/>
      <c r="AK19" s="136"/>
    </row>
    <row r="20" spans="1:47" ht="15.75" customHeight="1" thickBot="1">
      <c r="A20" s="137"/>
      <c r="B20" s="305"/>
      <c r="C20" s="306"/>
      <c r="D20" s="307"/>
      <c r="E20" s="618" t="s">
        <v>364</v>
      </c>
      <c r="F20" s="619"/>
      <c r="G20" s="619"/>
      <c r="H20" s="619"/>
      <c r="I20" s="619"/>
      <c r="J20" s="619"/>
      <c r="K20" s="619"/>
      <c r="L20" s="619"/>
      <c r="M20" s="619"/>
      <c r="N20" s="619"/>
      <c r="O20" s="619"/>
      <c r="P20" s="619"/>
      <c r="Q20" s="619"/>
      <c r="R20" s="619"/>
      <c r="S20" s="619"/>
      <c r="T20" s="619"/>
      <c r="U20" s="619"/>
      <c r="V20" s="619"/>
      <c r="W20" s="619"/>
      <c r="X20" s="619"/>
      <c r="Y20" s="619"/>
      <c r="Z20" s="620"/>
      <c r="AA20" s="270">
        <f>SUM(AA4:AA19)</f>
        <v>1160000</v>
      </c>
      <c r="AB20" s="136"/>
      <c r="AC20" s="136"/>
      <c r="AD20" s="136"/>
      <c r="AE20" s="136"/>
      <c r="AF20" s="136"/>
      <c r="AG20" s="136"/>
      <c r="AH20" s="136"/>
      <c r="AI20" s="136"/>
      <c r="AJ20" s="136"/>
      <c r="AK20" s="136"/>
      <c r="AL20" s="189"/>
      <c r="AM20" s="189"/>
      <c r="AN20" s="189"/>
      <c r="AO20" s="189"/>
      <c r="AP20" s="189"/>
      <c r="AQ20" s="189"/>
      <c r="AR20" s="189"/>
      <c r="AS20" s="189"/>
      <c r="AT20" s="189"/>
      <c r="AU20" s="189"/>
    </row>
    <row r="21" spans="1:47" ht="15.75" customHeight="1" thickBot="1">
      <c r="A21" s="137"/>
      <c r="B21" s="308"/>
      <c r="C21" s="309"/>
      <c r="D21" s="310"/>
      <c r="E21" s="622" t="s">
        <v>365</v>
      </c>
      <c r="F21" s="610"/>
      <c r="G21" s="610"/>
      <c r="H21" s="611"/>
      <c r="I21" s="609" t="s">
        <v>6</v>
      </c>
      <c r="J21" s="610"/>
      <c r="K21" s="611"/>
      <c r="L21" s="612" t="s">
        <v>366</v>
      </c>
      <c r="M21" s="610"/>
      <c r="N21" s="610"/>
      <c r="O21" s="610"/>
      <c r="P21" s="610"/>
      <c r="Q21" s="610"/>
      <c r="R21" s="610"/>
      <c r="S21" s="613"/>
      <c r="T21" s="271">
        <v>2</v>
      </c>
      <c r="U21" s="272" t="s">
        <v>220</v>
      </c>
      <c r="V21" s="616">
        <f>IFERROR(VLOOKUP(I22,'Development-Hidden'!N2:O28,2,FALSE),"")</f>
        <v>50000</v>
      </c>
      <c r="W21" s="610"/>
      <c r="X21" s="610"/>
      <c r="Y21" s="610"/>
      <c r="Z21" s="611"/>
      <c r="AA21" s="273">
        <f t="shared" ref="AA21:AA25" si="4">T21*V21</f>
        <v>100000</v>
      </c>
      <c r="AB21" s="136"/>
      <c r="AC21" s="136"/>
      <c r="AD21" s="136"/>
      <c r="AE21" s="136"/>
      <c r="AF21" s="136"/>
      <c r="AG21" s="136"/>
      <c r="AH21" s="136"/>
      <c r="AI21" s="136"/>
      <c r="AJ21" s="136"/>
      <c r="AK21" s="136"/>
      <c r="AL21" s="604" t="s">
        <v>367</v>
      </c>
      <c r="AM21" s="588"/>
      <c r="AN21" s="136"/>
      <c r="AO21" s="136" t="s">
        <v>396</v>
      </c>
      <c r="AP21" s="136"/>
      <c r="AQ21" s="136"/>
      <c r="AR21" s="136"/>
      <c r="AS21" s="136"/>
      <c r="AT21" s="136"/>
      <c r="AU21" s="136"/>
    </row>
    <row r="22" spans="1:47" ht="15.75" customHeight="1">
      <c r="A22" s="137"/>
      <c r="B22" s="308"/>
      <c r="C22" s="309"/>
      <c r="D22" s="310"/>
      <c r="E22" s="621" t="s">
        <v>368</v>
      </c>
      <c r="F22" s="605"/>
      <c r="G22" s="605"/>
      <c r="H22" s="606"/>
      <c r="I22" s="598" t="s">
        <v>7</v>
      </c>
      <c r="J22" s="605"/>
      <c r="K22" s="606"/>
      <c r="L22" s="614" t="s">
        <v>369</v>
      </c>
      <c r="M22" s="605"/>
      <c r="N22" s="605"/>
      <c r="O22" s="605"/>
      <c r="P22" s="605"/>
      <c r="Q22" s="605"/>
      <c r="R22" s="605"/>
      <c r="S22" s="615"/>
      <c r="T22" s="274">
        <f>AT18</f>
        <v>6</v>
      </c>
      <c r="U22" s="275" t="s">
        <v>220</v>
      </c>
      <c r="V22" s="582">
        <v>10000</v>
      </c>
      <c r="W22" s="605"/>
      <c r="X22" s="605"/>
      <c r="Y22" s="605"/>
      <c r="Z22" s="606"/>
      <c r="AA22" s="276">
        <f t="shared" si="4"/>
        <v>60000</v>
      </c>
      <c r="AB22" s="136"/>
      <c r="AC22" s="136"/>
      <c r="AD22" s="136"/>
      <c r="AE22" s="136"/>
      <c r="AF22" s="136"/>
      <c r="AG22" s="136"/>
      <c r="AH22" s="136"/>
      <c r="AI22" s="136"/>
      <c r="AJ22" s="136"/>
      <c r="AK22" s="136"/>
      <c r="AL22" s="277" t="s">
        <v>370</v>
      </c>
      <c r="AM22" s="278">
        <f>AM18</f>
        <v>10000</v>
      </c>
      <c r="AN22" s="136"/>
      <c r="AO22" s="617" t="s">
        <v>111</v>
      </c>
      <c r="AP22" s="592"/>
      <c r="AQ22" s="136"/>
      <c r="AR22" s="136"/>
      <c r="AS22" s="136"/>
      <c r="AT22" s="136"/>
      <c r="AU22" s="136"/>
    </row>
    <row r="23" spans="1:47" ht="15.75" customHeight="1">
      <c r="A23" s="137"/>
      <c r="B23" s="308"/>
      <c r="C23" s="309"/>
      <c r="D23" s="310"/>
      <c r="E23" s="621" t="str">
        <f>IFERROR(IF(VLOOKUP(I22,'Development-Hidden'!X2:Y28,2,FALSE)="Yes","NECROMANCER","HEAD COACH"),"HEAD COACH")</f>
        <v>HEAD COACH</v>
      </c>
      <c r="F23" s="605"/>
      <c r="G23" s="605"/>
      <c r="H23" s="606"/>
      <c r="I23" s="598" t="s">
        <v>374</v>
      </c>
      <c r="J23" s="605"/>
      <c r="K23" s="606"/>
      <c r="L23" s="614" t="s">
        <v>371</v>
      </c>
      <c r="M23" s="605"/>
      <c r="N23" s="605"/>
      <c r="O23" s="605"/>
      <c r="P23" s="605"/>
      <c r="Q23" s="605"/>
      <c r="R23" s="605"/>
      <c r="S23" s="615"/>
      <c r="T23" s="274">
        <v>0</v>
      </c>
      <c r="U23" s="275" t="s">
        <v>220</v>
      </c>
      <c r="V23" s="582">
        <v>10000</v>
      </c>
      <c r="W23" s="605"/>
      <c r="X23" s="605"/>
      <c r="Y23" s="605"/>
      <c r="Z23" s="606"/>
      <c r="AA23" s="276">
        <f t="shared" si="4"/>
        <v>0</v>
      </c>
      <c r="AB23" s="136"/>
      <c r="AC23" s="136"/>
      <c r="AD23" s="136"/>
      <c r="AE23" s="136"/>
      <c r="AF23" s="136"/>
      <c r="AG23" s="136"/>
      <c r="AH23" s="136"/>
      <c r="AI23" s="136"/>
      <c r="AJ23" s="136"/>
      <c r="AK23" s="136"/>
      <c r="AL23" s="279" t="s">
        <v>372</v>
      </c>
      <c r="AM23" s="280">
        <f>COUNTA(AP6:AP17)*10000</f>
        <v>70000</v>
      </c>
      <c r="AN23" s="136"/>
      <c r="AO23" s="617" t="s">
        <v>397</v>
      </c>
      <c r="AP23" s="592"/>
      <c r="AQ23" s="136"/>
      <c r="AR23" s="136"/>
      <c r="AS23" s="136"/>
      <c r="AT23" s="136"/>
      <c r="AU23" s="136"/>
    </row>
    <row r="24" spans="1:47" ht="15.75" customHeight="1">
      <c r="A24" s="137"/>
      <c r="B24" s="308"/>
      <c r="C24" s="309"/>
      <c r="D24" s="310"/>
      <c r="E24" s="621" t="s">
        <v>373</v>
      </c>
      <c r="F24" s="605"/>
      <c r="G24" s="605"/>
      <c r="H24" s="606"/>
      <c r="I24" s="599">
        <f>AA20+AA26</f>
        <v>1370000</v>
      </c>
      <c r="J24" s="605"/>
      <c r="K24" s="606"/>
      <c r="L24" s="614" t="s">
        <v>375</v>
      </c>
      <c r="M24" s="605"/>
      <c r="N24" s="605"/>
      <c r="O24" s="605"/>
      <c r="P24" s="605"/>
      <c r="Q24" s="605"/>
      <c r="R24" s="605"/>
      <c r="S24" s="615"/>
      <c r="T24" s="274">
        <v>0</v>
      </c>
      <c r="U24" s="275" t="s">
        <v>220</v>
      </c>
      <c r="V24" s="582">
        <v>10000</v>
      </c>
      <c r="W24" s="605"/>
      <c r="X24" s="605"/>
      <c r="Y24" s="605"/>
      <c r="Z24" s="606"/>
      <c r="AA24" s="276">
        <f t="shared" si="4"/>
        <v>0</v>
      </c>
      <c r="AB24" s="136"/>
      <c r="AC24" s="136"/>
      <c r="AD24" s="136"/>
      <c r="AE24" s="136"/>
      <c r="AF24" s="136"/>
      <c r="AG24" s="136"/>
      <c r="AH24" s="136"/>
      <c r="AI24" s="136"/>
      <c r="AJ24" s="136"/>
      <c r="AK24" s="136"/>
      <c r="AL24" s="279" t="s">
        <v>33</v>
      </c>
      <c r="AM24" s="280">
        <f>AR18*5000</f>
        <v>55000</v>
      </c>
      <c r="AN24" s="136"/>
      <c r="AO24" s="617" t="s">
        <v>398</v>
      </c>
      <c r="AP24" s="592"/>
      <c r="AQ24" s="136"/>
      <c r="AR24" s="136"/>
      <c r="AS24" s="136"/>
      <c r="AT24" s="136"/>
      <c r="AU24" s="136"/>
    </row>
    <row r="25" spans="1:47" ht="15.75" customHeight="1" thickBot="1">
      <c r="A25" s="137"/>
      <c r="B25" s="308"/>
      <c r="C25" s="309"/>
      <c r="D25" s="310"/>
      <c r="E25" s="623" t="s">
        <v>376</v>
      </c>
      <c r="F25" s="624"/>
      <c r="G25" s="624"/>
      <c r="H25" s="625"/>
      <c r="I25" s="600">
        <f>AM18</f>
        <v>10000</v>
      </c>
      <c r="J25" s="624"/>
      <c r="K25" s="625"/>
      <c r="L25" s="593" t="str">
        <f>IFERROR(IF(VLOOKUP(I22,'Development-Hidden'!X2:Y28,1,FALSE)&lt;&gt;"","",""),"APOTHECARY")</f>
        <v>APOTHECARY</v>
      </c>
      <c r="M25" s="624"/>
      <c r="N25" s="624"/>
      <c r="O25" s="624"/>
      <c r="P25" s="624"/>
      <c r="Q25" s="624"/>
      <c r="R25" s="624"/>
      <c r="S25" s="627"/>
      <c r="T25" s="281">
        <v>1</v>
      </c>
      <c r="U25" s="275" t="str">
        <f>IF(L25&lt;&gt;"","x","")</f>
        <v>x</v>
      </c>
      <c r="V25" s="595">
        <f>IF(L25&lt;&gt;"",50000,"")</f>
        <v>50000</v>
      </c>
      <c r="W25" s="624"/>
      <c r="X25" s="624"/>
      <c r="Y25" s="624"/>
      <c r="Z25" s="625"/>
      <c r="AA25" s="276">
        <f t="shared" si="4"/>
        <v>50000</v>
      </c>
      <c r="AB25" s="136"/>
      <c r="AC25" s="136"/>
      <c r="AD25" s="136"/>
      <c r="AE25" s="136"/>
      <c r="AF25" s="136"/>
      <c r="AG25" s="136"/>
      <c r="AH25" s="136"/>
      <c r="AI25" s="136"/>
      <c r="AJ25" s="136"/>
      <c r="AK25" s="136"/>
      <c r="AL25" s="282" t="s">
        <v>34</v>
      </c>
      <c r="AM25" s="283">
        <f>AS18*5000</f>
        <v>50000</v>
      </c>
      <c r="AN25" s="136"/>
      <c r="AO25" s="626"/>
      <c r="AP25" s="592"/>
      <c r="AQ25" s="136"/>
      <c r="AR25" s="136"/>
      <c r="AS25" s="136"/>
      <c r="AT25" s="136"/>
      <c r="AU25" s="136"/>
    </row>
    <row r="26" spans="1:47" ht="15.75" customHeight="1" thickBot="1">
      <c r="A26" s="137"/>
      <c r="B26" s="311"/>
      <c r="C26" s="312"/>
      <c r="D26" s="313"/>
      <c r="E26" s="618" t="s">
        <v>379</v>
      </c>
      <c r="F26" s="619"/>
      <c r="G26" s="619"/>
      <c r="H26" s="619"/>
      <c r="I26" s="619"/>
      <c r="J26" s="619"/>
      <c r="K26" s="619"/>
      <c r="L26" s="619"/>
      <c r="M26" s="619"/>
      <c r="N26" s="619"/>
      <c r="O26" s="619"/>
      <c r="P26" s="619"/>
      <c r="Q26" s="619"/>
      <c r="R26" s="619"/>
      <c r="S26" s="619"/>
      <c r="T26" s="619"/>
      <c r="U26" s="619"/>
      <c r="V26" s="619"/>
      <c r="W26" s="619"/>
      <c r="X26" s="619"/>
      <c r="Y26" s="619"/>
      <c r="Z26" s="620"/>
      <c r="AA26" s="270">
        <f>SUM(AA21:AA25)</f>
        <v>210000</v>
      </c>
      <c r="AB26" s="136"/>
      <c r="AC26" s="136"/>
      <c r="AD26" s="136"/>
      <c r="AE26" s="136"/>
      <c r="AF26" s="136"/>
      <c r="AG26" s="136"/>
      <c r="AH26" s="136"/>
      <c r="AI26" s="136"/>
      <c r="AJ26" s="136"/>
      <c r="AK26" s="136"/>
      <c r="AL26" s="284" t="s">
        <v>219</v>
      </c>
      <c r="AM26" s="285">
        <f>SUM(AM22:AM25)</f>
        <v>185000</v>
      </c>
      <c r="AN26" s="136"/>
      <c r="AO26" s="626"/>
      <c r="AP26" s="592"/>
      <c r="AQ26" s="136"/>
      <c r="AR26" s="136"/>
      <c r="AS26" s="136"/>
      <c r="AT26" s="136"/>
      <c r="AU26" s="136"/>
    </row>
    <row r="27" spans="1:47" ht="8.25" customHeight="1">
      <c r="A27" s="136"/>
      <c r="B27" s="140"/>
      <c r="C27" s="286"/>
      <c r="D27" s="286"/>
      <c r="E27" s="287"/>
      <c r="F27" s="136"/>
      <c r="G27" s="136"/>
      <c r="H27" s="136"/>
      <c r="I27" s="288"/>
      <c r="J27" s="289"/>
      <c r="K27" s="136"/>
      <c r="L27" s="290"/>
      <c r="M27" s="290"/>
      <c r="N27" s="290"/>
      <c r="O27" s="290"/>
      <c r="P27" s="290"/>
      <c r="Q27" s="290"/>
      <c r="R27" s="290"/>
      <c r="S27" s="290"/>
      <c r="T27" s="291"/>
      <c r="U27" s="292"/>
      <c r="V27" s="143"/>
      <c r="W27" s="293"/>
      <c r="X27" s="293"/>
      <c r="Y27" s="293"/>
      <c r="Z27" s="293"/>
      <c r="AA27" s="294"/>
      <c r="AB27" s="136"/>
      <c r="AC27" s="136"/>
      <c r="AD27" s="136"/>
      <c r="AE27" s="136"/>
      <c r="AF27" s="136"/>
      <c r="AG27" s="136"/>
      <c r="AH27" s="136"/>
      <c r="AI27" s="136"/>
      <c r="AJ27" s="136"/>
      <c r="AK27" s="136"/>
      <c r="AL27" s="136"/>
      <c r="AM27" s="136"/>
      <c r="AN27" s="136"/>
      <c r="AO27" s="136"/>
      <c r="AP27" s="136"/>
      <c r="AQ27" s="136"/>
      <c r="AR27" s="136"/>
      <c r="AS27" s="136"/>
      <c r="AT27" s="136"/>
      <c r="AU27" s="136"/>
    </row>
    <row r="28" spans="1:47" ht="17.25" hidden="1" customHeight="1">
      <c r="A28" s="295"/>
      <c r="B28" s="296"/>
      <c r="C28" s="297">
        <f>MATCH(I22,'Development-Hidden'!A2:A118,0)</f>
        <v>26</v>
      </c>
      <c r="D28" s="297" t="str">
        <f t="array" ref="D28">IFERROR(IF(INDEX('Development-Hidden'!$A$2:$B$118,$C28,1)=$I$22,INDEX('Development-Hidden'!$A$2:$B$118,$C28,2),""),"")</f>
        <v>Lineman</v>
      </c>
      <c r="E28" s="298"/>
      <c r="F28" s="298"/>
      <c r="G28" s="298"/>
      <c r="H28" s="298"/>
      <c r="I28" s="298"/>
      <c r="J28" s="299"/>
      <c r="K28" s="295"/>
      <c r="L28" s="300"/>
      <c r="M28" s="300"/>
      <c r="N28" s="300"/>
      <c r="O28" s="300"/>
      <c r="P28" s="300"/>
      <c r="Q28" s="300"/>
      <c r="R28" s="300"/>
      <c r="S28" s="300"/>
      <c r="T28" s="301"/>
      <c r="U28" s="302"/>
      <c r="V28" s="301"/>
      <c r="W28" s="303"/>
      <c r="X28" s="303"/>
      <c r="Y28" s="303"/>
      <c r="Z28" s="303"/>
      <c r="AA28" s="298"/>
      <c r="AB28" s="295"/>
      <c r="AC28" s="295"/>
      <c r="AD28" s="295"/>
      <c r="AE28" s="295"/>
      <c r="AF28" s="295"/>
      <c r="AG28" s="295"/>
      <c r="AH28" s="295"/>
      <c r="AI28" s="295"/>
      <c r="AJ28" s="295"/>
      <c r="AK28" s="295"/>
      <c r="AL28" s="295"/>
      <c r="AM28" s="295"/>
      <c r="AN28" s="295"/>
      <c r="AO28" s="295"/>
      <c r="AP28" s="295"/>
      <c r="AQ28" s="295"/>
      <c r="AR28" s="295"/>
      <c r="AS28" s="295"/>
      <c r="AT28" s="295"/>
      <c r="AU28" s="295"/>
    </row>
    <row r="29" spans="1:47" ht="17.25" hidden="1" customHeight="1">
      <c r="A29" s="295"/>
      <c r="B29" s="296"/>
      <c r="C29" s="297">
        <f t="shared" ref="C29:C37" si="5">C28+1</f>
        <v>27</v>
      </c>
      <c r="D29" s="297" t="str">
        <f t="array" ref="D29">IFERROR(IF(INDEX('Development-Hidden'!$A$2:$B$118,$C29,1)=$I$22,INDEX('Development-Hidden'!$A$2:$B$118,$C29,2),""),"")</f>
        <v>Runner</v>
      </c>
      <c r="E29" s="298"/>
      <c r="F29" s="298"/>
      <c r="G29" s="298"/>
      <c r="H29" s="298"/>
      <c r="I29" s="298"/>
      <c r="J29" s="299"/>
      <c r="K29" s="295"/>
      <c r="L29" s="300"/>
      <c r="M29" s="300"/>
      <c r="N29" s="300"/>
      <c r="O29" s="300"/>
      <c r="P29" s="300"/>
      <c r="Q29" s="300"/>
      <c r="R29" s="300"/>
      <c r="S29" s="300"/>
      <c r="T29" s="301"/>
      <c r="U29" s="302"/>
      <c r="V29" s="301"/>
      <c r="W29" s="303"/>
      <c r="X29" s="303"/>
      <c r="Y29" s="303"/>
      <c r="Z29" s="303"/>
      <c r="AA29" s="298"/>
      <c r="AB29" s="295"/>
      <c r="AC29" s="295"/>
      <c r="AD29" s="295"/>
      <c r="AE29" s="295"/>
      <c r="AF29" s="295"/>
      <c r="AG29" s="295"/>
      <c r="AH29" s="295"/>
      <c r="AI29" s="295"/>
      <c r="AJ29" s="295"/>
      <c r="AK29" s="295"/>
      <c r="AL29" s="295"/>
      <c r="AM29" s="295"/>
      <c r="AN29" s="295"/>
      <c r="AO29" s="295"/>
      <c r="AP29" s="295"/>
      <c r="AQ29" s="295"/>
      <c r="AR29" s="295"/>
      <c r="AS29" s="295"/>
      <c r="AT29" s="295"/>
      <c r="AU29" s="295"/>
    </row>
    <row r="30" spans="1:47" ht="17.25" hidden="1" customHeight="1">
      <c r="A30" s="295"/>
      <c r="B30" s="296"/>
      <c r="C30" s="297">
        <f t="shared" si="5"/>
        <v>28</v>
      </c>
      <c r="D30" s="297" t="str">
        <f t="array" ref="D30">IFERROR(IF(INDEX('Development-Hidden'!$A$2:$B$118,$C30,1)=$I$22,INDEX('Development-Hidden'!$A$2:$B$118,$C30,2),""),"")</f>
        <v>Assassin</v>
      </c>
      <c r="E30" s="298"/>
      <c r="F30" s="298"/>
      <c r="G30" s="298"/>
      <c r="H30" s="298"/>
      <c r="I30" s="298"/>
      <c r="J30" s="299"/>
      <c r="K30" s="295"/>
      <c r="L30" s="300"/>
      <c r="M30" s="300"/>
      <c r="N30" s="300"/>
      <c r="O30" s="300"/>
      <c r="P30" s="300"/>
      <c r="Q30" s="300"/>
      <c r="R30" s="300"/>
      <c r="S30" s="300"/>
      <c r="T30" s="301"/>
      <c r="U30" s="302"/>
      <c r="V30" s="301"/>
      <c r="W30" s="303"/>
      <c r="X30" s="303"/>
      <c r="Y30" s="303"/>
      <c r="Z30" s="303"/>
      <c r="AA30" s="298"/>
      <c r="AB30" s="295"/>
      <c r="AC30" s="295"/>
      <c r="AD30" s="295"/>
      <c r="AE30" s="295"/>
      <c r="AF30" s="295"/>
      <c r="AG30" s="295"/>
      <c r="AH30" s="295"/>
      <c r="AI30" s="295"/>
      <c r="AJ30" s="295"/>
      <c r="AK30" s="295"/>
      <c r="AL30" s="295"/>
      <c r="AM30" s="295"/>
      <c r="AN30" s="295"/>
      <c r="AO30" s="295"/>
      <c r="AP30" s="295"/>
      <c r="AQ30" s="295"/>
      <c r="AR30" s="295"/>
      <c r="AS30" s="295"/>
      <c r="AT30" s="295"/>
      <c r="AU30" s="295"/>
    </row>
    <row r="31" spans="1:47" ht="17.25" hidden="1" customHeight="1">
      <c r="A31" s="295"/>
      <c r="B31" s="296"/>
      <c r="C31" s="297">
        <f t="shared" si="5"/>
        <v>29</v>
      </c>
      <c r="D31" s="297" t="str">
        <f t="array" ref="D31">IFERROR(IF(INDEX('Development-Hidden'!$A$2:$B$118,$C31,1)=$I$22,INDEX('Development-Hidden'!$A$2:$B$118,$C31,2),""),"")</f>
        <v>Blitzer</v>
      </c>
      <c r="E31" s="298"/>
      <c r="F31" s="298"/>
      <c r="G31" s="298"/>
      <c r="H31" s="298"/>
      <c r="I31" s="298"/>
      <c r="J31" s="299"/>
      <c r="K31" s="295"/>
      <c r="L31" s="300"/>
      <c r="M31" s="300"/>
      <c r="N31" s="300"/>
      <c r="O31" s="300"/>
      <c r="P31" s="300"/>
      <c r="Q31" s="300"/>
      <c r="R31" s="300"/>
      <c r="S31" s="300"/>
      <c r="T31" s="301"/>
      <c r="U31" s="302"/>
      <c r="V31" s="301"/>
      <c r="W31" s="303"/>
      <c r="X31" s="303"/>
      <c r="Y31" s="303"/>
      <c r="Z31" s="303"/>
      <c r="AA31" s="298"/>
      <c r="AB31" s="295"/>
      <c r="AC31" s="295"/>
      <c r="AD31" s="295"/>
      <c r="AE31" s="295"/>
      <c r="AF31" s="295"/>
      <c r="AG31" s="295"/>
      <c r="AH31" s="295"/>
      <c r="AI31" s="295"/>
      <c r="AJ31" s="295"/>
      <c r="AK31" s="295"/>
      <c r="AL31" s="295"/>
      <c r="AM31" s="295"/>
      <c r="AN31" s="295"/>
      <c r="AO31" s="295"/>
      <c r="AP31" s="295"/>
      <c r="AQ31" s="295"/>
      <c r="AR31" s="295"/>
      <c r="AS31" s="295"/>
      <c r="AT31" s="295"/>
      <c r="AU31" s="295"/>
    </row>
    <row r="32" spans="1:47" ht="17.25" hidden="1" customHeight="1">
      <c r="A32" s="295"/>
      <c r="B32" s="296"/>
      <c r="C32" s="297">
        <f t="shared" si="5"/>
        <v>30</v>
      </c>
      <c r="D32" s="297" t="str">
        <f t="array" ref="D32">IFERROR(IF(INDEX('Development-Hidden'!$A$2:$B$118,$C32,1)=$I$22,INDEX('Development-Hidden'!$A$2:$B$118,$C32,2),""),"")</f>
        <v>Witch Elf</v>
      </c>
      <c r="E32" s="298"/>
      <c r="F32" s="298"/>
      <c r="G32" s="298"/>
      <c r="H32" s="298"/>
      <c r="I32" s="298"/>
      <c r="J32" s="299"/>
      <c r="K32" s="295"/>
      <c r="L32" s="300"/>
      <c r="M32" s="300"/>
      <c r="N32" s="300"/>
      <c r="O32" s="300"/>
      <c r="P32" s="300"/>
      <c r="Q32" s="300"/>
      <c r="R32" s="300"/>
      <c r="S32" s="300"/>
      <c r="T32" s="301"/>
      <c r="U32" s="302"/>
      <c r="V32" s="301"/>
      <c r="W32" s="303"/>
      <c r="X32" s="303"/>
      <c r="Y32" s="303"/>
      <c r="Z32" s="303"/>
      <c r="AA32" s="298"/>
      <c r="AB32" s="295"/>
      <c r="AC32" s="295"/>
      <c r="AD32" s="295"/>
      <c r="AE32" s="295"/>
      <c r="AF32" s="295"/>
      <c r="AG32" s="295"/>
      <c r="AH32" s="295"/>
      <c r="AI32" s="295"/>
      <c r="AJ32" s="295"/>
      <c r="AK32" s="295"/>
      <c r="AL32" s="295"/>
      <c r="AM32" s="295"/>
      <c r="AN32" s="295"/>
      <c r="AO32" s="295"/>
      <c r="AP32" s="295"/>
      <c r="AQ32" s="295"/>
      <c r="AR32" s="295"/>
      <c r="AS32" s="295"/>
      <c r="AT32" s="295"/>
      <c r="AU32" s="295"/>
    </row>
    <row r="33" spans="1:47" ht="17.25" hidden="1" customHeight="1">
      <c r="A33" s="295"/>
      <c r="B33" s="296"/>
      <c r="C33" s="297">
        <f t="shared" si="5"/>
        <v>31</v>
      </c>
      <c r="D33" s="297" t="str">
        <f t="array" ref="D33">IFERROR(IF(INDEX('Development-Hidden'!$A$2:$B$118,$C33,1)=$I$22,INDEX('Development-Hidden'!$A$2:$B$118,$C33,2),""),"")</f>
        <v/>
      </c>
      <c r="E33" s="298"/>
      <c r="F33" s="298"/>
      <c r="G33" s="298"/>
      <c r="H33" s="298"/>
      <c r="I33" s="298"/>
      <c r="J33" s="299"/>
      <c r="K33" s="295"/>
      <c r="L33" s="300"/>
      <c r="M33" s="300"/>
      <c r="N33" s="300"/>
      <c r="O33" s="300"/>
      <c r="P33" s="300"/>
      <c r="Q33" s="300"/>
      <c r="R33" s="300"/>
      <c r="S33" s="300"/>
      <c r="T33" s="301"/>
      <c r="U33" s="302"/>
      <c r="V33" s="301"/>
      <c r="W33" s="303"/>
      <c r="X33" s="303"/>
      <c r="Y33" s="303"/>
      <c r="Z33" s="303"/>
      <c r="AA33" s="298"/>
      <c r="AB33" s="295"/>
      <c r="AC33" s="295"/>
      <c r="AD33" s="295"/>
      <c r="AE33" s="295"/>
      <c r="AF33" s="295"/>
      <c r="AG33" s="295"/>
      <c r="AH33" s="295"/>
      <c r="AI33" s="295"/>
      <c r="AJ33" s="295"/>
      <c r="AK33" s="295"/>
      <c r="AL33" s="295"/>
      <c r="AM33" s="295"/>
      <c r="AN33" s="295"/>
      <c r="AO33" s="295"/>
      <c r="AP33" s="295"/>
      <c r="AQ33" s="295"/>
      <c r="AR33" s="295"/>
      <c r="AS33" s="295"/>
      <c r="AT33" s="295"/>
      <c r="AU33" s="295"/>
    </row>
    <row r="34" spans="1:47" ht="17.25" hidden="1" customHeight="1">
      <c r="A34" s="295"/>
      <c r="B34" s="296"/>
      <c r="C34" s="297">
        <f t="shared" si="5"/>
        <v>32</v>
      </c>
      <c r="D34" s="297" t="str">
        <f t="array" ref="D34">IFERROR(IF(INDEX('Development-Hidden'!$A$2:$B$118,$C34,1)=$I$22,INDEX('Development-Hidden'!$A$2:$B$118,$C34,2),""),"")</f>
        <v/>
      </c>
      <c r="E34" s="298"/>
      <c r="F34" s="298"/>
      <c r="G34" s="298"/>
      <c r="H34" s="298"/>
      <c r="I34" s="298"/>
      <c r="J34" s="299"/>
      <c r="K34" s="295"/>
      <c r="L34" s="300"/>
      <c r="M34" s="300"/>
      <c r="N34" s="300"/>
      <c r="O34" s="300"/>
      <c r="P34" s="300"/>
      <c r="Q34" s="300"/>
      <c r="R34" s="300"/>
      <c r="S34" s="300"/>
      <c r="T34" s="301"/>
      <c r="U34" s="302"/>
      <c r="V34" s="301"/>
      <c r="W34" s="303"/>
      <c r="X34" s="303"/>
      <c r="Y34" s="303"/>
      <c r="Z34" s="303"/>
      <c r="AA34" s="298"/>
      <c r="AB34" s="295"/>
      <c r="AC34" s="295"/>
      <c r="AD34" s="295"/>
      <c r="AE34" s="295"/>
      <c r="AF34" s="295"/>
      <c r="AG34" s="295"/>
      <c r="AH34" s="295"/>
      <c r="AI34" s="295"/>
      <c r="AJ34" s="295"/>
      <c r="AK34" s="295"/>
      <c r="AL34" s="295"/>
      <c r="AM34" s="295"/>
      <c r="AN34" s="295"/>
      <c r="AO34" s="295"/>
      <c r="AP34" s="295"/>
      <c r="AQ34" s="295"/>
      <c r="AR34" s="295"/>
      <c r="AS34" s="295"/>
      <c r="AT34" s="295"/>
      <c r="AU34" s="295"/>
    </row>
    <row r="35" spans="1:47" ht="17.25" hidden="1" customHeight="1">
      <c r="A35" s="295"/>
      <c r="B35" s="296"/>
      <c r="C35" s="297">
        <f t="shared" si="5"/>
        <v>33</v>
      </c>
      <c r="D35" s="297" t="str">
        <f t="array" ref="D35">IFERROR(IF(INDEX('Development-Hidden'!$A$2:$B$118,$C35,1)=$I$22,INDEX('Development-Hidden'!$A$2:$B$118,$C35,2),""),"")</f>
        <v/>
      </c>
      <c r="E35" s="298"/>
      <c r="F35" s="298"/>
      <c r="G35" s="298"/>
      <c r="H35" s="298"/>
      <c r="I35" s="298"/>
      <c r="J35" s="299"/>
      <c r="K35" s="295"/>
      <c r="L35" s="300"/>
      <c r="M35" s="300"/>
      <c r="N35" s="300"/>
      <c r="O35" s="300"/>
      <c r="P35" s="300"/>
      <c r="Q35" s="300"/>
      <c r="R35" s="300"/>
      <c r="S35" s="300"/>
      <c r="T35" s="301"/>
      <c r="U35" s="302"/>
      <c r="V35" s="301"/>
      <c r="W35" s="303"/>
      <c r="X35" s="303"/>
      <c r="Y35" s="303"/>
      <c r="Z35" s="303"/>
      <c r="AA35" s="298"/>
      <c r="AB35" s="295"/>
      <c r="AC35" s="295"/>
      <c r="AD35" s="295"/>
      <c r="AE35" s="295"/>
      <c r="AF35" s="295"/>
      <c r="AG35" s="295"/>
      <c r="AH35" s="295"/>
      <c r="AI35" s="295"/>
      <c r="AJ35" s="295"/>
      <c r="AK35" s="295"/>
      <c r="AL35" s="295"/>
      <c r="AM35" s="295"/>
      <c r="AN35" s="295"/>
      <c r="AO35" s="295"/>
      <c r="AP35" s="295"/>
      <c r="AQ35" s="295"/>
      <c r="AR35" s="295"/>
      <c r="AS35" s="295"/>
      <c r="AT35" s="295"/>
      <c r="AU35" s="295"/>
    </row>
    <row r="36" spans="1:47" ht="17.25" hidden="1" customHeight="1">
      <c r="A36" s="295"/>
      <c r="B36" s="296"/>
      <c r="C36" s="297">
        <f t="shared" si="5"/>
        <v>34</v>
      </c>
      <c r="D36" s="297" t="str">
        <f t="array" ref="D36">IFERROR(IF(INDEX('Development-Hidden'!$A$2:$B$118,$C36,1)=$I$22,INDEX('Development-Hidden'!$A$2:$B$118,$C36,2),""),"")</f>
        <v/>
      </c>
      <c r="E36" s="298"/>
      <c r="F36" s="298"/>
      <c r="G36" s="298"/>
      <c r="H36" s="298"/>
      <c r="I36" s="298"/>
      <c r="J36" s="299"/>
      <c r="K36" s="295"/>
      <c r="L36" s="300"/>
      <c r="M36" s="300"/>
      <c r="N36" s="300"/>
      <c r="O36" s="300"/>
      <c r="P36" s="300"/>
      <c r="Q36" s="300"/>
      <c r="R36" s="300"/>
      <c r="S36" s="300"/>
      <c r="T36" s="301"/>
      <c r="U36" s="302"/>
      <c r="V36" s="301"/>
      <c r="W36" s="303"/>
      <c r="X36" s="303"/>
      <c r="Y36" s="303"/>
      <c r="Z36" s="303"/>
      <c r="AA36" s="298"/>
      <c r="AB36" s="295"/>
      <c r="AC36" s="295"/>
      <c r="AD36" s="295"/>
      <c r="AE36" s="295"/>
      <c r="AF36" s="295"/>
      <c r="AG36" s="295"/>
      <c r="AH36" s="295"/>
      <c r="AI36" s="295"/>
      <c r="AJ36" s="295"/>
      <c r="AK36" s="295"/>
      <c r="AL36" s="295"/>
      <c r="AM36" s="295"/>
      <c r="AN36" s="295"/>
      <c r="AO36" s="295"/>
      <c r="AP36" s="295"/>
      <c r="AQ36" s="295"/>
      <c r="AR36" s="295"/>
      <c r="AS36" s="295"/>
      <c r="AT36" s="295"/>
      <c r="AU36" s="295"/>
    </row>
    <row r="37" spans="1:47" ht="17.25" hidden="1" customHeight="1">
      <c r="A37" s="295"/>
      <c r="B37" s="296"/>
      <c r="C37" s="297">
        <f t="shared" si="5"/>
        <v>35</v>
      </c>
      <c r="D37" s="297" t="str">
        <f t="array" ref="D37">IFERROR(IF(INDEX('Development-Hidden'!$A$2:$B$118,$C37,1)=$I$22,INDEX('Development-Hidden'!$A$2:$B$118,$C37,2),""),"")</f>
        <v/>
      </c>
      <c r="E37" s="298"/>
      <c r="F37" s="298"/>
      <c r="G37" s="298"/>
      <c r="H37" s="298"/>
      <c r="I37" s="298"/>
      <c r="J37" s="299"/>
      <c r="K37" s="295"/>
      <c r="L37" s="300"/>
      <c r="M37" s="300"/>
      <c r="N37" s="300"/>
      <c r="O37" s="300"/>
      <c r="P37" s="300"/>
      <c r="Q37" s="300"/>
      <c r="R37" s="300"/>
      <c r="S37" s="300"/>
      <c r="T37" s="301"/>
      <c r="U37" s="302"/>
      <c r="V37" s="301"/>
      <c r="W37" s="303"/>
      <c r="X37" s="303"/>
      <c r="Y37" s="303"/>
      <c r="Z37" s="303"/>
      <c r="AA37" s="298"/>
      <c r="AB37" s="295"/>
      <c r="AC37" s="295"/>
      <c r="AD37" s="295"/>
      <c r="AE37" s="295"/>
      <c r="AF37" s="295"/>
      <c r="AG37" s="295"/>
      <c r="AH37" s="295"/>
      <c r="AI37" s="295"/>
      <c r="AJ37" s="295"/>
      <c r="AK37" s="295"/>
      <c r="AL37" s="295"/>
      <c r="AM37" s="295"/>
      <c r="AN37" s="295"/>
      <c r="AO37" s="295"/>
      <c r="AP37" s="295"/>
      <c r="AQ37" s="295"/>
      <c r="AR37" s="295"/>
      <c r="AS37" s="295"/>
      <c r="AT37" s="295"/>
      <c r="AU37" s="295"/>
    </row>
  </sheetData>
  <mergeCells count="31">
    <mergeCell ref="E26:Z26"/>
    <mergeCell ref="E25:H25"/>
    <mergeCell ref="E24:H24"/>
    <mergeCell ref="E23:H23"/>
    <mergeCell ref="AO24:AP24"/>
    <mergeCell ref="AO26:AP26"/>
    <mergeCell ref="AO23:AP23"/>
    <mergeCell ref="I25:K25"/>
    <mergeCell ref="V24:Z24"/>
    <mergeCell ref="L24:S24"/>
    <mergeCell ref="AO25:AP25"/>
    <mergeCell ref="I23:K23"/>
    <mergeCell ref="V23:Z23"/>
    <mergeCell ref="V25:Z25"/>
    <mergeCell ref="L23:S23"/>
    <mergeCell ref="L25:S25"/>
    <mergeCell ref="AP3:AT3"/>
    <mergeCell ref="AL3:AO3"/>
    <mergeCell ref="AL21:AM21"/>
    <mergeCell ref="V21:Z21"/>
    <mergeCell ref="V22:Z22"/>
    <mergeCell ref="AO22:AP22"/>
    <mergeCell ref="E20:Z20"/>
    <mergeCell ref="E22:H22"/>
    <mergeCell ref="E21:H21"/>
    <mergeCell ref="I24:K24"/>
    <mergeCell ref="P2:S2"/>
    <mergeCell ref="I21:K21"/>
    <mergeCell ref="L21:S21"/>
    <mergeCell ref="I22:K22"/>
    <mergeCell ref="L22:S22"/>
  </mergeCells>
  <conditionalFormatting sqref="AA4:AA19">
    <cfRule type="cellIs" dxfId="573" priority="1" operator="equal">
      <formula>0</formula>
    </cfRule>
  </conditionalFormatting>
  <conditionalFormatting sqref="J4">
    <cfRule type="expression" dxfId="572" priority="2">
      <formula>K4&lt;&gt;SUM(AD4:AI4)</formula>
    </cfRule>
  </conditionalFormatting>
  <conditionalFormatting sqref="I4:I19">
    <cfRule type="cellIs" dxfId="571" priority="3" stopIfTrue="1" operator="equal">
      <formula>"Player type quantity surpassed"</formula>
    </cfRule>
  </conditionalFormatting>
  <conditionalFormatting sqref="J5">
    <cfRule type="expression" dxfId="570" priority="4">
      <formula>K5&lt;&gt;SUM(AD5:AI5)</formula>
    </cfRule>
  </conditionalFormatting>
  <conditionalFormatting sqref="J6">
    <cfRule type="expression" dxfId="569" priority="5">
      <formula>K6&lt;&gt;SUM(AD6:AI6)</formula>
    </cfRule>
  </conditionalFormatting>
  <conditionalFormatting sqref="J7">
    <cfRule type="expression" dxfId="568" priority="6">
      <formula>K7&lt;&gt;SUM(AD7:AI7)</formula>
    </cfRule>
  </conditionalFormatting>
  <conditionalFormatting sqref="J8">
    <cfRule type="expression" dxfId="567" priority="7">
      <formula>K8&lt;&gt;SUM(AD8:AI8)</formula>
    </cfRule>
  </conditionalFormatting>
  <conditionalFormatting sqref="J9">
    <cfRule type="expression" dxfId="566" priority="8">
      <formula>K9&lt;&gt;SUM(AD9:AI9)</formula>
    </cfRule>
  </conditionalFormatting>
  <conditionalFormatting sqref="J10">
    <cfRule type="expression" dxfId="565" priority="9">
      <formula>K10&lt;&gt;SUM(AD10:AI10)</formula>
    </cfRule>
  </conditionalFormatting>
  <conditionalFormatting sqref="J11">
    <cfRule type="expression" dxfId="564" priority="10">
      <formula>K11&lt;&gt;SUM(AD11:AI11)</formula>
    </cfRule>
  </conditionalFormatting>
  <conditionalFormatting sqref="J12">
    <cfRule type="expression" dxfId="563" priority="11">
      <formula>K12&lt;&gt;SUM(AD12:AI12)</formula>
    </cfRule>
  </conditionalFormatting>
  <conditionalFormatting sqref="J13">
    <cfRule type="expression" dxfId="562" priority="12">
      <formula>K13&lt;&gt;SUM(AD13:AI13)</formula>
    </cfRule>
  </conditionalFormatting>
  <conditionalFormatting sqref="J14">
    <cfRule type="expression" dxfId="561" priority="13">
      <formula>K14&lt;&gt;SUM(AD14:AI14)</formula>
    </cfRule>
  </conditionalFormatting>
  <conditionalFormatting sqref="J15">
    <cfRule type="expression" dxfId="560" priority="14">
      <formula>K15&lt;&gt;SUM(AD15:AI15)</formula>
    </cfRule>
  </conditionalFormatting>
  <conditionalFormatting sqref="J16">
    <cfRule type="expression" dxfId="559" priority="15">
      <formula>K16&lt;&gt;SUM(AD16:AI16)</formula>
    </cfRule>
  </conditionalFormatting>
  <conditionalFormatting sqref="J17">
    <cfRule type="expression" dxfId="558" priority="16">
      <formula>K17&lt;&gt;SUM(AD17:AI17)</formula>
    </cfRule>
  </conditionalFormatting>
  <conditionalFormatting sqref="J18">
    <cfRule type="expression" dxfId="557" priority="17">
      <formula>K18&lt;&gt;SUM(AD18:AI18)</formula>
    </cfRule>
  </conditionalFormatting>
  <conditionalFormatting sqref="J19">
    <cfRule type="expression" dxfId="556" priority="18">
      <formula>K19&lt;&gt;SUM(AD19:AI19)</formula>
    </cfRule>
  </conditionalFormatting>
  <conditionalFormatting sqref="K4:K19">
    <cfRule type="cellIs" dxfId="555" priority="19" operator="equal">
      <formula>0</formula>
    </cfRule>
  </conditionalFormatting>
  <conditionalFormatting sqref="E4:H19">
    <cfRule type="expression" dxfId="554" priority="20">
      <formula>AF4&gt;0</formula>
    </cfRule>
  </conditionalFormatting>
  <conditionalFormatting sqref="E4:H19">
    <cfRule type="expression" dxfId="553" priority="21">
      <formula>P4&gt;0</formula>
    </cfRule>
  </conditionalFormatting>
  <conditionalFormatting sqref="I4:I19 T4:W19 Y4:Y19 U27:U37">
    <cfRule type="cellIs" dxfId="552" priority="22" stopIfTrue="1" operator="equal">
      <formula>0</formula>
    </cfRule>
  </conditionalFormatting>
  <conditionalFormatting sqref="K4:K19">
    <cfRule type="cellIs" dxfId="551" priority="23" stopIfTrue="1" operator="equal">
      <formula>"n/a"</formula>
    </cfRule>
  </conditionalFormatting>
  <conditionalFormatting sqref="P4:S19">
    <cfRule type="cellIs" dxfId="550" priority="24" stopIfTrue="1" operator="lessThanOrEqual">
      <formula>-1</formula>
    </cfRule>
  </conditionalFormatting>
  <conditionalFormatting sqref="V25">
    <cfRule type="cellIs" dxfId="549" priority="25" stopIfTrue="1" operator="equal">
      <formula>-500</formula>
    </cfRule>
  </conditionalFormatting>
  <conditionalFormatting sqref="T25">
    <cfRule type="cellIs" dxfId="548" priority="26" stopIfTrue="1" operator="greaterThan">
      <formula>$V$25</formula>
    </cfRule>
  </conditionalFormatting>
  <conditionalFormatting sqref="Z4:Z19">
    <cfRule type="cellIs" dxfId="547" priority="27" stopIfTrue="1" operator="equal">
      <formula>"Star"</formula>
    </cfRule>
  </conditionalFormatting>
  <conditionalFormatting sqref="Z4:Z19">
    <cfRule type="cellIs" dxfId="546" priority="28" stopIfTrue="1" operator="equal">
      <formula>AA4</formula>
    </cfRule>
  </conditionalFormatting>
  <dataValidations count="2">
    <dataValidation type="list" allowBlank="1" showErrorMessage="1" sqref="D4:D19">
      <formula1>'JR3'!$D$28:$D$37</formula1>
    </dataValidation>
    <dataValidation type="list" allowBlank="1" showErrorMessage="1" sqref="I22">
      <formula1>'Development-Hidden'!$N$2:$N$28</formula1>
    </dataValidation>
  </dataValidation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U37"/>
  <sheetViews>
    <sheetView showGridLines="0" workbookViewId="0">
      <selection activeCell="T38" sqref="T38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5" width="3.28515625" customWidth="1"/>
    <col min="26" max="26" width="4.42578125" customWidth="1"/>
    <col min="27" max="27" width="10.28515625" customWidth="1"/>
    <col min="28" max="28" width="5.5703125" customWidth="1"/>
    <col min="29" max="29" width="8.85546875" customWidth="1"/>
    <col min="30" max="35" width="4.140625" customWidth="1"/>
    <col min="36" max="36" width="12.28515625" customWidth="1"/>
    <col min="37" max="37" width="6.42578125" customWidth="1"/>
    <col min="38" max="38" width="12.7109375" customWidth="1"/>
    <col min="39" max="39" width="11.42578125" customWidth="1"/>
    <col min="40" max="41" width="10.7109375" customWidth="1"/>
    <col min="42" max="42" width="26.140625" customWidth="1"/>
    <col min="43" max="44" width="10.7109375" customWidth="1"/>
    <col min="45" max="45" width="12.28515625" customWidth="1"/>
    <col min="46" max="46" width="10.7109375" customWidth="1"/>
    <col min="47" max="47" width="2.28515625" customWidth="1"/>
  </cols>
  <sheetData>
    <row r="1" spans="1:47" ht="9" customHeight="1">
      <c r="A1" s="7"/>
      <c r="B1" s="5"/>
      <c r="C1" s="5"/>
      <c r="D1" s="6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</row>
    <row r="2" spans="1:47" ht="15.75" customHeight="1">
      <c r="A2" s="7"/>
      <c r="B2" s="140"/>
      <c r="C2" s="140"/>
      <c r="D2" s="141"/>
      <c r="E2" s="140"/>
      <c r="F2" s="140"/>
      <c r="G2" s="140"/>
      <c r="H2" s="140"/>
      <c r="I2" s="140"/>
      <c r="J2" s="140"/>
      <c r="K2" s="136"/>
      <c r="L2" s="140"/>
      <c r="M2" s="140"/>
      <c r="N2" s="140"/>
      <c r="O2" s="140"/>
      <c r="P2" s="602" t="s">
        <v>218</v>
      </c>
      <c r="Q2" s="572"/>
      <c r="R2" s="572"/>
      <c r="S2" s="573"/>
      <c r="T2" s="142"/>
      <c r="U2" s="142"/>
      <c r="V2" s="142"/>
      <c r="W2" s="142"/>
      <c r="X2" s="143"/>
      <c r="Y2" s="142"/>
      <c r="Z2" s="140"/>
      <c r="AA2" s="140"/>
      <c r="AB2" s="7"/>
      <c r="AC2" s="8"/>
      <c r="AD2" s="9"/>
      <c r="AE2" s="9"/>
      <c r="AF2" s="11"/>
      <c r="AG2" s="12"/>
      <c r="AH2" s="12"/>
      <c r="AI2" s="12"/>
      <c r="AJ2" s="12"/>
      <c r="AK2" s="7"/>
      <c r="AL2" s="13"/>
      <c r="AM2" s="13"/>
      <c r="AN2" s="13"/>
      <c r="AO2" s="13"/>
      <c r="AP2" s="13"/>
      <c r="AQ2" s="13"/>
      <c r="AR2" s="13"/>
      <c r="AS2" s="13"/>
      <c r="AT2" s="13"/>
      <c r="AU2" s="13"/>
    </row>
    <row r="3" spans="1:47" ht="15.75" customHeight="1">
      <c r="A3" s="5"/>
      <c r="B3" s="146" t="s">
        <v>203</v>
      </c>
      <c r="C3" s="147" t="s">
        <v>32</v>
      </c>
      <c r="D3" s="148" t="s">
        <v>229</v>
      </c>
      <c r="E3" s="149" t="s">
        <v>206</v>
      </c>
      <c r="F3" s="150" t="s">
        <v>207</v>
      </c>
      <c r="G3" s="151" t="s">
        <v>208</v>
      </c>
      <c r="H3" s="152" t="s">
        <v>209</v>
      </c>
      <c r="I3" s="153" t="s">
        <v>230</v>
      </c>
      <c r="J3" s="152" t="s">
        <v>231</v>
      </c>
      <c r="K3" s="154" t="s">
        <v>203</v>
      </c>
      <c r="L3" s="155" t="s">
        <v>232</v>
      </c>
      <c r="M3" s="156" t="s">
        <v>233</v>
      </c>
      <c r="N3" s="156" t="s">
        <v>234</v>
      </c>
      <c r="O3" s="157" t="s">
        <v>235</v>
      </c>
      <c r="P3" s="158" t="s">
        <v>206</v>
      </c>
      <c r="Q3" s="159" t="s">
        <v>207</v>
      </c>
      <c r="R3" s="159" t="s">
        <v>208</v>
      </c>
      <c r="S3" s="160" t="s">
        <v>209</v>
      </c>
      <c r="T3" s="161" t="s">
        <v>236</v>
      </c>
      <c r="U3" s="156" t="s">
        <v>237</v>
      </c>
      <c r="V3" s="156" t="s">
        <v>210</v>
      </c>
      <c r="W3" s="156" t="s">
        <v>240</v>
      </c>
      <c r="X3" s="162" t="s">
        <v>35</v>
      </c>
      <c r="Y3" s="157" t="s">
        <v>211</v>
      </c>
      <c r="Z3" s="153" t="s">
        <v>212</v>
      </c>
      <c r="AA3" s="163" t="s">
        <v>241</v>
      </c>
      <c r="AB3" s="7"/>
      <c r="AC3" s="14" t="s">
        <v>242</v>
      </c>
      <c r="AD3" s="15" t="s">
        <v>233</v>
      </c>
      <c r="AE3" s="16" t="s">
        <v>243</v>
      </c>
      <c r="AF3" s="17" t="str">
        <f>"+MA"</f>
        <v>+MA</v>
      </c>
      <c r="AG3" s="18" t="str">
        <f>"+ST"</f>
        <v>+ST</v>
      </c>
      <c r="AH3" s="18" t="str">
        <f>"+AG"</f>
        <v>+AG</v>
      </c>
      <c r="AI3" s="18" t="str">
        <f>"+AV"</f>
        <v>+AV</v>
      </c>
      <c r="AJ3" s="19" t="s">
        <v>244</v>
      </c>
      <c r="AK3" s="7"/>
      <c r="AL3" s="633" t="s">
        <v>245</v>
      </c>
      <c r="AM3" s="630"/>
      <c r="AN3" s="630"/>
      <c r="AO3" s="630"/>
      <c r="AP3" s="629" t="s">
        <v>246</v>
      </c>
      <c r="AQ3" s="630"/>
      <c r="AR3" s="630"/>
      <c r="AS3" s="630"/>
      <c r="AT3" s="630"/>
      <c r="AU3" s="13"/>
    </row>
    <row r="4" spans="1:47" ht="15.75" customHeight="1">
      <c r="A4" s="5"/>
      <c r="B4" s="165">
        <v>1</v>
      </c>
      <c r="C4" s="166" t="s">
        <v>127</v>
      </c>
      <c r="D4" s="167" t="s">
        <v>128</v>
      </c>
      <c r="E4" s="168">
        <f>IFERROR(VLOOKUP($I$22&amp;$D4,'Development-Hidden'!$C$2:$J$118,4,FALSE)-P4+AF4,"")</f>
        <v>6</v>
      </c>
      <c r="F4" s="169">
        <f>IFERROR(VLOOKUP($I$22&amp;$D4,'Development-Hidden'!$C$2:$J$118,5,FALSE)-Q4+AG4,"")</f>
        <v>3</v>
      </c>
      <c r="G4" s="169">
        <f>IFERROR(VLOOKUP($I$22&amp;$D4,'Development-Hidden'!$C$2:$J$118,6,FALSE)-R4+AH4,"")</f>
        <v>3</v>
      </c>
      <c r="H4" s="170">
        <f>IFERROR(VLOOKUP($I$22&amp;$D4,'Development-Hidden'!$C$2:$J$118,7,FALSE)-S4+AI4,"")</f>
        <v>7</v>
      </c>
      <c r="I4" s="171" t="str">
        <f>IFERROR(VLOOKUP($I$22&amp;$D4,'Development-Hidden'!$C$2:$J$118,8,FALSE),"")</f>
        <v>Extra Arms</v>
      </c>
      <c r="J4" s="172" t="s">
        <v>277</v>
      </c>
      <c r="K4" s="173">
        <f t="shared" ref="K4:K19" si="0">IF(Z4&gt;175,6,IF(Z4&gt;75,5,IF(Z4&gt;50,4,IF(Z4&gt;30,3,IF(Z4&gt;15,2,IF(Z4&gt;5,1,0))))))</f>
        <v>1</v>
      </c>
      <c r="L4" s="174"/>
      <c r="M4" s="174"/>
      <c r="N4" s="174"/>
      <c r="O4" s="175"/>
      <c r="P4" s="176"/>
      <c r="Q4" s="177"/>
      <c r="R4" s="177"/>
      <c r="S4" s="178"/>
      <c r="T4" s="179"/>
      <c r="U4" s="180"/>
      <c r="V4" s="180">
        <v>2</v>
      </c>
      <c r="W4" s="180"/>
      <c r="X4" s="177"/>
      <c r="Y4" s="181">
        <v>1</v>
      </c>
      <c r="Z4" s="182">
        <f t="shared" ref="Z4:Z19" si="1">2*T4+U4+3*V4+2*W4+5*Y4</f>
        <v>11</v>
      </c>
      <c r="AA4" s="183">
        <f t="shared" ref="AA4:AA19" si="2">IF(L4=1,0,AC4+(20000*O4)+(20000*AD4)+(30000*AE4)+(30000*AF4)+(50000*AG4)+(40000*AH4)+(50000*AI4)+AJ4)</f>
        <v>70000</v>
      </c>
      <c r="AB4" s="7"/>
      <c r="AC4" s="20">
        <f>IFERROR(VLOOKUP($I$22&amp;D4,'Development-Hidden'!$C$2:$E$118,3,FALSE),"")</f>
        <v>50000</v>
      </c>
      <c r="AD4" s="21">
        <v>1</v>
      </c>
      <c r="AE4" s="22"/>
      <c r="AF4" s="22"/>
      <c r="AG4" s="22"/>
      <c r="AH4" s="22"/>
      <c r="AI4" s="22"/>
      <c r="AJ4" s="23"/>
      <c r="AK4" s="7"/>
      <c r="AL4" s="24" t="s">
        <v>252</v>
      </c>
      <c r="AM4" s="25">
        <v>20000</v>
      </c>
      <c r="AN4" s="7"/>
      <c r="AO4" s="7"/>
      <c r="AP4" s="26"/>
      <c r="AQ4" s="27"/>
      <c r="AR4" s="27"/>
      <c r="AS4" s="24" t="s">
        <v>253</v>
      </c>
      <c r="AT4" s="28"/>
      <c r="AU4" s="29"/>
    </row>
    <row r="5" spans="1:47" ht="15.75" customHeight="1">
      <c r="A5" s="5"/>
      <c r="B5" s="192">
        <v>2</v>
      </c>
      <c r="C5" s="193" t="s">
        <v>138</v>
      </c>
      <c r="D5" s="194" t="s">
        <v>128</v>
      </c>
      <c r="E5" s="195">
        <f>IFERROR(VLOOKUP($I$22&amp;$D5,'Development-Hidden'!$C$2:$J$118,4,FALSE)-P5+AF5,"")</f>
        <v>6</v>
      </c>
      <c r="F5" s="196">
        <f>IFERROR(VLOOKUP($I$22&amp;$D5,'Development-Hidden'!$C$2:$J$118,5,FALSE)-Q5+AG5,"")</f>
        <v>3</v>
      </c>
      <c r="G5" s="196">
        <f>IFERROR(VLOOKUP($I$22&amp;$D5,'Development-Hidden'!$C$2:$J$118,6,FALSE)-R5+AH5,"")</f>
        <v>3</v>
      </c>
      <c r="H5" s="197">
        <f>IFERROR(VLOOKUP($I$22&amp;$D5,'Development-Hidden'!$C$2:$J$118,7,FALSE)-S5+AI5,"")</f>
        <v>7</v>
      </c>
      <c r="I5" s="198" t="str">
        <f>IFERROR(VLOOKUP($I$22&amp;$D5,'Development-Hidden'!$C$2:$J$118,8,FALSE),"")</f>
        <v>Extra Arms</v>
      </c>
      <c r="J5" s="199" t="s">
        <v>277</v>
      </c>
      <c r="K5" s="200">
        <f t="shared" si="0"/>
        <v>1</v>
      </c>
      <c r="L5" s="201"/>
      <c r="M5" s="201"/>
      <c r="N5" s="201">
        <v>1</v>
      </c>
      <c r="O5" s="202"/>
      <c r="P5" s="203"/>
      <c r="Q5" s="204"/>
      <c r="R5" s="204"/>
      <c r="S5" s="205"/>
      <c r="T5" s="206"/>
      <c r="U5" s="207"/>
      <c r="V5" s="207">
        <v>2</v>
      </c>
      <c r="W5" s="207">
        <v>2</v>
      </c>
      <c r="X5" s="204"/>
      <c r="Y5" s="208"/>
      <c r="Z5" s="209">
        <f t="shared" si="1"/>
        <v>10</v>
      </c>
      <c r="AA5" s="183">
        <f t="shared" si="2"/>
        <v>70000</v>
      </c>
      <c r="AB5" s="7"/>
      <c r="AC5" s="30">
        <f>IFERROR(VLOOKUP($I$22&amp;D5,'Development-Hidden'!$C$2:$E$118,3,FALSE),"")</f>
        <v>50000</v>
      </c>
      <c r="AD5" s="31">
        <v>1</v>
      </c>
      <c r="AE5" s="32"/>
      <c r="AF5" s="32"/>
      <c r="AG5" s="32"/>
      <c r="AH5" s="32"/>
      <c r="AI5" s="32"/>
      <c r="AJ5" s="33"/>
      <c r="AK5" s="4"/>
      <c r="AL5" s="34" t="s">
        <v>256</v>
      </c>
      <c r="AM5" s="35" t="s">
        <v>257</v>
      </c>
      <c r="AN5" s="36" t="s">
        <v>258</v>
      </c>
      <c r="AO5" s="37" t="s">
        <v>259</v>
      </c>
      <c r="AP5" s="38" t="s">
        <v>260</v>
      </c>
      <c r="AQ5" s="36" t="s">
        <v>261</v>
      </c>
      <c r="AR5" s="39" t="s">
        <v>33</v>
      </c>
      <c r="AS5" s="39" t="s">
        <v>262</v>
      </c>
      <c r="AT5" s="40" t="s">
        <v>221</v>
      </c>
      <c r="AU5" s="41"/>
    </row>
    <row r="6" spans="1:47" ht="15.75" customHeight="1">
      <c r="A6" s="5"/>
      <c r="B6" s="192">
        <v>3</v>
      </c>
      <c r="C6" s="193"/>
      <c r="D6" s="194"/>
      <c r="E6" s="195" t="str">
        <f>IFERROR(VLOOKUP($I$22&amp;$D6,'Development-Hidden'!$C$2:$J$118,4,FALSE)-P6+AF6,"")</f>
        <v/>
      </c>
      <c r="F6" s="196" t="str">
        <f>IFERROR(VLOOKUP($I$22&amp;$D6,'Development-Hidden'!$C$2:$J$118,5,FALSE)-Q6+AG6,"")</f>
        <v/>
      </c>
      <c r="G6" s="196" t="str">
        <f>IFERROR(VLOOKUP($I$22&amp;$D6,'Development-Hidden'!$C$2:$J$118,6,FALSE)-R6+AH6,"")</f>
        <v/>
      </c>
      <c r="H6" s="197" t="str">
        <f>IFERROR(VLOOKUP($I$22&amp;$D6,'Development-Hidden'!$C$2:$J$118,7,FALSE)-S6+AI6,"")</f>
        <v/>
      </c>
      <c r="I6" s="198" t="str">
        <f>IFERROR(VLOOKUP($I$22&amp;$D6,'Development-Hidden'!$C$2:$J$118,8,FALSE),"")</f>
        <v/>
      </c>
      <c r="J6" s="199"/>
      <c r="K6" s="200">
        <f t="shared" si="0"/>
        <v>0</v>
      </c>
      <c r="L6" s="201"/>
      <c r="M6" s="201"/>
      <c r="N6" s="201"/>
      <c r="O6" s="202"/>
      <c r="P6" s="203"/>
      <c r="Q6" s="204"/>
      <c r="R6" s="204"/>
      <c r="S6" s="205"/>
      <c r="T6" s="206"/>
      <c r="U6" s="207"/>
      <c r="V6" s="207"/>
      <c r="W6" s="207"/>
      <c r="X6" s="204"/>
      <c r="Y6" s="208"/>
      <c r="Z6" s="209">
        <f t="shared" si="1"/>
        <v>0</v>
      </c>
      <c r="AA6" s="183">
        <f t="shared" si="2"/>
        <v>0</v>
      </c>
      <c r="AB6" s="7"/>
      <c r="AC6" s="53" t="str">
        <f>IFERROR(VLOOKUP($I$22&amp;D6,'Development-Hidden'!$C$2:$E$118,3,FALSE),"0")</f>
        <v>0</v>
      </c>
      <c r="AD6" s="31"/>
      <c r="AE6" s="42"/>
      <c r="AF6" s="42"/>
      <c r="AG6" s="42"/>
      <c r="AH6" s="42"/>
      <c r="AI6" s="42"/>
      <c r="AJ6" s="43"/>
      <c r="AK6" s="7"/>
      <c r="AL6" s="44" t="s">
        <v>267</v>
      </c>
      <c r="AM6" s="45">
        <v>50000</v>
      </c>
      <c r="AN6" s="46"/>
      <c r="AO6" s="47"/>
      <c r="AP6" s="48" t="s">
        <v>15</v>
      </c>
      <c r="AQ6" s="49" t="s">
        <v>361</v>
      </c>
      <c r="AR6" s="52">
        <v>1</v>
      </c>
      <c r="AS6" s="50">
        <v>4</v>
      </c>
      <c r="AT6" s="79">
        <v>0</v>
      </c>
      <c r="AU6" s="51"/>
    </row>
    <row r="7" spans="1:47" ht="15.75" customHeight="1">
      <c r="A7" s="5"/>
      <c r="B7" s="192">
        <v>4</v>
      </c>
      <c r="C7" s="193"/>
      <c r="D7" s="194"/>
      <c r="E7" s="195" t="str">
        <f>IFERROR(VLOOKUP($I$22&amp;$D7,'Development-Hidden'!$C$2:$J$118,4,FALSE)-P7+AF7,"")</f>
        <v/>
      </c>
      <c r="F7" s="196" t="str">
        <f>IFERROR(VLOOKUP($I$22&amp;$D7,'Development-Hidden'!$C$2:$J$118,5,FALSE)-Q7+AG7,"")</f>
        <v/>
      </c>
      <c r="G7" s="196" t="str">
        <f>IFERROR(VLOOKUP($I$22&amp;$D7,'Development-Hidden'!$C$2:$J$118,6,FALSE)-R7+AH7,"")</f>
        <v/>
      </c>
      <c r="H7" s="197" t="str">
        <f>IFERROR(VLOOKUP($I$22&amp;$D7,'Development-Hidden'!$C$2:$J$118,7,FALSE)-S7+AI7,"")</f>
        <v/>
      </c>
      <c r="I7" s="198" t="str">
        <f>IFERROR(VLOOKUP($I$22&amp;$D7,'Development-Hidden'!$C$2:$J$118,8,FALSE),"")</f>
        <v/>
      </c>
      <c r="J7" s="199"/>
      <c r="K7" s="200">
        <f t="shared" si="0"/>
        <v>0</v>
      </c>
      <c r="L7" s="201"/>
      <c r="M7" s="201"/>
      <c r="N7" s="201"/>
      <c r="O7" s="202"/>
      <c r="P7" s="203"/>
      <c r="Q7" s="204"/>
      <c r="R7" s="204"/>
      <c r="S7" s="205"/>
      <c r="T7" s="206"/>
      <c r="U7" s="207"/>
      <c r="V7" s="207"/>
      <c r="W7" s="207"/>
      <c r="X7" s="204"/>
      <c r="Y7" s="208"/>
      <c r="Z7" s="209">
        <f t="shared" si="1"/>
        <v>0</v>
      </c>
      <c r="AA7" s="183">
        <f t="shared" si="2"/>
        <v>0</v>
      </c>
      <c r="AB7" s="7"/>
      <c r="AC7" s="53" t="str">
        <f>IFERROR(VLOOKUP($I$22&amp;D7,'Development-Hidden'!$C$2:$E$118,3,FALSE),"0")</f>
        <v>0</v>
      </c>
      <c r="AD7" s="31"/>
      <c r="AE7" s="42"/>
      <c r="AF7" s="42"/>
      <c r="AG7" s="42"/>
      <c r="AH7" s="42"/>
      <c r="AI7" s="42"/>
      <c r="AJ7" s="43"/>
      <c r="AK7" s="7"/>
      <c r="AL7" s="54" t="s">
        <v>278</v>
      </c>
      <c r="AM7" s="55"/>
      <c r="AN7" s="56"/>
      <c r="AO7" s="57"/>
      <c r="AP7" s="58"/>
      <c r="AQ7" s="59"/>
      <c r="AR7" s="60"/>
      <c r="AS7" s="61"/>
      <c r="AT7" s="62"/>
      <c r="AU7" s="63"/>
    </row>
    <row r="8" spans="1:47" ht="15.75" customHeight="1">
      <c r="A8" s="5"/>
      <c r="B8" s="192">
        <v>5</v>
      </c>
      <c r="C8" s="193"/>
      <c r="D8" s="194"/>
      <c r="E8" s="195" t="str">
        <f>IFERROR(VLOOKUP($I$22&amp;$D8,'Development-Hidden'!$C$2:$J$118,4,FALSE)-P8+AF8,"")</f>
        <v/>
      </c>
      <c r="F8" s="196" t="str">
        <f>IFERROR(VLOOKUP($I$22&amp;$D8,'Development-Hidden'!$C$2:$J$118,5,FALSE)-Q8+AG8,"")</f>
        <v/>
      </c>
      <c r="G8" s="196" t="str">
        <f>IFERROR(VLOOKUP($I$22&amp;$D8,'Development-Hidden'!$C$2:$J$118,6,FALSE)-R8+AH8,"")</f>
        <v/>
      </c>
      <c r="H8" s="197" t="str">
        <f>IFERROR(VLOOKUP($I$22&amp;$D8,'Development-Hidden'!$C$2:$J$118,7,FALSE)-S8+AI8,"")</f>
        <v/>
      </c>
      <c r="I8" s="198" t="str">
        <f>IFERROR(VLOOKUP($I$22&amp;$D8,'Development-Hidden'!$C$2:$J$118,8,FALSE),"")</f>
        <v/>
      </c>
      <c r="J8" s="199"/>
      <c r="K8" s="200">
        <f t="shared" si="0"/>
        <v>0</v>
      </c>
      <c r="L8" s="201"/>
      <c r="M8" s="201"/>
      <c r="N8" s="201"/>
      <c r="O8" s="202"/>
      <c r="P8" s="203"/>
      <c r="Q8" s="204"/>
      <c r="R8" s="204"/>
      <c r="S8" s="205"/>
      <c r="T8" s="206"/>
      <c r="U8" s="207"/>
      <c r="V8" s="207"/>
      <c r="W8" s="207"/>
      <c r="X8" s="204"/>
      <c r="Y8" s="208"/>
      <c r="Z8" s="209">
        <f t="shared" si="1"/>
        <v>0</v>
      </c>
      <c r="AA8" s="183">
        <f t="shared" si="2"/>
        <v>0</v>
      </c>
      <c r="AB8" s="7"/>
      <c r="AC8" s="53" t="str">
        <f>IFERROR(VLOOKUP($I$22&amp;D8,'Development-Hidden'!$C$2:$E$118,3,FALSE),"0")</f>
        <v>0</v>
      </c>
      <c r="AD8" s="31"/>
      <c r="AE8" s="42"/>
      <c r="AF8" s="42"/>
      <c r="AG8" s="42"/>
      <c r="AH8" s="42"/>
      <c r="AI8" s="42"/>
      <c r="AJ8" s="43"/>
      <c r="AK8" s="7"/>
      <c r="AL8" s="54" t="s">
        <v>289</v>
      </c>
      <c r="AM8" s="55"/>
      <c r="AN8" s="56"/>
      <c r="AO8" s="57"/>
      <c r="AP8" s="58"/>
      <c r="AQ8" s="59"/>
      <c r="AR8" s="60"/>
      <c r="AS8" s="61"/>
      <c r="AT8" s="62"/>
      <c r="AU8" s="63"/>
    </row>
    <row r="9" spans="1:47" ht="15.75" customHeight="1">
      <c r="A9" s="5"/>
      <c r="B9" s="192">
        <v>6</v>
      </c>
      <c r="C9" s="193"/>
      <c r="D9" s="194"/>
      <c r="E9" s="195" t="str">
        <f>IFERROR(VLOOKUP($I$22&amp;$D9,'Development-Hidden'!$C$2:$J$118,4,FALSE)-P9+AF9,"")</f>
        <v/>
      </c>
      <c r="F9" s="196" t="str">
        <f>IFERROR(VLOOKUP($I$22&amp;$D9,'Development-Hidden'!$C$2:$J$118,5,FALSE)-Q9+AG9,"")</f>
        <v/>
      </c>
      <c r="G9" s="196" t="str">
        <f>IFERROR(VLOOKUP($I$22&amp;$D9,'Development-Hidden'!$C$2:$J$118,6,FALSE)-R9+AH9,"")</f>
        <v/>
      </c>
      <c r="H9" s="197" t="str">
        <f>IFERROR(VLOOKUP($I$22&amp;$D9,'Development-Hidden'!$C$2:$J$118,7,FALSE)-S9+AI9,"")</f>
        <v/>
      </c>
      <c r="I9" s="198" t="str">
        <f>IFERROR(VLOOKUP($I$22&amp;$D9,'Development-Hidden'!$C$2:$J$118,8,FALSE),"")</f>
        <v/>
      </c>
      <c r="J9" s="199"/>
      <c r="K9" s="200">
        <f t="shared" si="0"/>
        <v>0</v>
      </c>
      <c r="L9" s="201"/>
      <c r="M9" s="201"/>
      <c r="N9" s="201"/>
      <c r="O9" s="202"/>
      <c r="P9" s="203"/>
      <c r="Q9" s="204"/>
      <c r="R9" s="204"/>
      <c r="S9" s="205"/>
      <c r="T9" s="206"/>
      <c r="U9" s="207"/>
      <c r="V9" s="207"/>
      <c r="W9" s="207"/>
      <c r="X9" s="204"/>
      <c r="Y9" s="208"/>
      <c r="Z9" s="209">
        <f t="shared" si="1"/>
        <v>0</v>
      </c>
      <c r="AA9" s="183">
        <f t="shared" si="2"/>
        <v>0</v>
      </c>
      <c r="AB9" s="7"/>
      <c r="AC9" s="53" t="str">
        <f>IFERROR(VLOOKUP($I$22&amp;D9,'Development-Hidden'!$C$2:$E$118,3,FALSE),"0")</f>
        <v>0</v>
      </c>
      <c r="AD9" s="31"/>
      <c r="AE9" s="32"/>
      <c r="AF9" s="42"/>
      <c r="AG9" s="42"/>
      <c r="AH9" s="42"/>
      <c r="AI9" s="42"/>
      <c r="AJ9" s="43"/>
      <c r="AK9" s="7"/>
      <c r="AL9" s="54" t="s">
        <v>296</v>
      </c>
      <c r="AM9" s="55"/>
      <c r="AN9" s="56"/>
      <c r="AO9" s="57"/>
      <c r="AP9" s="58"/>
      <c r="AQ9" s="59"/>
      <c r="AR9" s="60"/>
      <c r="AS9" s="61"/>
      <c r="AT9" s="62"/>
      <c r="AU9" s="63"/>
    </row>
    <row r="10" spans="1:47" ht="15.75" customHeight="1">
      <c r="A10" s="5"/>
      <c r="B10" s="192">
        <v>7</v>
      </c>
      <c r="C10" s="193"/>
      <c r="D10" s="194"/>
      <c r="E10" s="195" t="str">
        <f>IFERROR(VLOOKUP($I$22&amp;$D10,'Development-Hidden'!$C$2:$J$118,4,FALSE)-P10+AF10,"")</f>
        <v/>
      </c>
      <c r="F10" s="196" t="str">
        <f>IFERROR(VLOOKUP($I$22&amp;$D10,'Development-Hidden'!$C$2:$J$118,5,FALSE)-Q10+AG10,"")</f>
        <v/>
      </c>
      <c r="G10" s="196" t="str">
        <f>IFERROR(VLOOKUP($I$22&amp;$D10,'Development-Hidden'!$C$2:$J$118,6,FALSE)-R10+AH10,"")</f>
        <v/>
      </c>
      <c r="H10" s="197" t="str">
        <f>IFERROR(VLOOKUP($I$22&amp;$D10,'Development-Hidden'!$C$2:$J$118,7,FALSE)-S10+AI10,"")</f>
        <v/>
      </c>
      <c r="I10" s="198" t="str">
        <f>IFERROR(VLOOKUP($I$22&amp;$D10,'Development-Hidden'!$C$2:$J$118,8,FALSE),"")</f>
        <v/>
      </c>
      <c r="J10" s="199"/>
      <c r="K10" s="200">
        <f t="shared" si="0"/>
        <v>0</v>
      </c>
      <c r="L10" s="201"/>
      <c r="M10" s="201"/>
      <c r="N10" s="201"/>
      <c r="O10" s="202"/>
      <c r="P10" s="203"/>
      <c r="Q10" s="204"/>
      <c r="R10" s="204"/>
      <c r="S10" s="205"/>
      <c r="T10" s="206"/>
      <c r="U10" s="207"/>
      <c r="V10" s="207"/>
      <c r="W10" s="207"/>
      <c r="X10" s="204"/>
      <c r="Y10" s="208"/>
      <c r="Z10" s="209">
        <f t="shared" si="1"/>
        <v>0</v>
      </c>
      <c r="AA10" s="183">
        <f t="shared" si="2"/>
        <v>0</v>
      </c>
      <c r="AB10" s="7"/>
      <c r="AC10" s="53" t="str">
        <f>IFERROR(VLOOKUP($I$22&amp;D10,'Development-Hidden'!$C$2:$E$118,3,FALSE),"0")</f>
        <v>0</v>
      </c>
      <c r="AD10" s="31"/>
      <c r="AE10" s="32"/>
      <c r="AF10" s="42"/>
      <c r="AG10" s="42"/>
      <c r="AH10" s="42"/>
      <c r="AI10" s="42"/>
      <c r="AJ10" s="43"/>
      <c r="AK10" s="7"/>
      <c r="AL10" s="54" t="s">
        <v>306</v>
      </c>
      <c r="AM10" s="55"/>
      <c r="AN10" s="56"/>
      <c r="AO10" s="57"/>
      <c r="AP10" s="58"/>
      <c r="AQ10" s="59"/>
      <c r="AR10" s="60"/>
      <c r="AS10" s="61"/>
      <c r="AT10" s="62"/>
      <c r="AU10" s="63"/>
    </row>
    <row r="11" spans="1:47" ht="15.75" customHeight="1">
      <c r="A11" s="5"/>
      <c r="B11" s="192">
        <v>8</v>
      </c>
      <c r="C11" s="314" t="s">
        <v>215</v>
      </c>
      <c r="D11" s="194" t="s">
        <v>216</v>
      </c>
      <c r="E11" s="195">
        <f>IFERROR(VLOOKUP($I$22&amp;$D11,'Development-Hidden'!$C$2:$J$118,4,FALSE)-P11+AF11,"")</f>
        <v>5</v>
      </c>
      <c r="F11" s="196">
        <f>IFERROR(VLOOKUP($I$22&amp;$D11,'Development-Hidden'!$C$2:$J$118,5,FALSE)-Q11+AG11,"")</f>
        <v>3</v>
      </c>
      <c r="G11" s="196">
        <f>IFERROR(VLOOKUP($I$22&amp;$D11,'Development-Hidden'!$C$2:$J$118,6,FALSE)-R11+AH11,"")</f>
        <v>3</v>
      </c>
      <c r="H11" s="197">
        <f>IFERROR(VLOOKUP($I$22&amp;$D11,'Development-Hidden'!$C$2:$J$118,7,FALSE)-S11+AI11,"")</f>
        <v>8</v>
      </c>
      <c r="I11" s="198" t="str">
        <f>IFERROR(VLOOKUP($I$22&amp;$D11,'Development-Hidden'!$C$2:$J$118,8,FALSE),"")</f>
        <v>Extra Arms, Strong Arm</v>
      </c>
      <c r="J11" s="199" t="s">
        <v>277</v>
      </c>
      <c r="K11" s="200">
        <f t="shared" si="0"/>
        <v>1</v>
      </c>
      <c r="L11" s="201"/>
      <c r="M11" s="201"/>
      <c r="N11" s="201">
        <v>1</v>
      </c>
      <c r="O11" s="202"/>
      <c r="P11" s="203"/>
      <c r="Q11" s="204"/>
      <c r="R11" s="204"/>
      <c r="S11" s="205"/>
      <c r="T11" s="206"/>
      <c r="U11" s="207">
        <v>1</v>
      </c>
      <c r="V11" s="207">
        <v>2</v>
      </c>
      <c r="W11" s="207">
        <v>1</v>
      </c>
      <c r="X11" s="204">
        <v>1</v>
      </c>
      <c r="Y11" s="208"/>
      <c r="Z11" s="209">
        <f t="shared" si="1"/>
        <v>9</v>
      </c>
      <c r="AA11" s="183">
        <f t="shared" si="2"/>
        <v>90000</v>
      </c>
      <c r="AB11" s="7"/>
      <c r="AC11" s="53">
        <f>IFERROR(VLOOKUP($I$22&amp;D11,'Development-Hidden'!$C$2:$E$118,3,FALSE),"")</f>
        <v>70000</v>
      </c>
      <c r="AD11" s="31">
        <v>1</v>
      </c>
      <c r="AE11" s="42"/>
      <c r="AF11" s="42"/>
      <c r="AG11" s="42"/>
      <c r="AH11" s="42"/>
      <c r="AI11" s="42"/>
      <c r="AJ11" s="43"/>
      <c r="AK11" s="7"/>
      <c r="AL11" s="54" t="s">
        <v>316</v>
      </c>
      <c r="AM11" s="55"/>
      <c r="AN11" s="56"/>
      <c r="AO11" s="57"/>
      <c r="AP11" s="58"/>
      <c r="AQ11" s="59"/>
      <c r="AR11" s="60"/>
      <c r="AS11" s="61"/>
      <c r="AT11" s="62"/>
      <c r="AU11" s="63"/>
    </row>
    <row r="12" spans="1:47" ht="15.75" customHeight="1">
      <c r="A12" s="5"/>
      <c r="B12" s="192">
        <v>9</v>
      </c>
      <c r="C12" s="314" t="s">
        <v>250</v>
      </c>
      <c r="D12" s="194" t="s">
        <v>216</v>
      </c>
      <c r="E12" s="195">
        <f>IFERROR(VLOOKUP($I$22&amp;$D12,'Development-Hidden'!$C$2:$J$118,4,FALSE)-P12+AF12,"")</f>
        <v>5</v>
      </c>
      <c r="F12" s="196">
        <f>IFERROR(VLOOKUP($I$22&amp;$D12,'Development-Hidden'!$C$2:$J$118,5,FALSE)-Q12+AG12,"")</f>
        <v>3</v>
      </c>
      <c r="G12" s="196">
        <f>IFERROR(VLOOKUP($I$22&amp;$D12,'Development-Hidden'!$C$2:$J$118,6,FALSE)-R12+AH12,"")</f>
        <v>3</v>
      </c>
      <c r="H12" s="197">
        <f>IFERROR(VLOOKUP($I$22&amp;$D12,'Development-Hidden'!$C$2:$J$118,7,FALSE)-S12+AI12,"")</f>
        <v>8</v>
      </c>
      <c r="I12" s="198" t="str">
        <f>IFERROR(VLOOKUP($I$22&amp;$D12,'Development-Hidden'!$C$2:$J$118,8,FALSE),"")</f>
        <v>Extra Arms, Strong Arm</v>
      </c>
      <c r="J12" s="199" t="s">
        <v>392</v>
      </c>
      <c r="K12" s="200">
        <f t="shared" si="0"/>
        <v>1</v>
      </c>
      <c r="L12" s="201"/>
      <c r="M12" s="201"/>
      <c r="N12" s="201">
        <v>1</v>
      </c>
      <c r="O12" s="202"/>
      <c r="P12" s="203"/>
      <c r="Q12" s="204"/>
      <c r="R12" s="204"/>
      <c r="S12" s="205"/>
      <c r="T12" s="206"/>
      <c r="U12" s="207">
        <v>4</v>
      </c>
      <c r="V12" s="207"/>
      <c r="W12" s="207"/>
      <c r="X12" s="204"/>
      <c r="Y12" s="208">
        <v>1</v>
      </c>
      <c r="Z12" s="209">
        <f t="shared" si="1"/>
        <v>9</v>
      </c>
      <c r="AA12" s="183">
        <f t="shared" si="2"/>
        <v>90000</v>
      </c>
      <c r="AB12" s="7"/>
      <c r="AC12" s="53">
        <f>IFERROR(VLOOKUP($I$22&amp;D12,'Development-Hidden'!$C$2:$E$118,3,FALSE),"")</f>
        <v>70000</v>
      </c>
      <c r="AD12" s="31">
        <v>1</v>
      </c>
      <c r="AE12" s="42"/>
      <c r="AF12" s="42"/>
      <c r="AG12" s="42"/>
      <c r="AH12" s="42"/>
      <c r="AI12" s="42"/>
      <c r="AJ12" s="43"/>
      <c r="AK12" s="7"/>
      <c r="AL12" s="54" t="s">
        <v>330</v>
      </c>
      <c r="AM12" s="55"/>
      <c r="AN12" s="56"/>
      <c r="AO12" s="57"/>
      <c r="AP12" s="58"/>
      <c r="AQ12" s="59"/>
      <c r="AR12" s="60"/>
      <c r="AS12" s="61"/>
      <c r="AT12" s="62"/>
      <c r="AU12" s="63"/>
    </row>
    <row r="13" spans="1:47" ht="15.75" customHeight="1">
      <c r="A13" s="5"/>
      <c r="B13" s="192">
        <v>10</v>
      </c>
      <c r="C13" s="314" t="s">
        <v>393</v>
      </c>
      <c r="D13" s="194" t="s">
        <v>139</v>
      </c>
      <c r="E13" s="195">
        <f>IFERROR(VLOOKUP($I$22&amp;$D13,'Development-Hidden'!$C$2:$J$118,4,FALSE)-P13+AF13,"")</f>
        <v>7</v>
      </c>
      <c r="F13" s="196">
        <f>IFERROR(VLOOKUP($I$22&amp;$D13,'Development-Hidden'!$C$2:$J$118,5,FALSE)-Q13+AG13,"")</f>
        <v>3</v>
      </c>
      <c r="G13" s="196">
        <f>IFERROR(VLOOKUP($I$22&amp;$D13,'Development-Hidden'!$C$2:$J$118,6,FALSE)-R13+AH13,"")</f>
        <v>3</v>
      </c>
      <c r="H13" s="197">
        <f>IFERROR(VLOOKUP($I$22&amp;$D13,'Development-Hidden'!$C$2:$J$118,7,FALSE)-S13+AI13,"")</f>
        <v>7</v>
      </c>
      <c r="I13" s="198" t="str">
        <f>IFERROR(VLOOKUP($I$22&amp;$D13,'Development-Hidden'!$C$2:$J$118,8,FALSE),"")</f>
        <v>Extra Arms, Wrestle</v>
      </c>
      <c r="J13" s="199"/>
      <c r="K13" s="200">
        <f t="shared" si="0"/>
        <v>0</v>
      </c>
      <c r="L13" s="201"/>
      <c r="M13" s="201"/>
      <c r="N13" s="201"/>
      <c r="O13" s="202"/>
      <c r="P13" s="203"/>
      <c r="Q13" s="204"/>
      <c r="R13" s="204"/>
      <c r="S13" s="205"/>
      <c r="T13" s="206"/>
      <c r="U13" s="207">
        <v>2</v>
      </c>
      <c r="V13" s="207"/>
      <c r="W13" s="207"/>
      <c r="X13" s="204"/>
      <c r="Y13" s="208"/>
      <c r="Z13" s="209">
        <f t="shared" si="1"/>
        <v>2</v>
      </c>
      <c r="AA13" s="183">
        <f t="shared" si="2"/>
        <v>80000</v>
      </c>
      <c r="AB13" s="7"/>
      <c r="AC13" s="53">
        <f>IFERROR(VLOOKUP($I$22&amp;D13,'Development-Hidden'!$C$2:$E$118,3,FALSE),"")</f>
        <v>80000</v>
      </c>
      <c r="AD13" s="64"/>
      <c r="AE13" s="32"/>
      <c r="AF13" s="42"/>
      <c r="AG13" s="42"/>
      <c r="AH13" s="42"/>
      <c r="AI13" s="42"/>
      <c r="AJ13" s="43"/>
      <c r="AK13" s="7"/>
      <c r="AL13" s="54" t="s">
        <v>342</v>
      </c>
      <c r="AM13" s="55"/>
      <c r="AN13" s="56"/>
      <c r="AO13" s="57"/>
      <c r="AP13" s="58"/>
      <c r="AQ13" s="59"/>
      <c r="AR13" s="60"/>
      <c r="AS13" s="61"/>
      <c r="AT13" s="62"/>
      <c r="AU13" s="63"/>
    </row>
    <row r="14" spans="1:47" ht="15.75" customHeight="1">
      <c r="A14" s="5"/>
      <c r="B14" s="192">
        <v>11</v>
      </c>
      <c r="C14" s="314" t="s">
        <v>394</v>
      </c>
      <c r="D14" s="194" t="s">
        <v>139</v>
      </c>
      <c r="E14" s="195">
        <f>IFERROR(VLOOKUP($I$22&amp;$D14,'Development-Hidden'!$C$2:$J$118,4,FALSE)-P14+AF14,"")</f>
        <v>8</v>
      </c>
      <c r="F14" s="196">
        <f>IFERROR(VLOOKUP($I$22&amp;$D14,'Development-Hidden'!$C$2:$J$118,5,FALSE)-Q14+AG14,"")</f>
        <v>3</v>
      </c>
      <c r="G14" s="196">
        <f>IFERROR(VLOOKUP($I$22&amp;$D14,'Development-Hidden'!$C$2:$J$118,6,FALSE)-R14+AH14,"")</f>
        <v>3</v>
      </c>
      <c r="H14" s="197">
        <f>IFERROR(VLOOKUP($I$22&amp;$D14,'Development-Hidden'!$C$2:$J$118,7,FALSE)-S14+AI14,"")</f>
        <v>7</v>
      </c>
      <c r="I14" s="198" t="str">
        <f>IFERROR(VLOOKUP($I$22&amp;$D14,'Development-Hidden'!$C$2:$J$118,8,FALSE),"")</f>
        <v>Extra Arms, Wrestle</v>
      </c>
      <c r="J14" s="199" t="s">
        <v>395</v>
      </c>
      <c r="K14" s="200">
        <f t="shared" si="0"/>
        <v>2</v>
      </c>
      <c r="L14" s="201"/>
      <c r="M14" s="201"/>
      <c r="N14" s="201">
        <v>1</v>
      </c>
      <c r="O14" s="202"/>
      <c r="P14" s="203"/>
      <c r="Q14" s="204"/>
      <c r="R14" s="204"/>
      <c r="S14" s="205"/>
      <c r="T14" s="206"/>
      <c r="U14" s="207"/>
      <c r="V14" s="207">
        <v>4</v>
      </c>
      <c r="W14" s="207">
        <v>1</v>
      </c>
      <c r="X14" s="204"/>
      <c r="Y14" s="208">
        <v>1</v>
      </c>
      <c r="Z14" s="209">
        <f t="shared" si="1"/>
        <v>19</v>
      </c>
      <c r="AA14" s="183">
        <f t="shared" si="2"/>
        <v>130000</v>
      </c>
      <c r="AB14" s="7"/>
      <c r="AC14" s="53">
        <f>IFERROR(VLOOKUP($I$22&amp;D14,'Development-Hidden'!$C$2:$E$118,3,FALSE),"")</f>
        <v>80000</v>
      </c>
      <c r="AD14" s="31">
        <v>1</v>
      </c>
      <c r="AE14" s="42"/>
      <c r="AF14" s="32">
        <v>1</v>
      </c>
      <c r="AG14" s="42"/>
      <c r="AH14" s="42"/>
      <c r="AI14" s="42"/>
      <c r="AJ14" s="43"/>
      <c r="AK14" s="7"/>
      <c r="AL14" s="54" t="s">
        <v>354</v>
      </c>
      <c r="AM14" s="55"/>
      <c r="AN14" s="56"/>
      <c r="AO14" s="57"/>
      <c r="AP14" s="58"/>
      <c r="AQ14" s="59"/>
      <c r="AR14" s="60"/>
      <c r="AS14" s="61"/>
      <c r="AT14" s="62"/>
      <c r="AU14" s="63"/>
    </row>
    <row r="15" spans="1:47" ht="15.75" customHeight="1">
      <c r="A15" s="5"/>
      <c r="B15" s="192">
        <v>12</v>
      </c>
      <c r="C15" s="314" t="s">
        <v>140</v>
      </c>
      <c r="D15" s="194" t="s">
        <v>141</v>
      </c>
      <c r="E15" s="195">
        <f>IFERROR(VLOOKUP($I$22&amp;$D15,'Development-Hidden'!$C$2:$J$118,4,FALSE)-P15+AF15,"")</f>
        <v>5</v>
      </c>
      <c r="F15" s="196">
        <f>IFERROR(VLOOKUP($I$22&amp;$D15,'Development-Hidden'!$C$2:$J$118,5,FALSE)-Q15+AG15,"")</f>
        <v>4</v>
      </c>
      <c r="G15" s="196">
        <f>IFERROR(VLOOKUP($I$22&amp;$D15,'Development-Hidden'!$C$2:$J$118,6,FALSE)-R15+AH15,"")</f>
        <v>2</v>
      </c>
      <c r="H15" s="197">
        <f>IFERROR(VLOOKUP($I$22&amp;$D15,'Development-Hidden'!$C$2:$J$118,7,FALSE)-S15+AI15,"")</f>
        <v>8</v>
      </c>
      <c r="I15" s="198" t="str">
        <f>IFERROR(VLOOKUP($I$22&amp;$D15,'Development-Hidden'!$C$2:$J$118,8,FALSE),"")</f>
        <v>Extra Arms, Grab</v>
      </c>
      <c r="J15" s="199"/>
      <c r="K15" s="200">
        <f t="shared" si="0"/>
        <v>0</v>
      </c>
      <c r="L15" s="201"/>
      <c r="M15" s="201"/>
      <c r="N15" s="201"/>
      <c r="O15" s="202"/>
      <c r="P15" s="203"/>
      <c r="Q15" s="204"/>
      <c r="R15" s="204"/>
      <c r="S15" s="205"/>
      <c r="T15" s="206"/>
      <c r="U15" s="207"/>
      <c r="V15" s="207"/>
      <c r="W15" s="207">
        <v>1</v>
      </c>
      <c r="X15" s="204"/>
      <c r="Y15" s="208"/>
      <c r="Z15" s="209">
        <f t="shared" si="1"/>
        <v>2</v>
      </c>
      <c r="AA15" s="183">
        <f t="shared" si="2"/>
        <v>100000</v>
      </c>
      <c r="AB15" s="7"/>
      <c r="AC15" s="53">
        <f>IFERROR(VLOOKUP($I$22&amp;D15,'Development-Hidden'!$C$2:$E$118,3,FALSE),"")</f>
        <v>100000</v>
      </c>
      <c r="AD15" s="31"/>
      <c r="AE15" s="42"/>
      <c r="AF15" s="42"/>
      <c r="AG15" s="42"/>
      <c r="AH15" s="42"/>
      <c r="AI15" s="42"/>
      <c r="AJ15" s="43"/>
      <c r="AK15" s="7"/>
      <c r="AL15" s="54" t="s">
        <v>355</v>
      </c>
      <c r="AM15" s="55"/>
      <c r="AN15" s="56"/>
      <c r="AO15" s="57"/>
      <c r="AP15" s="58"/>
      <c r="AQ15" s="59"/>
      <c r="AR15" s="60"/>
      <c r="AS15" s="61"/>
      <c r="AT15" s="62"/>
      <c r="AU15" s="63"/>
    </row>
    <row r="16" spans="1:47" ht="15.75" customHeight="1">
      <c r="A16" s="5"/>
      <c r="B16" s="192">
        <v>13</v>
      </c>
      <c r="C16" s="314"/>
      <c r="D16" s="194"/>
      <c r="E16" s="195" t="str">
        <f>IFERROR(VLOOKUP($I$22&amp;$D16,'Development-Hidden'!$C$2:$J$118,4,FALSE)-P16+AF16,"")</f>
        <v/>
      </c>
      <c r="F16" s="196" t="str">
        <f>IFERROR(VLOOKUP($I$22&amp;$D16,'Development-Hidden'!$C$2:$J$118,5,FALSE)-Q16+AG16,"")</f>
        <v/>
      </c>
      <c r="G16" s="196" t="str">
        <f>IFERROR(VLOOKUP($I$22&amp;$D16,'Development-Hidden'!$C$2:$J$118,6,FALSE)-R16+AH16,"")</f>
        <v/>
      </c>
      <c r="H16" s="197" t="str">
        <f>IFERROR(VLOOKUP($I$22&amp;$D16,'Development-Hidden'!$C$2:$J$118,7,FALSE)-S16+AI16,"")</f>
        <v/>
      </c>
      <c r="I16" s="198" t="str">
        <f>IFERROR(VLOOKUP($I$22&amp;$D16,'Development-Hidden'!$C$2:$J$118,8,FALSE),"")</f>
        <v/>
      </c>
      <c r="J16" s="199"/>
      <c r="K16" s="200">
        <f t="shared" si="0"/>
        <v>0</v>
      </c>
      <c r="L16" s="201"/>
      <c r="M16" s="201"/>
      <c r="N16" s="201"/>
      <c r="O16" s="202"/>
      <c r="P16" s="203"/>
      <c r="Q16" s="204"/>
      <c r="R16" s="204"/>
      <c r="S16" s="205"/>
      <c r="T16" s="206"/>
      <c r="U16" s="207"/>
      <c r="V16" s="207"/>
      <c r="W16" s="207"/>
      <c r="X16" s="204"/>
      <c r="Y16" s="208"/>
      <c r="Z16" s="209">
        <f t="shared" si="1"/>
        <v>0</v>
      </c>
      <c r="AA16" s="183">
        <f t="shared" si="2"/>
        <v>0</v>
      </c>
      <c r="AB16" s="7"/>
      <c r="AC16" s="53" t="str">
        <f>IFERROR(VLOOKUP($I$22&amp;D16,'Development-Hidden'!$C$2:$E$118,3,FALSE),"0")</f>
        <v>0</v>
      </c>
      <c r="AD16" s="31"/>
      <c r="AE16" s="42"/>
      <c r="AF16" s="42"/>
      <c r="AG16" s="42"/>
      <c r="AH16" s="42"/>
      <c r="AI16" s="42"/>
      <c r="AJ16" s="43"/>
      <c r="AK16" s="7"/>
      <c r="AL16" s="54" t="s">
        <v>357</v>
      </c>
      <c r="AM16" s="55"/>
      <c r="AN16" s="56"/>
      <c r="AO16" s="57"/>
      <c r="AP16" s="58"/>
      <c r="AQ16" s="59"/>
      <c r="AR16" s="60"/>
      <c r="AS16" s="61"/>
      <c r="AT16" s="62"/>
      <c r="AU16" s="63"/>
    </row>
    <row r="17" spans="1:47" ht="15.75" customHeight="1">
      <c r="A17" s="5"/>
      <c r="B17" s="192">
        <v>14</v>
      </c>
      <c r="C17" s="314" t="s">
        <v>247</v>
      </c>
      <c r="D17" s="194" t="s">
        <v>141</v>
      </c>
      <c r="E17" s="195">
        <f>IFERROR(VLOOKUP($I$22&amp;$D17,'Development-Hidden'!$C$2:$J$118,4,FALSE)-P17+AF17,"")</f>
        <v>5</v>
      </c>
      <c r="F17" s="196">
        <f>IFERROR(VLOOKUP($I$22&amp;$D17,'Development-Hidden'!$C$2:$J$118,5,FALSE)-Q17+AG17,"")</f>
        <v>4</v>
      </c>
      <c r="G17" s="196">
        <f>IFERROR(VLOOKUP($I$22&amp;$D17,'Development-Hidden'!$C$2:$J$118,6,FALSE)-R17+AH17,"")</f>
        <v>2</v>
      </c>
      <c r="H17" s="197">
        <f>IFERROR(VLOOKUP($I$22&amp;$D17,'Development-Hidden'!$C$2:$J$118,7,FALSE)-S17+AI17,"")</f>
        <v>8</v>
      </c>
      <c r="I17" s="198" t="str">
        <f>IFERROR(VLOOKUP($I$22&amp;$D17,'Development-Hidden'!$C$2:$J$118,8,FALSE),"")</f>
        <v>Extra Arms, Grab</v>
      </c>
      <c r="J17" s="199" t="s">
        <v>399</v>
      </c>
      <c r="K17" s="200">
        <f t="shared" si="0"/>
        <v>1</v>
      </c>
      <c r="L17" s="201"/>
      <c r="M17" s="201"/>
      <c r="N17" s="201">
        <v>1</v>
      </c>
      <c r="O17" s="202"/>
      <c r="P17" s="203"/>
      <c r="Q17" s="204"/>
      <c r="R17" s="204"/>
      <c r="S17" s="205"/>
      <c r="T17" s="206"/>
      <c r="U17" s="207"/>
      <c r="V17" s="207"/>
      <c r="W17" s="207">
        <v>2</v>
      </c>
      <c r="X17" s="204"/>
      <c r="Y17" s="208">
        <v>1</v>
      </c>
      <c r="Z17" s="209">
        <f t="shared" si="1"/>
        <v>9</v>
      </c>
      <c r="AA17" s="183">
        <f t="shared" si="2"/>
        <v>120000</v>
      </c>
      <c r="AB17" s="7"/>
      <c r="AC17" s="53">
        <f>IFERROR(VLOOKUP($I$22&amp;D17,'Development-Hidden'!$C$2:$E$118,3,FALSE),"")</f>
        <v>100000</v>
      </c>
      <c r="AD17" s="31">
        <v>1</v>
      </c>
      <c r="AE17" s="42"/>
      <c r="AF17" s="42"/>
      <c r="AG17" s="42"/>
      <c r="AH17" s="42"/>
      <c r="AI17" s="42"/>
      <c r="AJ17" s="43"/>
      <c r="AK17" s="7"/>
      <c r="AL17" s="65" t="s">
        <v>359</v>
      </c>
      <c r="AM17" s="66"/>
      <c r="AN17" s="67"/>
      <c r="AO17" s="68"/>
      <c r="AP17" s="69"/>
      <c r="AQ17" s="70"/>
      <c r="AR17" s="71"/>
      <c r="AS17" s="72"/>
      <c r="AT17" s="73"/>
      <c r="AU17" s="63"/>
    </row>
    <row r="18" spans="1:47" ht="15.75" customHeight="1">
      <c r="A18" s="5"/>
      <c r="B18" s="192">
        <v>15</v>
      </c>
      <c r="C18" s="314" t="s">
        <v>288</v>
      </c>
      <c r="D18" s="194" t="s">
        <v>141</v>
      </c>
      <c r="E18" s="195">
        <f>IFERROR(VLOOKUP($I$22&amp;$D18,'Development-Hidden'!$C$2:$J$118,4,FALSE)-P18+AF18,"")</f>
        <v>5</v>
      </c>
      <c r="F18" s="196">
        <f>IFERROR(VLOOKUP($I$22&amp;$D18,'Development-Hidden'!$C$2:$J$118,5,FALSE)-Q18+AG18,"")</f>
        <v>4</v>
      </c>
      <c r="G18" s="196">
        <f>IFERROR(VLOOKUP($I$22&amp;$D18,'Development-Hidden'!$C$2:$J$118,6,FALSE)-R18+AH18,"")</f>
        <v>2</v>
      </c>
      <c r="H18" s="197">
        <f>IFERROR(VLOOKUP($I$22&amp;$D18,'Development-Hidden'!$C$2:$J$118,7,FALSE)-S18+AI18,"")</f>
        <v>8</v>
      </c>
      <c r="I18" s="198" t="str">
        <f>IFERROR(VLOOKUP($I$22&amp;$D18,'Development-Hidden'!$C$2:$J$118,8,FALSE),"")</f>
        <v>Extra Arms, Grab</v>
      </c>
      <c r="J18" s="199" t="s">
        <v>399</v>
      </c>
      <c r="K18" s="200">
        <f t="shared" si="0"/>
        <v>1</v>
      </c>
      <c r="L18" s="201"/>
      <c r="M18" s="201"/>
      <c r="N18" s="201">
        <v>1</v>
      </c>
      <c r="O18" s="202"/>
      <c r="P18" s="203"/>
      <c r="Q18" s="204"/>
      <c r="R18" s="204"/>
      <c r="S18" s="205"/>
      <c r="T18" s="206"/>
      <c r="U18" s="207"/>
      <c r="V18" s="207"/>
      <c r="W18" s="207"/>
      <c r="X18" s="204"/>
      <c r="Y18" s="208">
        <v>2</v>
      </c>
      <c r="Z18" s="209">
        <f t="shared" si="1"/>
        <v>10</v>
      </c>
      <c r="AA18" s="183">
        <f t="shared" si="2"/>
        <v>120000</v>
      </c>
      <c r="AB18" s="7"/>
      <c r="AC18" s="53">
        <f>IFERROR(VLOOKUP($I$22&amp;D18,'Development-Hidden'!$C$2:$E$118,3,FALSE),"")</f>
        <v>100000</v>
      </c>
      <c r="AD18" s="31">
        <v>1</v>
      </c>
      <c r="AE18" s="32"/>
      <c r="AF18" s="42"/>
      <c r="AG18" s="42"/>
      <c r="AH18" s="42"/>
      <c r="AI18" s="42"/>
      <c r="AJ18" s="43"/>
      <c r="AK18" s="7"/>
      <c r="AL18" s="74" t="s">
        <v>219</v>
      </c>
      <c r="AM18" s="75">
        <f>AM4+SUM(AM6:AM17)-SUM(AN6:AN17)-SUM(AO6:AO17)</f>
        <v>70000</v>
      </c>
      <c r="AN18" s="7"/>
      <c r="AO18" s="7"/>
      <c r="AP18" s="27"/>
      <c r="AQ18" s="74" t="s">
        <v>219</v>
      </c>
      <c r="AR18" s="76">
        <f t="shared" ref="AR18:AS18" si="3">SUM(AR6:AR17)</f>
        <v>1</v>
      </c>
      <c r="AS18" s="77">
        <f t="shared" si="3"/>
        <v>4</v>
      </c>
      <c r="AT18" s="78">
        <f>AT4+SUM(AT6:AT17)</f>
        <v>0</v>
      </c>
      <c r="AU18" s="8"/>
    </row>
    <row r="19" spans="1:47" ht="15.75" customHeight="1">
      <c r="A19" s="5"/>
      <c r="B19" s="248">
        <v>16</v>
      </c>
      <c r="C19" s="315" t="s">
        <v>143</v>
      </c>
      <c r="D19" s="250" t="s">
        <v>144</v>
      </c>
      <c r="E19" s="251">
        <f>IFERROR(VLOOKUP($I$22&amp;$D19,'Development-Hidden'!$C$2:$J$118,4,FALSE)-P19+AF19,"")</f>
        <v>5</v>
      </c>
      <c r="F19" s="252">
        <f>IFERROR(VLOOKUP($I$22&amp;$D19,'Development-Hidden'!$C$2:$J$118,5,FALSE)-Q19+AG19,"")</f>
        <v>5</v>
      </c>
      <c r="G19" s="252">
        <f>IFERROR(VLOOKUP($I$22&amp;$D19,'Development-Hidden'!$C$2:$J$118,6,FALSE)-R19+AH19,"")</f>
        <v>1</v>
      </c>
      <c r="H19" s="253">
        <f>IFERROR(VLOOKUP($I$22&amp;$D19,'Development-Hidden'!$C$2:$J$118,7,FALSE)-S19+AI19,"")</f>
        <v>9</v>
      </c>
      <c r="I19" s="254" t="str">
        <f>IFERROR(VLOOKUP($I$22&amp;$D19,'Development-Hidden'!$C$2:$J$118,8,FALSE),"")</f>
        <v>Loner, Wild Animal, Extra Arms, Grab, Mighty Blow</v>
      </c>
      <c r="J19" s="255"/>
      <c r="K19" s="256">
        <f t="shared" si="0"/>
        <v>0</v>
      </c>
      <c r="L19" s="257"/>
      <c r="M19" s="257"/>
      <c r="N19" s="257"/>
      <c r="O19" s="258"/>
      <c r="P19" s="259"/>
      <c r="Q19" s="260"/>
      <c r="R19" s="260"/>
      <c r="S19" s="261"/>
      <c r="T19" s="262"/>
      <c r="U19" s="263"/>
      <c r="V19" s="263"/>
      <c r="W19" s="263">
        <v>1</v>
      </c>
      <c r="X19" s="260"/>
      <c r="Y19" s="264"/>
      <c r="Z19" s="265">
        <f t="shared" si="1"/>
        <v>2</v>
      </c>
      <c r="AA19" s="183">
        <f t="shared" si="2"/>
        <v>140000</v>
      </c>
      <c r="AB19" s="7"/>
      <c r="AC19" s="80">
        <f>IFERROR(VLOOKUP($I$22&amp;D19,'Development-Hidden'!$C$2:$E$118,3,FALSE),"")</f>
        <v>140000</v>
      </c>
      <c r="AD19" s="81"/>
      <c r="AE19" s="82"/>
      <c r="AF19" s="82"/>
      <c r="AG19" s="82"/>
      <c r="AH19" s="82"/>
      <c r="AI19" s="82"/>
      <c r="AJ19" s="83"/>
      <c r="AK19" s="7"/>
    </row>
    <row r="20" spans="1:47" ht="15.75" customHeight="1">
      <c r="A20" s="5"/>
      <c r="B20" s="628"/>
      <c r="C20" s="572"/>
      <c r="D20" s="573"/>
      <c r="E20" s="586" t="s">
        <v>364</v>
      </c>
      <c r="F20" s="587"/>
      <c r="G20" s="587"/>
      <c r="H20" s="587"/>
      <c r="I20" s="587"/>
      <c r="J20" s="587"/>
      <c r="K20" s="587"/>
      <c r="L20" s="587"/>
      <c r="M20" s="587"/>
      <c r="N20" s="587"/>
      <c r="O20" s="587"/>
      <c r="P20" s="587"/>
      <c r="Q20" s="587"/>
      <c r="R20" s="587"/>
      <c r="S20" s="587"/>
      <c r="T20" s="587"/>
      <c r="U20" s="587"/>
      <c r="V20" s="587"/>
      <c r="W20" s="587"/>
      <c r="X20" s="587"/>
      <c r="Y20" s="587"/>
      <c r="Z20" s="588"/>
      <c r="AA20" s="270">
        <f>SUM(AA4:AA19)</f>
        <v>1010000</v>
      </c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27"/>
      <c r="AM20" s="27"/>
      <c r="AN20" s="27"/>
      <c r="AO20" s="27"/>
      <c r="AP20" s="27"/>
      <c r="AQ20" s="27"/>
      <c r="AR20" s="27"/>
      <c r="AS20" s="27"/>
      <c r="AT20" s="27"/>
      <c r="AU20" s="27"/>
    </row>
    <row r="21" spans="1:47" ht="15.75" customHeight="1">
      <c r="A21" s="5"/>
      <c r="B21" s="574"/>
      <c r="C21" s="575"/>
      <c r="D21" s="576"/>
      <c r="E21" s="580" t="s">
        <v>365</v>
      </c>
      <c r="F21" s="581"/>
      <c r="G21" s="581"/>
      <c r="H21" s="581"/>
      <c r="I21" s="589" t="s">
        <v>28</v>
      </c>
      <c r="J21" s="581"/>
      <c r="K21" s="590"/>
      <c r="L21" s="584" t="s">
        <v>366</v>
      </c>
      <c r="M21" s="581"/>
      <c r="N21" s="581"/>
      <c r="O21" s="581"/>
      <c r="P21" s="581"/>
      <c r="Q21" s="581"/>
      <c r="R21" s="581"/>
      <c r="S21" s="585"/>
      <c r="T21" s="271">
        <v>3</v>
      </c>
      <c r="U21" s="272" t="s">
        <v>220</v>
      </c>
      <c r="V21" s="580">
        <f>IFERROR(VLOOKUP(I22,'Development-Hidden'!N2:O28,2,FALSE),"")</f>
        <v>60000</v>
      </c>
      <c r="W21" s="581"/>
      <c r="X21" s="581"/>
      <c r="Y21" s="581"/>
      <c r="Z21" s="590"/>
      <c r="AA21" s="273">
        <f t="shared" ref="AA21:AA25" si="4">T21*V21</f>
        <v>180000</v>
      </c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631" t="s">
        <v>367</v>
      </c>
      <c r="AM21" s="632"/>
      <c r="AN21" s="7"/>
      <c r="AO21" s="4" t="s">
        <v>403</v>
      </c>
      <c r="AP21" s="7"/>
      <c r="AQ21" s="7"/>
      <c r="AR21" s="7"/>
      <c r="AS21" s="7"/>
      <c r="AT21" s="7"/>
      <c r="AU21" s="7"/>
    </row>
    <row r="22" spans="1:47" ht="15.75" customHeight="1">
      <c r="A22" s="5"/>
      <c r="B22" s="574"/>
      <c r="C22" s="575"/>
      <c r="D22" s="576"/>
      <c r="E22" s="582" t="s">
        <v>368</v>
      </c>
      <c r="F22" s="583"/>
      <c r="G22" s="583"/>
      <c r="H22" s="583"/>
      <c r="I22" s="598" t="s">
        <v>29</v>
      </c>
      <c r="J22" s="583"/>
      <c r="K22" s="597"/>
      <c r="L22" s="591" t="s">
        <v>369</v>
      </c>
      <c r="M22" s="583"/>
      <c r="N22" s="583"/>
      <c r="O22" s="583"/>
      <c r="P22" s="583"/>
      <c r="Q22" s="583"/>
      <c r="R22" s="583"/>
      <c r="S22" s="592"/>
      <c r="T22" s="274">
        <v>3</v>
      </c>
      <c r="U22" s="275" t="s">
        <v>220</v>
      </c>
      <c r="V22" s="582">
        <v>10000</v>
      </c>
      <c r="W22" s="583"/>
      <c r="X22" s="583"/>
      <c r="Y22" s="583"/>
      <c r="Z22" s="597"/>
      <c r="AA22" s="276">
        <f t="shared" si="4"/>
        <v>30000</v>
      </c>
      <c r="AB22" s="7"/>
      <c r="AC22" s="4"/>
      <c r="AD22" s="7"/>
      <c r="AE22" s="7"/>
      <c r="AF22" s="7"/>
      <c r="AG22" s="7"/>
      <c r="AH22" s="7"/>
      <c r="AI22" s="7"/>
      <c r="AJ22" s="7"/>
      <c r="AK22" s="7"/>
      <c r="AL22" s="84" t="s">
        <v>370</v>
      </c>
      <c r="AM22" s="85">
        <f>AM18</f>
        <v>70000</v>
      </c>
      <c r="AN22" s="7"/>
      <c r="AO22" s="7"/>
      <c r="AP22" s="7"/>
      <c r="AQ22" s="7"/>
      <c r="AR22" s="7"/>
      <c r="AS22" s="7"/>
      <c r="AT22" s="7"/>
      <c r="AU22" s="7"/>
    </row>
    <row r="23" spans="1:47" ht="15.75" customHeight="1">
      <c r="A23" s="5"/>
      <c r="B23" s="574"/>
      <c r="C23" s="575"/>
      <c r="D23" s="576"/>
      <c r="E23" s="582" t="str">
        <f>IFERROR(IF(VLOOKUP(I22,'Development-Hidden'!X2:Y28,2,FALSE)="Yes","NECROMANCER","HEAD COACH"),"HEAD COACH")</f>
        <v>HEAD COACH</v>
      </c>
      <c r="F23" s="583"/>
      <c r="G23" s="583"/>
      <c r="H23" s="583"/>
      <c r="I23" s="598" t="s">
        <v>404</v>
      </c>
      <c r="J23" s="583"/>
      <c r="K23" s="597"/>
      <c r="L23" s="591" t="s">
        <v>371</v>
      </c>
      <c r="M23" s="583"/>
      <c r="N23" s="583"/>
      <c r="O23" s="583"/>
      <c r="P23" s="583"/>
      <c r="Q23" s="583"/>
      <c r="R23" s="583"/>
      <c r="S23" s="592"/>
      <c r="T23" s="274">
        <v>0</v>
      </c>
      <c r="U23" s="275" t="s">
        <v>220</v>
      </c>
      <c r="V23" s="582">
        <v>10000</v>
      </c>
      <c r="W23" s="583"/>
      <c r="X23" s="583"/>
      <c r="Y23" s="583"/>
      <c r="Z23" s="597"/>
      <c r="AA23" s="276">
        <f t="shared" si="4"/>
        <v>0</v>
      </c>
      <c r="AB23" s="7"/>
      <c r="AC23" s="4"/>
      <c r="AD23" s="7"/>
      <c r="AE23" s="4"/>
      <c r="AF23" s="7"/>
      <c r="AG23" s="7"/>
      <c r="AH23" s="7"/>
      <c r="AI23" s="7"/>
      <c r="AJ23" s="7"/>
      <c r="AK23" s="7"/>
      <c r="AL23" s="86" t="s">
        <v>372</v>
      </c>
      <c r="AM23" s="87">
        <f>COUNTA(AP6:AP17)*10000</f>
        <v>10000</v>
      </c>
      <c r="AN23" s="7"/>
      <c r="AO23" s="7"/>
      <c r="AP23" s="7"/>
      <c r="AQ23" s="7"/>
      <c r="AR23" s="7"/>
      <c r="AS23" s="7"/>
      <c r="AT23" s="7"/>
      <c r="AU23" s="7"/>
    </row>
    <row r="24" spans="1:47" ht="15.75" customHeight="1">
      <c r="A24" s="5"/>
      <c r="B24" s="574"/>
      <c r="C24" s="575"/>
      <c r="D24" s="576"/>
      <c r="E24" s="582" t="s">
        <v>373</v>
      </c>
      <c r="F24" s="583"/>
      <c r="G24" s="583"/>
      <c r="H24" s="583"/>
      <c r="I24" s="599">
        <f>AA20+AA26</f>
        <v>1270000</v>
      </c>
      <c r="J24" s="583"/>
      <c r="K24" s="597"/>
      <c r="L24" s="591" t="s">
        <v>375</v>
      </c>
      <c r="M24" s="583"/>
      <c r="N24" s="583"/>
      <c r="O24" s="583"/>
      <c r="P24" s="583"/>
      <c r="Q24" s="583"/>
      <c r="R24" s="583"/>
      <c r="S24" s="592"/>
      <c r="T24" s="274">
        <v>0</v>
      </c>
      <c r="U24" s="275" t="s">
        <v>220</v>
      </c>
      <c r="V24" s="582">
        <v>10000</v>
      </c>
      <c r="W24" s="583"/>
      <c r="X24" s="583"/>
      <c r="Y24" s="583"/>
      <c r="Z24" s="597"/>
      <c r="AA24" s="276">
        <f t="shared" si="4"/>
        <v>0</v>
      </c>
      <c r="AB24" s="7"/>
      <c r="AC24" s="4"/>
      <c r="AD24" s="101"/>
      <c r="AE24" s="7"/>
      <c r="AF24" s="7"/>
      <c r="AG24" s="7"/>
      <c r="AH24" s="7"/>
      <c r="AI24" s="7"/>
      <c r="AJ24" s="7"/>
      <c r="AK24" s="7"/>
      <c r="AL24" s="86" t="s">
        <v>33</v>
      </c>
      <c r="AM24" s="87">
        <f>AR18*5000</f>
        <v>5000</v>
      </c>
      <c r="AN24" s="7"/>
      <c r="AO24" s="7"/>
      <c r="AP24" s="7"/>
      <c r="AQ24" s="7"/>
      <c r="AR24" s="7"/>
      <c r="AS24" s="7"/>
      <c r="AT24" s="7"/>
      <c r="AU24" s="7"/>
    </row>
    <row r="25" spans="1:47" ht="15.75" customHeight="1">
      <c r="A25" s="5"/>
      <c r="B25" s="574"/>
      <c r="C25" s="575"/>
      <c r="D25" s="576"/>
      <c r="E25" s="595" t="s">
        <v>376</v>
      </c>
      <c r="F25" s="594"/>
      <c r="G25" s="594"/>
      <c r="H25" s="596"/>
      <c r="I25" s="600">
        <f>AM18</f>
        <v>70000</v>
      </c>
      <c r="J25" s="594"/>
      <c r="K25" s="596"/>
      <c r="L25" s="593" t="str">
        <f>IFERROR(IF(VLOOKUP(I22,'Development-Hidden'!X2:Y28,1,FALSE)&lt;&gt;"","",""),"APOTHECARY")</f>
        <v>APOTHECARY</v>
      </c>
      <c r="M25" s="594"/>
      <c r="N25" s="594"/>
      <c r="O25" s="594"/>
      <c r="P25" s="594"/>
      <c r="Q25" s="594"/>
      <c r="R25" s="594"/>
      <c r="S25" s="594"/>
      <c r="T25" s="281">
        <v>1</v>
      </c>
      <c r="U25" s="275" t="str">
        <f>IF(L25&lt;&gt;"","x","")</f>
        <v>x</v>
      </c>
      <c r="V25" s="595">
        <f>IF(L25&lt;&gt;"",50000,"")</f>
        <v>50000</v>
      </c>
      <c r="W25" s="594"/>
      <c r="X25" s="594"/>
      <c r="Y25" s="594"/>
      <c r="Z25" s="596"/>
      <c r="AA25" s="276">
        <f t="shared" si="4"/>
        <v>50000</v>
      </c>
      <c r="AB25" s="7"/>
      <c r="AC25" s="4"/>
      <c r="AD25" s="7"/>
      <c r="AE25" s="7"/>
      <c r="AF25" s="7"/>
      <c r="AG25" s="7"/>
      <c r="AH25" s="7"/>
      <c r="AI25" s="7"/>
      <c r="AJ25" s="7"/>
      <c r="AK25" s="7"/>
      <c r="AL25" s="88" t="s">
        <v>34</v>
      </c>
      <c r="AM25" s="89">
        <f>AS18*5000</f>
        <v>20000</v>
      </c>
      <c r="AN25" s="7"/>
      <c r="AO25" s="7"/>
      <c r="AP25" s="7"/>
      <c r="AQ25" s="7"/>
      <c r="AR25" s="7"/>
      <c r="AS25" s="7"/>
      <c r="AT25" s="7"/>
      <c r="AU25" s="7"/>
    </row>
    <row r="26" spans="1:47" ht="15.75" customHeight="1">
      <c r="A26" s="5"/>
      <c r="B26" s="577"/>
      <c r="C26" s="578"/>
      <c r="D26" s="579"/>
      <c r="E26" s="586" t="s">
        <v>379</v>
      </c>
      <c r="F26" s="587"/>
      <c r="G26" s="587"/>
      <c r="H26" s="587"/>
      <c r="I26" s="587"/>
      <c r="J26" s="587"/>
      <c r="K26" s="587"/>
      <c r="L26" s="587"/>
      <c r="M26" s="587"/>
      <c r="N26" s="587"/>
      <c r="O26" s="587"/>
      <c r="P26" s="587"/>
      <c r="Q26" s="587"/>
      <c r="R26" s="587"/>
      <c r="S26" s="587"/>
      <c r="T26" s="587"/>
      <c r="U26" s="587"/>
      <c r="V26" s="587"/>
      <c r="W26" s="587"/>
      <c r="X26" s="587"/>
      <c r="Y26" s="587"/>
      <c r="Z26" s="588"/>
      <c r="AA26" s="270">
        <f>SUM(AA21:AA25)</f>
        <v>260000</v>
      </c>
      <c r="AB26" s="7"/>
      <c r="AC26" s="4"/>
      <c r="AD26" s="7"/>
      <c r="AE26" s="7"/>
      <c r="AF26" s="7"/>
      <c r="AG26" s="7"/>
      <c r="AH26" s="7"/>
      <c r="AI26" s="7"/>
      <c r="AJ26" s="7"/>
      <c r="AK26" s="7"/>
      <c r="AL26" s="90" t="s">
        <v>219</v>
      </c>
      <c r="AM26" s="91">
        <f>SUM(AM22:AM25)</f>
        <v>105000</v>
      </c>
      <c r="AN26" s="7"/>
      <c r="AO26" s="7"/>
      <c r="AP26" s="7"/>
      <c r="AQ26" s="7"/>
      <c r="AR26" s="7"/>
      <c r="AS26" s="7"/>
      <c r="AT26" s="7"/>
      <c r="AU26" s="7"/>
    </row>
    <row r="27" spans="1:47" ht="8.25" customHeight="1">
      <c r="A27" s="7"/>
      <c r="B27" s="8"/>
      <c r="C27" s="92"/>
      <c r="D27" s="92"/>
      <c r="E27" s="93"/>
      <c r="F27" s="7"/>
      <c r="G27" s="7"/>
      <c r="H27" s="7"/>
      <c r="I27" s="94"/>
      <c r="J27" s="95"/>
      <c r="K27" s="7"/>
      <c r="L27" s="96"/>
      <c r="M27" s="96"/>
      <c r="N27" s="96"/>
      <c r="O27" s="96"/>
      <c r="P27" s="96"/>
      <c r="Q27" s="96"/>
      <c r="R27" s="96"/>
      <c r="S27" s="96"/>
      <c r="T27" s="97"/>
      <c r="U27" s="98"/>
      <c r="V27" s="10"/>
      <c r="W27" s="99"/>
      <c r="X27" s="99"/>
      <c r="Y27" s="99"/>
      <c r="Z27" s="99"/>
      <c r="AA27" s="100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</row>
    <row r="28" spans="1:47" ht="17.25" hidden="1" customHeight="1">
      <c r="A28" s="101"/>
      <c r="B28" s="102"/>
      <c r="C28" s="109">
        <f>MATCH(I22,'Development-Hidden'!A2:A118,0)</f>
        <v>87</v>
      </c>
      <c r="D28" s="109" t="str">
        <f t="array" ref="D28">IFERROR(IF(INDEX('Development-Hidden'!$A$2:$B$118,$C28,1)=$I$22,INDEX('Development-Hidden'!$A$2:$B$118,$C28,2),""),"")</f>
        <v>Bonobo</v>
      </c>
      <c r="E28" s="103"/>
      <c r="F28" s="103"/>
      <c r="G28" s="103"/>
      <c r="H28" s="103"/>
      <c r="I28" s="103"/>
      <c r="J28" s="104"/>
      <c r="K28" s="101"/>
      <c r="L28" s="105"/>
      <c r="M28" s="105"/>
      <c r="N28" s="105"/>
      <c r="O28" s="105"/>
      <c r="P28" s="105"/>
      <c r="Q28" s="105"/>
      <c r="R28" s="105"/>
      <c r="S28" s="105"/>
      <c r="T28" s="106"/>
      <c r="U28" s="107"/>
      <c r="V28" s="106"/>
      <c r="W28" s="108"/>
      <c r="X28" s="108"/>
      <c r="Y28" s="108"/>
      <c r="Z28" s="108"/>
      <c r="AA28" s="103"/>
      <c r="AB28" s="101"/>
      <c r="AC28" s="101"/>
      <c r="AD28" s="101"/>
      <c r="AE28" s="101"/>
      <c r="AF28" s="101"/>
      <c r="AG28" s="101"/>
      <c r="AH28" s="101"/>
      <c r="AI28" s="101"/>
      <c r="AJ28" s="101"/>
      <c r="AK28" s="101"/>
      <c r="AL28" s="101"/>
      <c r="AM28" s="101"/>
      <c r="AN28" s="101"/>
      <c r="AO28" s="101"/>
      <c r="AP28" s="101"/>
      <c r="AQ28" s="101"/>
      <c r="AR28" s="101"/>
      <c r="AS28" s="101"/>
      <c r="AT28" s="101"/>
      <c r="AU28" s="101"/>
    </row>
    <row r="29" spans="1:47" ht="17.25" hidden="1" customHeight="1">
      <c r="A29" s="101"/>
      <c r="B29" s="102"/>
      <c r="C29" s="109">
        <f t="shared" ref="C29:C37" si="5">C28+1</f>
        <v>88</v>
      </c>
      <c r="D29" s="109" t="str">
        <f t="array" ref="D29">IFERROR(IF(INDEX('Development-Hidden'!$A$2:$B$118,$C29,1)=$I$22,INDEX('Development-Hidden'!$A$2:$B$118,$C29,2),""),"")</f>
        <v>Orangutan</v>
      </c>
      <c r="E29" s="103"/>
      <c r="F29" s="103"/>
      <c r="G29" s="103"/>
      <c r="H29" s="103"/>
      <c r="I29" s="103"/>
      <c r="J29" s="104"/>
      <c r="K29" s="101"/>
      <c r="L29" s="105"/>
      <c r="M29" s="105"/>
      <c r="N29" s="105"/>
      <c r="O29" s="105"/>
      <c r="P29" s="105"/>
      <c r="Q29" s="105"/>
      <c r="R29" s="105"/>
      <c r="S29" s="105"/>
      <c r="T29" s="106"/>
      <c r="U29" s="107"/>
      <c r="V29" s="106"/>
      <c r="W29" s="108"/>
      <c r="X29" s="108"/>
      <c r="Y29" s="108"/>
      <c r="Z29" s="108"/>
      <c r="AA29" s="103"/>
      <c r="AB29" s="101"/>
      <c r="AC29" s="101"/>
      <c r="AD29" s="101"/>
      <c r="AE29" s="101"/>
      <c r="AF29" s="101"/>
      <c r="AG29" s="101"/>
      <c r="AH29" s="101"/>
      <c r="AI29" s="101"/>
      <c r="AJ29" s="101"/>
      <c r="AK29" s="101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</row>
    <row r="30" spans="1:47" ht="17.25" hidden="1" customHeight="1">
      <c r="A30" s="101"/>
      <c r="B30" s="102"/>
      <c r="C30" s="109">
        <f t="shared" si="5"/>
        <v>89</v>
      </c>
      <c r="D30" s="109" t="str">
        <f t="array" ref="D30">IFERROR(IF(INDEX('Development-Hidden'!$A$2:$B$118,$C30,1)=$I$22,INDEX('Development-Hidden'!$A$2:$B$118,$C30,2),""),"")</f>
        <v>Chimpanzee</v>
      </c>
      <c r="E30" s="103"/>
      <c r="F30" s="103"/>
      <c r="G30" s="103"/>
      <c r="H30" s="103"/>
      <c r="I30" s="103"/>
      <c r="J30" s="104"/>
      <c r="K30" s="101"/>
      <c r="L30" s="105"/>
      <c r="M30" s="105"/>
      <c r="N30" s="105"/>
      <c r="O30" s="105"/>
      <c r="P30" s="105"/>
      <c r="Q30" s="105"/>
      <c r="R30" s="105"/>
      <c r="S30" s="105"/>
      <c r="T30" s="106"/>
      <c r="U30" s="107"/>
      <c r="V30" s="106"/>
      <c r="W30" s="108"/>
      <c r="X30" s="108"/>
      <c r="Y30" s="108"/>
      <c r="Z30" s="108"/>
      <c r="AA30" s="103"/>
      <c r="AB30" s="101"/>
      <c r="AC30" s="101"/>
      <c r="AD30" s="101"/>
      <c r="AE30" s="101"/>
      <c r="AF30" s="101"/>
      <c r="AG30" s="101"/>
      <c r="AH30" s="101"/>
      <c r="AI30" s="101"/>
      <c r="AJ30" s="101"/>
      <c r="AK30" s="101"/>
      <c r="AL30" s="101"/>
      <c r="AM30" s="101"/>
      <c r="AN30" s="101"/>
      <c r="AO30" s="101"/>
      <c r="AP30" s="101"/>
      <c r="AQ30" s="101"/>
      <c r="AR30" s="101"/>
      <c r="AS30" s="101"/>
      <c r="AT30" s="101"/>
      <c r="AU30" s="101"/>
    </row>
    <row r="31" spans="1:47" ht="17.25" hidden="1" customHeight="1">
      <c r="A31" s="101"/>
      <c r="B31" s="102"/>
      <c r="C31" s="109">
        <f t="shared" si="5"/>
        <v>90</v>
      </c>
      <c r="D31" s="109" t="str">
        <f t="array" ref="D31">IFERROR(IF(INDEX('Development-Hidden'!$A$2:$B$118,$C31,1)=$I$22,INDEX('Development-Hidden'!$A$2:$B$118,$C31,2),""),"")</f>
        <v>Gorilla</v>
      </c>
      <c r="E31" s="103"/>
      <c r="F31" s="103"/>
      <c r="G31" s="103"/>
      <c r="H31" s="103"/>
      <c r="I31" s="103"/>
      <c r="J31" s="104"/>
      <c r="K31" s="101"/>
      <c r="L31" s="105"/>
      <c r="M31" s="105"/>
      <c r="N31" s="105"/>
      <c r="O31" s="105"/>
      <c r="P31" s="105"/>
      <c r="Q31" s="105"/>
      <c r="R31" s="105"/>
      <c r="S31" s="105"/>
      <c r="T31" s="106"/>
      <c r="U31" s="107"/>
      <c r="V31" s="106"/>
      <c r="W31" s="108"/>
      <c r="X31" s="108"/>
      <c r="Y31" s="108"/>
      <c r="Z31" s="108"/>
      <c r="AA31" s="103"/>
      <c r="AB31" s="101"/>
      <c r="AC31" s="101"/>
      <c r="AD31" s="101"/>
      <c r="AE31" s="101"/>
      <c r="AF31" s="101"/>
      <c r="AG31" s="101"/>
      <c r="AH31" s="101"/>
      <c r="AI31" s="101"/>
      <c r="AJ31" s="101"/>
      <c r="AK31" s="101"/>
      <c r="AL31" s="101"/>
      <c r="AM31" s="101"/>
      <c r="AN31" s="101"/>
      <c r="AO31" s="101"/>
      <c r="AP31" s="101"/>
      <c r="AQ31" s="101"/>
      <c r="AR31" s="101"/>
      <c r="AS31" s="101"/>
      <c r="AT31" s="101"/>
      <c r="AU31" s="101"/>
    </row>
    <row r="32" spans="1:47" ht="17.25" hidden="1" customHeight="1">
      <c r="A32" s="101"/>
      <c r="B32" s="102"/>
      <c r="C32" s="109">
        <f t="shared" si="5"/>
        <v>91</v>
      </c>
      <c r="D32" s="109" t="str">
        <f t="array" ref="D32">IFERROR(IF(INDEX('Development-Hidden'!$A$2:$B$118,$C32,1)=$I$22,INDEX('Development-Hidden'!$A$2:$B$118,$C32,2),""),"")</f>
        <v>Silverback</v>
      </c>
      <c r="E32" s="103"/>
      <c r="F32" s="103"/>
      <c r="G32" s="103"/>
      <c r="H32" s="103"/>
      <c r="I32" s="103"/>
      <c r="J32" s="104"/>
      <c r="K32" s="101"/>
      <c r="L32" s="105"/>
      <c r="M32" s="105"/>
      <c r="N32" s="105"/>
      <c r="O32" s="105"/>
      <c r="P32" s="105"/>
      <c r="Q32" s="105"/>
      <c r="R32" s="105"/>
      <c r="S32" s="105"/>
      <c r="T32" s="106"/>
      <c r="U32" s="107"/>
      <c r="V32" s="106"/>
      <c r="W32" s="108"/>
      <c r="X32" s="108"/>
      <c r="Y32" s="108"/>
      <c r="Z32" s="108"/>
      <c r="AA32" s="103"/>
      <c r="AB32" s="101"/>
      <c r="AC32" s="101"/>
      <c r="AD32" s="101"/>
      <c r="AE32" s="101"/>
      <c r="AF32" s="101"/>
      <c r="AG32" s="101"/>
      <c r="AH32" s="101"/>
      <c r="AI32" s="101"/>
      <c r="AJ32" s="101"/>
      <c r="AK32" s="101"/>
      <c r="AL32" s="101"/>
      <c r="AM32" s="101"/>
      <c r="AN32" s="101"/>
      <c r="AO32" s="101"/>
      <c r="AP32" s="101"/>
      <c r="AQ32" s="101"/>
      <c r="AR32" s="101"/>
      <c r="AS32" s="101"/>
      <c r="AT32" s="101"/>
      <c r="AU32" s="101"/>
    </row>
    <row r="33" spans="1:47" ht="17.25" hidden="1" customHeight="1">
      <c r="A33" s="101"/>
      <c r="B33" s="102"/>
      <c r="C33" s="109">
        <f t="shared" si="5"/>
        <v>92</v>
      </c>
      <c r="D33" s="109" t="str">
        <f t="array" ref="D33">IFERROR(IF(INDEX('Development-Hidden'!$A$2:$B$118,$C33,1)=$I$22,INDEX('Development-Hidden'!$A$2:$B$118,$C33,2),""),"")</f>
        <v/>
      </c>
      <c r="E33" s="103"/>
      <c r="F33" s="103"/>
      <c r="G33" s="103"/>
      <c r="H33" s="103"/>
      <c r="I33" s="103"/>
      <c r="J33" s="104"/>
      <c r="K33" s="101"/>
      <c r="L33" s="105"/>
      <c r="M33" s="105"/>
      <c r="N33" s="105"/>
      <c r="O33" s="105"/>
      <c r="P33" s="105"/>
      <c r="Q33" s="105"/>
      <c r="R33" s="105"/>
      <c r="S33" s="105"/>
      <c r="T33" s="106"/>
      <c r="U33" s="107"/>
      <c r="V33" s="106"/>
      <c r="W33" s="108"/>
      <c r="X33" s="108"/>
      <c r="Y33" s="108"/>
      <c r="Z33" s="108"/>
      <c r="AA33" s="103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</row>
    <row r="34" spans="1:47" ht="17.25" hidden="1" customHeight="1">
      <c r="A34" s="101"/>
      <c r="B34" s="102"/>
      <c r="C34" s="109">
        <f t="shared" si="5"/>
        <v>93</v>
      </c>
      <c r="D34" s="109" t="str">
        <f t="array" ref="D34">IFERROR(IF(INDEX('Development-Hidden'!$A$2:$B$118,$C34,1)=$I$22,INDEX('Development-Hidden'!$A$2:$B$118,$C34,2),""),"")</f>
        <v/>
      </c>
      <c r="E34" s="103"/>
      <c r="F34" s="103"/>
      <c r="G34" s="103"/>
      <c r="H34" s="103"/>
      <c r="I34" s="103"/>
      <c r="J34" s="104"/>
      <c r="K34" s="101"/>
      <c r="L34" s="105"/>
      <c r="M34" s="105"/>
      <c r="N34" s="105"/>
      <c r="O34" s="105"/>
      <c r="P34" s="105"/>
      <c r="Q34" s="105"/>
      <c r="R34" s="105"/>
      <c r="S34" s="105"/>
      <c r="T34" s="106"/>
      <c r="U34" s="107"/>
      <c r="V34" s="106"/>
      <c r="W34" s="108"/>
      <c r="X34" s="108"/>
      <c r="Y34" s="108"/>
      <c r="Z34" s="108"/>
      <c r="AA34" s="103"/>
      <c r="AB34" s="101"/>
      <c r="AC34" s="101"/>
      <c r="AD34" s="101"/>
      <c r="AE34" s="101"/>
      <c r="AF34" s="101"/>
      <c r="AG34" s="101"/>
      <c r="AH34" s="101"/>
      <c r="AI34" s="101"/>
      <c r="AJ34" s="101"/>
      <c r="AK34" s="101"/>
      <c r="AL34" s="101"/>
      <c r="AM34" s="101"/>
      <c r="AN34" s="101"/>
      <c r="AO34" s="101"/>
      <c r="AP34" s="101"/>
      <c r="AQ34" s="101"/>
      <c r="AR34" s="101"/>
      <c r="AS34" s="101"/>
      <c r="AT34" s="101"/>
      <c r="AU34" s="101"/>
    </row>
    <row r="35" spans="1:47" ht="17.25" hidden="1" customHeight="1">
      <c r="A35" s="101"/>
      <c r="B35" s="102"/>
      <c r="C35" s="109">
        <f t="shared" si="5"/>
        <v>94</v>
      </c>
      <c r="D35" s="109" t="str">
        <f t="array" ref="D35">IFERROR(IF(INDEX('Development-Hidden'!$A$2:$B$118,$C35,1)=$I$22,INDEX('Development-Hidden'!$A$2:$B$118,$C35,2),""),"")</f>
        <v/>
      </c>
      <c r="E35" s="103"/>
      <c r="F35" s="103"/>
      <c r="G35" s="103"/>
      <c r="H35" s="103"/>
      <c r="I35" s="103"/>
      <c r="J35" s="104"/>
      <c r="K35" s="101"/>
      <c r="L35" s="105"/>
      <c r="M35" s="105"/>
      <c r="N35" s="105"/>
      <c r="O35" s="105"/>
      <c r="P35" s="105"/>
      <c r="Q35" s="105"/>
      <c r="R35" s="105"/>
      <c r="S35" s="105"/>
      <c r="T35" s="106"/>
      <c r="U35" s="107"/>
      <c r="V35" s="106"/>
      <c r="W35" s="108"/>
      <c r="X35" s="108"/>
      <c r="Y35" s="108"/>
      <c r="Z35" s="108"/>
      <c r="AA35" s="103"/>
      <c r="AB35" s="101"/>
      <c r="AC35" s="101"/>
      <c r="AD35" s="101"/>
      <c r="AE35" s="101"/>
      <c r="AF35" s="101"/>
      <c r="AG35" s="101"/>
      <c r="AH35" s="101"/>
      <c r="AI35" s="101"/>
      <c r="AJ35" s="101"/>
      <c r="AK35" s="101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</row>
    <row r="36" spans="1:47" ht="17.25" hidden="1" customHeight="1">
      <c r="A36" s="101"/>
      <c r="B36" s="102"/>
      <c r="C36" s="109">
        <f t="shared" si="5"/>
        <v>95</v>
      </c>
      <c r="D36" s="109" t="str">
        <f t="array" ref="D36">IFERROR(IF(INDEX('Development-Hidden'!$A$2:$B$118,$C36,1)=$I$22,INDEX('Development-Hidden'!$A$2:$B$118,$C36,2),""),"")</f>
        <v/>
      </c>
      <c r="E36" s="103"/>
      <c r="F36" s="103"/>
      <c r="G36" s="103"/>
      <c r="H36" s="103"/>
      <c r="I36" s="103"/>
      <c r="J36" s="104"/>
      <c r="K36" s="101"/>
      <c r="L36" s="105"/>
      <c r="M36" s="105"/>
      <c r="N36" s="105"/>
      <c r="O36" s="105"/>
      <c r="P36" s="105"/>
      <c r="Q36" s="105"/>
      <c r="R36" s="105"/>
      <c r="S36" s="105"/>
      <c r="T36" s="106"/>
      <c r="U36" s="107"/>
      <c r="V36" s="106"/>
      <c r="W36" s="108"/>
      <c r="X36" s="108"/>
      <c r="Y36" s="108"/>
      <c r="Z36" s="108"/>
      <c r="AA36" s="103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/>
      <c r="AL36" s="101"/>
      <c r="AM36" s="101"/>
      <c r="AN36" s="101"/>
      <c r="AO36" s="101"/>
      <c r="AP36" s="101"/>
      <c r="AQ36" s="101"/>
      <c r="AR36" s="101"/>
      <c r="AS36" s="101"/>
      <c r="AT36" s="101"/>
      <c r="AU36" s="101"/>
    </row>
    <row r="37" spans="1:47" ht="17.25" hidden="1" customHeight="1">
      <c r="A37" s="101"/>
      <c r="B37" s="102"/>
      <c r="C37" s="109">
        <f t="shared" si="5"/>
        <v>96</v>
      </c>
      <c r="D37" s="109" t="str">
        <f t="array" ref="D37">IFERROR(IF(INDEX('Development-Hidden'!$A$2:$B$118,$C37,1)=$I$22,INDEX('Development-Hidden'!$A$2:$B$118,$C37,2),""),"")</f>
        <v/>
      </c>
      <c r="E37" s="103"/>
      <c r="F37" s="103"/>
      <c r="G37" s="103"/>
      <c r="H37" s="103"/>
      <c r="I37" s="103"/>
      <c r="J37" s="104"/>
      <c r="K37" s="101"/>
      <c r="L37" s="105"/>
      <c r="M37" s="105"/>
      <c r="N37" s="105"/>
      <c r="O37" s="105"/>
      <c r="P37" s="105"/>
      <c r="Q37" s="105"/>
      <c r="R37" s="105"/>
      <c r="S37" s="105"/>
      <c r="T37" s="106"/>
      <c r="U37" s="107"/>
      <c r="V37" s="106"/>
      <c r="W37" s="108"/>
      <c r="X37" s="108"/>
      <c r="Y37" s="108"/>
      <c r="Z37" s="108"/>
      <c r="AA37" s="103"/>
      <c r="AB37" s="101"/>
      <c r="AC37" s="101"/>
      <c r="AD37" s="101"/>
      <c r="AE37" s="101"/>
      <c r="AF37" s="101"/>
      <c r="AG37" s="101"/>
      <c r="AH37" s="101"/>
      <c r="AI37" s="101"/>
      <c r="AJ37" s="101"/>
      <c r="AK37" s="101"/>
      <c r="AL37" s="101"/>
      <c r="AM37" s="101"/>
      <c r="AN37" s="101"/>
      <c r="AO37" s="101"/>
      <c r="AP37" s="101"/>
      <c r="AQ37" s="101"/>
      <c r="AR37" s="101"/>
      <c r="AS37" s="101"/>
      <c r="AT37" s="101"/>
      <c r="AU37" s="101"/>
    </row>
  </sheetData>
  <mergeCells count="27">
    <mergeCell ref="AL21:AM21"/>
    <mergeCell ref="E22:H22"/>
    <mergeCell ref="E21:H21"/>
    <mergeCell ref="E26:Z26"/>
    <mergeCell ref="P2:S2"/>
    <mergeCell ref="I23:K23"/>
    <mergeCell ref="E23:H23"/>
    <mergeCell ref="E24:H24"/>
    <mergeCell ref="V23:Z23"/>
    <mergeCell ref="V24:Z24"/>
    <mergeCell ref="AL3:AO3"/>
    <mergeCell ref="B20:D26"/>
    <mergeCell ref="I24:K24"/>
    <mergeCell ref="L21:S21"/>
    <mergeCell ref="I21:K21"/>
    <mergeCell ref="AP3:AT3"/>
    <mergeCell ref="L22:S22"/>
    <mergeCell ref="I22:K22"/>
    <mergeCell ref="E20:Z20"/>
    <mergeCell ref="L25:S25"/>
    <mergeCell ref="L23:S23"/>
    <mergeCell ref="L24:S24"/>
    <mergeCell ref="V21:Z21"/>
    <mergeCell ref="V22:Z22"/>
    <mergeCell ref="E25:H25"/>
    <mergeCell ref="I25:K25"/>
    <mergeCell ref="V25:Z25"/>
  </mergeCells>
  <conditionalFormatting sqref="AA4:AA19">
    <cfRule type="cellIs" dxfId="545" priority="1" operator="equal">
      <formula>0</formula>
    </cfRule>
  </conditionalFormatting>
  <conditionalFormatting sqref="J4">
    <cfRule type="expression" dxfId="544" priority="2">
      <formula>K4&lt;&gt;SUM(AD4:AI4)</formula>
    </cfRule>
  </conditionalFormatting>
  <conditionalFormatting sqref="I4:I19">
    <cfRule type="cellIs" dxfId="543" priority="3" stopIfTrue="1" operator="equal">
      <formula>"Player type quantity surpassed"</formula>
    </cfRule>
  </conditionalFormatting>
  <conditionalFormatting sqref="J5">
    <cfRule type="expression" dxfId="542" priority="4">
      <formula>K5&lt;&gt;SUM(AD5:AI5)</formula>
    </cfRule>
  </conditionalFormatting>
  <conditionalFormatting sqref="J6">
    <cfRule type="expression" dxfId="541" priority="5">
      <formula>K6&lt;&gt;SUM(AD6:AI6)</formula>
    </cfRule>
  </conditionalFormatting>
  <conditionalFormatting sqref="J7">
    <cfRule type="expression" dxfId="540" priority="6">
      <formula>K7&lt;&gt;SUM(AD7:AI7)</formula>
    </cfRule>
  </conditionalFormatting>
  <conditionalFormatting sqref="J8">
    <cfRule type="expression" dxfId="539" priority="7">
      <formula>K8&lt;&gt;SUM(AD8:AI8)</formula>
    </cfRule>
  </conditionalFormatting>
  <conditionalFormatting sqref="J9">
    <cfRule type="expression" dxfId="538" priority="8">
      <formula>K9&lt;&gt;SUM(AD9:AI9)</formula>
    </cfRule>
  </conditionalFormatting>
  <conditionalFormatting sqref="J10">
    <cfRule type="expression" dxfId="537" priority="9">
      <formula>K10&lt;&gt;SUM(AD10:AI10)</formula>
    </cfRule>
  </conditionalFormatting>
  <conditionalFormatting sqref="J11">
    <cfRule type="expression" dxfId="536" priority="10">
      <formula>K11&lt;&gt;SUM(AD11:AI11)</formula>
    </cfRule>
  </conditionalFormatting>
  <conditionalFormatting sqref="J12">
    <cfRule type="expression" dxfId="535" priority="11">
      <formula>K12&lt;&gt;SUM(AD12:AI12)</formula>
    </cfRule>
  </conditionalFormatting>
  <conditionalFormatting sqref="J13">
    <cfRule type="expression" dxfId="534" priority="12">
      <formula>K13&lt;&gt;SUM(AD13:AI13)</formula>
    </cfRule>
  </conditionalFormatting>
  <conditionalFormatting sqref="J14">
    <cfRule type="expression" dxfId="533" priority="13">
      <formula>K14&lt;&gt;SUM(AD14:AI14)</formula>
    </cfRule>
  </conditionalFormatting>
  <conditionalFormatting sqref="J15">
    <cfRule type="expression" dxfId="532" priority="14">
      <formula>K15&lt;&gt;SUM(AD15:AI15)</formula>
    </cfRule>
  </conditionalFormatting>
  <conditionalFormatting sqref="J16">
    <cfRule type="expression" dxfId="531" priority="15">
      <formula>K16&lt;&gt;SUM(AD16:AI16)</formula>
    </cfRule>
  </conditionalFormatting>
  <conditionalFormatting sqref="J17">
    <cfRule type="expression" dxfId="530" priority="16">
      <formula>K17&lt;&gt;SUM(AD17:AI17)</formula>
    </cfRule>
  </conditionalFormatting>
  <conditionalFormatting sqref="J18">
    <cfRule type="expression" dxfId="529" priority="17">
      <formula>K18&lt;&gt;SUM(AD18:AI18)</formula>
    </cfRule>
  </conditionalFormatting>
  <conditionalFormatting sqref="J19">
    <cfRule type="expression" dxfId="528" priority="18">
      <formula>K19&lt;&gt;SUM(AD19:AI19)</formula>
    </cfRule>
  </conditionalFormatting>
  <conditionalFormatting sqref="K4:K19">
    <cfRule type="cellIs" dxfId="527" priority="19" operator="equal">
      <formula>0</formula>
    </cfRule>
  </conditionalFormatting>
  <conditionalFormatting sqref="E4:H19">
    <cfRule type="expression" dxfId="526" priority="20">
      <formula>AF4&gt;0</formula>
    </cfRule>
  </conditionalFormatting>
  <conditionalFormatting sqref="E4:H19">
    <cfRule type="expression" dxfId="525" priority="21">
      <formula>P4&gt;0</formula>
    </cfRule>
  </conditionalFormatting>
  <conditionalFormatting sqref="I4:I19 T4:W19 Y4:Y19 U27:U37">
    <cfRule type="cellIs" dxfId="524" priority="22" stopIfTrue="1" operator="equal">
      <formula>0</formula>
    </cfRule>
  </conditionalFormatting>
  <conditionalFormatting sqref="AA27">
    <cfRule type="cellIs" dxfId="523" priority="23" stopIfTrue="1" operator="equal">
      <formula>"0,0"</formula>
    </cfRule>
  </conditionalFormatting>
  <conditionalFormatting sqref="K4:K19">
    <cfRule type="cellIs" dxfId="522" priority="24" stopIfTrue="1" operator="equal">
      <formula>"n/a"</formula>
    </cfRule>
  </conditionalFormatting>
  <conditionalFormatting sqref="P4:S11 P12:S19">
    <cfRule type="cellIs" dxfId="521" priority="25" stopIfTrue="1" operator="lessThanOrEqual">
      <formula>-1</formula>
    </cfRule>
  </conditionalFormatting>
  <conditionalFormatting sqref="V25:W25">
    <cfRule type="cellIs" dxfId="520" priority="26" stopIfTrue="1" operator="equal">
      <formula>-500</formula>
    </cfRule>
  </conditionalFormatting>
  <conditionalFormatting sqref="T25">
    <cfRule type="cellIs" dxfId="519" priority="27" stopIfTrue="1" operator="greaterThan">
      <formula>$V$25</formula>
    </cfRule>
  </conditionalFormatting>
  <conditionalFormatting sqref="Z4:Z11 Z12:Z19">
    <cfRule type="cellIs" dxfId="518" priority="28" stopIfTrue="1" operator="equal">
      <formula>"Star"</formula>
    </cfRule>
  </conditionalFormatting>
  <conditionalFormatting sqref="Z4:Z11 Z12:Z19">
    <cfRule type="cellIs" dxfId="517" priority="29" stopIfTrue="1" operator="equal">
      <formula>AA4</formula>
    </cfRule>
  </conditionalFormatting>
  <dataValidations count="2">
    <dataValidation type="list" allowBlank="1" showErrorMessage="1" sqref="D4:D19">
      <formula1>'CT1'!$D$28:$D$37</formula1>
    </dataValidation>
    <dataValidation type="list" allowBlank="1" showErrorMessage="1" sqref="I22">
      <formula1>'Development-Hidden'!$N$2:$N$28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U37"/>
  <sheetViews>
    <sheetView showGridLines="0" workbookViewId="0">
      <selection activeCell="T25" sqref="T25"/>
    </sheetView>
  </sheetViews>
  <sheetFormatPr defaultColWidth="14.42578125" defaultRowHeight="15.75" customHeight="1"/>
  <cols>
    <col min="1" max="1" width="1.85546875" style="139" customWidth="1"/>
    <col min="2" max="2" width="3.140625" style="139" customWidth="1"/>
    <col min="3" max="3" width="19.28515625" style="139" customWidth="1"/>
    <col min="4" max="4" width="21.28515625" style="139" customWidth="1"/>
    <col min="5" max="8" width="3.42578125" style="139" customWidth="1"/>
    <col min="9" max="9" width="30.85546875" style="139" customWidth="1"/>
    <col min="10" max="10" width="23" style="139" customWidth="1"/>
    <col min="11" max="11" width="1.85546875" style="139" customWidth="1"/>
    <col min="12" max="15" width="2.42578125" style="139" customWidth="1"/>
    <col min="16" max="19" width="2.7109375" style="139" customWidth="1"/>
    <col min="20" max="21" width="3.28515625" style="139" customWidth="1"/>
    <col min="22" max="22" width="2.42578125" style="139" customWidth="1"/>
    <col min="23" max="23" width="3.28515625" style="139" customWidth="1"/>
    <col min="24" max="24" width="2.7109375" style="139" customWidth="1"/>
    <col min="25" max="25" width="3.28515625" style="139" customWidth="1"/>
    <col min="26" max="26" width="4.42578125" style="139" customWidth="1"/>
    <col min="27" max="27" width="10.28515625" style="139" customWidth="1"/>
    <col min="28" max="28" width="5.5703125" style="139" customWidth="1"/>
    <col min="29" max="29" width="8.85546875" style="139" customWidth="1"/>
    <col min="30" max="35" width="4.140625" style="139" customWidth="1"/>
    <col min="36" max="36" width="12.28515625" style="139" customWidth="1"/>
    <col min="37" max="37" width="6.42578125" style="139" customWidth="1"/>
    <col min="38" max="38" width="12.7109375" style="139" customWidth="1"/>
    <col min="39" max="39" width="11.42578125" style="139" customWidth="1"/>
    <col min="40" max="41" width="10.7109375" style="139" customWidth="1"/>
    <col min="42" max="42" width="26.140625" style="139" customWidth="1"/>
    <col min="43" max="44" width="10.7109375" style="139" customWidth="1"/>
    <col min="45" max="45" width="12.28515625" style="139" customWidth="1"/>
    <col min="46" max="46" width="10.7109375" style="139" customWidth="1"/>
    <col min="47" max="47" width="2.28515625" style="139" customWidth="1"/>
    <col min="48" max="16384" width="14.42578125" style="139"/>
  </cols>
  <sheetData>
    <row r="1" spans="1:47" ht="9" customHeight="1">
      <c r="A1" s="136"/>
      <c r="B1" s="137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</row>
    <row r="2" spans="1:47" ht="9.75" customHeight="1">
      <c r="A2" s="136"/>
      <c r="B2" s="140"/>
      <c r="C2" s="140"/>
      <c r="D2" s="141"/>
      <c r="E2" s="140"/>
      <c r="F2" s="140"/>
      <c r="G2" s="140"/>
      <c r="H2" s="140"/>
      <c r="I2" s="140"/>
      <c r="J2" s="140"/>
      <c r="K2" s="136"/>
      <c r="L2" s="140"/>
      <c r="M2" s="140"/>
      <c r="N2" s="140"/>
      <c r="O2" s="140"/>
      <c r="P2" s="602" t="s">
        <v>218</v>
      </c>
      <c r="Q2" s="572"/>
      <c r="R2" s="572"/>
      <c r="S2" s="573"/>
      <c r="T2" s="142"/>
      <c r="U2" s="142"/>
      <c r="V2" s="142"/>
      <c r="W2" s="142"/>
      <c r="X2" s="143"/>
      <c r="Y2" s="142"/>
      <c r="Z2" s="140"/>
      <c r="AA2" s="140"/>
      <c r="AB2" s="136"/>
      <c r="AC2" s="140"/>
      <c r="AD2" s="140"/>
      <c r="AE2" s="140"/>
      <c r="AF2" s="144"/>
      <c r="AG2" s="140"/>
      <c r="AH2" s="140"/>
      <c r="AI2" s="140"/>
      <c r="AJ2" s="140"/>
      <c r="AK2" s="136"/>
      <c r="AL2" s="145"/>
      <c r="AM2" s="145"/>
      <c r="AN2" s="145"/>
      <c r="AO2" s="145"/>
      <c r="AP2" s="145"/>
      <c r="AQ2" s="145"/>
      <c r="AR2" s="145"/>
      <c r="AS2" s="145"/>
      <c r="AT2" s="145"/>
      <c r="AU2" s="145"/>
    </row>
    <row r="3" spans="1:47" ht="8.25" customHeight="1">
      <c r="A3" s="137"/>
      <c r="B3" s="146" t="s">
        <v>203</v>
      </c>
      <c r="C3" s="147" t="s">
        <v>32</v>
      </c>
      <c r="D3" s="148" t="s">
        <v>229</v>
      </c>
      <c r="E3" s="149" t="s">
        <v>206</v>
      </c>
      <c r="F3" s="150" t="s">
        <v>207</v>
      </c>
      <c r="G3" s="151" t="s">
        <v>208</v>
      </c>
      <c r="H3" s="152" t="s">
        <v>209</v>
      </c>
      <c r="I3" s="153" t="s">
        <v>230</v>
      </c>
      <c r="J3" s="152" t="s">
        <v>231</v>
      </c>
      <c r="K3" s="154" t="s">
        <v>203</v>
      </c>
      <c r="L3" s="155" t="s">
        <v>232</v>
      </c>
      <c r="M3" s="156" t="s">
        <v>233</v>
      </c>
      <c r="N3" s="156" t="s">
        <v>234</v>
      </c>
      <c r="O3" s="157" t="s">
        <v>235</v>
      </c>
      <c r="P3" s="158" t="s">
        <v>206</v>
      </c>
      <c r="Q3" s="159" t="s">
        <v>207</v>
      </c>
      <c r="R3" s="159" t="s">
        <v>208</v>
      </c>
      <c r="S3" s="160" t="s">
        <v>209</v>
      </c>
      <c r="T3" s="161" t="s">
        <v>236</v>
      </c>
      <c r="U3" s="156" t="s">
        <v>237</v>
      </c>
      <c r="V3" s="156" t="s">
        <v>210</v>
      </c>
      <c r="W3" s="156" t="s">
        <v>240</v>
      </c>
      <c r="X3" s="162" t="s">
        <v>35</v>
      </c>
      <c r="Y3" s="157" t="s">
        <v>211</v>
      </c>
      <c r="Z3" s="153" t="s">
        <v>212</v>
      </c>
      <c r="AA3" s="163" t="s">
        <v>241</v>
      </c>
      <c r="AB3" s="136"/>
      <c r="AC3" s="146" t="s">
        <v>242</v>
      </c>
      <c r="AD3" s="153" t="s">
        <v>233</v>
      </c>
      <c r="AE3" s="150" t="s">
        <v>243</v>
      </c>
      <c r="AF3" s="164" t="str">
        <f>"+MA"</f>
        <v>+MA</v>
      </c>
      <c r="AG3" s="150" t="str">
        <f>"+ST"</f>
        <v>+ST</v>
      </c>
      <c r="AH3" s="150" t="str">
        <f>"+AG"</f>
        <v>+AG</v>
      </c>
      <c r="AI3" s="150" t="str">
        <f>"+AV"</f>
        <v>+AV</v>
      </c>
      <c r="AJ3" s="163" t="s">
        <v>244</v>
      </c>
      <c r="AK3" s="136"/>
      <c r="AL3" s="601" t="s">
        <v>245</v>
      </c>
      <c r="AM3" s="575"/>
      <c r="AN3" s="575"/>
      <c r="AO3" s="575"/>
      <c r="AP3" s="603" t="s">
        <v>246</v>
      </c>
      <c r="AQ3" s="575"/>
      <c r="AR3" s="575"/>
      <c r="AS3" s="575"/>
      <c r="AT3" s="575"/>
      <c r="AU3" s="145"/>
    </row>
    <row r="4" spans="1:47" ht="15.75" customHeight="1">
      <c r="A4" s="137"/>
      <c r="B4" s="165">
        <v>1</v>
      </c>
      <c r="C4" s="166" t="s">
        <v>38</v>
      </c>
      <c r="D4" s="167" t="s">
        <v>39</v>
      </c>
      <c r="E4" s="168">
        <f>IFERROR(VLOOKUP($I$22&amp;$D4,'Development-Hidden'!$C$2:$J$118,4,FALSE)-P4+AF4,"")</f>
        <v>6</v>
      </c>
      <c r="F4" s="169">
        <f>IFERROR(VLOOKUP($I$22&amp;$D4,'Development-Hidden'!$C$2:$J$118,5,FALSE)-Q4+AG4,"")</f>
        <v>3</v>
      </c>
      <c r="G4" s="169">
        <f>IFERROR(VLOOKUP($I$22&amp;$D4,'Development-Hidden'!$C$2:$J$118,6,FALSE)-R4+AH4,"")</f>
        <v>3</v>
      </c>
      <c r="H4" s="170">
        <f>IFERROR(VLOOKUP($I$22&amp;$D4,'Development-Hidden'!$C$2:$J$118,7,FALSE)-S4+AI4,"")</f>
        <v>7</v>
      </c>
      <c r="I4" s="171">
        <f>IFERROR(VLOOKUP($I$22&amp;$D4,'Development-Hidden'!$C$2:$J$118,8,FALSE),"")</f>
        <v>0</v>
      </c>
      <c r="J4" s="172" t="s">
        <v>405</v>
      </c>
      <c r="K4" s="173">
        <f t="shared" ref="K4:K19" si="0">IF(Z4&gt;175,6,IF(Z4&gt;75,5,IF(Z4&gt;50,4,IF(Z4&gt;30,3,IF(Z4&gt;15,2,IF(Z4&gt;5,1,0))))))</f>
        <v>2</v>
      </c>
      <c r="L4" s="174"/>
      <c r="M4" s="174"/>
      <c r="N4" s="174"/>
      <c r="O4" s="175"/>
      <c r="P4" s="176"/>
      <c r="Q4" s="177"/>
      <c r="R4" s="177"/>
      <c r="S4" s="178"/>
      <c r="T4" s="179"/>
      <c r="U4" s="180"/>
      <c r="V4" s="180">
        <v>4</v>
      </c>
      <c r="W4" s="180"/>
      <c r="X4" s="177"/>
      <c r="Y4" s="181">
        <v>1</v>
      </c>
      <c r="Z4" s="182">
        <f t="shared" ref="Z4:Z19" si="1">2*T4+U4+3*V4+2*W4+5*Y4</f>
        <v>17</v>
      </c>
      <c r="AA4" s="183">
        <f t="shared" ref="AA4:AA19" si="2">IF(L4=1,0,AC4+(20000*O4)+(20000*AD4)+(30000*AE4)+(30000*AF4)+(50000*AG4)+(40000*AH4)+(50000*AI4)+AJ4)</f>
        <v>80000</v>
      </c>
      <c r="AB4" s="136"/>
      <c r="AC4" s="184">
        <f>IFERROR(VLOOKUP($I$22&amp;D4,'Development-Hidden'!$C$2:$E$118,3,FALSE),"")</f>
        <v>40000</v>
      </c>
      <c r="AD4" s="179">
        <v>2</v>
      </c>
      <c r="AE4" s="180"/>
      <c r="AF4" s="180"/>
      <c r="AG4" s="180"/>
      <c r="AH4" s="180"/>
      <c r="AI4" s="180"/>
      <c r="AJ4" s="185"/>
      <c r="AK4" s="136"/>
      <c r="AL4" s="186" t="s">
        <v>252</v>
      </c>
      <c r="AM4" s="187">
        <v>0</v>
      </c>
      <c r="AN4" s="136"/>
      <c r="AO4" s="136"/>
      <c r="AP4" s="188"/>
      <c r="AQ4" s="189"/>
      <c r="AR4" s="189"/>
      <c r="AS4" s="186" t="s">
        <v>253</v>
      </c>
      <c r="AT4" s="304">
        <v>2</v>
      </c>
      <c r="AU4" s="191"/>
    </row>
    <row r="5" spans="1:47" ht="15.75" customHeight="1">
      <c r="A5" s="137"/>
      <c r="B5" s="192">
        <v>2</v>
      </c>
      <c r="C5" s="193" t="s">
        <v>346</v>
      </c>
      <c r="D5" s="194" t="s">
        <v>39</v>
      </c>
      <c r="E5" s="195">
        <f>IFERROR(VLOOKUP($I$22&amp;$D5,'Development-Hidden'!$C$2:$J$118,4,FALSE)-P5+AF5,"")</f>
        <v>6</v>
      </c>
      <c r="F5" s="196">
        <f>IFERROR(VLOOKUP($I$22&amp;$D5,'Development-Hidden'!$C$2:$J$118,5,FALSE)-Q5+AG5,"")</f>
        <v>3</v>
      </c>
      <c r="G5" s="196">
        <f>IFERROR(VLOOKUP($I$22&amp;$D5,'Development-Hidden'!$C$2:$J$118,6,FALSE)-R5+AH5,"")</f>
        <v>3</v>
      </c>
      <c r="H5" s="197">
        <f>IFERROR(VLOOKUP($I$22&amp;$D5,'Development-Hidden'!$C$2:$J$118,7,FALSE)-S5+AI5,"")</f>
        <v>7</v>
      </c>
      <c r="I5" s="198">
        <f>IFERROR(VLOOKUP($I$22&amp;$D5,'Development-Hidden'!$C$2:$J$118,8,FALSE),"")</f>
        <v>0</v>
      </c>
      <c r="J5" s="199"/>
      <c r="K5" s="200">
        <f t="shared" si="0"/>
        <v>0</v>
      </c>
      <c r="L5" s="201"/>
      <c r="M5" s="201"/>
      <c r="N5" s="201"/>
      <c r="O5" s="202"/>
      <c r="P5" s="203"/>
      <c r="Q5" s="204"/>
      <c r="R5" s="204"/>
      <c r="S5" s="205"/>
      <c r="T5" s="206"/>
      <c r="U5" s="207"/>
      <c r="V5" s="207"/>
      <c r="W5" s="207"/>
      <c r="X5" s="204"/>
      <c r="Y5" s="208"/>
      <c r="Z5" s="209">
        <f t="shared" si="1"/>
        <v>0</v>
      </c>
      <c r="AA5" s="183">
        <f t="shared" si="2"/>
        <v>40000</v>
      </c>
      <c r="AB5" s="136"/>
      <c r="AC5" s="210">
        <f>IFERROR(VLOOKUP($I$22&amp;D5,'Development-Hidden'!$C$2:$E$118,3,FALSE),"")</f>
        <v>40000</v>
      </c>
      <c r="AD5" s="206"/>
      <c r="AE5" s="207"/>
      <c r="AF5" s="207"/>
      <c r="AG5" s="207"/>
      <c r="AH5" s="207"/>
      <c r="AI5" s="207"/>
      <c r="AJ5" s="211"/>
      <c r="AK5" s="136"/>
      <c r="AL5" s="212" t="s">
        <v>256</v>
      </c>
      <c r="AM5" s="213" t="s">
        <v>257</v>
      </c>
      <c r="AN5" s="214" t="s">
        <v>258</v>
      </c>
      <c r="AO5" s="215" t="s">
        <v>259</v>
      </c>
      <c r="AP5" s="216" t="s">
        <v>260</v>
      </c>
      <c r="AQ5" s="214" t="s">
        <v>261</v>
      </c>
      <c r="AR5" s="217" t="s">
        <v>33</v>
      </c>
      <c r="AS5" s="217" t="s">
        <v>262</v>
      </c>
      <c r="AT5" s="218" t="s">
        <v>221</v>
      </c>
      <c r="AU5" s="144"/>
    </row>
    <row r="6" spans="1:47" ht="15.75" customHeight="1">
      <c r="A6" s="137"/>
      <c r="B6" s="192">
        <v>3</v>
      </c>
      <c r="C6" s="193" t="s">
        <v>347</v>
      </c>
      <c r="D6" s="194" t="s">
        <v>39</v>
      </c>
      <c r="E6" s="195">
        <f>IFERROR(VLOOKUP($I$22&amp;$D6,'Development-Hidden'!$C$2:$J$118,4,FALSE)-P6+AF6,"")</f>
        <v>6</v>
      </c>
      <c r="F6" s="196">
        <f>IFERROR(VLOOKUP($I$22&amp;$D6,'Development-Hidden'!$C$2:$J$118,5,FALSE)-Q6+AG6,"")</f>
        <v>3</v>
      </c>
      <c r="G6" s="196">
        <f>IFERROR(VLOOKUP($I$22&amp;$D6,'Development-Hidden'!$C$2:$J$118,6,FALSE)-R6+AH6,"")</f>
        <v>3</v>
      </c>
      <c r="H6" s="197">
        <f>IFERROR(VLOOKUP($I$22&amp;$D6,'Development-Hidden'!$C$2:$J$118,7,FALSE)-S6+AI6,"")</f>
        <v>6</v>
      </c>
      <c r="I6" s="198">
        <f>IFERROR(VLOOKUP($I$22&amp;$D6,'Development-Hidden'!$C$2:$J$118,8,FALSE),"")</f>
        <v>0</v>
      </c>
      <c r="J6" s="199"/>
      <c r="K6" s="200">
        <f t="shared" si="0"/>
        <v>0</v>
      </c>
      <c r="L6" s="201"/>
      <c r="M6" s="201"/>
      <c r="N6" s="201"/>
      <c r="O6" s="202"/>
      <c r="P6" s="203"/>
      <c r="Q6" s="204"/>
      <c r="R6" s="204"/>
      <c r="S6" s="205">
        <v>1</v>
      </c>
      <c r="T6" s="206"/>
      <c r="U6" s="207"/>
      <c r="V6" s="207"/>
      <c r="W6" s="207"/>
      <c r="X6" s="204"/>
      <c r="Y6" s="208"/>
      <c r="Z6" s="209">
        <f t="shared" si="1"/>
        <v>0</v>
      </c>
      <c r="AA6" s="183">
        <f t="shared" si="2"/>
        <v>40000</v>
      </c>
      <c r="AB6" s="136"/>
      <c r="AC6" s="210">
        <f>IFERROR(VLOOKUP($I$22&amp;D6,'Development-Hidden'!$C$2:$E$118,3,FALSE),"")</f>
        <v>40000</v>
      </c>
      <c r="AD6" s="206"/>
      <c r="AE6" s="207"/>
      <c r="AF6" s="207"/>
      <c r="AG6" s="207"/>
      <c r="AH6" s="207"/>
      <c r="AI6" s="207"/>
      <c r="AJ6" s="211"/>
      <c r="AK6" s="136"/>
      <c r="AL6" s="219" t="s">
        <v>267</v>
      </c>
      <c r="AM6" s="220">
        <v>80000</v>
      </c>
      <c r="AN6" s="221"/>
      <c r="AO6" s="222"/>
      <c r="AP6" s="223" t="s">
        <v>17</v>
      </c>
      <c r="AQ6" s="221" t="s">
        <v>407</v>
      </c>
      <c r="AR6" s="224">
        <v>2</v>
      </c>
      <c r="AS6" s="225">
        <v>2</v>
      </c>
      <c r="AT6" s="226">
        <v>1</v>
      </c>
      <c r="AU6" s="136"/>
    </row>
    <row r="7" spans="1:47" ht="15.75" customHeight="1">
      <c r="A7" s="137"/>
      <c r="B7" s="192">
        <v>4</v>
      </c>
      <c r="C7" s="193" t="s">
        <v>348</v>
      </c>
      <c r="D7" s="194" t="s">
        <v>39</v>
      </c>
      <c r="E7" s="195">
        <f>IFERROR(VLOOKUP($I$22&amp;$D7,'Development-Hidden'!$C$2:$J$118,4,FALSE)-P7+AF7,"")</f>
        <v>6</v>
      </c>
      <c r="F7" s="196">
        <f>IFERROR(VLOOKUP($I$22&amp;$D7,'Development-Hidden'!$C$2:$J$118,5,FALSE)-Q7+AG7,"")</f>
        <v>3</v>
      </c>
      <c r="G7" s="196">
        <f>IFERROR(VLOOKUP($I$22&amp;$D7,'Development-Hidden'!$C$2:$J$118,6,FALSE)-R7+AH7,"")</f>
        <v>3</v>
      </c>
      <c r="H7" s="197">
        <f>IFERROR(VLOOKUP($I$22&amp;$D7,'Development-Hidden'!$C$2:$J$118,7,FALSE)-S7+AI7,"")</f>
        <v>7</v>
      </c>
      <c r="I7" s="198">
        <f>IFERROR(VLOOKUP($I$22&amp;$D7,'Development-Hidden'!$C$2:$J$118,8,FALSE),"")</f>
        <v>0</v>
      </c>
      <c r="J7" s="199"/>
      <c r="K7" s="200">
        <f t="shared" si="0"/>
        <v>0</v>
      </c>
      <c r="L7" s="201">
        <v>1</v>
      </c>
      <c r="M7" s="201"/>
      <c r="N7" s="201"/>
      <c r="O7" s="202"/>
      <c r="P7" s="203"/>
      <c r="Q7" s="204"/>
      <c r="R7" s="204"/>
      <c r="S7" s="205"/>
      <c r="T7" s="206"/>
      <c r="U7" s="207"/>
      <c r="V7" s="207"/>
      <c r="W7" s="207"/>
      <c r="X7" s="204"/>
      <c r="Y7" s="208"/>
      <c r="Z7" s="209">
        <f t="shared" si="1"/>
        <v>0</v>
      </c>
      <c r="AA7" s="183">
        <f t="shared" si="2"/>
        <v>0</v>
      </c>
      <c r="AB7" s="136"/>
      <c r="AC7" s="210">
        <f>IFERROR(VLOOKUP($I$22&amp;D7,'Development-Hidden'!$C$2:$E$118,3,FALSE),"")</f>
        <v>40000</v>
      </c>
      <c r="AD7" s="206"/>
      <c r="AE7" s="207"/>
      <c r="AF7" s="207"/>
      <c r="AG7" s="207"/>
      <c r="AH7" s="207"/>
      <c r="AI7" s="207"/>
      <c r="AJ7" s="211"/>
      <c r="AK7" s="136"/>
      <c r="AL7" s="227" t="s">
        <v>278</v>
      </c>
      <c r="AM7" s="228">
        <v>40000</v>
      </c>
      <c r="AN7" s="229">
        <v>120000</v>
      </c>
      <c r="AO7" s="230"/>
      <c r="AP7" s="316" t="s">
        <v>23</v>
      </c>
      <c r="AQ7" s="229" t="s">
        <v>407</v>
      </c>
      <c r="AR7" s="232">
        <v>1</v>
      </c>
      <c r="AS7" s="233">
        <v>0</v>
      </c>
      <c r="AT7" s="234">
        <v>1</v>
      </c>
      <c r="AU7" s="136"/>
    </row>
    <row r="8" spans="1:47" ht="15.75" customHeight="1">
      <c r="A8" s="137"/>
      <c r="B8" s="192">
        <v>5</v>
      </c>
      <c r="C8" s="193"/>
      <c r="D8" s="194"/>
      <c r="E8" s="195" t="str">
        <f>IFERROR(VLOOKUP($I$22&amp;$D8,'Development-Hidden'!$C$2:$J$118,4,FALSE)-P8+AF8,"")</f>
        <v/>
      </c>
      <c r="F8" s="196" t="str">
        <f>IFERROR(VLOOKUP($I$22&amp;$D8,'Development-Hidden'!$C$2:$J$118,5,FALSE)-Q8+AG8,"")</f>
        <v/>
      </c>
      <c r="G8" s="196" t="str">
        <f>IFERROR(VLOOKUP($I$22&amp;$D8,'Development-Hidden'!$C$2:$J$118,6,FALSE)-R8+AH8,"")</f>
        <v/>
      </c>
      <c r="H8" s="197" t="str">
        <f>IFERROR(VLOOKUP($I$22&amp;$D8,'Development-Hidden'!$C$2:$J$118,7,FALSE)-S8+AI8,"")</f>
        <v/>
      </c>
      <c r="I8" s="198" t="str">
        <f>IFERROR(VLOOKUP($I$22&amp;$D8,'Development-Hidden'!$C$2:$J$118,8,FALSE),"")</f>
        <v/>
      </c>
      <c r="J8" s="199"/>
      <c r="K8" s="200">
        <f t="shared" si="0"/>
        <v>0</v>
      </c>
      <c r="L8" s="201"/>
      <c r="M8" s="201"/>
      <c r="N8" s="201"/>
      <c r="O8" s="202"/>
      <c r="P8" s="203"/>
      <c r="Q8" s="204"/>
      <c r="R8" s="204"/>
      <c r="S8" s="205"/>
      <c r="T8" s="206"/>
      <c r="U8" s="207"/>
      <c r="V8" s="207"/>
      <c r="W8" s="207"/>
      <c r="X8" s="204"/>
      <c r="Y8" s="208"/>
      <c r="Z8" s="209">
        <f t="shared" si="1"/>
        <v>0</v>
      </c>
      <c r="AA8" s="183">
        <f t="shared" si="2"/>
        <v>0</v>
      </c>
      <c r="AB8" s="136"/>
      <c r="AC8" s="210" t="str">
        <f>IFERROR(VLOOKUP($I$22&amp;D8,'Development-Hidden'!$C$2:$E$118,3,FALSE),"0")</f>
        <v>0</v>
      </c>
      <c r="AD8" s="206"/>
      <c r="AE8" s="207"/>
      <c r="AF8" s="207"/>
      <c r="AG8" s="207"/>
      <c r="AH8" s="207"/>
      <c r="AI8" s="207"/>
      <c r="AJ8" s="211"/>
      <c r="AK8" s="136"/>
      <c r="AL8" s="227" t="s">
        <v>289</v>
      </c>
      <c r="AM8" s="228">
        <v>70000</v>
      </c>
      <c r="AN8" s="229"/>
      <c r="AO8" s="230"/>
      <c r="AP8" s="231" t="s">
        <v>6</v>
      </c>
      <c r="AQ8" s="229" t="s">
        <v>361</v>
      </c>
      <c r="AR8" s="232">
        <v>0</v>
      </c>
      <c r="AS8" s="233">
        <v>0</v>
      </c>
      <c r="AT8" s="234">
        <v>0</v>
      </c>
      <c r="AU8" s="136"/>
    </row>
    <row r="9" spans="1:47" ht="15.75" customHeight="1">
      <c r="A9" s="137"/>
      <c r="B9" s="192">
        <v>6</v>
      </c>
      <c r="C9" s="193"/>
      <c r="D9" s="194"/>
      <c r="E9" s="195" t="str">
        <f>IFERROR(VLOOKUP($I$22&amp;$D9,'Development-Hidden'!$C$2:$J$118,4,FALSE)-P9+AF9,"")</f>
        <v/>
      </c>
      <c r="F9" s="196" t="str">
        <f>IFERROR(VLOOKUP($I$22&amp;$D9,'Development-Hidden'!$C$2:$J$118,5,FALSE)-Q9+AG9,"")</f>
        <v/>
      </c>
      <c r="G9" s="196" t="str">
        <f>IFERROR(VLOOKUP($I$22&amp;$D9,'Development-Hidden'!$C$2:$J$118,6,FALSE)-R9+AH9,"")</f>
        <v/>
      </c>
      <c r="H9" s="197" t="str">
        <f>IFERROR(VLOOKUP($I$22&amp;$D9,'Development-Hidden'!$C$2:$J$118,7,FALSE)-S9+AI9,"")</f>
        <v/>
      </c>
      <c r="I9" s="198" t="str">
        <f>IFERROR(VLOOKUP($I$22&amp;$D9,'Development-Hidden'!$C$2:$J$118,8,FALSE),"")</f>
        <v/>
      </c>
      <c r="J9" s="199"/>
      <c r="K9" s="200">
        <f t="shared" si="0"/>
        <v>0</v>
      </c>
      <c r="L9" s="201"/>
      <c r="M9" s="201"/>
      <c r="N9" s="201"/>
      <c r="O9" s="202"/>
      <c r="P9" s="203"/>
      <c r="Q9" s="204"/>
      <c r="R9" s="204"/>
      <c r="S9" s="205"/>
      <c r="T9" s="206"/>
      <c r="U9" s="207"/>
      <c r="V9" s="207"/>
      <c r="W9" s="207"/>
      <c r="X9" s="204"/>
      <c r="Y9" s="208"/>
      <c r="Z9" s="209">
        <f t="shared" si="1"/>
        <v>0</v>
      </c>
      <c r="AA9" s="183">
        <f t="shared" si="2"/>
        <v>0</v>
      </c>
      <c r="AB9" s="136"/>
      <c r="AC9" s="210" t="str">
        <f>IFERROR(VLOOKUP($I$22&amp;D9,'Development-Hidden'!$C$2:$E$118,3,FALSE),"0")</f>
        <v>0</v>
      </c>
      <c r="AD9" s="206"/>
      <c r="AE9" s="207"/>
      <c r="AF9" s="207"/>
      <c r="AG9" s="207"/>
      <c r="AH9" s="207"/>
      <c r="AI9" s="207"/>
      <c r="AJ9" s="211"/>
      <c r="AK9" s="136"/>
      <c r="AL9" s="227" t="s">
        <v>296</v>
      </c>
      <c r="AM9" s="228">
        <v>40000</v>
      </c>
      <c r="AN9" s="229"/>
      <c r="AO9" s="230"/>
      <c r="AP9" s="231" t="s">
        <v>51</v>
      </c>
      <c r="AQ9" s="229" t="s">
        <v>407</v>
      </c>
      <c r="AR9" s="232">
        <v>2</v>
      </c>
      <c r="AS9" s="233">
        <v>2</v>
      </c>
      <c r="AT9" s="234">
        <v>1</v>
      </c>
      <c r="AU9" s="136"/>
    </row>
    <row r="10" spans="1:47" ht="15.75" customHeight="1">
      <c r="A10" s="137"/>
      <c r="B10" s="192">
        <v>7</v>
      </c>
      <c r="C10" s="193"/>
      <c r="D10" s="194"/>
      <c r="E10" s="195" t="str">
        <f>IFERROR(VLOOKUP($I$22&amp;$D10,'Development-Hidden'!$C$2:$J$118,4,FALSE)-P10+AF10,"")</f>
        <v/>
      </c>
      <c r="F10" s="196" t="str">
        <f>IFERROR(VLOOKUP($I$22&amp;$D10,'Development-Hidden'!$C$2:$J$118,5,FALSE)-Q10+AG10,"")</f>
        <v/>
      </c>
      <c r="G10" s="196" t="str">
        <f>IFERROR(VLOOKUP($I$22&amp;$D10,'Development-Hidden'!$C$2:$J$118,6,FALSE)-R10+AH10,"")</f>
        <v/>
      </c>
      <c r="H10" s="197" t="str">
        <f>IFERROR(VLOOKUP($I$22&amp;$D10,'Development-Hidden'!$C$2:$J$118,7,FALSE)-S10+AI10,"")</f>
        <v/>
      </c>
      <c r="I10" s="198" t="str">
        <f>IFERROR(VLOOKUP($I$22&amp;$D10,'Development-Hidden'!$C$2:$J$118,8,FALSE),"")</f>
        <v/>
      </c>
      <c r="J10" s="199"/>
      <c r="K10" s="200">
        <f t="shared" si="0"/>
        <v>0</v>
      </c>
      <c r="L10" s="201"/>
      <c r="M10" s="201"/>
      <c r="N10" s="201"/>
      <c r="O10" s="202"/>
      <c r="P10" s="203"/>
      <c r="Q10" s="204"/>
      <c r="R10" s="204"/>
      <c r="S10" s="205"/>
      <c r="T10" s="206"/>
      <c r="U10" s="207"/>
      <c r="V10" s="207"/>
      <c r="W10" s="207"/>
      <c r="X10" s="204"/>
      <c r="Y10" s="208"/>
      <c r="Z10" s="209">
        <f t="shared" si="1"/>
        <v>0</v>
      </c>
      <c r="AA10" s="183">
        <f t="shared" si="2"/>
        <v>0</v>
      </c>
      <c r="AB10" s="136"/>
      <c r="AC10" s="210" t="str">
        <f>IFERROR(VLOOKUP($I$22&amp;D10,'Development-Hidden'!$C$2:$E$118,3,FALSE),"0")</f>
        <v>0</v>
      </c>
      <c r="AD10" s="206"/>
      <c r="AE10" s="207"/>
      <c r="AF10" s="207"/>
      <c r="AG10" s="207"/>
      <c r="AH10" s="207"/>
      <c r="AI10" s="207"/>
      <c r="AJ10" s="211"/>
      <c r="AK10" s="136"/>
      <c r="AL10" s="227" t="s">
        <v>306</v>
      </c>
      <c r="AM10" s="228">
        <v>20000</v>
      </c>
      <c r="AN10" s="229"/>
      <c r="AO10" s="230">
        <v>30000</v>
      </c>
      <c r="AP10" s="231" t="s">
        <v>56</v>
      </c>
      <c r="AQ10" s="229" t="s">
        <v>361</v>
      </c>
      <c r="AR10" s="232">
        <v>0</v>
      </c>
      <c r="AS10" s="233">
        <v>0</v>
      </c>
      <c r="AT10" s="234">
        <v>0</v>
      </c>
      <c r="AU10" s="136"/>
    </row>
    <row r="11" spans="1:47" ht="15.75" customHeight="1">
      <c r="A11" s="137"/>
      <c r="B11" s="192">
        <v>8</v>
      </c>
      <c r="C11" s="193" t="s">
        <v>100</v>
      </c>
      <c r="D11" s="194" t="s">
        <v>98</v>
      </c>
      <c r="E11" s="195">
        <f>IFERROR(VLOOKUP($I$22&amp;$D11,'Development-Hidden'!$C$2:$J$118,4,FALSE)-P11+AF11,"")</f>
        <v>4</v>
      </c>
      <c r="F11" s="196">
        <f>IFERROR(VLOOKUP($I$22&amp;$D11,'Development-Hidden'!$C$2:$J$118,5,FALSE)-Q11+AG11,"")</f>
        <v>3</v>
      </c>
      <c r="G11" s="196">
        <f>IFERROR(VLOOKUP($I$22&amp;$D11,'Development-Hidden'!$C$2:$J$118,6,FALSE)-R11+AH11,"")</f>
        <v>2</v>
      </c>
      <c r="H11" s="197">
        <f>IFERROR(VLOOKUP($I$22&amp;$D11,'Development-Hidden'!$C$2:$J$118,7,FALSE)-S11+AI11,"")</f>
        <v>9</v>
      </c>
      <c r="I11" s="198" t="str">
        <f>IFERROR(VLOOKUP($I$22&amp;$D11,'Development-Hidden'!$C$2:$J$118,8,FALSE),"")</f>
        <v>Block, Tackle, Thick Skull</v>
      </c>
      <c r="J11" s="199"/>
      <c r="K11" s="200">
        <f t="shared" si="0"/>
        <v>0</v>
      </c>
      <c r="L11" s="201"/>
      <c r="M11" s="201"/>
      <c r="N11" s="201"/>
      <c r="O11" s="202"/>
      <c r="P11" s="203"/>
      <c r="Q11" s="204"/>
      <c r="R11" s="204"/>
      <c r="S11" s="205"/>
      <c r="T11" s="206"/>
      <c r="U11" s="207"/>
      <c r="V11" s="207"/>
      <c r="W11" s="207"/>
      <c r="X11" s="204"/>
      <c r="Y11" s="208">
        <v>1</v>
      </c>
      <c r="Z11" s="209">
        <f t="shared" si="1"/>
        <v>5</v>
      </c>
      <c r="AA11" s="183">
        <f t="shared" si="2"/>
        <v>70000</v>
      </c>
      <c r="AB11" s="136"/>
      <c r="AC11" s="210">
        <f>IFERROR(VLOOKUP($I$22&amp;D11,'Development-Hidden'!$C$2:$E$118,3,FALSE),"")</f>
        <v>70000</v>
      </c>
      <c r="AD11" s="206"/>
      <c r="AE11" s="207"/>
      <c r="AF11" s="207"/>
      <c r="AG11" s="207"/>
      <c r="AH11" s="207"/>
      <c r="AI11" s="207"/>
      <c r="AJ11" s="211"/>
      <c r="AK11" s="136"/>
      <c r="AL11" s="227" t="s">
        <v>316</v>
      </c>
      <c r="AM11" s="228">
        <v>50000</v>
      </c>
      <c r="AN11" s="229">
        <v>70000</v>
      </c>
      <c r="AO11" s="230"/>
      <c r="AP11" s="231" t="s">
        <v>3</v>
      </c>
      <c r="AQ11" s="229" t="s">
        <v>361</v>
      </c>
      <c r="AR11" s="232">
        <v>0</v>
      </c>
      <c r="AS11" s="233">
        <v>0</v>
      </c>
      <c r="AT11" s="234">
        <v>0</v>
      </c>
      <c r="AU11" s="136"/>
    </row>
    <row r="12" spans="1:47" ht="15.75" customHeight="1">
      <c r="A12" s="137"/>
      <c r="B12" s="192">
        <v>9</v>
      </c>
      <c r="C12" s="193" t="s">
        <v>101</v>
      </c>
      <c r="D12" s="194" t="s">
        <v>98</v>
      </c>
      <c r="E12" s="195">
        <f>IFERROR(VLOOKUP($I$22&amp;$D12,'Development-Hidden'!$C$2:$J$118,4,FALSE)-P12+AF12,"")</f>
        <v>4</v>
      </c>
      <c r="F12" s="196">
        <f>IFERROR(VLOOKUP($I$22&amp;$D12,'Development-Hidden'!$C$2:$J$118,5,FALSE)-Q12+AG12,"")</f>
        <v>3</v>
      </c>
      <c r="G12" s="196">
        <f>IFERROR(VLOOKUP($I$22&amp;$D12,'Development-Hidden'!$C$2:$J$118,6,FALSE)-R12+AH12,"")</f>
        <v>2</v>
      </c>
      <c r="H12" s="197">
        <f>IFERROR(VLOOKUP($I$22&amp;$D12,'Development-Hidden'!$C$2:$J$118,7,FALSE)-S12+AI12,"")</f>
        <v>9</v>
      </c>
      <c r="I12" s="198" t="str">
        <f>IFERROR(VLOOKUP($I$22&amp;$D12,'Development-Hidden'!$C$2:$J$118,8,FALSE),"")</f>
        <v>Block, Tackle, Thick Skull</v>
      </c>
      <c r="J12" s="199"/>
      <c r="K12" s="200">
        <f t="shared" si="0"/>
        <v>0</v>
      </c>
      <c r="L12" s="201"/>
      <c r="M12" s="201"/>
      <c r="N12" s="201"/>
      <c r="O12" s="202"/>
      <c r="P12" s="203"/>
      <c r="Q12" s="204"/>
      <c r="R12" s="204"/>
      <c r="S12" s="205"/>
      <c r="T12" s="206"/>
      <c r="U12" s="207"/>
      <c r="V12" s="207"/>
      <c r="W12" s="207"/>
      <c r="X12" s="204"/>
      <c r="Y12" s="208">
        <v>1</v>
      </c>
      <c r="Z12" s="209">
        <f t="shared" si="1"/>
        <v>5</v>
      </c>
      <c r="AA12" s="183">
        <f t="shared" si="2"/>
        <v>70000</v>
      </c>
      <c r="AB12" s="136"/>
      <c r="AC12" s="210">
        <f>IFERROR(VLOOKUP($I$22&amp;D12,'Development-Hidden'!$C$2:$E$118,3,FALSE),"")</f>
        <v>70000</v>
      </c>
      <c r="AD12" s="206"/>
      <c r="AE12" s="207"/>
      <c r="AF12" s="207"/>
      <c r="AG12" s="207"/>
      <c r="AH12" s="207"/>
      <c r="AI12" s="207"/>
      <c r="AJ12" s="211"/>
      <c r="AK12" s="136"/>
      <c r="AL12" s="227" t="s">
        <v>330</v>
      </c>
      <c r="AM12" s="228"/>
      <c r="AN12" s="229"/>
      <c r="AO12" s="230"/>
      <c r="AP12" s="231"/>
      <c r="AQ12" s="229"/>
      <c r="AR12" s="232"/>
      <c r="AS12" s="233"/>
      <c r="AT12" s="234"/>
      <c r="AU12" s="136"/>
    </row>
    <row r="13" spans="1:47" ht="15.75" customHeight="1">
      <c r="A13" s="137"/>
      <c r="B13" s="192">
        <v>10</v>
      </c>
      <c r="C13" s="193" t="s">
        <v>349</v>
      </c>
      <c r="D13" s="194" t="s">
        <v>98</v>
      </c>
      <c r="E13" s="195">
        <f>IFERROR(VLOOKUP($I$22&amp;$D13,'Development-Hidden'!$C$2:$J$118,4,FALSE)-P13+AF13,"")</f>
        <v>4</v>
      </c>
      <c r="F13" s="196">
        <f>IFERROR(VLOOKUP($I$22&amp;$D13,'Development-Hidden'!$C$2:$J$118,5,FALSE)-Q13+AG13,"")</f>
        <v>3</v>
      </c>
      <c r="G13" s="196">
        <f>IFERROR(VLOOKUP($I$22&amp;$D13,'Development-Hidden'!$C$2:$J$118,6,FALSE)-R13+AH13,"")</f>
        <v>2</v>
      </c>
      <c r="H13" s="197">
        <f>IFERROR(VLOOKUP($I$22&amp;$D13,'Development-Hidden'!$C$2:$J$118,7,FALSE)-S13+AI13,"")</f>
        <v>9</v>
      </c>
      <c r="I13" s="198" t="str">
        <f>IFERROR(VLOOKUP($I$22&amp;$D13,'Development-Hidden'!$C$2:$J$118,8,FALSE),"")</f>
        <v>Block, Tackle, Thick Skull</v>
      </c>
      <c r="J13" s="199"/>
      <c r="K13" s="200">
        <f t="shared" si="0"/>
        <v>0</v>
      </c>
      <c r="L13" s="201"/>
      <c r="M13" s="201"/>
      <c r="N13" s="201"/>
      <c r="O13" s="202"/>
      <c r="P13" s="203"/>
      <c r="Q13" s="204"/>
      <c r="R13" s="204"/>
      <c r="S13" s="205"/>
      <c r="T13" s="206"/>
      <c r="U13" s="207"/>
      <c r="V13" s="207"/>
      <c r="W13" s="207"/>
      <c r="X13" s="204"/>
      <c r="Y13" s="208"/>
      <c r="Z13" s="209">
        <f t="shared" si="1"/>
        <v>0</v>
      </c>
      <c r="AA13" s="183">
        <f t="shared" si="2"/>
        <v>70000</v>
      </c>
      <c r="AB13" s="136"/>
      <c r="AC13" s="210">
        <f>IFERROR(VLOOKUP($I$22&amp;D13,'Development-Hidden'!$C$2:$E$118,3,FALSE),"")</f>
        <v>70000</v>
      </c>
      <c r="AD13" s="206"/>
      <c r="AE13" s="207"/>
      <c r="AF13" s="207"/>
      <c r="AG13" s="207"/>
      <c r="AH13" s="207"/>
      <c r="AI13" s="207"/>
      <c r="AJ13" s="211"/>
      <c r="AK13" s="136"/>
      <c r="AL13" s="227" t="s">
        <v>342</v>
      </c>
      <c r="AM13" s="228"/>
      <c r="AN13" s="229"/>
      <c r="AO13" s="230"/>
      <c r="AP13" s="231"/>
      <c r="AQ13" s="229"/>
      <c r="AR13" s="232"/>
      <c r="AS13" s="233"/>
      <c r="AT13" s="234"/>
      <c r="AU13" s="136"/>
    </row>
    <row r="14" spans="1:47" ht="15.75" customHeight="1">
      <c r="A14" s="137"/>
      <c r="B14" s="192">
        <v>11</v>
      </c>
      <c r="C14" s="193" t="s">
        <v>350</v>
      </c>
      <c r="D14" s="194" t="s">
        <v>98</v>
      </c>
      <c r="E14" s="195">
        <f>IFERROR(VLOOKUP($I$22&amp;$D14,'Development-Hidden'!$C$2:$J$118,4,FALSE)-P14+AF14,"")</f>
        <v>4</v>
      </c>
      <c r="F14" s="196">
        <f>IFERROR(VLOOKUP($I$22&amp;$D14,'Development-Hidden'!$C$2:$J$118,5,FALSE)-Q14+AG14,"")</f>
        <v>3</v>
      </c>
      <c r="G14" s="196">
        <f>IFERROR(VLOOKUP($I$22&amp;$D14,'Development-Hidden'!$C$2:$J$118,6,FALSE)-R14+AH14,"")</f>
        <v>2</v>
      </c>
      <c r="H14" s="197">
        <f>IFERROR(VLOOKUP($I$22&amp;$D14,'Development-Hidden'!$C$2:$J$118,7,FALSE)-S14+AI14,"")</f>
        <v>8</v>
      </c>
      <c r="I14" s="198" t="str">
        <f>IFERROR(VLOOKUP($I$22&amp;$D14,'Development-Hidden'!$C$2:$J$118,8,FALSE),"")</f>
        <v>Block, Tackle, Thick Skull</v>
      </c>
      <c r="J14" s="199"/>
      <c r="K14" s="200">
        <f t="shared" si="0"/>
        <v>0</v>
      </c>
      <c r="L14" s="201"/>
      <c r="M14" s="201"/>
      <c r="N14" s="201"/>
      <c r="O14" s="202"/>
      <c r="P14" s="203"/>
      <c r="Q14" s="204"/>
      <c r="R14" s="204"/>
      <c r="S14" s="205">
        <v>1</v>
      </c>
      <c r="T14" s="206"/>
      <c r="U14" s="207"/>
      <c r="V14" s="207"/>
      <c r="W14" s="207"/>
      <c r="X14" s="204"/>
      <c r="Y14" s="208"/>
      <c r="Z14" s="209">
        <f t="shared" si="1"/>
        <v>0</v>
      </c>
      <c r="AA14" s="183">
        <f t="shared" si="2"/>
        <v>70000</v>
      </c>
      <c r="AB14" s="136"/>
      <c r="AC14" s="210">
        <f>IFERROR(VLOOKUP($I$22&amp;D14,'Development-Hidden'!$C$2:$E$118,3,FALSE),"")</f>
        <v>70000</v>
      </c>
      <c r="AD14" s="206"/>
      <c r="AE14" s="207"/>
      <c r="AF14" s="207"/>
      <c r="AG14" s="207"/>
      <c r="AH14" s="207"/>
      <c r="AI14" s="207"/>
      <c r="AJ14" s="211"/>
      <c r="AK14" s="136"/>
      <c r="AL14" s="227" t="s">
        <v>354</v>
      </c>
      <c r="AM14" s="228"/>
      <c r="AN14" s="229"/>
      <c r="AO14" s="230"/>
      <c r="AP14" s="231"/>
      <c r="AQ14" s="229"/>
      <c r="AR14" s="232"/>
      <c r="AS14" s="233"/>
      <c r="AT14" s="234"/>
      <c r="AU14" s="136"/>
    </row>
    <row r="15" spans="1:47" ht="15.75" customHeight="1">
      <c r="A15" s="137"/>
      <c r="B15" s="192">
        <v>12</v>
      </c>
      <c r="C15" s="193" t="s">
        <v>130</v>
      </c>
      <c r="D15" s="194" t="s">
        <v>98</v>
      </c>
      <c r="E15" s="195">
        <f>IFERROR(VLOOKUP($I$22&amp;$D15,'Development-Hidden'!$C$2:$J$118,4,FALSE)-P15+AF15,"")</f>
        <v>4</v>
      </c>
      <c r="F15" s="196">
        <f>IFERROR(VLOOKUP($I$22&amp;$D15,'Development-Hidden'!$C$2:$J$118,5,FALSE)-Q15+AG15,"")</f>
        <v>3</v>
      </c>
      <c r="G15" s="196">
        <f>IFERROR(VLOOKUP($I$22&amp;$D15,'Development-Hidden'!$C$2:$J$118,6,FALSE)-R15+AH15,"")</f>
        <v>2</v>
      </c>
      <c r="H15" s="197">
        <f>IFERROR(VLOOKUP($I$22&amp;$D15,'Development-Hidden'!$C$2:$J$118,7,FALSE)-S15+AI15,"")</f>
        <v>9</v>
      </c>
      <c r="I15" s="198" t="str">
        <f>IFERROR(VLOOKUP($I$22&amp;$D15,'Development-Hidden'!$C$2:$J$118,8,FALSE),"")</f>
        <v>Block, Tackle, Thick Skull</v>
      </c>
      <c r="J15" s="199" t="s">
        <v>377</v>
      </c>
      <c r="K15" s="200">
        <f t="shared" si="0"/>
        <v>1</v>
      </c>
      <c r="L15" s="201"/>
      <c r="M15" s="201"/>
      <c r="N15" s="201"/>
      <c r="O15" s="202"/>
      <c r="P15" s="203"/>
      <c r="Q15" s="204"/>
      <c r="R15" s="204"/>
      <c r="S15" s="205"/>
      <c r="T15" s="206"/>
      <c r="U15" s="207"/>
      <c r="V15" s="207"/>
      <c r="W15" s="207">
        <v>1</v>
      </c>
      <c r="X15" s="204"/>
      <c r="Y15" s="208">
        <v>1</v>
      </c>
      <c r="Z15" s="209">
        <f t="shared" si="1"/>
        <v>7</v>
      </c>
      <c r="AA15" s="183">
        <f t="shared" si="2"/>
        <v>90000</v>
      </c>
      <c r="AB15" s="136"/>
      <c r="AC15" s="210">
        <f>IFERROR(VLOOKUP($I$22&amp;D15,'Development-Hidden'!$C$2:$E$118,3,FALSE),"")</f>
        <v>70000</v>
      </c>
      <c r="AD15" s="206">
        <v>1</v>
      </c>
      <c r="AE15" s="207"/>
      <c r="AF15" s="207"/>
      <c r="AG15" s="207"/>
      <c r="AH15" s="207"/>
      <c r="AI15" s="207"/>
      <c r="AJ15" s="211"/>
      <c r="AK15" s="136"/>
      <c r="AL15" s="227" t="s">
        <v>355</v>
      </c>
      <c r="AM15" s="228"/>
      <c r="AN15" s="229"/>
      <c r="AO15" s="230"/>
      <c r="AP15" s="231"/>
      <c r="AQ15" s="229"/>
      <c r="AR15" s="232"/>
      <c r="AS15" s="233"/>
      <c r="AT15" s="234"/>
      <c r="AU15" s="136"/>
    </row>
    <row r="16" spans="1:47" ht="15.75" customHeight="1">
      <c r="A16" s="137"/>
      <c r="B16" s="192">
        <v>13</v>
      </c>
      <c r="C16" s="317" t="s">
        <v>133</v>
      </c>
      <c r="D16" s="194" t="s">
        <v>98</v>
      </c>
      <c r="E16" s="195">
        <f>IFERROR(VLOOKUP($I$22&amp;$D16,'Development-Hidden'!$C$2:$J$118,4,FALSE)-P16+AF16,"")</f>
        <v>4</v>
      </c>
      <c r="F16" s="196">
        <f>IFERROR(VLOOKUP($I$22&amp;$D16,'Development-Hidden'!$C$2:$J$118,5,FALSE)-Q16+AG16,"")</f>
        <v>3</v>
      </c>
      <c r="G16" s="196">
        <f>IFERROR(VLOOKUP($I$22&amp;$D16,'Development-Hidden'!$C$2:$J$118,6,FALSE)-R16+AH16,"")</f>
        <v>2</v>
      </c>
      <c r="H16" s="197">
        <f>IFERROR(VLOOKUP($I$22&amp;$D16,'Development-Hidden'!$C$2:$J$118,7,FALSE)-S16+AI16,"")</f>
        <v>9</v>
      </c>
      <c r="I16" s="198" t="str">
        <f>IFERROR(VLOOKUP($I$22&amp;$D16,'Development-Hidden'!$C$2:$J$118,8,FALSE),"")</f>
        <v>Block, Tackle, Thick Skull</v>
      </c>
      <c r="J16" s="199"/>
      <c r="K16" s="200">
        <f t="shared" si="0"/>
        <v>0</v>
      </c>
      <c r="L16" s="201"/>
      <c r="M16" s="201">
        <v>1</v>
      </c>
      <c r="N16" s="201"/>
      <c r="O16" s="202"/>
      <c r="P16" s="203"/>
      <c r="Q16" s="204"/>
      <c r="R16" s="204"/>
      <c r="S16" s="205"/>
      <c r="T16" s="206"/>
      <c r="U16" s="207"/>
      <c r="V16" s="207"/>
      <c r="W16" s="207"/>
      <c r="X16" s="204"/>
      <c r="Y16" s="208">
        <v>1</v>
      </c>
      <c r="Z16" s="209">
        <f t="shared" si="1"/>
        <v>5</v>
      </c>
      <c r="AA16" s="183">
        <f t="shared" si="2"/>
        <v>70000</v>
      </c>
      <c r="AB16" s="136"/>
      <c r="AC16" s="210">
        <f>IFERROR(VLOOKUP($I$22&amp;D16,'Development-Hidden'!$C$2:$E$118,3,FALSE),"")</f>
        <v>70000</v>
      </c>
      <c r="AD16" s="206"/>
      <c r="AE16" s="207"/>
      <c r="AF16" s="207"/>
      <c r="AG16" s="207"/>
      <c r="AH16" s="207"/>
      <c r="AI16" s="207"/>
      <c r="AJ16" s="211"/>
      <c r="AK16" s="136"/>
      <c r="AL16" s="227" t="s">
        <v>357</v>
      </c>
      <c r="AM16" s="228"/>
      <c r="AN16" s="229"/>
      <c r="AO16" s="230"/>
      <c r="AP16" s="231"/>
      <c r="AQ16" s="229"/>
      <c r="AR16" s="232"/>
      <c r="AS16" s="233"/>
      <c r="AT16" s="234"/>
      <c r="AU16" s="136"/>
    </row>
    <row r="17" spans="1:47" ht="15.75" customHeight="1">
      <c r="A17" s="137"/>
      <c r="B17" s="192">
        <v>14</v>
      </c>
      <c r="C17" s="193" t="s">
        <v>78</v>
      </c>
      <c r="D17" s="194" t="s">
        <v>79</v>
      </c>
      <c r="E17" s="195">
        <f>IFERROR(VLOOKUP($I$22&amp;$D17,'Development-Hidden'!$C$2:$J$118,4,FALSE)-P17+AF17,"")</f>
        <v>6</v>
      </c>
      <c r="F17" s="196">
        <f>IFERROR(VLOOKUP($I$22&amp;$D17,'Development-Hidden'!$C$2:$J$118,5,FALSE)-Q17+AG17,"")</f>
        <v>4</v>
      </c>
      <c r="G17" s="196">
        <f>IFERROR(VLOOKUP($I$22&amp;$D17,'Development-Hidden'!$C$2:$J$118,6,FALSE)-R17+AH17,"")</f>
        <v>2</v>
      </c>
      <c r="H17" s="197">
        <f>IFERROR(VLOOKUP($I$22&amp;$D17,'Development-Hidden'!$C$2:$J$118,7,FALSE)-S17+AI17,"")</f>
        <v>9</v>
      </c>
      <c r="I17" s="198" t="str">
        <f>IFERROR(VLOOKUP($I$22&amp;$D17,'Development-Hidden'!$C$2:$J$118,8,FALSE),"")</f>
        <v>Sprint, Sure Feet, Thick Skull</v>
      </c>
      <c r="J17" s="199" t="s">
        <v>414</v>
      </c>
      <c r="K17" s="200">
        <f t="shared" si="0"/>
        <v>1</v>
      </c>
      <c r="L17" s="201"/>
      <c r="M17" s="201"/>
      <c r="N17" s="201"/>
      <c r="O17" s="202"/>
      <c r="P17" s="203"/>
      <c r="Q17" s="204"/>
      <c r="R17" s="204"/>
      <c r="S17" s="205"/>
      <c r="T17" s="206"/>
      <c r="U17" s="207"/>
      <c r="V17" s="207"/>
      <c r="W17" s="207">
        <v>1</v>
      </c>
      <c r="X17" s="204"/>
      <c r="Y17" s="208">
        <v>1</v>
      </c>
      <c r="Z17" s="209">
        <f t="shared" si="1"/>
        <v>7</v>
      </c>
      <c r="AA17" s="183">
        <f t="shared" si="2"/>
        <v>150000</v>
      </c>
      <c r="AB17" s="136"/>
      <c r="AC17" s="210">
        <f>IFERROR(VLOOKUP($I$22&amp;D17,'Development-Hidden'!$C$2:$E$118,3,FALSE),"")</f>
        <v>130000</v>
      </c>
      <c r="AD17" s="206">
        <v>1</v>
      </c>
      <c r="AE17" s="207"/>
      <c r="AF17" s="207"/>
      <c r="AG17" s="207"/>
      <c r="AH17" s="207"/>
      <c r="AI17" s="207"/>
      <c r="AJ17" s="211"/>
      <c r="AK17" s="136"/>
      <c r="AL17" s="235" t="s">
        <v>359</v>
      </c>
      <c r="AM17" s="236"/>
      <c r="AN17" s="237"/>
      <c r="AO17" s="238"/>
      <c r="AP17" s="239"/>
      <c r="AQ17" s="237"/>
      <c r="AR17" s="240"/>
      <c r="AS17" s="241"/>
      <c r="AT17" s="242"/>
      <c r="AU17" s="136"/>
    </row>
    <row r="18" spans="1:47" ht="15.75" customHeight="1">
      <c r="A18" s="137"/>
      <c r="B18" s="192">
        <v>15</v>
      </c>
      <c r="C18" s="193" t="s">
        <v>415</v>
      </c>
      <c r="D18" s="194" t="s">
        <v>79</v>
      </c>
      <c r="E18" s="195">
        <f>IFERROR(VLOOKUP($I$22&amp;$D18,'Development-Hidden'!$C$2:$J$118,4,FALSE)-P18+AF18,"")</f>
        <v>6</v>
      </c>
      <c r="F18" s="196">
        <f>IFERROR(VLOOKUP($I$22&amp;$D18,'Development-Hidden'!$C$2:$J$118,5,FALSE)-Q18+AG18,"")</f>
        <v>4</v>
      </c>
      <c r="G18" s="196">
        <f>IFERROR(VLOOKUP($I$22&amp;$D18,'Development-Hidden'!$C$2:$J$118,6,FALSE)-R18+AH18,"")</f>
        <v>2</v>
      </c>
      <c r="H18" s="197">
        <f>IFERROR(VLOOKUP($I$22&amp;$D18,'Development-Hidden'!$C$2:$J$118,7,FALSE)-S18+AI18,"")</f>
        <v>9</v>
      </c>
      <c r="I18" s="198" t="str">
        <f>IFERROR(VLOOKUP($I$22&amp;$D18,'Development-Hidden'!$C$2:$J$118,8,FALSE),"")</f>
        <v>Sprint, Sure Feet, Thick Skull</v>
      </c>
      <c r="J18" s="199"/>
      <c r="K18" s="200">
        <f t="shared" si="0"/>
        <v>0</v>
      </c>
      <c r="L18" s="201"/>
      <c r="M18" s="201"/>
      <c r="N18" s="201"/>
      <c r="O18" s="202"/>
      <c r="P18" s="203"/>
      <c r="Q18" s="204"/>
      <c r="R18" s="204"/>
      <c r="S18" s="205"/>
      <c r="T18" s="206"/>
      <c r="U18" s="207"/>
      <c r="V18" s="207">
        <v>1</v>
      </c>
      <c r="W18" s="207">
        <v>1</v>
      </c>
      <c r="X18" s="204"/>
      <c r="Y18" s="208"/>
      <c r="Z18" s="209">
        <f t="shared" si="1"/>
        <v>5</v>
      </c>
      <c r="AA18" s="183">
        <f t="shared" si="2"/>
        <v>130000</v>
      </c>
      <c r="AB18" s="136"/>
      <c r="AC18" s="210">
        <f>IFERROR(VLOOKUP($I$22&amp;D18,'Development-Hidden'!$C$2:$E$118,3,FALSE),"")</f>
        <v>130000</v>
      </c>
      <c r="AD18" s="206"/>
      <c r="AE18" s="207"/>
      <c r="AF18" s="207"/>
      <c r="AG18" s="207"/>
      <c r="AH18" s="207"/>
      <c r="AI18" s="207"/>
      <c r="AJ18" s="211"/>
      <c r="AK18" s="136"/>
      <c r="AL18" s="243" t="s">
        <v>219</v>
      </c>
      <c r="AM18" s="244">
        <f>AM4+SUM(AM6:AM17)-SUM(AN6:AN17)-SUM(AO6:AO17)</f>
        <v>80000</v>
      </c>
      <c r="AN18" s="136"/>
      <c r="AO18" s="136"/>
      <c r="AP18" s="189"/>
      <c r="AQ18" s="243" t="s">
        <v>219</v>
      </c>
      <c r="AR18" s="245">
        <f t="shared" ref="AR18:AS18" si="3">SUM(AR6:AR17)</f>
        <v>5</v>
      </c>
      <c r="AS18" s="246">
        <f t="shared" si="3"/>
        <v>4</v>
      </c>
      <c r="AT18" s="247">
        <f>AT4+SUM(AT6:AT17)</f>
        <v>5</v>
      </c>
      <c r="AU18" s="140"/>
    </row>
    <row r="19" spans="1:47" ht="15.75" customHeight="1">
      <c r="A19" s="137"/>
      <c r="B19" s="248">
        <v>16</v>
      </c>
      <c r="C19" s="249"/>
      <c r="D19" s="250"/>
      <c r="E19" s="251" t="str">
        <f>IFERROR(VLOOKUP($I$22&amp;$D19,'Development-Hidden'!$C$2:$J$118,4,FALSE)-P19+AF19,"")</f>
        <v/>
      </c>
      <c r="F19" s="252" t="str">
        <f>IFERROR(VLOOKUP($I$22&amp;$D19,'Development-Hidden'!$C$2:$J$118,5,FALSE)-Q19+AG19,"")</f>
        <v/>
      </c>
      <c r="G19" s="252" t="str">
        <f>IFERROR(VLOOKUP($I$22&amp;$D19,'Development-Hidden'!$C$2:$J$118,6,FALSE)-R19+AH19,"")</f>
        <v/>
      </c>
      <c r="H19" s="253" t="str">
        <f>IFERROR(VLOOKUP($I$22&amp;$D19,'Development-Hidden'!$C$2:$J$118,7,FALSE)-S19+AI19,"")</f>
        <v/>
      </c>
      <c r="I19" s="254" t="str">
        <f>IFERROR(VLOOKUP($I$22&amp;$D19,'Development-Hidden'!$C$2:$J$118,8,FALSE),"")</f>
        <v/>
      </c>
      <c r="J19" s="255"/>
      <c r="K19" s="256">
        <f t="shared" si="0"/>
        <v>0</v>
      </c>
      <c r="L19" s="257"/>
      <c r="M19" s="257"/>
      <c r="N19" s="257"/>
      <c r="O19" s="258"/>
      <c r="P19" s="259"/>
      <c r="Q19" s="260"/>
      <c r="R19" s="260"/>
      <c r="S19" s="261"/>
      <c r="T19" s="262"/>
      <c r="U19" s="263"/>
      <c r="V19" s="263"/>
      <c r="W19" s="263"/>
      <c r="X19" s="260"/>
      <c r="Y19" s="264"/>
      <c r="Z19" s="265">
        <f t="shared" si="1"/>
        <v>0</v>
      </c>
      <c r="AA19" s="183">
        <f t="shared" si="2"/>
        <v>0</v>
      </c>
      <c r="AB19" s="136"/>
      <c r="AC19" s="210" t="str">
        <f>IFERROR(VLOOKUP($I$22&amp;D19,'Development-Hidden'!$C$2:$E$118,3,FALSE),"0")</f>
        <v>0</v>
      </c>
      <c r="AD19" s="267"/>
      <c r="AE19" s="268"/>
      <c r="AF19" s="268"/>
      <c r="AG19" s="268"/>
      <c r="AH19" s="268"/>
      <c r="AI19" s="268"/>
      <c r="AJ19" s="269"/>
      <c r="AK19" s="136"/>
    </row>
    <row r="20" spans="1:47" ht="15.75" customHeight="1">
      <c r="A20" s="137"/>
      <c r="B20" s="634"/>
      <c r="C20" s="572"/>
      <c r="D20" s="573"/>
      <c r="E20" s="586" t="s">
        <v>364</v>
      </c>
      <c r="F20" s="587"/>
      <c r="G20" s="587"/>
      <c r="H20" s="587"/>
      <c r="I20" s="587"/>
      <c r="J20" s="587"/>
      <c r="K20" s="587"/>
      <c r="L20" s="587"/>
      <c r="M20" s="587"/>
      <c r="N20" s="587"/>
      <c r="O20" s="587"/>
      <c r="P20" s="587"/>
      <c r="Q20" s="587"/>
      <c r="R20" s="587"/>
      <c r="S20" s="587"/>
      <c r="T20" s="587"/>
      <c r="U20" s="587"/>
      <c r="V20" s="587"/>
      <c r="W20" s="587"/>
      <c r="X20" s="587"/>
      <c r="Y20" s="587"/>
      <c r="Z20" s="588"/>
      <c r="AA20" s="270">
        <f>SUM(AA4:AA19)</f>
        <v>880000</v>
      </c>
      <c r="AB20" s="136"/>
      <c r="AC20" s="136"/>
      <c r="AD20" s="136"/>
      <c r="AE20" s="136"/>
      <c r="AF20" s="136"/>
      <c r="AG20" s="136"/>
      <c r="AH20" s="136"/>
      <c r="AI20" s="136"/>
      <c r="AJ20" s="136"/>
      <c r="AK20" s="136"/>
      <c r="AL20" s="189"/>
      <c r="AM20" s="189"/>
      <c r="AN20" s="189"/>
      <c r="AO20" s="189"/>
      <c r="AP20" s="189"/>
      <c r="AQ20" s="189"/>
      <c r="AR20" s="189"/>
      <c r="AS20" s="189"/>
      <c r="AT20" s="189"/>
      <c r="AU20" s="189"/>
    </row>
    <row r="21" spans="1:47" ht="15.75" customHeight="1">
      <c r="A21" s="137"/>
      <c r="B21" s="574"/>
      <c r="C21" s="575"/>
      <c r="D21" s="576"/>
      <c r="E21" s="580" t="s">
        <v>365</v>
      </c>
      <c r="F21" s="581"/>
      <c r="G21" s="581"/>
      <c r="H21" s="581"/>
      <c r="I21" s="589" t="s">
        <v>13</v>
      </c>
      <c r="J21" s="581"/>
      <c r="K21" s="590"/>
      <c r="L21" s="584" t="s">
        <v>366</v>
      </c>
      <c r="M21" s="581"/>
      <c r="N21" s="581"/>
      <c r="O21" s="581"/>
      <c r="P21" s="581"/>
      <c r="Q21" s="581"/>
      <c r="R21" s="581"/>
      <c r="S21" s="585"/>
      <c r="T21" s="271">
        <v>3</v>
      </c>
      <c r="U21" s="272" t="s">
        <v>220</v>
      </c>
      <c r="V21" s="580">
        <f>IFERROR(VLOOKUP(I22,'Development-Hidden'!N2:O28,2,FALSE),"")</f>
        <v>70000</v>
      </c>
      <c r="W21" s="581"/>
      <c r="X21" s="581"/>
      <c r="Y21" s="581"/>
      <c r="Z21" s="590"/>
      <c r="AA21" s="273">
        <f t="shared" ref="AA21:AA25" si="4">T21*V21</f>
        <v>210000</v>
      </c>
      <c r="AB21" s="136"/>
      <c r="AC21" s="136"/>
      <c r="AD21" s="136"/>
      <c r="AE21" s="136"/>
      <c r="AF21" s="136"/>
      <c r="AG21" s="136"/>
      <c r="AH21" s="136"/>
      <c r="AI21" s="136"/>
      <c r="AJ21" s="136"/>
      <c r="AK21" s="136"/>
      <c r="AL21" s="604" t="s">
        <v>367</v>
      </c>
      <c r="AM21" s="588"/>
      <c r="AN21" s="136"/>
      <c r="AO21" s="136"/>
      <c r="AP21" s="136"/>
      <c r="AQ21" s="136"/>
      <c r="AR21" s="136"/>
      <c r="AS21" s="136"/>
      <c r="AT21" s="136"/>
      <c r="AU21" s="136"/>
    </row>
    <row r="22" spans="1:47" ht="15.75" customHeight="1">
      <c r="A22" s="137"/>
      <c r="B22" s="574"/>
      <c r="C22" s="575"/>
      <c r="D22" s="576"/>
      <c r="E22" s="582" t="s">
        <v>368</v>
      </c>
      <c r="F22" s="583"/>
      <c r="G22" s="583"/>
      <c r="H22" s="583"/>
      <c r="I22" s="598" t="s">
        <v>14</v>
      </c>
      <c r="J22" s="583"/>
      <c r="K22" s="597"/>
      <c r="L22" s="591" t="s">
        <v>369</v>
      </c>
      <c r="M22" s="583"/>
      <c r="N22" s="583"/>
      <c r="O22" s="583"/>
      <c r="P22" s="583"/>
      <c r="Q22" s="583"/>
      <c r="R22" s="583"/>
      <c r="S22" s="592"/>
      <c r="T22" s="274">
        <v>5</v>
      </c>
      <c r="U22" s="275" t="s">
        <v>220</v>
      </c>
      <c r="V22" s="582">
        <v>10000</v>
      </c>
      <c r="W22" s="583"/>
      <c r="X22" s="583"/>
      <c r="Y22" s="583"/>
      <c r="Z22" s="597"/>
      <c r="AA22" s="276">
        <f t="shared" si="4"/>
        <v>50000</v>
      </c>
      <c r="AB22" s="136"/>
      <c r="AC22" s="136"/>
      <c r="AD22" s="136"/>
      <c r="AE22" s="136"/>
      <c r="AF22" s="136"/>
      <c r="AG22" s="136"/>
      <c r="AH22" s="136"/>
      <c r="AI22" s="136"/>
      <c r="AJ22" s="136"/>
      <c r="AK22" s="136"/>
      <c r="AL22" s="277" t="s">
        <v>370</v>
      </c>
      <c r="AM22" s="278">
        <f>AM18</f>
        <v>80000</v>
      </c>
      <c r="AN22" s="136"/>
      <c r="AO22" s="136"/>
      <c r="AP22" s="136"/>
      <c r="AQ22" s="136"/>
      <c r="AR22" s="136"/>
      <c r="AS22" s="136"/>
      <c r="AT22" s="136"/>
      <c r="AU22" s="136"/>
    </row>
    <row r="23" spans="1:47" ht="15.75" customHeight="1">
      <c r="A23" s="137"/>
      <c r="B23" s="574"/>
      <c r="C23" s="575"/>
      <c r="D23" s="576"/>
      <c r="E23" s="582" t="str">
        <f>IFERROR(IF(VLOOKUP(I22,'Development-Hidden'!X2:Y28,2,FALSE)="Yes","NECROMANCER","HEAD COACH"),"HEAD COACH")</f>
        <v>HEAD COACH</v>
      </c>
      <c r="F23" s="583"/>
      <c r="G23" s="583"/>
      <c r="H23" s="583"/>
      <c r="I23" s="598" t="s">
        <v>418</v>
      </c>
      <c r="J23" s="583"/>
      <c r="K23" s="597"/>
      <c r="L23" s="591" t="s">
        <v>371</v>
      </c>
      <c r="M23" s="583"/>
      <c r="N23" s="583"/>
      <c r="O23" s="583"/>
      <c r="P23" s="583"/>
      <c r="Q23" s="583"/>
      <c r="R23" s="583"/>
      <c r="S23" s="592"/>
      <c r="T23" s="274">
        <v>0</v>
      </c>
      <c r="U23" s="275" t="s">
        <v>220</v>
      </c>
      <c r="V23" s="582">
        <v>10000</v>
      </c>
      <c r="W23" s="583"/>
      <c r="X23" s="583"/>
      <c r="Y23" s="583"/>
      <c r="Z23" s="597"/>
      <c r="AA23" s="276">
        <f t="shared" si="4"/>
        <v>0</v>
      </c>
      <c r="AB23" s="136"/>
      <c r="AC23" s="136"/>
      <c r="AD23" s="136"/>
      <c r="AE23" s="136"/>
      <c r="AF23" s="136"/>
      <c r="AG23" s="136"/>
      <c r="AH23" s="136"/>
      <c r="AI23" s="136"/>
      <c r="AJ23" s="136"/>
      <c r="AK23" s="136"/>
      <c r="AL23" s="279" t="s">
        <v>372</v>
      </c>
      <c r="AM23" s="280">
        <f>COUNTA(AP6:AP17)*10000</f>
        <v>60000</v>
      </c>
      <c r="AN23" s="136"/>
      <c r="AO23" s="136"/>
      <c r="AP23" s="136"/>
      <c r="AQ23" s="136"/>
      <c r="AR23" s="136"/>
      <c r="AS23" s="136"/>
      <c r="AT23" s="136"/>
      <c r="AU23" s="136"/>
    </row>
    <row r="24" spans="1:47" ht="15.75" customHeight="1">
      <c r="A24" s="137"/>
      <c r="B24" s="574"/>
      <c r="C24" s="575"/>
      <c r="D24" s="576"/>
      <c r="E24" s="582" t="s">
        <v>373</v>
      </c>
      <c r="F24" s="583"/>
      <c r="G24" s="583"/>
      <c r="H24" s="583"/>
      <c r="I24" s="599">
        <f>AA20+AA26</f>
        <v>1190000</v>
      </c>
      <c r="J24" s="583"/>
      <c r="K24" s="597"/>
      <c r="L24" s="591" t="s">
        <v>375</v>
      </c>
      <c r="M24" s="583"/>
      <c r="N24" s="583"/>
      <c r="O24" s="583"/>
      <c r="P24" s="583"/>
      <c r="Q24" s="583"/>
      <c r="R24" s="583"/>
      <c r="S24" s="592"/>
      <c r="T24" s="274">
        <v>0</v>
      </c>
      <c r="U24" s="275" t="s">
        <v>220</v>
      </c>
      <c r="V24" s="582">
        <v>10000</v>
      </c>
      <c r="W24" s="583"/>
      <c r="X24" s="583"/>
      <c r="Y24" s="583"/>
      <c r="Z24" s="597"/>
      <c r="AA24" s="276">
        <f t="shared" si="4"/>
        <v>0</v>
      </c>
      <c r="AB24" s="136"/>
      <c r="AC24" s="136"/>
      <c r="AD24" s="136"/>
      <c r="AE24" s="136"/>
      <c r="AF24" s="136"/>
      <c r="AG24" s="136"/>
      <c r="AH24" s="136"/>
      <c r="AI24" s="136"/>
      <c r="AJ24" s="136"/>
      <c r="AK24" s="136"/>
      <c r="AL24" s="279" t="s">
        <v>33</v>
      </c>
      <c r="AM24" s="280">
        <f>AR18*5000</f>
        <v>25000</v>
      </c>
      <c r="AN24" s="136"/>
      <c r="AO24" s="136"/>
      <c r="AP24" s="136"/>
      <c r="AQ24" s="136"/>
      <c r="AR24" s="136"/>
      <c r="AS24" s="136"/>
      <c r="AT24" s="136"/>
      <c r="AU24" s="136"/>
    </row>
    <row r="25" spans="1:47" ht="15.75" customHeight="1">
      <c r="A25" s="137"/>
      <c r="B25" s="574"/>
      <c r="C25" s="575"/>
      <c r="D25" s="576"/>
      <c r="E25" s="595" t="s">
        <v>376</v>
      </c>
      <c r="F25" s="594"/>
      <c r="G25" s="594"/>
      <c r="H25" s="596"/>
      <c r="I25" s="600">
        <f>AM18</f>
        <v>80000</v>
      </c>
      <c r="J25" s="594"/>
      <c r="K25" s="596"/>
      <c r="L25" s="593" t="str">
        <f>IFERROR(IF(VLOOKUP(I22,'Development-Hidden'!X2:Y28,1,FALSE)&lt;&gt;"","",""),"APOTHECARY")</f>
        <v>APOTHECARY</v>
      </c>
      <c r="M25" s="594"/>
      <c r="N25" s="594"/>
      <c r="O25" s="594"/>
      <c r="P25" s="594"/>
      <c r="Q25" s="594"/>
      <c r="R25" s="594"/>
      <c r="S25" s="594"/>
      <c r="T25" s="281">
        <v>1</v>
      </c>
      <c r="U25" s="275" t="str">
        <f>IF(L25&lt;&gt;"","x","")</f>
        <v>x</v>
      </c>
      <c r="V25" s="595">
        <f>IF(L25&lt;&gt;"",50000,"")</f>
        <v>50000</v>
      </c>
      <c r="W25" s="594"/>
      <c r="X25" s="594"/>
      <c r="Y25" s="594"/>
      <c r="Z25" s="596"/>
      <c r="AA25" s="276">
        <f t="shared" si="4"/>
        <v>50000</v>
      </c>
      <c r="AB25" s="136"/>
      <c r="AC25" s="136"/>
      <c r="AD25" s="136"/>
      <c r="AE25" s="136"/>
      <c r="AF25" s="136"/>
      <c r="AG25" s="136"/>
      <c r="AH25" s="136"/>
      <c r="AI25" s="136"/>
      <c r="AJ25" s="136"/>
      <c r="AK25" s="136"/>
      <c r="AL25" s="282" t="s">
        <v>34</v>
      </c>
      <c r="AM25" s="283">
        <f>AS18*5000</f>
        <v>20000</v>
      </c>
      <c r="AN25" s="136"/>
      <c r="AO25" s="136"/>
      <c r="AP25" s="136"/>
      <c r="AQ25" s="136"/>
      <c r="AR25" s="136"/>
      <c r="AS25" s="136"/>
      <c r="AT25" s="136"/>
      <c r="AU25" s="136"/>
    </row>
    <row r="26" spans="1:47" ht="15.75" customHeight="1">
      <c r="A26" s="137"/>
      <c r="B26" s="577"/>
      <c r="C26" s="578"/>
      <c r="D26" s="579"/>
      <c r="E26" s="586" t="s">
        <v>379</v>
      </c>
      <c r="F26" s="587"/>
      <c r="G26" s="587"/>
      <c r="H26" s="587"/>
      <c r="I26" s="587"/>
      <c r="J26" s="587"/>
      <c r="K26" s="587"/>
      <c r="L26" s="587"/>
      <c r="M26" s="587"/>
      <c r="N26" s="587"/>
      <c r="O26" s="587"/>
      <c r="P26" s="587"/>
      <c r="Q26" s="587"/>
      <c r="R26" s="587"/>
      <c r="S26" s="587"/>
      <c r="T26" s="587"/>
      <c r="U26" s="587"/>
      <c r="V26" s="587"/>
      <c r="W26" s="587"/>
      <c r="X26" s="587"/>
      <c r="Y26" s="587"/>
      <c r="Z26" s="588"/>
      <c r="AA26" s="270">
        <f>SUM(AA21:AA25)</f>
        <v>310000</v>
      </c>
      <c r="AB26" s="136"/>
      <c r="AC26" s="136"/>
      <c r="AD26" s="136"/>
      <c r="AE26" s="136"/>
      <c r="AF26" s="136"/>
      <c r="AG26" s="136"/>
      <c r="AH26" s="136"/>
      <c r="AI26" s="136"/>
      <c r="AJ26" s="136"/>
      <c r="AK26" s="136"/>
      <c r="AL26" s="284" t="s">
        <v>219</v>
      </c>
      <c r="AM26" s="285">
        <f>SUM(AM22:AM25)</f>
        <v>185000</v>
      </c>
      <c r="AN26" s="136"/>
      <c r="AO26" s="136"/>
      <c r="AP26" s="136"/>
      <c r="AQ26" s="136"/>
      <c r="AR26" s="136"/>
      <c r="AS26" s="136"/>
      <c r="AT26" s="136"/>
      <c r="AU26" s="136"/>
    </row>
    <row r="27" spans="1:47" ht="8.25" customHeight="1">
      <c r="A27" s="136"/>
      <c r="B27" s="140"/>
      <c r="C27" s="286"/>
      <c r="D27" s="286"/>
      <c r="E27" s="287"/>
      <c r="F27" s="136"/>
      <c r="G27" s="136"/>
      <c r="H27" s="136"/>
      <c r="I27" s="288"/>
      <c r="J27" s="289"/>
      <c r="K27" s="136"/>
      <c r="L27" s="290"/>
      <c r="M27" s="290"/>
      <c r="N27" s="290"/>
      <c r="O27" s="290"/>
      <c r="P27" s="290"/>
      <c r="Q27" s="290"/>
      <c r="R27" s="290"/>
      <c r="S27" s="290"/>
      <c r="T27" s="291"/>
      <c r="U27" s="292">
        <v>150</v>
      </c>
      <c r="V27" s="143"/>
      <c r="W27" s="293"/>
      <c r="X27" s="293"/>
      <c r="Y27" s="293"/>
      <c r="Z27" s="293"/>
      <c r="AA27" s="294"/>
      <c r="AB27" s="136"/>
      <c r="AC27" s="136"/>
      <c r="AD27" s="136"/>
      <c r="AE27" s="136"/>
      <c r="AF27" s="136"/>
      <c r="AG27" s="136"/>
      <c r="AH27" s="136"/>
      <c r="AI27" s="136"/>
      <c r="AJ27" s="136"/>
      <c r="AK27" s="136"/>
      <c r="AL27" s="136"/>
      <c r="AM27" s="136"/>
      <c r="AN27" s="136"/>
      <c r="AO27" s="136"/>
      <c r="AP27" s="136"/>
      <c r="AQ27" s="136"/>
      <c r="AR27" s="136"/>
      <c r="AS27" s="136"/>
      <c r="AT27" s="136"/>
      <c r="AU27" s="136"/>
    </row>
    <row r="28" spans="1:47" ht="17.25" hidden="1" customHeight="1">
      <c r="A28" s="295"/>
      <c r="B28" s="296"/>
      <c r="C28" s="297">
        <f>MATCH(I22,'Development-Hidden'!A2:A118,0)</f>
        <v>11</v>
      </c>
      <c r="D28" s="297" t="str">
        <f t="array" ref="D28">IFERROR(IF(INDEX('Development-Hidden'!$A$2:$B$118,$C28,1)=$I$22,INDEX('Development-Hidden'!$A$2:$B$118,$C28,2),""),"")</f>
        <v>Hobgoblin</v>
      </c>
      <c r="E28" s="298"/>
      <c r="F28" s="298"/>
      <c r="G28" s="298"/>
      <c r="H28" s="298"/>
      <c r="I28" s="298"/>
      <c r="J28" s="299"/>
      <c r="K28" s="295"/>
      <c r="L28" s="300"/>
      <c r="M28" s="300"/>
      <c r="N28" s="300"/>
      <c r="O28" s="300"/>
      <c r="P28" s="300"/>
      <c r="Q28" s="300"/>
      <c r="R28" s="300"/>
      <c r="S28" s="300"/>
      <c r="T28" s="301"/>
      <c r="U28" s="302"/>
      <c r="V28" s="301"/>
      <c r="W28" s="303"/>
      <c r="X28" s="303"/>
      <c r="Y28" s="303"/>
      <c r="Z28" s="303"/>
      <c r="AA28" s="298"/>
      <c r="AB28" s="295"/>
      <c r="AC28" s="295"/>
      <c r="AD28" s="295"/>
      <c r="AE28" s="295"/>
      <c r="AF28" s="295"/>
      <c r="AG28" s="295"/>
      <c r="AH28" s="295"/>
      <c r="AI28" s="295"/>
      <c r="AJ28" s="295"/>
      <c r="AK28" s="295"/>
      <c r="AL28" s="295"/>
      <c r="AM28" s="295"/>
      <c r="AN28" s="295"/>
      <c r="AO28" s="295"/>
      <c r="AP28" s="295"/>
      <c r="AQ28" s="295"/>
      <c r="AR28" s="295"/>
      <c r="AS28" s="295"/>
      <c r="AT28" s="295"/>
      <c r="AU28" s="295"/>
    </row>
    <row r="29" spans="1:47" ht="17.25" hidden="1" customHeight="1">
      <c r="A29" s="295"/>
      <c r="B29" s="296"/>
      <c r="C29" s="297">
        <f t="shared" ref="C29:C37" si="5">C28+1</f>
        <v>12</v>
      </c>
      <c r="D29" s="297" t="str">
        <f t="array" ref="D29">IFERROR(IF(INDEX('Development-Hidden'!$A$2:$B$118,$C29,1)=$I$22,INDEX('Development-Hidden'!$A$2:$B$118,$C29,2),""),"")</f>
        <v>Blocker</v>
      </c>
      <c r="E29" s="298"/>
      <c r="F29" s="298"/>
      <c r="G29" s="298"/>
      <c r="H29" s="298"/>
      <c r="I29" s="298"/>
      <c r="J29" s="299"/>
      <c r="K29" s="295"/>
      <c r="L29" s="300"/>
      <c r="M29" s="300"/>
      <c r="N29" s="300"/>
      <c r="O29" s="300"/>
      <c r="P29" s="300"/>
      <c r="Q29" s="300"/>
      <c r="R29" s="300"/>
      <c r="S29" s="300"/>
      <c r="T29" s="301"/>
      <c r="U29" s="302"/>
      <c r="V29" s="301"/>
      <c r="W29" s="303"/>
      <c r="X29" s="303"/>
      <c r="Y29" s="303"/>
      <c r="Z29" s="303"/>
      <c r="AA29" s="298"/>
      <c r="AB29" s="295"/>
      <c r="AC29" s="295"/>
      <c r="AD29" s="295"/>
      <c r="AE29" s="295"/>
      <c r="AF29" s="295"/>
      <c r="AG29" s="295"/>
      <c r="AH29" s="295"/>
      <c r="AI29" s="295"/>
      <c r="AJ29" s="295"/>
      <c r="AK29" s="295"/>
      <c r="AL29" s="295"/>
      <c r="AM29" s="295"/>
      <c r="AN29" s="295"/>
      <c r="AO29" s="295"/>
      <c r="AP29" s="295"/>
      <c r="AQ29" s="295"/>
      <c r="AR29" s="295"/>
      <c r="AS29" s="295"/>
      <c r="AT29" s="295"/>
      <c r="AU29" s="295"/>
    </row>
    <row r="30" spans="1:47" ht="17.25" hidden="1" customHeight="1">
      <c r="A30" s="295"/>
      <c r="B30" s="296"/>
      <c r="C30" s="297">
        <f t="shared" si="5"/>
        <v>13</v>
      </c>
      <c r="D30" s="297" t="str">
        <f t="array" ref="D30">IFERROR(IF(INDEX('Development-Hidden'!$A$2:$B$118,$C30,1)=$I$22,INDEX('Development-Hidden'!$A$2:$B$118,$C30,2),""),"")</f>
        <v>Bull Centaur</v>
      </c>
      <c r="E30" s="298"/>
      <c r="F30" s="298"/>
      <c r="G30" s="298"/>
      <c r="H30" s="298"/>
      <c r="I30" s="298"/>
      <c r="J30" s="299"/>
      <c r="K30" s="295"/>
      <c r="L30" s="300"/>
      <c r="M30" s="300"/>
      <c r="N30" s="300"/>
      <c r="O30" s="300"/>
      <c r="P30" s="300"/>
      <c r="Q30" s="300"/>
      <c r="R30" s="300"/>
      <c r="S30" s="300"/>
      <c r="T30" s="301"/>
      <c r="U30" s="302"/>
      <c r="V30" s="301"/>
      <c r="W30" s="303"/>
      <c r="X30" s="303"/>
      <c r="Y30" s="303"/>
      <c r="Z30" s="303"/>
      <c r="AA30" s="298"/>
      <c r="AB30" s="295"/>
      <c r="AC30" s="295"/>
      <c r="AD30" s="295"/>
      <c r="AE30" s="295"/>
      <c r="AF30" s="295"/>
      <c r="AG30" s="295"/>
      <c r="AH30" s="295"/>
      <c r="AI30" s="295"/>
      <c r="AJ30" s="295"/>
      <c r="AK30" s="295"/>
      <c r="AL30" s="295"/>
      <c r="AM30" s="295"/>
      <c r="AN30" s="295"/>
      <c r="AO30" s="295"/>
      <c r="AP30" s="295"/>
      <c r="AQ30" s="295"/>
      <c r="AR30" s="295"/>
      <c r="AS30" s="295"/>
      <c r="AT30" s="295"/>
      <c r="AU30" s="295"/>
    </row>
    <row r="31" spans="1:47" ht="17.25" hidden="1" customHeight="1">
      <c r="A31" s="295"/>
      <c r="B31" s="296"/>
      <c r="C31" s="297">
        <f t="shared" si="5"/>
        <v>14</v>
      </c>
      <c r="D31" s="297" t="str">
        <f t="array" ref="D31">IFERROR(IF(INDEX('Development-Hidden'!$A$2:$B$118,$C31,1)=$I$22,INDEX('Development-Hidden'!$A$2:$B$118,$C31,2),""),"")</f>
        <v>Minotaur</v>
      </c>
      <c r="E31" s="298"/>
      <c r="F31" s="298"/>
      <c r="G31" s="298"/>
      <c r="H31" s="298"/>
      <c r="I31" s="298"/>
      <c r="J31" s="299"/>
      <c r="K31" s="295"/>
      <c r="L31" s="300"/>
      <c r="M31" s="300"/>
      <c r="N31" s="300"/>
      <c r="O31" s="300"/>
      <c r="P31" s="300"/>
      <c r="Q31" s="300"/>
      <c r="R31" s="300"/>
      <c r="S31" s="300"/>
      <c r="T31" s="301"/>
      <c r="U31" s="302"/>
      <c r="V31" s="301"/>
      <c r="W31" s="303"/>
      <c r="X31" s="303"/>
      <c r="Y31" s="303"/>
      <c r="Z31" s="303"/>
      <c r="AA31" s="298"/>
      <c r="AB31" s="295"/>
      <c r="AC31" s="295"/>
      <c r="AD31" s="295"/>
      <c r="AE31" s="295"/>
      <c r="AF31" s="295"/>
      <c r="AG31" s="295"/>
      <c r="AH31" s="295"/>
      <c r="AI31" s="295"/>
      <c r="AJ31" s="295"/>
      <c r="AK31" s="295"/>
      <c r="AL31" s="295"/>
      <c r="AM31" s="295"/>
      <c r="AN31" s="295"/>
      <c r="AO31" s="295"/>
      <c r="AP31" s="295"/>
      <c r="AQ31" s="295"/>
      <c r="AR31" s="295"/>
      <c r="AS31" s="295"/>
      <c r="AT31" s="295"/>
      <c r="AU31" s="295"/>
    </row>
    <row r="32" spans="1:47" ht="17.25" hidden="1" customHeight="1">
      <c r="A32" s="295"/>
      <c r="B32" s="296"/>
      <c r="C32" s="297">
        <f t="shared" si="5"/>
        <v>15</v>
      </c>
      <c r="D32" s="297" t="str">
        <f t="array" ref="D32">IFERROR(IF(INDEX('Development-Hidden'!$A$2:$B$118,$C32,1)=$I$22,INDEX('Development-Hidden'!$A$2:$B$118,$C32,2),""),"")</f>
        <v/>
      </c>
      <c r="E32" s="298"/>
      <c r="F32" s="298"/>
      <c r="G32" s="298"/>
      <c r="H32" s="298"/>
      <c r="I32" s="298"/>
      <c r="J32" s="299"/>
      <c r="K32" s="295"/>
      <c r="L32" s="300"/>
      <c r="M32" s="300"/>
      <c r="N32" s="300"/>
      <c r="O32" s="300"/>
      <c r="P32" s="300"/>
      <c r="Q32" s="300"/>
      <c r="R32" s="300"/>
      <c r="S32" s="300"/>
      <c r="T32" s="301"/>
      <c r="U32" s="302"/>
      <c r="V32" s="301"/>
      <c r="W32" s="303"/>
      <c r="X32" s="303"/>
      <c r="Y32" s="303"/>
      <c r="Z32" s="303"/>
      <c r="AA32" s="298"/>
      <c r="AB32" s="295"/>
      <c r="AC32" s="295"/>
      <c r="AD32" s="295"/>
      <c r="AE32" s="295"/>
      <c r="AF32" s="295"/>
      <c r="AG32" s="295"/>
      <c r="AH32" s="295"/>
      <c r="AI32" s="295"/>
      <c r="AJ32" s="295"/>
      <c r="AK32" s="295"/>
      <c r="AL32" s="295"/>
      <c r="AM32" s="295"/>
      <c r="AN32" s="295"/>
      <c r="AO32" s="295"/>
      <c r="AP32" s="295"/>
      <c r="AQ32" s="295"/>
      <c r="AR32" s="295"/>
      <c r="AS32" s="295"/>
      <c r="AT32" s="295"/>
      <c r="AU32" s="295"/>
    </row>
    <row r="33" spans="1:47" ht="17.25" hidden="1" customHeight="1">
      <c r="A33" s="295"/>
      <c r="B33" s="296"/>
      <c r="C33" s="297">
        <f t="shared" si="5"/>
        <v>16</v>
      </c>
      <c r="D33" s="297" t="str">
        <f t="array" ref="D33">IFERROR(IF(INDEX('Development-Hidden'!$A$2:$B$118,$C33,1)=$I$22,INDEX('Development-Hidden'!$A$2:$B$118,$C33,2),""),"")</f>
        <v/>
      </c>
      <c r="E33" s="298"/>
      <c r="F33" s="298"/>
      <c r="G33" s="298"/>
      <c r="H33" s="298"/>
      <c r="I33" s="298"/>
      <c r="J33" s="299"/>
      <c r="K33" s="295"/>
      <c r="L33" s="300"/>
      <c r="M33" s="300"/>
      <c r="N33" s="300"/>
      <c r="O33" s="300"/>
      <c r="P33" s="300"/>
      <c r="Q33" s="300"/>
      <c r="R33" s="300"/>
      <c r="S33" s="300"/>
      <c r="T33" s="301"/>
      <c r="U33" s="302"/>
      <c r="V33" s="301"/>
      <c r="W33" s="303"/>
      <c r="X33" s="303"/>
      <c r="Y33" s="303"/>
      <c r="Z33" s="303"/>
      <c r="AA33" s="298"/>
      <c r="AB33" s="295"/>
      <c r="AC33" s="295"/>
      <c r="AD33" s="295"/>
      <c r="AE33" s="295"/>
      <c r="AF33" s="295"/>
      <c r="AG33" s="295"/>
      <c r="AH33" s="295"/>
      <c r="AI33" s="295"/>
      <c r="AJ33" s="295"/>
      <c r="AK33" s="295"/>
      <c r="AL33" s="295"/>
      <c r="AM33" s="295"/>
      <c r="AN33" s="295"/>
      <c r="AO33" s="295"/>
      <c r="AP33" s="295"/>
      <c r="AQ33" s="295"/>
      <c r="AR33" s="295"/>
      <c r="AS33" s="295"/>
      <c r="AT33" s="295"/>
      <c r="AU33" s="295"/>
    </row>
    <row r="34" spans="1:47" ht="17.25" hidden="1" customHeight="1">
      <c r="A34" s="295"/>
      <c r="B34" s="296"/>
      <c r="C34" s="297">
        <f t="shared" si="5"/>
        <v>17</v>
      </c>
      <c r="D34" s="297" t="str">
        <f t="array" ref="D34">IFERROR(IF(INDEX('Development-Hidden'!$A$2:$B$118,$C34,1)=$I$22,INDEX('Development-Hidden'!$A$2:$B$118,$C34,2),""),"")</f>
        <v/>
      </c>
      <c r="E34" s="298"/>
      <c r="F34" s="298"/>
      <c r="G34" s="298"/>
      <c r="H34" s="298"/>
      <c r="I34" s="298"/>
      <c r="J34" s="299"/>
      <c r="K34" s="295"/>
      <c r="L34" s="300"/>
      <c r="M34" s="300"/>
      <c r="N34" s="300"/>
      <c r="O34" s="300"/>
      <c r="P34" s="300"/>
      <c r="Q34" s="300"/>
      <c r="R34" s="300"/>
      <c r="S34" s="300"/>
      <c r="T34" s="301"/>
      <c r="U34" s="302"/>
      <c r="V34" s="301"/>
      <c r="W34" s="303"/>
      <c r="X34" s="303"/>
      <c r="Y34" s="303"/>
      <c r="Z34" s="303"/>
      <c r="AA34" s="298"/>
      <c r="AB34" s="295"/>
      <c r="AC34" s="295"/>
      <c r="AD34" s="295"/>
      <c r="AE34" s="295"/>
      <c r="AF34" s="295"/>
      <c r="AG34" s="295"/>
      <c r="AH34" s="295"/>
      <c r="AI34" s="295"/>
      <c r="AJ34" s="295"/>
      <c r="AK34" s="295"/>
      <c r="AL34" s="295"/>
      <c r="AM34" s="295"/>
      <c r="AN34" s="295"/>
      <c r="AO34" s="295"/>
      <c r="AP34" s="295"/>
      <c r="AQ34" s="295"/>
      <c r="AR34" s="295"/>
      <c r="AS34" s="295"/>
      <c r="AT34" s="295"/>
      <c r="AU34" s="295"/>
    </row>
    <row r="35" spans="1:47" ht="17.25" hidden="1" customHeight="1">
      <c r="A35" s="295"/>
      <c r="B35" s="296"/>
      <c r="C35" s="297">
        <f t="shared" si="5"/>
        <v>18</v>
      </c>
      <c r="D35" s="297" t="str">
        <f t="array" ref="D35">IFERROR(IF(INDEX('Development-Hidden'!$A$2:$B$118,$C35,1)=$I$22,INDEX('Development-Hidden'!$A$2:$B$118,$C35,2),""),"")</f>
        <v/>
      </c>
      <c r="E35" s="298"/>
      <c r="F35" s="298"/>
      <c r="G35" s="298"/>
      <c r="H35" s="298"/>
      <c r="I35" s="298"/>
      <c r="J35" s="299"/>
      <c r="K35" s="295"/>
      <c r="L35" s="300"/>
      <c r="M35" s="300"/>
      <c r="N35" s="300"/>
      <c r="O35" s="300"/>
      <c r="P35" s="300"/>
      <c r="Q35" s="300"/>
      <c r="R35" s="300"/>
      <c r="S35" s="300"/>
      <c r="T35" s="301"/>
      <c r="U35" s="302"/>
      <c r="V35" s="301"/>
      <c r="W35" s="303"/>
      <c r="X35" s="303"/>
      <c r="Y35" s="303"/>
      <c r="Z35" s="303"/>
      <c r="AA35" s="298"/>
      <c r="AB35" s="295"/>
      <c r="AC35" s="295"/>
      <c r="AD35" s="295"/>
      <c r="AE35" s="295"/>
      <c r="AF35" s="295"/>
      <c r="AG35" s="295"/>
      <c r="AH35" s="295"/>
      <c r="AI35" s="295"/>
      <c r="AJ35" s="295"/>
      <c r="AK35" s="295"/>
      <c r="AL35" s="295"/>
      <c r="AM35" s="295"/>
      <c r="AN35" s="295"/>
      <c r="AO35" s="295"/>
      <c r="AP35" s="295"/>
      <c r="AQ35" s="295"/>
      <c r="AR35" s="295"/>
      <c r="AS35" s="295"/>
      <c r="AT35" s="295"/>
      <c r="AU35" s="295"/>
    </row>
    <row r="36" spans="1:47" ht="17.25" hidden="1" customHeight="1">
      <c r="A36" s="295"/>
      <c r="B36" s="296"/>
      <c r="C36" s="297">
        <f t="shared" si="5"/>
        <v>19</v>
      </c>
      <c r="D36" s="297" t="str">
        <f t="array" ref="D36">IFERROR(IF(INDEX('Development-Hidden'!$A$2:$B$118,$C36,1)=$I$22,INDEX('Development-Hidden'!$A$2:$B$118,$C36,2),""),"")</f>
        <v/>
      </c>
      <c r="E36" s="298"/>
      <c r="F36" s="298"/>
      <c r="G36" s="298"/>
      <c r="H36" s="298"/>
      <c r="I36" s="298"/>
      <c r="J36" s="299"/>
      <c r="K36" s="295"/>
      <c r="L36" s="300"/>
      <c r="M36" s="300"/>
      <c r="N36" s="300"/>
      <c r="O36" s="300"/>
      <c r="P36" s="300"/>
      <c r="Q36" s="300"/>
      <c r="R36" s="300"/>
      <c r="S36" s="300"/>
      <c r="T36" s="301"/>
      <c r="U36" s="302"/>
      <c r="V36" s="301"/>
      <c r="W36" s="303"/>
      <c r="X36" s="303"/>
      <c r="Y36" s="303"/>
      <c r="Z36" s="303"/>
      <c r="AA36" s="298"/>
      <c r="AB36" s="295"/>
      <c r="AC36" s="295"/>
      <c r="AD36" s="295"/>
      <c r="AE36" s="295"/>
      <c r="AF36" s="295"/>
      <c r="AG36" s="295"/>
      <c r="AH36" s="295"/>
      <c r="AI36" s="295"/>
      <c r="AJ36" s="295"/>
      <c r="AK36" s="295"/>
      <c r="AL36" s="295"/>
      <c r="AM36" s="295"/>
      <c r="AN36" s="295"/>
      <c r="AO36" s="295"/>
      <c r="AP36" s="295"/>
      <c r="AQ36" s="295"/>
      <c r="AR36" s="295"/>
      <c r="AS36" s="295"/>
      <c r="AT36" s="295"/>
      <c r="AU36" s="295"/>
    </row>
    <row r="37" spans="1:47" ht="17.25" hidden="1" customHeight="1">
      <c r="A37" s="295"/>
      <c r="B37" s="296"/>
      <c r="C37" s="297">
        <f t="shared" si="5"/>
        <v>20</v>
      </c>
      <c r="D37" s="297" t="str">
        <f t="array" ref="D37">IFERROR(IF(INDEX('Development-Hidden'!$A$2:$B$118,$C37,1)=$I$22,INDEX('Development-Hidden'!$A$2:$B$118,$C37,2),""),"")</f>
        <v/>
      </c>
      <c r="E37" s="298"/>
      <c r="F37" s="298"/>
      <c r="G37" s="298"/>
      <c r="H37" s="298"/>
      <c r="I37" s="298"/>
      <c r="J37" s="299"/>
      <c r="K37" s="295"/>
      <c r="L37" s="300"/>
      <c r="M37" s="300"/>
      <c r="N37" s="300"/>
      <c r="O37" s="300"/>
      <c r="P37" s="300"/>
      <c r="Q37" s="300"/>
      <c r="R37" s="300"/>
      <c r="S37" s="300"/>
      <c r="T37" s="301"/>
      <c r="U37" s="302"/>
      <c r="V37" s="301"/>
      <c r="W37" s="303"/>
      <c r="X37" s="303"/>
      <c r="Y37" s="303"/>
      <c r="Z37" s="303"/>
      <c r="AA37" s="298"/>
      <c r="AB37" s="295"/>
      <c r="AC37" s="295"/>
      <c r="AD37" s="295"/>
      <c r="AE37" s="295"/>
      <c r="AF37" s="295"/>
      <c r="AG37" s="295"/>
      <c r="AH37" s="295"/>
      <c r="AI37" s="295"/>
      <c r="AJ37" s="295"/>
      <c r="AK37" s="295"/>
      <c r="AL37" s="295"/>
      <c r="AM37" s="295"/>
      <c r="AN37" s="295"/>
      <c r="AO37" s="295"/>
      <c r="AP37" s="295"/>
      <c r="AQ37" s="295"/>
      <c r="AR37" s="295"/>
      <c r="AS37" s="295"/>
      <c r="AT37" s="295"/>
      <c r="AU37" s="295"/>
    </row>
  </sheetData>
  <mergeCells count="27">
    <mergeCell ref="AL3:AO3"/>
    <mergeCell ref="P2:S2"/>
    <mergeCell ref="AP3:AT3"/>
    <mergeCell ref="AL21:AM21"/>
    <mergeCell ref="L22:S22"/>
    <mergeCell ref="E20:Z20"/>
    <mergeCell ref="I21:K21"/>
    <mergeCell ref="E21:H21"/>
    <mergeCell ref="L21:S21"/>
    <mergeCell ref="V22:Z22"/>
    <mergeCell ref="V21:Z21"/>
    <mergeCell ref="L23:S23"/>
    <mergeCell ref="V23:Z23"/>
    <mergeCell ref="I23:K23"/>
    <mergeCell ref="E23:H23"/>
    <mergeCell ref="B20:D26"/>
    <mergeCell ref="I25:K25"/>
    <mergeCell ref="E25:H25"/>
    <mergeCell ref="E24:H24"/>
    <mergeCell ref="I24:K24"/>
    <mergeCell ref="L25:S25"/>
    <mergeCell ref="E26:Z26"/>
    <mergeCell ref="V25:Z25"/>
    <mergeCell ref="V24:Z24"/>
    <mergeCell ref="L24:S24"/>
    <mergeCell ref="I22:K22"/>
    <mergeCell ref="E22:H22"/>
  </mergeCells>
  <conditionalFormatting sqref="AA4:AA19">
    <cfRule type="cellIs" dxfId="516" priority="1" operator="equal">
      <formula>0</formula>
    </cfRule>
  </conditionalFormatting>
  <conditionalFormatting sqref="J4">
    <cfRule type="expression" dxfId="515" priority="2">
      <formula>K4&lt;&gt;SUM(AD4:AI4)</formula>
    </cfRule>
  </conditionalFormatting>
  <conditionalFormatting sqref="I4:I19">
    <cfRule type="cellIs" dxfId="514" priority="3" stopIfTrue="1" operator="equal">
      <formula>"Player type quantity surpassed"</formula>
    </cfRule>
  </conditionalFormatting>
  <conditionalFormatting sqref="J5">
    <cfRule type="expression" dxfId="513" priority="4">
      <formula>K5&lt;&gt;SUM(AD5:AI5)</formula>
    </cfRule>
  </conditionalFormatting>
  <conditionalFormatting sqref="J6">
    <cfRule type="expression" dxfId="512" priority="5">
      <formula>K6&lt;&gt;SUM(AD6:AI6)</formula>
    </cfRule>
  </conditionalFormatting>
  <conditionalFormatting sqref="J7">
    <cfRule type="expression" dxfId="511" priority="6">
      <formula>K7&lt;&gt;SUM(AD7:AI7)</formula>
    </cfRule>
  </conditionalFormatting>
  <conditionalFormatting sqref="J8">
    <cfRule type="expression" dxfId="510" priority="7">
      <formula>K8&lt;&gt;SUM(AD8:AI8)</formula>
    </cfRule>
  </conditionalFormatting>
  <conditionalFormatting sqref="J9">
    <cfRule type="expression" dxfId="509" priority="8">
      <formula>K9&lt;&gt;SUM(AD9:AI9)</formula>
    </cfRule>
  </conditionalFormatting>
  <conditionalFormatting sqref="J10">
    <cfRule type="expression" dxfId="508" priority="9">
      <formula>K10&lt;&gt;SUM(AD10:AI10)</formula>
    </cfRule>
  </conditionalFormatting>
  <conditionalFormatting sqref="J11">
    <cfRule type="expression" dxfId="507" priority="10">
      <formula>K11&lt;&gt;SUM(AD11:AI11)</formula>
    </cfRule>
  </conditionalFormatting>
  <conditionalFormatting sqref="J12">
    <cfRule type="expression" dxfId="506" priority="11">
      <formula>K12&lt;&gt;SUM(AD12:AI12)</formula>
    </cfRule>
  </conditionalFormatting>
  <conditionalFormatting sqref="J13">
    <cfRule type="expression" dxfId="505" priority="12">
      <formula>K13&lt;&gt;SUM(AD13:AI13)</formula>
    </cfRule>
  </conditionalFormatting>
  <conditionalFormatting sqref="J14">
    <cfRule type="expression" dxfId="504" priority="13">
      <formula>K14&lt;&gt;SUM(AD14:AI14)</formula>
    </cfRule>
  </conditionalFormatting>
  <conditionalFormatting sqref="J15">
    <cfRule type="expression" dxfId="503" priority="14">
      <formula>K15&lt;&gt;SUM(AD15:AI15)</formula>
    </cfRule>
  </conditionalFormatting>
  <conditionalFormatting sqref="J16">
    <cfRule type="expression" dxfId="502" priority="15">
      <formula>K16&lt;&gt;SUM(AD16:AI16)</formula>
    </cfRule>
  </conditionalFormatting>
  <conditionalFormatting sqref="J17">
    <cfRule type="expression" dxfId="501" priority="16">
      <formula>K17&lt;&gt;SUM(AD17:AI17)</formula>
    </cfRule>
  </conditionalFormatting>
  <conditionalFormatting sqref="J18">
    <cfRule type="expression" dxfId="500" priority="17">
      <formula>K18&lt;&gt;SUM(AD18:AI18)</formula>
    </cfRule>
  </conditionalFormatting>
  <conditionalFormatting sqref="J19">
    <cfRule type="expression" dxfId="499" priority="18">
      <formula>K19&lt;&gt;SUM(AD19:AI19)</formula>
    </cfRule>
  </conditionalFormatting>
  <conditionalFormatting sqref="K4:K19">
    <cfRule type="cellIs" dxfId="498" priority="19" operator="equal">
      <formula>0</formula>
    </cfRule>
  </conditionalFormatting>
  <conditionalFormatting sqref="E4:H19">
    <cfRule type="expression" dxfId="497" priority="20">
      <formula>AF4&gt;0</formula>
    </cfRule>
  </conditionalFormatting>
  <conditionalFormatting sqref="E4:H19">
    <cfRule type="expression" dxfId="496" priority="21">
      <formula>P4&gt;0</formula>
    </cfRule>
  </conditionalFormatting>
  <conditionalFormatting sqref="I4:I19 T4:W19 Y4:Y19 U27:U37">
    <cfRule type="cellIs" dxfId="495" priority="22" stopIfTrue="1" operator="equal">
      <formula>0</formula>
    </cfRule>
  </conditionalFormatting>
  <conditionalFormatting sqref="AA27">
    <cfRule type="cellIs" dxfId="494" priority="23" stopIfTrue="1" operator="equal">
      <formula>"0,0"</formula>
    </cfRule>
  </conditionalFormatting>
  <conditionalFormatting sqref="K4:K19">
    <cfRule type="cellIs" dxfId="493" priority="24" stopIfTrue="1" operator="equal">
      <formula>"n/a"</formula>
    </cfRule>
  </conditionalFormatting>
  <conditionalFormatting sqref="P4:S19">
    <cfRule type="cellIs" dxfId="492" priority="25" stopIfTrue="1" operator="lessThanOrEqual">
      <formula>-1</formula>
    </cfRule>
  </conditionalFormatting>
  <conditionalFormatting sqref="V25:W25">
    <cfRule type="cellIs" dxfId="491" priority="26" stopIfTrue="1" operator="equal">
      <formula>-500</formula>
    </cfRule>
  </conditionalFormatting>
  <conditionalFormatting sqref="T25">
    <cfRule type="cellIs" dxfId="490" priority="27" stopIfTrue="1" operator="greaterThan">
      <formula>$V$25</formula>
    </cfRule>
  </conditionalFormatting>
  <conditionalFormatting sqref="Z4:Z19">
    <cfRule type="cellIs" dxfId="489" priority="28" stopIfTrue="1" operator="equal">
      <formula>"Star"</formula>
    </cfRule>
  </conditionalFormatting>
  <conditionalFormatting sqref="Z4:Z19">
    <cfRule type="cellIs" dxfId="488" priority="29" stopIfTrue="1" operator="equal">
      <formula>AA4</formula>
    </cfRule>
  </conditionalFormatting>
  <dataValidations count="2">
    <dataValidation type="list" allowBlank="1" showErrorMessage="1" sqref="D4:D19">
      <formula1>'CT2'!$D$28:$D$37</formula1>
    </dataValidation>
    <dataValidation type="list" allowBlank="1" showErrorMessage="1" sqref="I22">
      <formula1>'Development-Hidden'!$N$2:$N$28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37"/>
  <sheetViews>
    <sheetView showGridLines="0" workbookViewId="0">
      <selection activeCell="T25" sqref="T25"/>
    </sheetView>
  </sheetViews>
  <sheetFormatPr defaultColWidth="14.42578125" defaultRowHeight="15.75" customHeight="1"/>
  <cols>
    <col min="1" max="1" width="1.85546875" style="139" customWidth="1"/>
    <col min="2" max="2" width="3.140625" style="139" customWidth="1"/>
    <col min="3" max="3" width="19.28515625" style="139" customWidth="1"/>
    <col min="4" max="4" width="21.28515625" style="139" customWidth="1"/>
    <col min="5" max="8" width="3.42578125" style="139" customWidth="1"/>
    <col min="9" max="9" width="30.85546875" style="139" customWidth="1"/>
    <col min="10" max="10" width="23" style="139" customWidth="1"/>
    <col min="11" max="11" width="1.85546875" style="139" customWidth="1"/>
    <col min="12" max="15" width="2.42578125" style="139" customWidth="1"/>
    <col min="16" max="19" width="2.7109375" style="139" customWidth="1"/>
    <col min="20" max="21" width="3.28515625" style="139" customWidth="1"/>
    <col min="22" max="22" width="2.42578125" style="139" customWidth="1"/>
    <col min="23" max="23" width="3.28515625" style="139" customWidth="1"/>
    <col min="24" max="24" width="2.7109375" style="139" customWidth="1"/>
    <col min="25" max="25" width="3.28515625" style="139" customWidth="1"/>
    <col min="26" max="26" width="4.42578125" style="139" customWidth="1"/>
    <col min="27" max="27" width="10.28515625" style="139" customWidth="1"/>
    <col min="28" max="28" width="5.5703125" style="139" customWidth="1"/>
    <col min="29" max="29" width="8.85546875" style="139" customWidth="1"/>
    <col min="30" max="35" width="4.140625" style="139" customWidth="1"/>
    <col min="36" max="36" width="12.28515625" style="139" customWidth="1"/>
    <col min="37" max="37" width="6.42578125" style="139" customWidth="1"/>
    <col min="38" max="38" width="12.7109375" style="139" customWidth="1"/>
    <col min="39" max="39" width="11.42578125" style="139" customWidth="1"/>
    <col min="40" max="41" width="10.7109375" style="139" customWidth="1"/>
    <col min="42" max="42" width="26.140625" style="139" customWidth="1"/>
    <col min="43" max="44" width="10.7109375" style="139" customWidth="1"/>
    <col min="45" max="45" width="12.28515625" style="139" customWidth="1"/>
    <col min="46" max="46" width="10.7109375" style="139" customWidth="1"/>
    <col min="47" max="47" width="2.28515625" style="139" customWidth="1"/>
    <col min="48" max="16384" width="14.42578125" style="139"/>
  </cols>
  <sheetData>
    <row r="1" spans="1:47" ht="9" customHeight="1">
      <c r="A1" s="136"/>
      <c r="B1" s="137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</row>
    <row r="2" spans="1:47" ht="9.75" customHeight="1">
      <c r="A2" s="136"/>
      <c r="B2" s="140"/>
      <c r="C2" s="140"/>
      <c r="D2" s="141"/>
      <c r="E2" s="140"/>
      <c r="F2" s="140"/>
      <c r="G2" s="140"/>
      <c r="H2" s="140"/>
      <c r="I2" s="140"/>
      <c r="J2" s="140"/>
      <c r="K2" s="136"/>
      <c r="L2" s="140"/>
      <c r="M2" s="140"/>
      <c r="N2" s="140"/>
      <c r="O2" s="140"/>
      <c r="P2" s="602" t="s">
        <v>218</v>
      </c>
      <c r="Q2" s="572"/>
      <c r="R2" s="572"/>
      <c r="S2" s="573"/>
      <c r="T2" s="142"/>
      <c r="U2" s="142"/>
      <c r="V2" s="142"/>
      <c r="W2" s="142"/>
      <c r="X2" s="143"/>
      <c r="Y2" s="142"/>
      <c r="Z2" s="140"/>
      <c r="AA2" s="140"/>
      <c r="AB2" s="136"/>
      <c r="AC2" s="140"/>
      <c r="AD2" s="140"/>
      <c r="AE2" s="140"/>
      <c r="AF2" s="144"/>
      <c r="AG2" s="140"/>
      <c r="AH2" s="140"/>
      <c r="AI2" s="140"/>
      <c r="AJ2" s="140"/>
      <c r="AK2" s="136"/>
      <c r="AL2" s="145"/>
      <c r="AM2" s="145"/>
      <c r="AN2" s="145"/>
      <c r="AO2" s="145"/>
      <c r="AP2" s="145"/>
      <c r="AQ2" s="145"/>
      <c r="AR2" s="145"/>
      <c r="AS2" s="145"/>
      <c r="AT2" s="145"/>
      <c r="AU2" s="145"/>
    </row>
    <row r="3" spans="1:47" ht="8.25" customHeight="1">
      <c r="A3" s="137"/>
      <c r="B3" s="146" t="s">
        <v>203</v>
      </c>
      <c r="C3" s="147" t="s">
        <v>32</v>
      </c>
      <c r="D3" s="148" t="s">
        <v>229</v>
      </c>
      <c r="E3" s="149" t="s">
        <v>206</v>
      </c>
      <c r="F3" s="150" t="s">
        <v>207</v>
      </c>
      <c r="G3" s="151" t="s">
        <v>208</v>
      </c>
      <c r="H3" s="152" t="s">
        <v>209</v>
      </c>
      <c r="I3" s="153" t="s">
        <v>230</v>
      </c>
      <c r="J3" s="152" t="s">
        <v>231</v>
      </c>
      <c r="K3" s="154" t="s">
        <v>203</v>
      </c>
      <c r="L3" s="155" t="s">
        <v>232</v>
      </c>
      <c r="M3" s="156" t="s">
        <v>233</v>
      </c>
      <c r="N3" s="156" t="s">
        <v>234</v>
      </c>
      <c r="O3" s="157" t="s">
        <v>235</v>
      </c>
      <c r="P3" s="158" t="s">
        <v>206</v>
      </c>
      <c r="Q3" s="159" t="s">
        <v>207</v>
      </c>
      <c r="R3" s="159" t="s">
        <v>208</v>
      </c>
      <c r="S3" s="160" t="s">
        <v>209</v>
      </c>
      <c r="T3" s="161" t="s">
        <v>236</v>
      </c>
      <c r="U3" s="156" t="s">
        <v>237</v>
      </c>
      <c r="V3" s="156" t="s">
        <v>210</v>
      </c>
      <c r="W3" s="156" t="s">
        <v>240</v>
      </c>
      <c r="X3" s="162" t="s">
        <v>35</v>
      </c>
      <c r="Y3" s="157" t="s">
        <v>211</v>
      </c>
      <c r="Z3" s="153" t="s">
        <v>212</v>
      </c>
      <c r="AA3" s="163" t="s">
        <v>241</v>
      </c>
      <c r="AB3" s="136"/>
      <c r="AC3" s="146" t="s">
        <v>242</v>
      </c>
      <c r="AD3" s="153" t="s">
        <v>233</v>
      </c>
      <c r="AE3" s="150" t="s">
        <v>243</v>
      </c>
      <c r="AF3" s="164" t="str">
        <f>"+MA"</f>
        <v>+MA</v>
      </c>
      <c r="AG3" s="150" t="str">
        <f>"+ST"</f>
        <v>+ST</v>
      </c>
      <c r="AH3" s="150" t="str">
        <f>"+AG"</f>
        <v>+AG</v>
      </c>
      <c r="AI3" s="150" t="str">
        <f>"+AV"</f>
        <v>+AV</v>
      </c>
      <c r="AJ3" s="163" t="s">
        <v>244</v>
      </c>
      <c r="AK3" s="136"/>
      <c r="AL3" s="601" t="s">
        <v>245</v>
      </c>
      <c r="AM3" s="575"/>
      <c r="AN3" s="575"/>
      <c r="AO3" s="575"/>
      <c r="AP3" s="603" t="s">
        <v>246</v>
      </c>
      <c r="AQ3" s="575"/>
      <c r="AR3" s="575"/>
      <c r="AS3" s="575"/>
      <c r="AT3" s="575"/>
      <c r="AU3" s="145"/>
    </row>
    <row r="4" spans="1:47" ht="15.75" customHeight="1">
      <c r="A4" s="137"/>
      <c r="B4" s="165">
        <v>1</v>
      </c>
      <c r="C4" s="166" t="s">
        <v>282</v>
      </c>
      <c r="D4" s="167" t="s">
        <v>58</v>
      </c>
      <c r="E4" s="168">
        <f>IFERROR(VLOOKUP($I$22&amp;$D4,'Development-Hidden'!$C$2:$J$118,4,FALSE)-P4+AF4,"")</f>
        <v>6</v>
      </c>
      <c r="F4" s="169">
        <f>IFERROR(VLOOKUP($I$22&amp;$D4,'Development-Hidden'!$C$2:$J$118,5,FALSE)-Q4+AG4,"")</f>
        <v>3</v>
      </c>
      <c r="G4" s="169">
        <f>IFERROR(VLOOKUP($I$22&amp;$D4,'Development-Hidden'!$C$2:$J$118,6,FALSE)-R4+AH4,"")</f>
        <v>4</v>
      </c>
      <c r="H4" s="170">
        <f>IFERROR(VLOOKUP($I$22&amp;$D4,'Development-Hidden'!$C$2:$J$118,7,FALSE)-S4+AI4,"")</f>
        <v>7</v>
      </c>
      <c r="I4" s="171">
        <f>IFERROR(VLOOKUP($I$22&amp;$D4,'Development-Hidden'!$C$2:$J$118,8,FALSE),"")</f>
        <v>0</v>
      </c>
      <c r="J4" s="172"/>
      <c r="K4" s="173">
        <f t="shared" ref="K4:K19" si="0">IF(Z4&gt;175,6,IF(Z4&gt;75,5,IF(Z4&gt;50,4,IF(Z4&gt;30,3,IF(Z4&gt;15,2,IF(Z4&gt;5,1,0))))))</f>
        <v>0</v>
      </c>
      <c r="L4" s="174"/>
      <c r="M4" s="174"/>
      <c r="N4" s="174"/>
      <c r="O4" s="175"/>
      <c r="P4" s="176"/>
      <c r="Q4" s="177"/>
      <c r="R4" s="177"/>
      <c r="S4" s="178"/>
      <c r="T4" s="179"/>
      <c r="U4" s="180">
        <v>2</v>
      </c>
      <c r="V4" s="180"/>
      <c r="W4" s="180"/>
      <c r="X4" s="177"/>
      <c r="Y4" s="181"/>
      <c r="Z4" s="182">
        <f t="shared" ref="Z4:Z19" si="1">2*T4+U4+3*V4+2*W4+5*Y4</f>
        <v>2</v>
      </c>
      <c r="AA4" s="183">
        <f t="shared" ref="AA4:AA19" si="2">IF(L4=1,0,AC4+(20000*O4)+(20000*AD4)+(30000*AE4)+(30000*AF4)+(50000*AG4)+(40000*AH4)+(50000*AI4)+AJ4)</f>
        <v>60000</v>
      </c>
      <c r="AB4" s="136"/>
      <c r="AC4" s="184">
        <f>IFERROR(VLOOKUP($I$22&amp;D4,'Development-Hidden'!$C$2:$E$118,3,FALSE),"")</f>
        <v>60000</v>
      </c>
      <c r="AD4" s="179"/>
      <c r="AE4" s="180"/>
      <c r="AF4" s="180"/>
      <c r="AG4" s="180"/>
      <c r="AH4" s="180"/>
      <c r="AI4" s="180"/>
      <c r="AJ4" s="185"/>
      <c r="AK4" s="136"/>
      <c r="AL4" s="186" t="s">
        <v>252</v>
      </c>
      <c r="AM4" s="187">
        <v>0</v>
      </c>
      <c r="AN4" s="136"/>
      <c r="AO4" s="136"/>
      <c r="AP4" s="188"/>
      <c r="AQ4" s="189"/>
      <c r="AR4" s="189"/>
      <c r="AS4" s="186" t="s">
        <v>253</v>
      </c>
      <c r="AT4" s="304">
        <v>2</v>
      </c>
      <c r="AU4" s="191"/>
    </row>
    <row r="5" spans="1:47" ht="15.75" customHeight="1">
      <c r="A5" s="137"/>
      <c r="B5" s="192">
        <v>2</v>
      </c>
      <c r="C5" s="193" t="s">
        <v>284</v>
      </c>
      <c r="D5" s="194" t="s">
        <v>58</v>
      </c>
      <c r="E5" s="195">
        <f>IFERROR(VLOOKUP($I$22&amp;$D5,'Development-Hidden'!$C$2:$J$118,4,FALSE)-P5+AF5,"")</f>
        <v>6</v>
      </c>
      <c r="F5" s="196">
        <f>IFERROR(VLOOKUP($I$22&amp;$D5,'Development-Hidden'!$C$2:$J$118,5,FALSE)-Q5+AG5,"")</f>
        <v>3</v>
      </c>
      <c r="G5" s="196">
        <f>IFERROR(VLOOKUP($I$22&amp;$D5,'Development-Hidden'!$C$2:$J$118,6,FALSE)-R5+AH5,"")</f>
        <v>4</v>
      </c>
      <c r="H5" s="197">
        <f>IFERROR(VLOOKUP($I$22&amp;$D5,'Development-Hidden'!$C$2:$J$118,7,FALSE)-S5+AI5,"")</f>
        <v>7</v>
      </c>
      <c r="I5" s="198">
        <f>IFERROR(VLOOKUP($I$22&amp;$D5,'Development-Hidden'!$C$2:$J$118,8,FALSE),"")</f>
        <v>0</v>
      </c>
      <c r="J5" s="199" t="s">
        <v>291</v>
      </c>
      <c r="K5" s="200">
        <f t="shared" si="0"/>
        <v>1</v>
      </c>
      <c r="L5" s="201"/>
      <c r="M5" s="201"/>
      <c r="N5" s="201"/>
      <c r="O5" s="202"/>
      <c r="P5" s="203"/>
      <c r="Q5" s="204"/>
      <c r="R5" s="204"/>
      <c r="S5" s="205"/>
      <c r="T5" s="206"/>
      <c r="U5" s="207">
        <v>1</v>
      </c>
      <c r="V5" s="207"/>
      <c r="W5" s="207"/>
      <c r="X5" s="204"/>
      <c r="Y5" s="208">
        <v>1</v>
      </c>
      <c r="Z5" s="209">
        <f t="shared" si="1"/>
        <v>6</v>
      </c>
      <c r="AA5" s="183">
        <f t="shared" si="2"/>
        <v>80000</v>
      </c>
      <c r="AB5" s="136"/>
      <c r="AC5" s="210">
        <f>IFERROR(VLOOKUP($I$22&amp;D5,'Development-Hidden'!$C$2:$E$118,3,FALSE),"")</f>
        <v>60000</v>
      </c>
      <c r="AD5" s="206">
        <v>1</v>
      </c>
      <c r="AE5" s="207"/>
      <c r="AF5" s="207"/>
      <c r="AG5" s="207"/>
      <c r="AH5" s="207"/>
      <c r="AI5" s="207"/>
      <c r="AJ5" s="211"/>
      <c r="AK5" s="136"/>
      <c r="AL5" s="212" t="s">
        <v>256</v>
      </c>
      <c r="AM5" s="213" t="s">
        <v>257</v>
      </c>
      <c r="AN5" s="214" t="s">
        <v>258</v>
      </c>
      <c r="AO5" s="215" t="s">
        <v>259</v>
      </c>
      <c r="AP5" s="216" t="s">
        <v>260</v>
      </c>
      <c r="AQ5" s="214" t="s">
        <v>261</v>
      </c>
      <c r="AR5" s="217" t="s">
        <v>33</v>
      </c>
      <c r="AS5" s="217" t="s">
        <v>262</v>
      </c>
      <c r="AT5" s="218" t="s">
        <v>221</v>
      </c>
      <c r="AU5" s="144"/>
    </row>
    <row r="6" spans="1:47" ht="15.75" customHeight="1">
      <c r="A6" s="137"/>
      <c r="B6" s="192">
        <v>3</v>
      </c>
      <c r="C6" s="193" t="s">
        <v>265</v>
      </c>
      <c r="D6" s="194" t="s">
        <v>58</v>
      </c>
      <c r="E6" s="195">
        <f>IFERROR(VLOOKUP($I$22&amp;$D6,'Development-Hidden'!$C$2:$J$118,4,FALSE)-P6+AF6,"")</f>
        <v>6</v>
      </c>
      <c r="F6" s="196">
        <f>IFERROR(VLOOKUP($I$22&amp;$D6,'Development-Hidden'!$C$2:$J$118,5,FALSE)-Q6+AG6,"")</f>
        <v>3</v>
      </c>
      <c r="G6" s="196">
        <f>IFERROR(VLOOKUP($I$22&amp;$D6,'Development-Hidden'!$C$2:$J$118,6,FALSE)-R6+AH6,"")</f>
        <v>4</v>
      </c>
      <c r="H6" s="197">
        <f>IFERROR(VLOOKUP($I$22&amp;$D6,'Development-Hidden'!$C$2:$J$118,7,FALSE)-S6+AI6,"")</f>
        <v>7</v>
      </c>
      <c r="I6" s="198">
        <f>IFERROR(VLOOKUP($I$22&amp;$D6,'Development-Hidden'!$C$2:$J$118,8,FALSE),"")</f>
        <v>0</v>
      </c>
      <c r="J6" s="199" t="s">
        <v>377</v>
      </c>
      <c r="K6" s="200">
        <f t="shared" si="0"/>
        <v>1</v>
      </c>
      <c r="L6" s="201"/>
      <c r="M6" s="201"/>
      <c r="N6" s="201"/>
      <c r="O6" s="202"/>
      <c r="P6" s="203"/>
      <c r="Q6" s="204"/>
      <c r="R6" s="204"/>
      <c r="S6" s="205"/>
      <c r="T6" s="206"/>
      <c r="U6" s="207"/>
      <c r="V6" s="207"/>
      <c r="W6" s="207">
        <v>1</v>
      </c>
      <c r="X6" s="204"/>
      <c r="Y6" s="208">
        <v>1</v>
      </c>
      <c r="Z6" s="209">
        <f t="shared" si="1"/>
        <v>7</v>
      </c>
      <c r="AA6" s="183">
        <f t="shared" si="2"/>
        <v>90000</v>
      </c>
      <c r="AB6" s="136"/>
      <c r="AC6" s="210">
        <f>IFERROR(VLOOKUP($I$22&amp;D6,'Development-Hidden'!$C$2:$E$118,3,FALSE),"")</f>
        <v>60000</v>
      </c>
      <c r="AD6" s="206"/>
      <c r="AE6" s="207">
        <v>1</v>
      </c>
      <c r="AF6" s="207"/>
      <c r="AG6" s="207"/>
      <c r="AH6" s="207"/>
      <c r="AI6" s="207"/>
      <c r="AJ6" s="211"/>
      <c r="AK6" s="136"/>
      <c r="AL6" s="219" t="s">
        <v>267</v>
      </c>
      <c r="AM6" s="220"/>
      <c r="AN6" s="221"/>
      <c r="AO6" s="222"/>
      <c r="AP6" s="223"/>
      <c r="AQ6" s="221"/>
      <c r="AR6" s="224"/>
      <c r="AS6" s="225"/>
      <c r="AT6" s="226"/>
      <c r="AU6" s="136"/>
    </row>
    <row r="7" spans="1:47" ht="15.75" customHeight="1">
      <c r="A7" s="137"/>
      <c r="B7" s="192">
        <v>4</v>
      </c>
      <c r="C7" s="193" t="s">
        <v>275</v>
      </c>
      <c r="D7" s="194" t="s">
        <v>58</v>
      </c>
      <c r="E7" s="195">
        <f>IFERROR(VLOOKUP($I$22&amp;$D7,'Development-Hidden'!$C$2:$J$118,4,FALSE)-P7+AF7,"")</f>
        <v>6</v>
      </c>
      <c r="F7" s="196">
        <f>IFERROR(VLOOKUP($I$22&amp;$D7,'Development-Hidden'!$C$2:$J$118,5,FALSE)-Q7+AG7,"")</f>
        <v>3</v>
      </c>
      <c r="G7" s="196">
        <f>IFERROR(VLOOKUP($I$22&amp;$D7,'Development-Hidden'!$C$2:$J$118,6,FALSE)-R7+AH7,"")</f>
        <v>4</v>
      </c>
      <c r="H7" s="197">
        <f>IFERROR(VLOOKUP($I$22&amp;$D7,'Development-Hidden'!$C$2:$J$118,7,FALSE)-S7+AI7,"")</f>
        <v>7</v>
      </c>
      <c r="I7" s="198">
        <f>IFERROR(VLOOKUP($I$22&amp;$D7,'Development-Hidden'!$C$2:$J$118,8,FALSE),"")</f>
        <v>0</v>
      </c>
      <c r="J7" s="199"/>
      <c r="K7" s="200">
        <f t="shared" si="0"/>
        <v>0</v>
      </c>
      <c r="L7" s="201"/>
      <c r="M7" s="201"/>
      <c r="N7" s="201"/>
      <c r="O7" s="202"/>
      <c r="P7" s="203"/>
      <c r="Q7" s="204"/>
      <c r="R7" s="204"/>
      <c r="S7" s="205"/>
      <c r="T7" s="206"/>
      <c r="U7" s="207"/>
      <c r="V7" s="207"/>
      <c r="W7" s="207">
        <v>1</v>
      </c>
      <c r="X7" s="204"/>
      <c r="Y7" s="208"/>
      <c r="Z7" s="209">
        <f t="shared" si="1"/>
        <v>2</v>
      </c>
      <c r="AA7" s="183">
        <f t="shared" si="2"/>
        <v>60000</v>
      </c>
      <c r="AB7" s="136"/>
      <c r="AC7" s="210">
        <f>IFERROR(VLOOKUP($I$22&amp;D7,'Development-Hidden'!$C$2:$E$118,3,FALSE),"")</f>
        <v>60000</v>
      </c>
      <c r="AD7" s="206"/>
      <c r="AE7" s="207"/>
      <c r="AF7" s="207"/>
      <c r="AG7" s="207"/>
      <c r="AH7" s="207"/>
      <c r="AI7" s="207"/>
      <c r="AJ7" s="211"/>
      <c r="AK7" s="136"/>
      <c r="AL7" s="227" t="s">
        <v>278</v>
      </c>
      <c r="AM7" s="228"/>
      <c r="AN7" s="229"/>
      <c r="AO7" s="230"/>
      <c r="AP7" s="231"/>
      <c r="AQ7" s="229"/>
      <c r="AR7" s="232"/>
      <c r="AS7" s="233"/>
      <c r="AT7" s="234"/>
      <c r="AU7" s="136"/>
    </row>
    <row r="8" spans="1:47" ht="15.75" customHeight="1">
      <c r="A8" s="137"/>
      <c r="B8" s="192">
        <v>5</v>
      </c>
      <c r="C8" s="193" t="s">
        <v>285</v>
      </c>
      <c r="D8" s="194" t="s">
        <v>58</v>
      </c>
      <c r="E8" s="195">
        <f>IFERROR(VLOOKUP($I$22&amp;$D8,'Development-Hidden'!$C$2:$J$118,4,FALSE)-P8+AF8,"")</f>
        <v>6</v>
      </c>
      <c r="F8" s="196">
        <f>IFERROR(VLOOKUP($I$22&amp;$D8,'Development-Hidden'!$C$2:$J$118,5,FALSE)-Q8+AG8,"")</f>
        <v>3</v>
      </c>
      <c r="G8" s="196">
        <f>IFERROR(VLOOKUP($I$22&amp;$D8,'Development-Hidden'!$C$2:$J$118,6,FALSE)-R8+AH8,"")</f>
        <v>4</v>
      </c>
      <c r="H8" s="197">
        <f>IFERROR(VLOOKUP($I$22&amp;$D8,'Development-Hidden'!$C$2:$J$118,7,FALSE)-S8+AI8,"")</f>
        <v>7</v>
      </c>
      <c r="I8" s="198">
        <f>IFERROR(VLOOKUP($I$22&amp;$D8,'Development-Hidden'!$C$2:$J$118,8,FALSE),"")</f>
        <v>0</v>
      </c>
      <c r="J8" s="199" t="s">
        <v>291</v>
      </c>
      <c r="K8" s="200">
        <f t="shared" si="0"/>
        <v>1</v>
      </c>
      <c r="L8" s="201"/>
      <c r="M8" s="201"/>
      <c r="N8" s="201"/>
      <c r="O8" s="202"/>
      <c r="P8" s="203"/>
      <c r="Q8" s="204"/>
      <c r="R8" s="204"/>
      <c r="S8" s="205"/>
      <c r="T8" s="206"/>
      <c r="U8" s="207">
        <v>1</v>
      </c>
      <c r="V8" s="207"/>
      <c r="W8" s="207"/>
      <c r="X8" s="204"/>
      <c r="Y8" s="208">
        <v>1</v>
      </c>
      <c r="Z8" s="209">
        <f t="shared" si="1"/>
        <v>6</v>
      </c>
      <c r="AA8" s="183">
        <f t="shared" si="2"/>
        <v>80000</v>
      </c>
      <c r="AB8" s="136"/>
      <c r="AC8" s="210">
        <f>IFERROR(VLOOKUP($I$22&amp;D8,'Development-Hidden'!$C$2:$E$118,3,FALSE),"")</f>
        <v>60000</v>
      </c>
      <c r="AD8" s="206">
        <v>1</v>
      </c>
      <c r="AE8" s="207"/>
      <c r="AF8" s="207"/>
      <c r="AG8" s="207"/>
      <c r="AH8" s="207"/>
      <c r="AI8" s="207"/>
      <c r="AJ8" s="211"/>
      <c r="AK8" s="136"/>
      <c r="AL8" s="227" t="s">
        <v>289</v>
      </c>
      <c r="AM8" s="228"/>
      <c r="AN8" s="229"/>
      <c r="AO8" s="230"/>
      <c r="AP8" s="231"/>
      <c r="AQ8" s="229"/>
      <c r="AR8" s="232"/>
      <c r="AS8" s="233"/>
      <c r="AT8" s="234"/>
      <c r="AU8" s="136"/>
    </row>
    <row r="9" spans="1:47" ht="15.75" customHeight="1">
      <c r="A9" s="137"/>
      <c r="B9" s="192">
        <v>6</v>
      </c>
      <c r="C9" s="193"/>
      <c r="D9" s="194"/>
      <c r="E9" s="195" t="str">
        <f>IFERROR(VLOOKUP($I$22&amp;$D9,'Development-Hidden'!$C$2:$J$118,4,FALSE)-P9+AF9,"")</f>
        <v/>
      </c>
      <c r="F9" s="196" t="str">
        <f>IFERROR(VLOOKUP($I$22&amp;$D9,'Development-Hidden'!$C$2:$J$118,5,FALSE)-Q9+AG9,"")</f>
        <v/>
      </c>
      <c r="G9" s="196" t="str">
        <f>IFERROR(VLOOKUP($I$22&amp;$D9,'Development-Hidden'!$C$2:$J$118,6,FALSE)-R9+AH9,"")</f>
        <v/>
      </c>
      <c r="H9" s="197" t="str">
        <f>IFERROR(VLOOKUP($I$22&amp;$D9,'Development-Hidden'!$C$2:$J$118,7,FALSE)-S9+AI9,"")</f>
        <v/>
      </c>
      <c r="I9" s="198" t="str">
        <f>IFERROR(VLOOKUP($I$22&amp;$D9,'Development-Hidden'!$C$2:$J$118,8,FALSE),"")</f>
        <v/>
      </c>
      <c r="J9" s="199"/>
      <c r="K9" s="200">
        <f t="shared" si="0"/>
        <v>0</v>
      </c>
      <c r="L9" s="201"/>
      <c r="M9" s="201"/>
      <c r="N9" s="201"/>
      <c r="O9" s="202"/>
      <c r="P9" s="203"/>
      <c r="Q9" s="204"/>
      <c r="R9" s="204"/>
      <c r="S9" s="205"/>
      <c r="T9" s="206"/>
      <c r="U9" s="207"/>
      <c r="V9" s="207"/>
      <c r="W9" s="207"/>
      <c r="X9" s="204"/>
      <c r="Y9" s="208"/>
      <c r="Z9" s="209">
        <f t="shared" si="1"/>
        <v>0</v>
      </c>
      <c r="AA9" s="183">
        <f t="shared" si="2"/>
        <v>0</v>
      </c>
      <c r="AB9" s="136"/>
      <c r="AC9" s="210" t="str">
        <f>IFERROR(VLOOKUP($I$22&amp;D9,'Development-Hidden'!$C$2:$E$118,3,FALSE),"0")</f>
        <v>0</v>
      </c>
      <c r="AD9" s="206"/>
      <c r="AE9" s="207"/>
      <c r="AF9" s="207"/>
      <c r="AG9" s="207"/>
      <c r="AH9" s="207"/>
      <c r="AI9" s="207"/>
      <c r="AJ9" s="211"/>
      <c r="AK9" s="136"/>
      <c r="AL9" s="227" t="s">
        <v>296</v>
      </c>
      <c r="AM9" s="228"/>
      <c r="AN9" s="229"/>
      <c r="AO9" s="230"/>
      <c r="AP9" s="231"/>
      <c r="AQ9" s="229"/>
      <c r="AR9" s="232"/>
      <c r="AS9" s="233"/>
      <c r="AT9" s="234"/>
      <c r="AU9" s="136"/>
    </row>
    <row r="10" spans="1:47" ht="15.75" customHeight="1">
      <c r="A10" s="137"/>
      <c r="B10" s="192">
        <v>7</v>
      </c>
      <c r="C10" s="193"/>
      <c r="D10" s="194"/>
      <c r="E10" s="195" t="str">
        <f>IFERROR(VLOOKUP($I$22&amp;$D10,'Development-Hidden'!$C$2:$J$118,4,FALSE)-P10+AF10,"")</f>
        <v/>
      </c>
      <c r="F10" s="196" t="str">
        <f>IFERROR(VLOOKUP($I$22&amp;$D10,'Development-Hidden'!$C$2:$J$118,5,FALSE)-Q10+AG10,"")</f>
        <v/>
      </c>
      <c r="G10" s="196" t="str">
        <f>IFERROR(VLOOKUP($I$22&amp;$D10,'Development-Hidden'!$C$2:$J$118,6,FALSE)-R10+AH10,"")</f>
        <v/>
      </c>
      <c r="H10" s="197" t="str">
        <f>IFERROR(VLOOKUP($I$22&amp;$D10,'Development-Hidden'!$C$2:$J$118,7,FALSE)-S10+AI10,"")</f>
        <v/>
      </c>
      <c r="I10" s="198" t="str">
        <f>IFERROR(VLOOKUP($I$22&amp;$D10,'Development-Hidden'!$C$2:$J$118,8,FALSE),"")</f>
        <v/>
      </c>
      <c r="J10" s="199"/>
      <c r="K10" s="200">
        <f t="shared" si="0"/>
        <v>0</v>
      </c>
      <c r="L10" s="201"/>
      <c r="M10" s="201"/>
      <c r="N10" s="201"/>
      <c r="O10" s="202"/>
      <c r="P10" s="203"/>
      <c r="Q10" s="204"/>
      <c r="R10" s="204"/>
      <c r="S10" s="205"/>
      <c r="T10" s="206"/>
      <c r="U10" s="207"/>
      <c r="V10" s="207"/>
      <c r="W10" s="207"/>
      <c r="X10" s="204"/>
      <c r="Y10" s="208"/>
      <c r="Z10" s="209">
        <f t="shared" si="1"/>
        <v>0</v>
      </c>
      <c r="AA10" s="183">
        <f t="shared" si="2"/>
        <v>0</v>
      </c>
      <c r="AB10" s="136"/>
      <c r="AC10" s="210" t="str">
        <f>IFERROR(VLOOKUP($I$22&amp;D10,'Development-Hidden'!$C$2:$E$118,3,FALSE),"0")</f>
        <v>0</v>
      </c>
      <c r="AD10" s="206"/>
      <c r="AE10" s="207"/>
      <c r="AF10" s="207"/>
      <c r="AG10" s="207"/>
      <c r="AH10" s="207"/>
      <c r="AI10" s="207"/>
      <c r="AJ10" s="211"/>
      <c r="AK10" s="136"/>
      <c r="AL10" s="227" t="s">
        <v>306</v>
      </c>
      <c r="AM10" s="228"/>
      <c r="AN10" s="229"/>
      <c r="AO10" s="230"/>
      <c r="AP10" s="231"/>
      <c r="AQ10" s="229"/>
      <c r="AR10" s="232"/>
      <c r="AS10" s="233"/>
      <c r="AT10" s="234"/>
      <c r="AU10" s="136"/>
    </row>
    <row r="11" spans="1:47" ht="15.75" customHeight="1">
      <c r="A11" s="137"/>
      <c r="B11" s="192">
        <v>8</v>
      </c>
      <c r="C11" s="193"/>
      <c r="D11" s="194"/>
      <c r="E11" s="195" t="str">
        <f>IFERROR(VLOOKUP($I$22&amp;$D11,'Development-Hidden'!$C$2:$J$118,4,FALSE)-P11+AF11,"")</f>
        <v/>
      </c>
      <c r="F11" s="196" t="str">
        <f>IFERROR(VLOOKUP($I$22&amp;$D11,'Development-Hidden'!$C$2:$J$118,5,FALSE)-Q11+AG11,"")</f>
        <v/>
      </c>
      <c r="G11" s="196" t="str">
        <f>IFERROR(VLOOKUP($I$22&amp;$D11,'Development-Hidden'!$C$2:$J$118,6,FALSE)-R11+AH11,"")</f>
        <v/>
      </c>
      <c r="H11" s="197" t="str">
        <f>IFERROR(VLOOKUP($I$22&amp;$D11,'Development-Hidden'!$C$2:$J$118,7,FALSE)-S11+AI11,"")</f>
        <v/>
      </c>
      <c r="I11" s="198" t="str">
        <f>IFERROR(VLOOKUP($I$22&amp;$D11,'Development-Hidden'!$C$2:$J$118,8,FALSE),"")</f>
        <v/>
      </c>
      <c r="J11" s="199"/>
      <c r="K11" s="200">
        <f t="shared" si="0"/>
        <v>0</v>
      </c>
      <c r="L11" s="201"/>
      <c r="M11" s="201"/>
      <c r="N11" s="201"/>
      <c r="O11" s="202"/>
      <c r="P11" s="203"/>
      <c r="Q11" s="204"/>
      <c r="R11" s="204"/>
      <c r="S11" s="205"/>
      <c r="T11" s="206"/>
      <c r="U11" s="207"/>
      <c r="V11" s="207"/>
      <c r="W11" s="207"/>
      <c r="X11" s="204"/>
      <c r="Y11" s="208"/>
      <c r="Z11" s="209">
        <f t="shared" si="1"/>
        <v>0</v>
      </c>
      <c r="AA11" s="183">
        <f t="shared" si="2"/>
        <v>0</v>
      </c>
      <c r="AB11" s="136"/>
      <c r="AC11" s="210" t="str">
        <f>IFERROR(VLOOKUP($I$22&amp;D11,'Development-Hidden'!$C$2:$E$118,3,FALSE),"0")</f>
        <v>0</v>
      </c>
      <c r="AD11" s="206"/>
      <c r="AE11" s="207"/>
      <c r="AF11" s="207"/>
      <c r="AG11" s="207"/>
      <c r="AH11" s="207"/>
      <c r="AI11" s="207"/>
      <c r="AJ11" s="211"/>
      <c r="AK11" s="136"/>
      <c r="AL11" s="227" t="s">
        <v>316</v>
      </c>
      <c r="AM11" s="228"/>
      <c r="AN11" s="229"/>
      <c r="AO11" s="230"/>
      <c r="AP11" s="231"/>
      <c r="AQ11" s="229"/>
      <c r="AR11" s="232"/>
      <c r="AS11" s="233"/>
      <c r="AT11" s="234"/>
      <c r="AU11" s="136"/>
    </row>
    <row r="12" spans="1:47" ht="15.75" customHeight="1">
      <c r="A12" s="137"/>
      <c r="B12" s="192">
        <v>9</v>
      </c>
      <c r="C12" s="193"/>
      <c r="D12" s="194"/>
      <c r="E12" s="195" t="str">
        <f>IFERROR(VLOOKUP($I$22&amp;$D12,'Development-Hidden'!$C$2:$J$118,4,FALSE)-P12+AF12,"")</f>
        <v/>
      </c>
      <c r="F12" s="196" t="str">
        <f>IFERROR(VLOOKUP($I$22&amp;$D12,'Development-Hidden'!$C$2:$J$118,5,FALSE)-Q12+AG12,"")</f>
        <v/>
      </c>
      <c r="G12" s="196" t="str">
        <f>IFERROR(VLOOKUP($I$22&amp;$D12,'Development-Hidden'!$C$2:$J$118,6,FALSE)-R12+AH12,"")</f>
        <v/>
      </c>
      <c r="H12" s="197" t="str">
        <f>IFERROR(VLOOKUP($I$22&amp;$D12,'Development-Hidden'!$C$2:$J$118,7,FALSE)-S12+AI12,"")</f>
        <v/>
      </c>
      <c r="I12" s="198" t="str">
        <f>IFERROR(VLOOKUP($I$22&amp;$D12,'Development-Hidden'!$C$2:$J$118,8,FALSE),"")</f>
        <v/>
      </c>
      <c r="J12" s="199"/>
      <c r="K12" s="200">
        <f t="shared" si="0"/>
        <v>0</v>
      </c>
      <c r="L12" s="201"/>
      <c r="M12" s="201"/>
      <c r="N12" s="201"/>
      <c r="O12" s="202"/>
      <c r="P12" s="203"/>
      <c r="Q12" s="204"/>
      <c r="R12" s="204"/>
      <c r="S12" s="205"/>
      <c r="T12" s="206"/>
      <c r="U12" s="207"/>
      <c r="V12" s="207"/>
      <c r="W12" s="207"/>
      <c r="X12" s="204"/>
      <c r="Y12" s="208"/>
      <c r="Z12" s="209">
        <f t="shared" si="1"/>
        <v>0</v>
      </c>
      <c r="AA12" s="183">
        <f t="shared" si="2"/>
        <v>0</v>
      </c>
      <c r="AB12" s="136"/>
      <c r="AC12" s="210" t="str">
        <f>IFERROR(VLOOKUP($I$22&amp;D12,'Development-Hidden'!$C$2:$E$118,3,FALSE),"0")</f>
        <v>0</v>
      </c>
      <c r="AD12" s="206"/>
      <c r="AE12" s="207"/>
      <c r="AF12" s="207"/>
      <c r="AG12" s="207"/>
      <c r="AH12" s="207"/>
      <c r="AI12" s="207"/>
      <c r="AJ12" s="211"/>
      <c r="AK12" s="136"/>
      <c r="AL12" s="227" t="s">
        <v>330</v>
      </c>
      <c r="AM12" s="228"/>
      <c r="AN12" s="229"/>
      <c r="AO12" s="230"/>
      <c r="AP12" s="231"/>
      <c r="AQ12" s="229"/>
      <c r="AR12" s="232"/>
      <c r="AS12" s="233"/>
      <c r="AT12" s="234"/>
      <c r="AU12" s="136"/>
    </row>
    <row r="13" spans="1:47" ht="15.75" customHeight="1">
      <c r="A13" s="137"/>
      <c r="B13" s="192">
        <v>10</v>
      </c>
      <c r="C13" s="193"/>
      <c r="D13" s="194"/>
      <c r="E13" s="195" t="str">
        <f>IFERROR(VLOOKUP($I$22&amp;$D13,'Development-Hidden'!$C$2:$J$118,4,FALSE)-P13+AF13,"")</f>
        <v/>
      </c>
      <c r="F13" s="196" t="str">
        <f>IFERROR(VLOOKUP($I$22&amp;$D13,'Development-Hidden'!$C$2:$J$118,5,FALSE)-Q13+AG13,"")</f>
        <v/>
      </c>
      <c r="G13" s="196" t="str">
        <f>IFERROR(VLOOKUP($I$22&amp;$D13,'Development-Hidden'!$C$2:$J$118,6,FALSE)-R13+AH13,"")</f>
        <v/>
      </c>
      <c r="H13" s="197" t="str">
        <f>IFERROR(VLOOKUP($I$22&amp;$D13,'Development-Hidden'!$C$2:$J$118,7,FALSE)-S13+AI13,"")</f>
        <v/>
      </c>
      <c r="I13" s="198" t="str">
        <f>IFERROR(VLOOKUP($I$22&amp;$D13,'Development-Hidden'!$C$2:$J$118,8,FALSE),"")</f>
        <v/>
      </c>
      <c r="J13" s="199"/>
      <c r="K13" s="200">
        <f t="shared" si="0"/>
        <v>0</v>
      </c>
      <c r="L13" s="201"/>
      <c r="M13" s="201"/>
      <c r="N13" s="201"/>
      <c r="O13" s="202"/>
      <c r="P13" s="203"/>
      <c r="Q13" s="204"/>
      <c r="R13" s="204"/>
      <c r="S13" s="205"/>
      <c r="T13" s="206"/>
      <c r="U13" s="207"/>
      <c r="V13" s="207"/>
      <c r="W13" s="207"/>
      <c r="X13" s="204"/>
      <c r="Y13" s="208"/>
      <c r="Z13" s="209">
        <f t="shared" si="1"/>
        <v>0</v>
      </c>
      <c r="AA13" s="183">
        <f t="shared" si="2"/>
        <v>0</v>
      </c>
      <c r="AB13" s="136"/>
      <c r="AC13" s="210" t="str">
        <f>IFERROR(VLOOKUP($I$22&amp;D13,'Development-Hidden'!$C$2:$E$118,3,FALSE),"0")</f>
        <v>0</v>
      </c>
      <c r="AD13" s="206"/>
      <c r="AE13" s="207"/>
      <c r="AF13" s="207"/>
      <c r="AG13" s="207"/>
      <c r="AH13" s="207"/>
      <c r="AI13" s="207"/>
      <c r="AJ13" s="211"/>
      <c r="AK13" s="136"/>
      <c r="AL13" s="227" t="s">
        <v>342</v>
      </c>
      <c r="AM13" s="228"/>
      <c r="AN13" s="229"/>
      <c r="AO13" s="230"/>
      <c r="AP13" s="231"/>
      <c r="AQ13" s="229"/>
      <c r="AR13" s="232"/>
      <c r="AS13" s="233"/>
      <c r="AT13" s="234"/>
      <c r="AU13" s="136"/>
    </row>
    <row r="14" spans="1:47" ht="15.75" customHeight="1">
      <c r="A14" s="137"/>
      <c r="B14" s="192">
        <v>11</v>
      </c>
      <c r="C14" s="193"/>
      <c r="D14" s="194"/>
      <c r="E14" s="195" t="str">
        <f>IFERROR(VLOOKUP($I$22&amp;$D14,'Development-Hidden'!$C$2:$J$118,4,FALSE)-P14+AF14,"")</f>
        <v/>
      </c>
      <c r="F14" s="196" t="str">
        <f>IFERROR(VLOOKUP($I$22&amp;$D14,'Development-Hidden'!$C$2:$J$118,5,FALSE)-Q14+AG14,"")</f>
        <v/>
      </c>
      <c r="G14" s="196" t="str">
        <f>IFERROR(VLOOKUP($I$22&amp;$D14,'Development-Hidden'!$C$2:$J$118,6,FALSE)-R14+AH14,"")</f>
        <v/>
      </c>
      <c r="H14" s="197" t="str">
        <f>IFERROR(VLOOKUP($I$22&amp;$D14,'Development-Hidden'!$C$2:$J$118,7,FALSE)-S14+AI14,"")</f>
        <v/>
      </c>
      <c r="I14" s="198" t="str">
        <f>IFERROR(VLOOKUP($I$22&amp;$D14,'Development-Hidden'!$C$2:$J$118,8,FALSE),"")</f>
        <v/>
      </c>
      <c r="J14" s="199"/>
      <c r="K14" s="200">
        <f t="shared" si="0"/>
        <v>0</v>
      </c>
      <c r="L14" s="201"/>
      <c r="M14" s="201"/>
      <c r="N14" s="201"/>
      <c r="O14" s="202"/>
      <c r="P14" s="203"/>
      <c r="Q14" s="204"/>
      <c r="R14" s="204"/>
      <c r="S14" s="205"/>
      <c r="T14" s="206"/>
      <c r="U14" s="207"/>
      <c r="V14" s="207"/>
      <c r="W14" s="207"/>
      <c r="X14" s="204"/>
      <c r="Y14" s="208"/>
      <c r="Z14" s="209">
        <f t="shared" si="1"/>
        <v>0</v>
      </c>
      <c r="AA14" s="183">
        <f t="shared" si="2"/>
        <v>0</v>
      </c>
      <c r="AB14" s="136"/>
      <c r="AC14" s="210" t="str">
        <f>IFERROR(VLOOKUP($I$22&amp;D14,'Development-Hidden'!$C$2:$E$118,3,FALSE),"0")</f>
        <v>0</v>
      </c>
      <c r="AD14" s="206"/>
      <c r="AE14" s="207"/>
      <c r="AF14" s="207"/>
      <c r="AG14" s="207"/>
      <c r="AH14" s="207"/>
      <c r="AI14" s="207"/>
      <c r="AJ14" s="211"/>
      <c r="AK14" s="136"/>
      <c r="AL14" s="227" t="s">
        <v>354</v>
      </c>
      <c r="AM14" s="228"/>
      <c r="AN14" s="229"/>
      <c r="AO14" s="230"/>
      <c r="AP14" s="231"/>
      <c r="AQ14" s="229"/>
      <c r="AR14" s="232"/>
      <c r="AS14" s="233"/>
      <c r="AT14" s="234"/>
      <c r="AU14" s="136"/>
    </row>
    <row r="15" spans="1:47" ht="15.75" customHeight="1">
      <c r="A15" s="137"/>
      <c r="B15" s="192">
        <v>12</v>
      </c>
      <c r="C15" s="193" t="s">
        <v>283</v>
      </c>
      <c r="D15" s="194" t="s">
        <v>42</v>
      </c>
      <c r="E15" s="195">
        <f>IFERROR(VLOOKUP($I$22&amp;$D15,'Development-Hidden'!$C$2:$J$118,4,FALSE)-P15+AF15,"")</f>
        <v>8</v>
      </c>
      <c r="F15" s="196">
        <f>IFERROR(VLOOKUP($I$22&amp;$D15,'Development-Hidden'!$C$2:$J$118,5,FALSE)-Q15+AG15,"")</f>
        <v>3</v>
      </c>
      <c r="G15" s="196">
        <f>IFERROR(VLOOKUP($I$22&amp;$D15,'Development-Hidden'!$C$2:$J$118,6,FALSE)-R15+AH15,"")</f>
        <v>4</v>
      </c>
      <c r="H15" s="197">
        <f>IFERROR(VLOOKUP($I$22&amp;$D15,'Development-Hidden'!$C$2:$J$118,7,FALSE)-S15+AI15,"")</f>
        <v>7</v>
      </c>
      <c r="I15" s="198" t="str">
        <f>IFERROR(VLOOKUP($I$22&amp;$D15,'Development-Hidden'!$C$2:$J$118,8,FALSE),"")</f>
        <v>Catch, Nerves of Steel</v>
      </c>
      <c r="J15" s="199"/>
      <c r="K15" s="200">
        <f t="shared" si="0"/>
        <v>0</v>
      </c>
      <c r="L15" s="201"/>
      <c r="M15" s="201"/>
      <c r="N15" s="201"/>
      <c r="O15" s="202"/>
      <c r="P15" s="203"/>
      <c r="Q15" s="204"/>
      <c r="R15" s="204"/>
      <c r="S15" s="205"/>
      <c r="T15" s="206"/>
      <c r="U15" s="207">
        <v>2</v>
      </c>
      <c r="V15" s="207"/>
      <c r="W15" s="207"/>
      <c r="X15" s="204"/>
      <c r="Y15" s="208"/>
      <c r="Z15" s="209">
        <f t="shared" si="1"/>
        <v>2</v>
      </c>
      <c r="AA15" s="183">
        <f t="shared" si="2"/>
        <v>100000</v>
      </c>
      <c r="AB15" s="136"/>
      <c r="AC15" s="210">
        <f>IFERROR(VLOOKUP($I$22&amp;D15,'Development-Hidden'!$C$2:$E$118,3,FALSE),"")</f>
        <v>100000</v>
      </c>
      <c r="AD15" s="206"/>
      <c r="AE15" s="207"/>
      <c r="AF15" s="207"/>
      <c r="AG15" s="207"/>
      <c r="AH15" s="207"/>
      <c r="AI15" s="207"/>
      <c r="AJ15" s="211"/>
      <c r="AK15" s="136"/>
      <c r="AL15" s="227" t="s">
        <v>355</v>
      </c>
      <c r="AM15" s="228"/>
      <c r="AN15" s="229"/>
      <c r="AO15" s="230"/>
      <c r="AP15" s="231"/>
      <c r="AQ15" s="229"/>
      <c r="AR15" s="232"/>
      <c r="AS15" s="233"/>
      <c r="AT15" s="234"/>
      <c r="AU15" s="136"/>
    </row>
    <row r="16" spans="1:47" ht="15.75" customHeight="1">
      <c r="A16" s="137"/>
      <c r="B16" s="192">
        <v>13</v>
      </c>
      <c r="C16" s="193" t="s">
        <v>202</v>
      </c>
      <c r="D16" s="194" t="s">
        <v>42</v>
      </c>
      <c r="E16" s="195">
        <f>IFERROR(VLOOKUP($I$22&amp;$D16,'Development-Hidden'!$C$2:$J$118,4,FALSE)-P16+AF16,"")</f>
        <v>8</v>
      </c>
      <c r="F16" s="196">
        <f>IFERROR(VLOOKUP($I$22&amp;$D16,'Development-Hidden'!$C$2:$J$118,5,FALSE)-Q16+AG16,"")</f>
        <v>3</v>
      </c>
      <c r="G16" s="196">
        <f>IFERROR(VLOOKUP($I$22&amp;$D16,'Development-Hidden'!$C$2:$J$118,6,FALSE)-R16+AH16,"")</f>
        <v>5</v>
      </c>
      <c r="H16" s="197">
        <f>IFERROR(VLOOKUP($I$22&amp;$D16,'Development-Hidden'!$C$2:$J$118,7,FALSE)-S16+AI16,"")</f>
        <v>7</v>
      </c>
      <c r="I16" s="198" t="str">
        <f>IFERROR(VLOOKUP($I$22&amp;$D16,'Development-Hidden'!$C$2:$J$118,8,FALSE),"")</f>
        <v>Catch, Nerves of Steel</v>
      </c>
      <c r="J16" s="199" t="s">
        <v>377</v>
      </c>
      <c r="K16" s="200">
        <f t="shared" si="0"/>
        <v>2</v>
      </c>
      <c r="L16" s="201"/>
      <c r="M16" s="201"/>
      <c r="N16" s="201"/>
      <c r="O16" s="202"/>
      <c r="P16" s="203"/>
      <c r="Q16" s="204"/>
      <c r="R16" s="204"/>
      <c r="S16" s="205"/>
      <c r="T16" s="206"/>
      <c r="U16" s="207">
        <v>1</v>
      </c>
      <c r="V16" s="207">
        <v>5</v>
      </c>
      <c r="W16" s="207"/>
      <c r="X16" s="204"/>
      <c r="Y16" s="208"/>
      <c r="Z16" s="209">
        <f t="shared" si="1"/>
        <v>16</v>
      </c>
      <c r="AA16" s="183">
        <f t="shared" si="2"/>
        <v>170000</v>
      </c>
      <c r="AB16" s="136"/>
      <c r="AC16" s="210">
        <f>IFERROR(VLOOKUP($I$22&amp;D16,'Development-Hidden'!$C$2:$E$118,3,FALSE),"")</f>
        <v>100000</v>
      </c>
      <c r="AD16" s="206"/>
      <c r="AE16" s="207">
        <v>1</v>
      </c>
      <c r="AF16" s="207"/>
      <c r="AG16" s="207"/>
      <c r="AH16" s="207">
        <v>1</v>
      </c>
      <c r="AI16" s="207"/>
      <c r="AJ16" s="211"/>
      <c r="AK16" s="136"/>
      <c r="AL16" s="227" t="s">
        <v>357</v>
      </c>
      <c r="AM16" s="228"/>
      <c r="AN16" s="229"/>
      <c r="AO16" s="230"/>
      <c r="AP16" s="231"/>
      <c r="AQ16" s="229"/>
      <c r="AR16" s="232"/>
      <c r="AS16" s="233"/>
      <c r="AT16" s="234"/>
      <c r="AU16" s="136"/>
    </row>
    <row r="17" spans="1:47" ht="15.75" customHeight="1">
      <c r="A17" s="137"/>
      <c r="B17" s="192">
        <v>14</v>
      </c>
      <c r="C17" s="193" t="s">
        <v>214</v>
      </c>
      <c r="D17" s="194" t="s">
        <v>42</v>
      </c>
      <c r="E17" s="195">
        <f>IFERROR(VLOOKUP($I$22&amp;$D17,'Development-Hidden'!$C$2:$J$118,4,FALSE)-P17+AF17,"")</f>
        <v>8</v>
      </c>
      <c r="F17" s="196">
        <f>IFERROR(VLOOKUP($I$22&amp;$D17,'Development-Hidden'!$C$2:$J$118,5,FALSE)-Q17+AG17,"")</f>
        <v>3</v>
      </c>
      <c r="G17" s="196">
        <f>IFERROR(VLOOKUP($I$22&amp;$D17,'Development-Hidden'!$C$2:$J$118,6,FALSE)-R17+AH17,"")</f>
        <v>4</v>
      </c>
      <c r="H17" s="197">
        <f>IFERROR(VLOOKUP($I$22&amp;$D17,'Development-Hidden'!$C$2:$J$118,7,FALSE)-S17+AI17,"")</f>
        <v>7</v>
      </c>
      <c r="I17" s="198" t="str">
        <f>IFERROR(VLOOKUP($I$22&amp;$D17,'Development-Hidden'!$C$2:$J$118,8,FALSE),"")</f>
        <v>Catch, Nerves of Steel</v>
      </c>
      <c r="J17" s="199" t="s">
        <v>421</v>
      </c>
      <c r="K17" s="200">
        <f t="shared" si="0"/>
        <v>2</v>
      </c>
      <c r="L17" s="201"/>
      <c r="M17" s="201"/>
      <c r="N17" s="201"/>
      <c r="O17" s="202"/>
      <c r="P17" s="203"/>
      <c r="Q17" s="204"/>
      <c r="R17" s="204"/>
      <c r="S17" s="205"/>
      <c r="T17" s="206"/>
      <c r="U17" s="207">
        <v>4</v>
      </c>
      <c r="V17" s="207">
        <v>2</v>
      </c>
      <c r="W17" s="207"/>
      <c r="X17" s="204"/>
      <c r="Y17" s="208">
        <v>2</v>
      </c>
      <c r="Z17" s="209">
        <f t="shared" si="1"/>
        <v>20</v>
      </c>
      <c r="AA17" s="183">
        <f t="shared" si="2"/>
        <v>140000</v>
      </c>
      <c r="AB17" s="136"/>
      <c r="AC17" s="210">
        <f>IFERROR(VLOOKUP($I$22&amp;D17,'Development-Hidden'!$C$2:$E$118,3,FALSE),"")</f>
        <v>100000</v>
      </c>
      <c r="AD17" s="206">
        <v>2</v>
      </c>
      <c r="AE17" s="207"/>
      <c r="AF17" s="207"/>
      <c r="AG17" s="207"/>
      <c r="AH17" s="207"/>
      <c r="AI17" s="207"/>
      <c r="AJ17" s="211"/>
      <c r="AK17" s="136"/>
      <c r="AL17" s="235" t="s">
        <v>359</v>
      </c>
      <c r="AM17" s="236"/>
      <c r="AN17" s="237"/>
      <c r="AO17" s="238"/>
      <c r="AP17" s="239"/>
      <c r="AQ17" s="237"/>
      <c r="AR17" s="240"/>
      <c r="AS17" s="241"/>
      <c r="AT17" s="242"/>
      <c r="AU17" s="136"/>
    </row>
    <row r="18" spans="1:47" ht="15.75" customHeight="1">
      <c r="A18" s="137"/>
      <c r="B18" s="192">
        <v>15</v>
      </c>
      <c r="C18" s="193" t="s">
        <v>227</v>
      </c>
      <c r="D18" s="194" t="s">
        <v>49</v>
      </c>
      <c r="E18" s="195">
        <f>IFERROR(VLOOKUP($I$22&amp;$D18,'Development-Hidden'!$C$2:$J$118,4,FALSE)-P18+AF18,"")</f>
        <v>7</v>
      </c>
      <c r="F18" s="196">
        <f>IFERROR(VLOOKUP($I$22&amp;$D18,'Development-Hidden'!$C$2:$J$118,5,FALSE)-Q18+AG18,"")</f>
        <v>3</v>
      </c>
      <c r="G18" s="196">
        <f>IFERROR(VLOOKUP($I$22&amp;$D18,'Development-Hidden'!$C$2:$J$118,6,FALSE)-R18+AH18,"")</f>
        <v>4</v>
      </c>
      <c r="H18" s="197">
        <f>IFERROR(VLOOKUP($I$22&amp;$D18,'Development-Hidden'!$C$2:$J$118,7,FALSE)-S18+AI18,"")</f>
        <v>8</v>
      </c>
      <c r="I18" s="198" t="str">
        <f>IFERROR(VLOOKUP($I$22&amp;$D18,'Development-Hidden'!$C$2:$J$118,8,FALSE),"")</f>
        <v>Block, Side Step</v>
      </c>
      <c r="J18" s="199" t="s">
        <v>291</v>
      </c>
      <c r="K18" s="200">
        <f t="shared" si="0"/>
        <v>1</v>
      </c>
      <c r="L18" s="201"/>
      <c r="M18" s="201"/>
      <c r="N18" s="201"/>
      <c r="O18" s="202"/>
      <c r="P18" s="203"/>
      <c r="Q18" s="204"/>
      <c r="R18" s="204"/>
      <c r="S18" s="205"/>
      <c r="T18" s="206"/>
      <c r="U18" s="207"/>
      <c r="V18" s="207">
        <v>2</v>
      </c>
      <c r="W18" s="207"/>
      <c r="X18" s="204"/>
      <c r="Y18" s="208"/>
      <c r="Z18" s="209">
        <f t="shared" si="1"/>
        <v>6</v>
      </c>
      <c r="AA18" s="183">
        <f t="shared" si="2"/>
        <v>130000</v>
      </c>
      <c r="AB18" s="136"/>
      <c r="AC18" s="210">
        <f>IFERROR(VLOOKUP($I$22&amp;D18,'Development-Hidden'!$C$2:$E$118,3,FALSE),"")</f>
        <v>110000</v>
      </c>
      <c r="AD18" s="206">
        <v>1</v>
      </c>
      <c r="AE18" s="207"/>
      <c r="AF18" s="207"/>
      <c r="AG18" s="207"/>
      <c r="AH18" s="207"/>
      <c r="AI18" s="207"/>
      <c r="AJ18" s="211"/>
      <c r="AK18" s="136"/>
      <c r="AL18" s="243" t="s">
        <v>219</v>
      </c>
      <c r="AM18" s="244">
        <f>AM4+SUM(AM6:AM17)-SUM(AN6:AN17)-SUM(AO6:AO17)</f>
        <v>0</v>
      </c>
      <c r="AN18" s="136"/>
      <c r="AO18" s="136"/>
      <c r="AP18" s="189"/>
      <c r="AQ18" s="243" t="s">
        <v>219</v>
      </c>
      <c r="AR18" s="245">
        <f t="shared" ref="AR18:AS18" si="3">SUM(AR6:AR17)</f>
        <v>0</v>
      </c>
      <c r="AS18" s="246">
        <f t="shared" si="3"/>
        <v>0</v>
      </c>
      <c r="AT18" s="247">
        <f>AT4+SUM(AT6:AT17)</f>
        <v>2</v>
      </c>
      <c r="AU18" s="140"/>
    </row>
    <row r="19" spans="1:47" ht="15.75" customHeight="1">
      <c r="A19" s="137"/>
      <c r="B19" s="248">
        <v>16</v>
      </c>
      <c r="C19" s="249" t="s">
        <v>305</v>
      </c>
      <c r="D19" s="250" t="s">
        <v>49</v>
      </c>
      <c r="E19" s="251">
        <f>IFERROR(VLOOKUP($I$22&amp;$D19,'Development-Hidden'!$C$2:$J$118,4,FALSE)-P19+AF19,"")</f>
        <v>7</v>
      </c>
      <c r="F19" s="252">
        <f>IFERROR(VLOOKUP($I$22&amp;$D19,'Development-Hidden'!$C$2:$J$118,5,FALSE)-Q19+AG19,"")</f>
        <v>3</v>
      </c>
      <c r="G19" s="252">
        <f>IFERROR(VLOOKUP($I$22&amp;$D19,'Development-Hidden'!$C$2:$J$118,6,FALSE)-R19+AH19,"")</f>
        <v>4</v>
      </c>
      <c r="H19" s="253">
        <f>IFERROR(VLOOKUP($I$22&amp;$D19,'Development-Hidden'!$C$2:$J$118,7,FALSE)-S19+AI19,"")</f>
        <v>8</v>
      </c>
      <c r="I19" s="254" t="str">
        <f>IFERROR(VLOOKUP($I$22&amp;$D19,'Development-Hidden'!$C$2:$J$118,8,FALSE),"")</f>
        <v>Block, Side Step</v>
      </c>
      <c r="J19" s="255"/>
      <c r="K19" s="256">
        <f t="shared" si="0"/>
        <v>0</v>
      </c>
      <c r="L19" s="257"/>
      <c r="M19" s="257"/>
      <c r="N19" s="257"/>
      <c r="O19" s="258"/>
      <c r="P19" s="259"/>
      <c r="Q19" s="260"/>
      <c r="R19" s="260"/>
      <c r="S19" s="261"/>
      <c r="T19" s="262"/>
      <c r="U19" s="263"/>
      <c r="V19" s="263"/>
      <c r="W19" s="263"/>
      <c r="X19" s="260"/>
      <c r="Y19" s="264"/>
      <c r="Z19" s="265">
        <f t="shared" si="1"/>
        <v>0</v>
      </c>
      <c r="AA19" s="183">
        <f t="shared" si="2"/>
        <v>110000</v>
      </c>
      <c r="AB19" s="136"/>
      <c r="AC19" s="266">
        <f>IFERROR(VLOOKUP($I$22&amp;D19,'Development-Hidden'!$C$2:$E$118,3,FALSE),"")</f>
        <v>110000</v>
      </c>
      <c r="AD19" s="267"/>
      <c r="AE19" s="268"/>
      <c r="AF19" s="268"/>
      <c r="AG19" s="268"/>
      <c r="AH19" s="268"/>
      <c r="AI19" s="268"/>
      <c r="AJ19" s="269"/>
      <c r="AK19" s="136"/>
    </row>
    <row r="20" spans="1:47" ht="15.75" customHeight="1">
      <c r="A20" s="137"/>
      <c r="B20" s="634"/>
      <c r="C20" s="572"/>
      <c r="D20" s="573"/>
      <c r="E20" s="586" t="s">
        <v>364</v>
      </c>
      <c r="F20" s="587"/>
      <c r="G20" s="587"/>
      <c r="H20" s="587"/>
      <c r="I20" s="587"/>
      <c r="J20" s="587"/>
      <c r="K20" s="587"/>
      <c r="L20" s="587"/>
      <c r="M20" s="587"/>
      <c r="N20" s="587"/>
      <c r="O20" s="587"/>
      <c r="P20" s="587"/>
      <c r="Q20" s="587"/>
      <c r="R20" s="587"/>
      <c r="S20" s="587"/>
      <c r="T20" s="587"/>
      <c r="U20" s="587"/>
      <c r="V20" s="587"/>
      <c r="W20" s="587"/>
      <c r="X20" s="587"/>
      <c r="Y20" s="587"/>
      <c r="Z20" s="588"/>
      <c r="AA20" s="270">
        <f>SUM(AA4:AA19)</f>
        <v>1020000</v>
      </c>
      <c r="AB20" s="136"/>
      <c r="AC20" s="136"/>
      <c r="AD20" s="136"/>
      <c r="AE20" s="136"/>
      <c r="AF20" s="136"/>
      <c r="AG20" s="136"/>
      <c r="AH20" s="136"/>
      <c r="AI20" s="136"/>
      <c r="AJ20" s="136"/>
      <c r="AK20" s="136"/>
      <c r="AL20" s="189"/>
      <c r="AM20" s="189"/>
      <c r="AN20" s="189"/>
      <c r="AO20" s="189"/>
      <c r="AP20" s="189"/>
      <c r="AQ20" s="189"/>
      <c r="AR20" s="189"/>
      <c r="AS20" s="189"/>
      <c r="AT20" s="189"/>
      <c r="AU20" s="189"/>
    </row>
    <row r="21" spans="1:47" ht="15.75" customHeight="1">
      <c r="A21" s="137"/>
      <c r="B21" s="574"/>
      <c r="C21" s="575"/>
      <c r="D21" s="576"/>
      <c r="E21" s="580" t="s">
        <v>365</v>
      </c>
      <c r="F21" s="581"/>
      <c r="G21" s="581"/>
      <c r="H21" s="581"/>
      <c r="I21" s="589" t="s">
        <v>429</v>
      </c>
      <c r="J21" s="581"/>
      <c r="K21" s="590"/>
      <c r="L21" s="584" t="s">
        <v>366</v>
      </c>
      <c r="M21" s="581"/>
      <c r="N21" s="581"/>
      <c r="O21" s="581"/>
      <c r="P21" s="581"/>
      <c r="Q21" s="581"/>
      <c r="R21" s="581"/>
      <c r="S21" s="585"/>
      <c r="T21" s="271">
        <v>3</v>
      </c>
      <c r="U21" s="272" t="s">
        <v>220</v>
      </c>
      <c r="V21" s="580">
        <f>IFERROR(VLOOKUP(I22,'Development-Hidden'!N2:O28,2,FALSE),"")</f>
        <v>50000</v>
      </c>
      <c r="W21" s="581"/>
      <c r="X21" s="581"/>
      <c r="Y21" s="581"/>
      <c r="Z21" s="590"/>
      <c r="AA21" s="273">
        <f t="shared" ref="AA21:AA25" si="4">T21*V21</f>
        <v>150000</v>
      </c>
      <c r="AB21" s="136"/>
      <c r="AC21" s="136"/>
      <c r="AD21" s="136"/>
      <c r="AE21" s="136"/>
      <c r="AF21" s="136"/>
      <c r="AG21" s="136"/>
      <c r="AH21" s="136"/>
      <c r="AI21" s="136"/>
      <c r="AJ21" s="136"/>
      <c r="AK21" s="136"/>
      <c r="AL21" s="604" t="s">
        <v>367</v>
      </c>
      <c r="AM21" s="588"/>
      <c r="AN21" s="136"/>
      <c r="AO21" s="136"/>
      <c r="AP21" s="136"/>
      <c r="AQ21" s="136"/>
      <c r="AR21" s="136"/>
      <c r="AS21" s="136"/>
      <c r="AT21" s="136"/>
      <c r="AU21" s="136"/>
    </row>
    <row r="22" spans="1:47" ht="15.75" customHeight="1">
      <c r="A22" s="137"/>
      <c r="B22" s="574"/>
      <c r="C22" s="575"/>
      <c r="D22" s="576"/>
      <c r="E22" s="582" t="s">
        <v>368</v>
      </c>
      <c r="F22" s="583"/>
      <c r="G22" s="583"/>
      <c r="H22" s="583"/>
      <c r="I22" s="598" t="s">
        <v>430</v>
      </c>
      <c r="J22" s="583"/>
      <c r="K22" s="597"/>
      <c r="L22" s="591" t="s">
        <v>369</v>
      </c>
      <c r="M22" s="583"/>
      <c r="N22" s="583"/>
      <c r="O22" s="583"/>
      <c r="P22" s="583"/>
      <c r="Q22" s="583"/>
      <c r="R22" s="583"/>
      <c r="S22" s="592"/>
      <c r="T22" s="274">
        <v>2</v>
      </c>
      <c r="U22" s="275" t="s">
        <v>220</v>
      </c>
      <c r="V22" s="582">
        <v>10000</v>
      </c>
      <c r="W22" s="583"/>
      <c r="X22" s="583"/>
      <c r="Y22" s="583"/>
      <c r="Z22" s="597"/>
      <c r="AA22" s="276">
        <f t="shared" si="4"/>
        <v>20000</v>
      </c>
      <c r="AB22" s="136"/>
      <c r="AC22" s="136"/>
      <c r="AD22" s="136"/>
      <c r="AF22" s="136"/>
      <c r="AG22" s="136"/>
      <c r="AH22" s="136"/>
      <c r="AI22" s="136"/>
      <c r="AJ22" s="136"/>
      <c r="AK22" s="136"/>
      <c r="AL22" s="277" t="s">
        <v>370</v>
      </c>
      <c r="AM22" s="278">
        <f>AM18</f>
        <v>0</v>
      </c>
      <c r="AN22" s="136"/>
      <c r="AO22" s="136"/>
      <c r="AP22" s="136"/>
      <c r="AQ22" s="136"/>
      <c r="AR22" s="136"/>
      <c r="AS22" s="136"/>
      <c r="AT22" s="136"/>
      <c r="AU22" s="136"/>
    </row>
    <row r="23" spans="1:47" ht="15.75" customHeight="1">
      <c r="A23" s="137"/>
      <c r="B23" s="574"/>
      <c r="C23" s="575"/>
      <c r="D23" s="576"/>
      <c r="E23" s="582" t="str">
        <f>IFERROR(IF(VLOOKUP(I22,'Development-Hidden'!X2:Y28,2,FALSE)="Yes","NECROMANCER","HEAD COACH"),"HEAD COACH")</f>
        <v>HEAD COACH</v>
      </c>
      <c r="F23" s="583"/>
      <c r="G23" s="583"/>
      <c r="H23" s="583"/>
      <c r="I23" s="598" t="s">
        <v>431</v>
      </c>
      <c r="J23" s="583"/>
      <c r="K23" s="597"/>
      <c r="L23" s="591" t="s">
        <v>371</v>
      </c>
      <c r="M23" s="583"/>
      <c r="N23" s="583"/>
      <c r="O23" s="583"/>
      <c r="P23" s="583"/>
      <c r="Q23" s="583"/>
      <c r="R23" s="583"/>
      <c r="S23" s="592"/>
      <c r="T23" s="274">
        <v>0</v>
      </c>
      <c r="U23" s="275" t="s">
        <v>220</v>
      </c>
      <c r="V23" s="582">
        <v>10000</v>
      </c>
      <c r="W23" s="583"/>
      <c r="X23" s="583"/>
      <c r="Y23" s="583"/>
      <c r="Z23" s="597"/>
      <c r="AA23" s="276">
        <f t="shared" si="4"/>
        <v>0</v>
      </c>
      <c r="AB23" s="136"/>
      <c r="AC23" s="136"/>
      <c r="AD23" s="136"/>
      <c r="AE23" s="136"/>
      <c r="AF23" s="136"/>
      <c r="AG23" s="136"/>
      <c r="AH23" s="136"/>
      <c r="AI23" s="136"/>
      <c r="AJ23" s="136"/>
      <c r="AK23" s="136"/>
      <c r="AL23" s="279" t="s">
        <v>372</v>
      </c>
      <c r="AM23" s="280">
        <f>COUNTA(AP6:AP17)*10000</f>
        <v>0</v>
      </c>
      <c r="AN23" s="136"/>
      <c r="AO23" s="136"/>
      <c r="AP23" s="136"/>
      <c r="AQ23" s="136"/>
      <c r="AR23" s="136"/>
      <c r="AS23" s="136"/>
      <c r="AT23" s="136"/>
      <c r="AU23" s="136"/>
    </row>
    <row r="24" spans="1:47" ht="15.75" customHeight="1">
      <c r="A24" s="137"/>
      <c r="B24" s="574"/>
      <c r="C24" s="575"/>
      <c r="D24" s="576"/>
      <c r="E24" s="582" t="s">
        <v>373</v>
      </c>
      <c r="F24" s="583"/>
      <c r="G24" s="583"/>
      <c r="H24" s="583"/>
      <c r="I24" s="599">
        <f>AA20+AA26</f>
        <v>1240000</v>
      </c>
      <c r="J24" s="583"/>
      <c r="K24" s="597"/>
      <c r="L24" s="591" t="s">
        <v>375</v>
      </c>
      <c r="M24" s="583"/>
      <c r="N24" s="583"/>
      <c r="O24" s="583"/>
      <c r="P24" s="583"/>
      <c r="Q24" s="583"/>
      <c r="R24" s="583"/>
      <c r="S24" s="592"/>
      <c r="T24" s="274">
        <v>0</v>
      </c>
      <c r="U24" s="275" t="s">
        <v>220</v>
      </c>
      <c r="V24" s="582">
        <v>10000</v>
      </c>
      <c r="W24" s="583"/>
      <c r="X24" s="583"/>
      <c r="Y24" s="583"/>
      <c r="Z24" s="597"/>
      <c r="AA24" s="276">
        <f t="shared" si="4"/>
        <v>0</v>
      </c>
      <c r="AB24" s="136"/>
      <c r="AC24" s="136"/>
      <c r="AD24" s="136"/>
      <c r="AE24" s="136"/>
      <c r="AF24" s="136"/>
      <c r="AG24" s="136"/>
      <c r="AH24" s="136"/>
      <c r="AI24" s="136"/>
      <c r="AJ24" s="136"/>
      <c r="AK24" s="136"/>
      <c r="AL24" s="279" t="s">
        <v>33</v>
      </c>
      <c r="AM24" s="280">
        <f>AR18*5000</f>
        <v>0</v>
      </c>
      <c r="AN24" s="136"/>
      <c r="AO24" s="136"/>
      <c r="AP24" s="136"/>
      <c r="AQ24" s="136"/>
      <c r="AR24" s="136"/>
      <c r="AS24" s="136"/>
      <c r="AT24" s="136"/>
      <c r="AU24" s="136"/>
    </row>
    <row r="25" spans="1:47" ht="15.75" customHeight="1">
      <c r="A25" s="137"/>
      <c r="B25" s="574"/>
      <c r="C25" s="575"/>
      <c r="D25" s="576"/>
      <c r="E25" s="595" t="s">
        <v>376</v>
      </c>
      <c r="F25" s="594"/>
      <c r="G25" s="594"/>
      <c r="H25" s="596"/>
      <c r="I25" s="600">
        <f>AM18</f>
        <v>0</v>
      </c>
      <c r="J25" s="594"/>
      <c r="K25" s="596"/>
      <c r="L25" s="593" t="str">
        <f>IFERROR(IF(VLOOKUP(I22,'Development-Hidden'!X2:Y28,1,FALSE)&lt;&gt;"","",""),"APOTHECARY")</f>
        <v>APOTHECARY</v>
      </c>
      <c r="M25" s="594"/>
      <c r="N25" s="594"/>
      <c r="O25" s="594"/>
      <c r="P25" s="594"/>
      <c r="Q25" s="594"/>
      <c r="R25" s="594"/>
      <c r="S25" s="594"/>
      <c r="T25" s="281">
        <v>1</v>
      </c>
      <c r="U25" s="275" t="str">
        <f>IF(L25&lt;&gt;"","x","")</f>
        <v>x</v>
      </c>
      <c r="V25" s="595">
        <f>IF(L25&lt;&gt;"",50000,"")</f>
        <v>50000</v>
      </c>
      <c r="W25" s="594"/>
      <c r="X25" s="594"/>
      <c r="Y25" s="594"/>
      <c r="Z25" s="596"/>
      <c r="AA25" s="276">
        <f t="shared" si="4"/>
        <v>50000</v>
      </c>
      <c r="AB25" s="136"/>
      <c r="AC25" s="136"/>
      <c r="AD25" s="136"/>
      <c r="AE25" s="136"/>
      <c r="AF25" s="136"/>
      <c r="AG25" s="136"/>
      <c r="AH25" s="136"/>
      <c r="AI25" s="136"/>
      <c r="AJ25" s="136"/>
      <c r="AK25" s="136"/>
      <c r="AL25" s="282" t="s">
        <v>34</v>
      </c>
      <c r="AM25" s="283">
        <f>AS18*5000</f>
        <v>0</v>
      </c>
      <c r="AN25" s="136"/>
      <c r="AO25" s="136"/>
      <c r="AP25" s="136"/>
      <c r="AQ25" s="136"/>
      <c r="AR25" s="136"/>
      <c r="AS25" s="136"/>
      <c r="AT25" s="136"/>
      <c r="AU25" s="136"/>
    </row>
    <row r="26" spans="1:47" ht="15.75" customHeight="1">
      <c r="A26" s="137"/>
      <c r="B26" s="577"/>
      <c r="C26" s="578"/>
      <c r="D26" s="579"/>
      <c r="E26" s="586" t="s">
        <v>379</v>
      </c>
      <c r="F26" s="587"/>
      <c r="G26" s="587"/>
      <c r="H26" s="587"/>
      <c r="I26" s="587"/>
      <c r="J26" s="587"/>
      <c r="K26" s="587"/>
      <c r="L26" s="587"/>
      <c r="M26" s="587"/>
      <c r="N26" s="587"/>
      <c r="O26" s="587"/>
      <c r="P26" s="587"/>
      <c r="Q26" s="587"/>
      <c r="R26" s="587"/>
      <c r="S26" s="587"/>
      <c r="T26" s="587"/>
      <c r="U26" s="587"/>
      <c r="V26" s="587"/>
      <c r="W26" s="587"/>
      <c r="X26" s="587"/>
      <c r="Y26" s="587"/>
      <c r="Z26" s="588"/>
      <c r="AA26" s="270">
        <f>SUM(AA21:AA25)</f>
        <v>220000</v>
      </c>
      <c r="AB26" s="136"/>
      <c r="AC26" s="136"/>
      <c r="AD26" s="136"/>
      <c r="AE26" s="136"/>
      <c r="AF26" s="136"/>
      <c r="AG26" s="136"/>
      <c r="AH26" s="136"/>
      <c r="AI26" s="136"/>
      <c r="AJ26" s="136"/>
      <c r="AK26" s="136"/>
      <c r="AL26" s="284" t="s">
        <v>219</v>
      </c>
      <c r="AM26" s="285">
        <f>SUM(AM22:AM25)</f>
        <v>0</v>
      </c>
      <c r="AN26" s="136"/>
      <c r="AO26" s="136"/>
      <c r="AP26" s="136"/>
      <c r="AQ26" s="136"/>
      <c r="AR26" s="136"/>
      <c r="AS26" s="136"/>
      <c r="AT26" s="136"/>
      <c r="AU26" s="136"/>
    </row>
    <row r="27" spans="1:47" ht="8.25" customHeight="1">
      <c r="A27" s="136"/>
      <c r="B27" s="140"/>
      <c r="C27" s="286"/>
      <c r="D27" s="286"/>
      <c r="E27" s="287"/>
      <c r="F27" s="136"/>
      <c r="G27" s="136"/>
      <c r="H27" s="136"/>
      <c r="I27" s="288"/>
      <c r="J27" s="289"/>
      <c r="K27" s="136"/>
      <c r="L27" s="290"/>
      <c r="M27" s="290"/>
      <c r="N27" s="290"/>
      <c r="O27" s="290"/>
      <c r="P27" s="290"/>
      <c r="Q27" s="290"/>
      <c r="R27" s="290"/>
      <c r="S27" s="290"/>
      <c r="T27" s="291"/>
      <c r="U27" s="292"/>
      <c r="V27" s="143"/>
      <c r="W27" s="293"/>
      <c r="X27" s="293"/>
      <c r="Y27" s="293"/>
      <c r="Z27" s="293"/>
      <c r="AA27" s="294"/>
      <c r="AB27" s="136"/>
      <c r="AC27" s="136"/>
      <c r="AD27" s="136"/>
      <c r="AE27" s="136"/>
      <c r="AF27" s="136"/>
      <c r="AG27" s="136"/>
      <c r="AH27" s="136"/>
      <c r="AI27" s="136"/>
      <c r="AJ27" s="136"/>
      <c r="AK27" s="136"/>
      <c r="AL27" s="136"/>
      <c r="AM27" s="136"/>
      <c r="AN27" s="136"/>
      <c r="AO27" s="136"/>
      <c r="AP27" s="136"/>
      <c r="AQ27" s="136"/>
      <c r="AR27" s="136"/>
      <c r="AS27" s="136"/>
      <c r="AT27" s="136"/>
      <c r="AU27" s="136"/>
    </row>
    <row r="28" spans="1:47" ht="17.25" hidden="1" customHeight="1">
      <c r="A28" s="295"/>
      <c r="B28" s="296"/>
      <c r="C28" s="297">
        <f>MATCH(I22,'Development-Hidden'!A2:A118,0)</f>
        <v>36</v>
      </c>
      <c r="D28" s="297" t="str">
        <f t="array" ref="D28">IFERROR(IF(INDEX('Development-Hidden'!$A$2:$B$118,$C28,1)=$I$22,INDEX('Development-Hidden'!$A$2:$B$118,$C28,2),""),"")</f>
        <v>Lineman</v>
      </c>
      <c r="E28" s="298"/>
      <c r="F28" s="298"/>
      <c r="G28" s="298"/>
      <c r="H28" s="298"/>
      <c r="I28" s="298"/>
      <c r="J28" s="299"/>
      <c r="K28" s="295"/>
      <c r="L28" s="300"/>
      <c r="M28" s="300"/>
      <c r="N28" s="300"/>
      <c r="O28" s="300"/>
      <c r="P28" s="300"/>
      <c r="Q28" s="300"/>
      <c r="R28" s="300"/>
      <c r="S28" s="300"/>
      <c r="T28" s="301"/>
      <c r="U28" s="302"/>
      <c r="V28" s="301"/>
      <c r="W28" s="303"/>
      <c r="X28" s="303"/>
      <c r="Y28" s="303"/>
      <c r="Z28" s="303"/>
      <c r="AA28" s="298"/>
      <c r="AB28" s="295"/>
      <c r="AC28" s="295"/>
      <c r="AD28" s="295"/>
      <c r="AE28" s="295"/>
      <c r="AF28" s="295"/>
      <c r="AG28" s="295"/>
      <c r="AH28" s="295"/>
      <c r="AI28" s="295"/>
      <c r="AJ28" s="295"/>
      <c r="AK28" s="295"/>
      <c r="AL28" s="295"/>
      <c r="AM28" s="295"/>
      <c r="AN28" s="295"/>
      <c r="AO28" s="295"/>
      <c r="AP28" s="295"/>
      <c r="AQ28" s="295"/>
      <c r="AR28" s="295"/>
      <c r="AS28" s="295"/>
      <c r="AT28" s="295"/>
      <c r="AU28" s="295"/>
    </row>
    <row r="29" spans="1:47" ht="17.25" hidden="1" customHeight="1">
      <c r="A29" s="295"/>
      <c r="B29" s="296"/>
      <c r="C29" s="297">
        <f t="shared" ref="C29:C37" si="5">C28+1</f>
        <v>37</v>
      </c>
      <c r="D29" s="297" t="str">
        <f t="array" ref="D29">IFERROR(IF(INDEX('Development-Hidden'!$A$2:$B$118,$C29,1)=$I$22,INDEX('Development-Hidden'!$A$2:$B$118,$C29,2),""),"")</f>
        <v>Thrower</v>
      </c>
      <c r="E29" s="298"/>
      <c r="F29" s="298"/>
      <c r="G29" s="298"/>
      <c r="H29" s="298"/>
      <c r="I29" s="298"/>
      <c r="J29" s="299"/>
      <c r="K29" s="295"/>
      <c r="L29" s="300"/>
      <c r="M29" s="300"/>
      <c r="N29" s="300"/>
      <c r="O29" s="300"/>
      <c r="P29" s="300"/>
      <c r="Q29" s="300"/>
      <c r="R29" s="300"/>
      <c r="S29" s="300"/>
      <c r="T29" s="301"/>
      <c r="U29" s="302"/>
      <c r="V29" s="301"/>
      <c r="W29" s="303"/>
      <c r="X29" s="303"/>
      <c r="Y29" s="303"/>
      <c r="Z29" s="303"/>
      <c r="AA29" s="298"/>
      <c r="AB29" s="295"/>
      <c r="AC29" s="295"/>
      <c r="AD29" s="295"/>
      <c r="AE29" s="295"/>
      <c r="AF29" s="295"/>
      <c r="AG29" s="295"/>
      <c r="AH29" s="295"/>
      <c r="AI29" s="295"/>
      <c r="AJ29" s="295"/>
      <c r="AK29" s="295"/>
      <c r="AL29" s="295"/>
      <c r="AM29" s="295"/>
      <c r="AN29" s="295"/>
      <c r="AO29" s="295"/>
      <c r="AP29" s="295"/>
      <c r="AQ29" s="295"/>
      <c r="AR29" s="295"/>
      <c r="AS29" s="295"/>
      <c r="AT29" s="295"/>
      <c r="AU29" s="295"/>
    </row>
    <row r="30" spans="1:47" ht="17.25" hidden="1" customHeight="1">
      <c r="A30" s="295"/>
      <c r="B30" s="296"/>
      <c r="C30" s="297">
        <f t="shared" si="5"/>
        <v>38</v>
      </c>
      <c r="D30" s="297" t="str">
        <f t="array" ref="D30">IFERROR(IF(INDEX('Development-Hidden'!$A$2:$B$118,$C30,1)=$I$22,INDEX('Development-Hidden'!$A$2:$B$118,$C30,2),""),"")</f>
        <v>Catcher</v>
      </c>
      <c r="E30" s="298"/>
      <c r="F30" s="298"/>
      <c r="G30" s="298"/>
      <c r="H30" s="298"/>
      <c r="I30" s="298"/>
      <c r="J30" s="299"/>
      <c r="K30" s="295"/>
      <c r="L30" s="300"/>
      <c r="M30" s="300"/>
      <c r="N30" s="300"/>
      <c r="O30" s="300"/>
      <c r="P30" s="300"/>
      <c r="Q30" s="300"/>
      <c r="R30" s="300"/>
      <c r="S30" s="300"/>
      <c r="T30" s="301"/>
      <c r="U30" s="302"/>
      <c r="V30" s="301"/>
      <c r="W30" s="303"/>
      <c r="X30" s="303"/>
      <c r="Y30" s="303"/>
      <c r="Z30" s="303"/>
      <c r="AA30" s="298"/>
      <c r="AB30" s="295"/>
      <c r="AC30" s="295"/>
      <c r="AD30" s="295"/>
      <c r="AE30" s="295"/>
      <c r="AF30" s="295"/>
      <c r="AG30" s="295"/>
      <c r="AH30" s="295"/>
      <c r="AI30" s="295"/>
      <c r="AJ30" s="295"/>
      <c r="AK30" s="295"/>
      <c r="AL30" s="295"/>
      <c r="AM30" s="295"/>
      <c r="AN30" s="295"/>
      <c r="AO30" s="295"/>
      <c r="AP30" s="295"/>
      <c r="AQ30" s="295"/>
      <c r="AR30" s="295"/>
      <c r="AS30" s="295"/>
      <c r="AT30" s="295"/>
      <c r="AU30" s="295"/>
    </row>
    <row r="31" spans="1:47" ht="17.25" hidden="1" customHeight="1">
      <c r="A31" s="295"/>
      <c r="B31" s="296"/>
      <c r="C31" s="297">
        <f t="shared" si="5"/>
        <v>39</v>
      </c>
      <c r="D31" s="297" t="str">
        <f t="array" ref="D31">IFERROR(IF(INDEX('Development-Hidden'!$A$2:$B$118,$C31,1)=$I$22,INDEX('Development-Hidden'!$A$2:$B$118,$C31,2),""),"")</f>
        <v>Blitzer</v>
      </c>
      <c r="E31" s="298"/>
      <c r="F31" s="298"/>
      <c r="G31" s="298"/>
      <c r="H31" s="298"/>
      <c r="I31" s="298"/>
      <c r="J31" s="299"/>
      <c r="K31" s="295"/>
      <c r="L31" s="300"/>
      <c r="M31" s="300"/>
      <c r="N31" s="300"/>
      <c r="O31" s="300"/>
      <c r="P31" s="300"/>
      <c r="Q31" s="300"/>
      <c r="R31" s="300"/>
      <c r="S31" s="300"/>
      <c r="T31" s="301"/>
      <c r="U31" s="302"/>
      <c r="V31" s="301"/>
      <c r="W31" s="303"/>
      <c r="X31" s="303"/>
      <c r="Y31" s="303"/>
      <c r="Z31" s="303"/>
      <c r="AA31" s="298"/>
      <c r="AB31" s="295"/>
      <c r="AC31" s="295"/>
      <c r="AD31" s="295"/>
      <c r="AE31" s="295"/>
      <c r="AF31" s="295"/>
      <c r="AG31" s="295"/>
      <c r="AH31" s="295"/>
      <c r="AI31" s="295"/>
      <c r="AJ31" s="295"/>
      <c r="AK31" s="295"/>
      <c r="AL31" s="295"/>
      <c r="AM31" s="295"/>
      <c r="AN31" s="295"/>
      <c r="AO31" s="295"/>
      <c r="AP31" s="295"/>
      <c r="AQ31" s="295"/>
      <c r="AR31" s="295"/>
      <c r="AS31" s="295"/>
      <c r="AT31" s="295"/>
      <c r="AU31" s="295"/>
    </row>
    <row r="32" spans="1:47" ht="17.25" hidden="1" customHeight="1">
      <c r="A32" s="295"/>
      <c r="B32" s="296"/>
      <c r="C32" s="297">
        <f t="shared" si="5"/>
        <v>40</v>
      </c>
      <c r="D32" s="297" t="str">
        <f t="array" ref="D32">IFERROR(IF(INDEX('Development-Hidden'!$A$2:$B$118,$C32,1)=$I$22,INDEX('Development-Hidden'!$A$2:$B$118,$C32,2),""),"")</f>
        <v/>
      </c>
      <c r="E32" s="298"/>
      <c r="F32" s="298"/>
      <c r="G32" s="298"/>
      <c r="H32" s="298"/>
      <c r="I32" s="298"/>
      <c r="J32" s="299"/>
      <c r="K32" s="295"/>
      <c r="L32" s="300"/>
      <c r="M32" s="300"/>
      <c r="N32" s="300"/>
      <c r="O32" s="300"/>
      <c r="P32" s="300"/>
      <c r="Q32" s="300"/>
      <c r="R32" s="300"/>
      <c r="S32" s="300"/>
      <c r="T32" s="301"/>
      <c r="U32" s="302"/>
      <c r="V32" s="301"/>
      <c r="W32" s="303"/>
      <c r="X32" s="303"/>
      <c r="Y32" s="303"/>
      <c r="Z32" s="303"/>
      <c r="AA32" s="298"/>
      <c r="AB32" s="295"/>
      <c r="AC32" s="295"/>
      <c r="AD32" s="295"/>
      <c r="AE32" s="295"/>
      <c r="AF32" s="295"/>
      <c r="AG32" s="295"/>
      <c r="AH32" s="295"/>
      <c r="AI32" s="295"/>
      <c r="AJ32" s="295"/>
      <c r="AK32" s="295"/>
      <c r="AL32" s="295"/>
      <c r="AM32" s="295"/>
      <c r="AN32" s="295"/>
      <c r="AO32" s="295"/>
      <c r="AP32" s="295"/>
      <c r="AQ32" s="295"/>
      <c r="AR32" s="295"/>
      <c r="AS32" s="295"/>
      <c r="AT32" s="295"/>
      <c r="AU32" s="295"/>
    </row>
    <row r="33" spans="1:47" ht="17.25" hidden="1" customHeight="1">
      <c r="A33" s="295"/>
      <c r="B33" s="296"/>
      <c r="C33" s="297">
        <f t="shared" si="5"/>
        <v>41</v>
      </c>
      <c r="D33" s="297" t="str">
        <f t="array" ref="D33">IFERROR(IF(INDEX('Development-Hidden'!$A$2:$B$118,$C33,1)=$I$22,INDEX('Development-Hidden'!$A$2:$B$118,$C33,2),""),"")</f>
        <v/>
      </c>
      <c r="E33" s="298"/>
      <c r="F33" s="298"/>
      <c r="G33" s="298"/>
      <c r="H33" s="298"/>
      <c r="I33" s="298"/>
      <c r="J33" s="299"/>
      <c r="K33" s="295"/>
      <c r="L33" s="300"/>
      <c r="M33" s="300"/>
      <c r="N33" s="300"/>
      <c r="O33" s="300"/>
      <c r="P33" s="300"/>
      <c r="Q33" s="300"/>
      <c r="R33" s="300"/>
      <c r="S33" s="300"/>
      <c r="T33" s="301"/>
      <c r="U33" s="302"/>
      <c r="V33" s="301"/>
      <c r="W33" s="303"/>
      <c r="X33" s="303"/>
      <c r="Y33" s="303"/>
      <c r="Z33" s="303"/>
      <c r="AA33" s="298"/>
      <c r="AB33" s="295"/>
      <c r="AC33" s="295"/>
      <c r="AD33" s="295"/>
      <c r="AE33" s="295"/>
      <c r="AF33" s="295"/>
      <c r="AG33" s="295"/>
      <c r="AH33" s="295"/>
      <c r="AI33" s="295"/>
      <c r="AJ33" s="295"/>
      <c r="AK33" s="295"/>
      <c r="AL33" s="295"/>
      <c r="AM33" s="295"/>
      <c r="AN33" s="295"/>
      <c r="AO33" s="295"/>
      <c r="AP33" s="295"/>
      <c r="AQ33" s="295"/>
      <c r="AR33" s="295"/>
      <c r="AS33" s="295"/>
      <c r="AT33" s="295"/>
      <c r="AU33" s="295"/>
    </row>
    <row r="34" spans="1:47" ht="17.25" hidden="1" customHeight="1">
      <c r="A34" s="295"/>
      <c r="B34" s="296"/>
      <c r="C34" s="297">
        <f t="shared" si="5"/>
        <v>42</v>
      </c>
      <c r="D34" s="297" t="str">
        <f t="array" ref="D34">IFERROR(IF(INDEX('Development-Hidden'!$A$2:$B$118,$C34,1)=$I$22,INDEX('Development-Hidden'!$A$2:$B$118,$C34,2),""),"")</f>
        <v/>
      </c>
      <c r="E34" s="298"/>
      <c r="F34" s="298"/>
      <c r="G34" s="298"/>
      <c r="H34" s="298"/>
      <c r="I34" s="298"/>
      <c r="J34" s="299"/>
      <c r="K34" s="295"/>
      <c r="L34" s="300"/>
      <c r="M34" s="300"/>
      <c r="N34" s="300"/>
      <c r="O34" s="300"/>
      <c r="P34" s="300"/>
      <c r="Q34" s="300"/>
      <c r="R34" s="300"/>
      <c r="S34" s="300"/>
      <c r="T34" s="301"/>
      <c r="U34" s="302"/>
      <c r="V34" s="301"/>
      <c r="W34" s="303"/>
      <c r="X34" s="303"/>
      <c r="Y34" s="303"/>
      <c r="Z34" s="303"/>
      <c r="AA34" s="298"/>
      <c r="AB34" s="295"/>
      <c r="AC34" s="295"/>
      <c r="AD34" s="295"/>
      <c r="AE34" s="295"/>
      <c r="AF34" s="295"/>
      <c r="AG34" s="295"/>
      <c r="AH34" s="295"/>
      <c r="AI34" s="295"/>
      <c r="AJ34" s="295"/>
      <c r="AK34" s="295"/>
      <c r="AL34" s="295"/>
      <c r="AM34" s="295"/>
      <c r="AN34" s="295"/>
      <c r="AO34" s="295"/>
      <c r="AP34" s="295"/>
      <c r="AQ34" s="295"/>
      <c r="AR34" s="295"/>
      <c r="AS34" s="295"/>
      <c r="AT34" s="295"/>
      <c r="AU34" s="295"/>
    </row>
    <row r="35" spans="1:47" ht="17.25" hidden="1" customHeight="1">
      <c r="A35" s="295"/>
      <c r="B35" s="296"/>
      <c r="C35" s="297">
        <f t="shared" si="5"/>
        <v>43</v>
      </c>
      <c r="D35" s="297" t="str">
        <f t="array" ref="D35">IFERROR(IF(INDEX('Development-Hidden'!$A$2:$B$118,$C35,1)=$I$22,INDEX('Development-Hidden'!$A$2:$B$118,$C35,2),""),"")</f>
        <v/>
      </c>
      <c r="E35" s="298"/>
      <c r="F35" s="298"/>
      <c r="G35" s="298"/>
      <c r="H35" s="298"/>
      <c r="I35" s="298"/>
      <c r="J35" s="299"/>
      <c r="K35" s="295"/>
      <c r="L35" s="300"/>
      <c r="M35" s="300"/>
      <c r="N35" s="300"/>
      <c r="O35" s="300"/>
      <c r="P35" s="300"/>
      <c r="Q35" s="300"/>
      <c r="R35" s="300"/>
      <c r="S35" s="300"/>
      <c r="T35" s="301"/>
      <c r="U35" s="302"/>
      <c r="V35" s="301"/>
      <c r="W35" s="303"/>
      <c r="X35" s="303"/>
      <c r="Y35" s="303"/>
      <c r="Z35" s="303"/>
      <c r="AA35" s="298"/>
      <c r="AB35" s="295"/>
      <c r="AC35" s="295"/>
      <c r="AD35" s="295"/>
      <c r="AE35" s="295"/>
      <c r="AF35" s="295"/>
      <c r="AG35" s="295"/>
      <c r="AH35" s="295"/>
      <c r="AI35" s="295"/>
      <c r="AJ35" s="295"/>
      <c r="AK35" s="295"/>
      <c r="AL35" s="295"/>
      <c r="AM35" s="295"/>
      <c r="AN35" s="295"/>
      <c r="AO35" s="295"/>
      <c r="AP35" s="295"/>
      <c r="AQ35" s="295"/>
      <c r="AR35" s="295"/>
      <c r="AS35" s="295"/>
      <c r="AT35" s="295"/>
      <c r="AU35" s="295"/>
    </row>
    <row r="36" spans="1:47" ht="17.25" hidden="1" customHeight="1">
      <c r="A36" s="295"/>
      <c r="B36" s="296"/>
      <c r="C36" s="297">
        <f t="shared" si="5"/>
        <v>44</v>
      </c>
      <c r="D36" s="297" t="str">
        <f t="array" ref="D36">IFERROR(IF(INDEX('Development-Hidden'!$A$2:$B$118,$C36,1)=$I$22,INDEX('Development-Hidden'!$A$2:$B$118,$C36,2),""),"")</f>
        <v/>
      </c>
      <c r="E36" s="298"/>
      <c r="F36" s="298"/>
      <c r="G36" s="298"/>
      <c r="H36" s="298"/>
      <c r="I36" s="298"/>
      <c r="J36" s="299"/>
      <c r="K36" s="295"/>
      <c r="L36" s="300"/>
      <c r="M36" s="300"/>
      <c r="N36" s="300"/>
      <c r="O36" s="300"/>
      <c r="P36" s="300"/>
      <c r="Q36" s="300"/>
      <c r="R36" s="300"/>
      <c r="S36" s="300"/>
      <c r="T36" s="301"/>
      <c r="U36" s="302"/>
      <c r="V36" s="301"/>
      <c r="W36" s="303"/>
      <c r="X36" s="303"/>
      <c r="Y36" s="303"/>
      <c r="Z36" s="303"/>
      <c r="AA36" s="298"/>
      <c r="AB36" s="295"/>
      <c r="AC36" s="295"/>
      <c r="AD36" s="295"/>
      <c r="AE36" s="295"/>
      <c r="AF36" s="295"/>
      <c r="AG36" s="295"/>
      <c r="AH36" s="295"/>
      <c r="AI36" s="295"/>
      <c r="AJ36" s="295"/>
      <c r="AK36" s="295"/>
      <c r="AL36" s="295"/>
      <c r="AM36" s="295"/>
      <c r="AN36" s="295"/>
      <c r="AO36" s="295"/>
      <c r="AP36" s="295"/>
      <c r="AQ36" s="295"/>
      <c r="AR36" s="295"/>
      <c r="AS36" s="295"/>
      <c r="AT36" s="295"/>
      <c r="AU36" s="295"/>
    </row>
    <row r="37" spans="1:47" ht="17.25" hidden="1" customHeight="1">
      <c r="A37" s="295"/>
      <c r="B37" s="296"/>
      <c r="C37" s="297">
        <f t="shared" si="5"/>
        <v>45</v>
      </c>
      <c r="D37" s="297" t="str">
        <f t="array" ref="D37">IFERROR(IF(INDEX('Development-Hidden'!$A$2:$B$118,$C37,1)=$I$22,INDEX('Development-Hidden'!$A$2:$B$118,$C37,2),""),"")</f>
        <v/>
      </c>
      <c r="E37" s="298"/>
      <c r="F37" s="298"/>
      <c r="G37" s="298"/>
      <c r="H37" s="298"/>
      <c r="I37" s="298"/>
      <c r="J37" s="299"/>
      <c r="K37" s="295"/>
      <c r="L37" s="300"/>
      <c r="M37" s="300"/>
      <c r="N37" s="300"/>
      <c r="O37" s="300"/>
      <c r="P37" s="300"/>
      <c r="Q37" s="300"/>
      <c r="R37" s="300"/>
      <c r="S37" s="300"/>
      <c r="T37" s="301"/>
      <c r="U37" s="302"/>
      <c r="V37" s="301"/>
      <c r="W37" s="303"/>
      <c r="X37" s="303"/>
      <c r="Y37" s="303"/>
      <c r="Z37" s="303"/>
      <c r="AA37" s="298"/>
      <c r="AB37" s="295"/>
      <c r="AC37" s="295"/>
      <c r="AD37" s="295"/>
      <c r="AE37" s="295"/>
      <c r="AF37" s="295"/>
      <c r="AG37" s="295"/>
      <c r="AH37" s="295"/>
      <c r="AI37" s="295"/>
      <c r="AJ37" s="295"/>
      <c r="AK37" s="295"/>
      <c r="AL37" s="295"/>
      <c r="AM37" s="295"/>
      <c r="AN37" s="295"/>
      <c r="AO37" s="295"/>
      <c r="AP37" s="295"/>
      <c r="AQ37" s="295"/>
      <c r="AR37" s="295"/>
      <c r="AS37" s="295"/>
      <c r="AT37" s="295"/>
      <c r="AU37" s="295"/>
    </row>
  </sheetData>
  <mergeCells count="27">
    <mergeCell ref="AL3:AO3"/>
    <mergeCell ref="P2:S2"/>
    <mergeCell ref="AP3:AT3"/>
    <mergeCell ref="AL21:AM21"/>
    <mergeCell ref="L22:S22"/>
    <mergeCell ref="E20:Z20"/>
    <mergeCell ref="I21:K21"/>
    <mergeCell ref="E21:H21"/>
    <mergeCell ref="L21:S21"/>
    <mergeCell ref="V22:Z22"/>
    <mergeCell ref="V21:Z21"/>
    <mergeCell ref="L23:S23"/>
    <mergeCell ref="V23:Z23"/>
    <mergeCell ref="I23:K23"/>
    <mergeCell ref="E23:H23"/>
    <mergeCell ref="B20:D26"/>
    <mergeCell ref="I25:K25"/>
    <mergeCell ref="E25:H25"/>
    <mergeCell ref="E24:H24"/>
    <mergeCell ref="I24:K24"/>
    <mergeCell ref="L25:S25"/>
    <mergeCell ref="E26:Z26"/>
    <mergeCell ref="V25:Z25"/>
    <mergeCell ref="V24:Z24"/>
    <mergeCell ref="L24:S24"/>
    <mergeCell ref="I22:K22"/>
    <mergeCell ref="E22:H22"/>
  </mergeCells>
  <conditionalFormatting sqref="AA4:AA19">
    <cfRule type="cellIs" dxfId="487" priority="1" operator="equal">
      <formula>0</formula>
    </cfRule>
  </conditionalFormatting>
  <conditionalFormatting sqref="J4">
    <cfRule type="expression" dxfId="486" priority="2">
      <formula>K4&lt;&gt;SUM(AD4:AI4)</formula>
    </cfRule>
  </conditionalFormatting>
  <conditionalFormatting sqref="I4:I19">
    <cfRule type="cellIs" dxfId="485" priority="3" stopIfTrue="1" operator="equal">
      <formula>"Player type quantity surpassed"</formula>
    </cfRule>
  </conditionalFormatting>
  <conditionalFormatting sqref="J5">
    <cfRule type="expression" dxfId="484" priority="4">
      <formula>K5&lt;&gt;SUM(AD5:AI5)</formula>
    </cfRule>
  </conditionalFormatting>
  <conditionalFormatting sqref="J6">
    <cfRule type="expression" dxfId="483" priority="5">
      <formula>K6&lt;&gt;SUM(AD6:AI6)</formula>
    </cfRule>
  </conditionalFormatting>
  <conditionalFormatting sqref="J7">
    <cfRule type="expression" dxfId="482" priority="6">
      <formula>K7&lt;&gt;SUM(AD7:AI7)</formula>
    </cfRule>
  </conditionalFormatting>
  <conditionalFormatting sqref="J8">
    <cfRule type="expression" dxfId="481" priority="7">
      <formula>K8&lt;&gt;SUM(AD8:AI8)</formula>
    </cfRule>
  </conditionalFormatting>
  <conditionalFormatting sqref="J9">
    <cfRule type="expression" dxfId="480" priority="8">
      <formula>K9&lt;&gt;SUM(AD9:AI9)</formula>
    </cfRule>
  </conditionalFormatting>
  <conditionalFormatting sqref="J10">
    <cfRule type="expression" dxfId="479" priority="9">
      <formula>K10&lt;&gt;SUM(AD10:AI10)</formula>
    </cfRule>
  </conditionalFormatting>
  <conditionalFormatting sqref="J11">
    <cfRule type="expression" dxfId="478" priority="10">
      <formula>K11&lt;&gt;SUM(AD11:AI11)</formula>
    </cfRule>
  </conditionalFormatting>
  <conditionalFormatting sqref="J12">
    <cfRule type="expression" dxfId="477" priority="11">
      <formula>K12&lt;&gt;SUM(AD12:AI12)</formula>
    </cfRule>
  </conditionalFormatting>
  <conditionalFormatting sqref="J13">
    <cfRule type="expression" dxfId="476" priority="12">
      <formula>K13&lt;&gt;SUM(AD13:AI13)</formula>
    </cfRule>
  </conditionalFormatting>
  <conditionalFormatting sqref="J14">
    <cfRule type="expression" dxfId="475" priority="13">
      <formula>K14&lt;&gt;SUM(AD14:AI14)</formula>
    </cfRule>
  </conditionalFormatting>
  <conditionalFormatting sqref="J15">
    <cfRule type="expression" dxfId="474" priority="14">
      <formula>K15&lt;&gt;SUM(AD15:AI15)</formula>
    </cfRule>
  </conditionalFormatting>
  <conditionalFormatting sqref="J16">
    <cfRule type="expression" dxfId="473" priority="15">
      <formula>K16&lt;&gt;SUM(AD16:AI16)</formula>
    </cfRule>
  </conditionalFormatting>
  <conditionalFormatting sqref="J17">
    <cfRule type="expression" dxfId="472" priority="16">
      <formula>K17&lt;&gt;SUM(AD17:AI17)</formula>
    </cfRule>
  </conditionalFormatting>
  <conditionalFormatting sqref="J18">
    <cfRule type="expression" dxfId="471" priority="17">
      <formula>K18&lt;&gt;SUM(AD18:AI18)</formula>
    </cfRule>
  </conditionalFormatting>
  <conditionalFormatting sqref="J19">
    <cfRule type="expression" dxfId="470" priority="18">
      <formula>K19&lt;&gt;SUM(AD19:AI19)</formula>
    </cfRule>
  </conditionalFormatting>
  <conditionalFormatting sqref="K4:K19">
    <cfRule type="cellIs" dxfId="469" priority="19" operator="equal">
      <formula>0</formula>
    </cfRule>
  </conditionalFormatting>
  <conditionalFormatting sqref="E4:H19">
    <cfRule type="expression" dxfId="468" priority="20">
      <formula>AF4&gt;0</formula>
    </cfRule>
  </conditionalFormatting>
  <conditionalFormatting sqref="E4:H19">
    <cfRule type="expression" dxfId="467" priority="21">
      <formula>P4&gt;0</formula>
    </cfRule>
  </conditionalFormatting>
  <conditionalFormatting sqref="I4:I19 T4:W19 Y4:Y19 U27:U37">
    <cfRule type="cellIs" dxfId="466" priority="22" stopIfTrue="1" operator="equal">
      <formula>0</formula>
    </cfRule>
  </conditionalFormatting>
  <conditionalFormatting sqref="AA27">
    <cfRule type="cellIs" dxfId="465" priority="23" stopIfTrue="1" operator="equal">
      <formula>"0,0"</formula>
    </cfRule>
  </conditionalFormatting>
  <conditionalFormatting sqref="K4:K19">
    <cfRule type="cellIs" dxfId="464" priority="24" stopIfTrue="1" operator="equal">
      <formula>"n/a"</formula>
    </cfRule>
  </conditionalFormatting>
  <conditionalFormatting sqref="P4:S19">
    <cfRule type="cellIs" dxfId="463" priority="25" stopIfTrue="1" operator="lessThanOrEqual">
      <formula>-1</formula>
    </cfRule>
  </conditionalFormatting>
  <conditionalFormatting sqref="V25:W25">
    <cfRule type="cellIs" dxfId="462" priority="26" stopIfTrue="1" operator="equal">
      <formula>-500</formula>
    </cfRule>
  </conditionalFormatting>
  <conditionalFormatting sqref="T25">
    <cfRule type="cellIs" dxfId="461" priority="27" stopIfTrue="1" operator="greaterThan">
      <formula>$V$25</formula>
    </cfRule>
  </conditionalFormatting>
  <conditionalFormatting sqref="Z4:Z19">
    <cfRule type="cellIs" dxfId="460" priority="28" stopIfTrue="1" operator="equal">
      <formula>"Star"</formula>
    </cfRule>
  </conditionalFormatting>
  <conditionalFormatting sqref="Z4:Z19">
    <cfRule type="cellIs" dxfId="459" priority="29" stopIfTrue="1" operator="equal">
      <formula>AA4</formula>
    </cfRule>
  </conditionalFormatting>
  <dataValidations count="2">
    <dataValidation type="list" allowBlank="1" showErrorMessage="1" sqref="D4:D19">
      <formula1>'CT3'!$D$28:$D$37</formula1>
    </dataValidation>
    <dataValidation type="list" allowBlank="1" showErrorMessage="1" sqref="I22">
      <formula1>'Development-Hidden'!$N$2:$N$28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W37"/>
  <sheetViews>
    <sheetView workbookViewId="0">
      <selection sqref="A1:A1048576"/>
    </sheetView>
  </sheetViews>
  <sheetFormatPr defaultColWidth="14.42578125" defaultRowHeight="15.75" customHeight="1"/>
  <cols>
    <col min="1" max="1" width="1.85546875" style="139" customWidth="1"/>
    <col min="2" max="2" width="3.140625" style="139" customWidth="1"/>
    <col min="3" max="3" width="19.28515625" style="139" customWidth="1"/>
    <col min="4" max="4" width="21.28515625" style="139" customWidth="1"/>
    <col min="5" max="8" width="3" style="139" customWidth="1"/>
    <col min="9" max="9" width="30.85546875" style="139" customWidth="1"/>
    <col min="10" max="10" width="23" style="139" customWidth="1"/>
    <col min="11" max="11" width="1.85546875" style="139" customWidth="1"/>
    <col min="12" max="13" width="2.42578125" style="139" customWidth="1"/>
    <col min="14" max="16" width="2.140625" style="139" customWidth="1"/>
    <col min="17" max="17" width="2" style="139" customWidth="1"/>
    <col min="18" max="18" width="1.85546875" style="139" customWidth="1"/>
    <col min="19" max="19" width="2" style="139" customWidth="1"/>
    <col min="20" max="21" width="3.28515625" style="139" customWidth="1"/>
    <col min="22" max="22" width="2.42578125" style="139" customWidth="1"/>
    <col min="23" max="23" width="3.28515625" style="139" customWidth="1"/>
    <col min="24" max="24" width="2.7109375" style="139" customWidth="1"/>
    <col min="25" max="25" width="3.28515625" style="139" customWidth="1"/>
    <col min="26" max="26" width="4.42578125" style="139" customWidth="1"/>
    <col min="27" max="27" width="10" style="139" customWidth="1"/>
    <col min="28" max="28" width="5.5703125" style="139" customWidth="1"/>
    <col min="29" max="29" width="8.7109375" style="139" customWidth="1"/>
    <col min="30" max="30" width="5.42578125" style="139" customWidth="1"/>
    <col min="31" max="32" width="5.28515625" style="139" customWidth="1"/>
    <col min="33" max="33" width="5.7109375" style="139" customWidth="1"/>
    <col min="34" max="34" width="5.85546875" style="139" customWidth="1"/>
    <col min="35" max="35" width="12.28515625" style="139" customWidth="1"/>
    <col min="36" max="36" width="6.42578125" style="139" customWidth="1"/>
    <col min="37" max="38" width="14.42578125" style="139" customWidth="1"/>
    <col min="39" max="39" width="11.42578125" style="139" customWidth="1"/>
    <col min="40" max="41" width="10.7109375" style="139" customWidth="1"/>
    <col min="42" max="42" width="5.140625" style="139" customWidth="1"/>
    <col min="43" max="43" width="8.140625" style="139" customWidth="1"/>
    <col min="44" max="44" width="26.140625" style="139" customWidth="1"/>
    <col min="45" max="48" width="10.7109375" style="139" customWidth="1"/>
    <col min="49" max="49" width="2.140625" style="139" customWidth="1"/>
    <col min="50" max="16384" width="14.42578125" style="139"/>
  </cols>
  <sheetData>
    <row r="1" spans="1:49" ht="8.25" customHeight="1">
      <c r="A1" s="136"/>
      <c r="B1" s="137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318"/>
    </row>
    <row r="2" spans="1:49" ht="15.75" customHeight="1">
      <c r="A2" s="136"/>
      <c r="B2" s="140"/>
      <c r="C2" s="140"/>
      <c r="D2" s="141"/>
      <c r="E2" s="140"/>
      <c r="F2" s="140"/>
      <c r="G2" s="140"/>
      <c r="H2" s="140"/>
      <c r="I2" s="140"/>
      <c r="J2" s="140"/>
      <c r="K2" s="136"/>
      <c r="L2" s="140"/>
      <c r="M2" s="140"/>
      <c r="N2" s="140"/>
      <c r="O2" s="140"/>
      <c r="P2" s="602" t="s">
        <v>218</v>
      </c>
      <c r="Q2" s="572"/>
      <c r="R2" s="572"/>
      <c r="S2" s="573"/>
      <c r="T2" s="142"/>
      <c r="U2" s="142"/>
      <c r="V2" s="142"/>
      <c r="W2" s="142"/>
      <c r="X2" s="143"/>
      <c r="Y2" s="142"/>
      <c r="Z2" s="140"/>
      <c r="AA2" s="140"/>
      <c r="AB2" s="136"/>
      <c r="AC2" s="140"/>
      <c r="AD2" s="140"/>
      <c r="AE2" s="140"/>
      <c r="AF2" s="144"/>
      <c r="AG2" s="140"/>
      <c r="AH2" s="140"/>
      <c r="AI2" s="140"/>
      <c r="AJ2" s="140"/>
      <c r="AK2" s="136"/>
      <c r="AL2" s="136"/>
      <c r="AM2" s="145"/>
      <c r="AN2" s="145"/>
      <c r="AO2" s="145"/>
      <c r="AP2" s="145"/>
      <c r="AQ2" s="145"/>
      <c r="AR2" s="145"/>
      <c r="AS2" s="145"/>
      <c r="AT2" s="145"/>
      <c r="AU2" s="145"/>
      <c r="AV2" s="145"/>
      <c r="AW2" s="136"/>
    </row>
    <row r="3" spans="1:49" ht="21.75" customHeight="1">
      <c r="A3" s="137"/>
      <c r="B3" s="146" t="s">
        <v>203</v>
      </c>
      <c r="C3" s="147" t="s">
        <v>32</v>
      </c>
      <c r="D3" s="148" t="s">
        <v>229</v>
      </c>
      <c r="E3" s="149" t="s">
        <v>206</v>
      </c>
      <c r="F3" s="150" t="s">
        <v>207</v>
      </c>
      <c r="G3" s="151" t="s">
        <v>208</v>
      </c>
      <c r="H3" s="152" t="s">
        <v>209</v>
      </c>
      <c r="I3" s="319" t="s">
        <v>230</v>
      </c>
      <c r="J3" s="320" t="s">
        <v>231</v>
      </c>
      <c r="K3" s="154" t="s">
        <v>203</v>
      </c>
      <c r="L3" s="155" t="s">
        <v>232</v>
      </c>
      <c r="M3" s="156" t="s">
        <v>233</v>
      </c>
      <c r="N3" s="156" t="s">
        <v>234</v>
      </c>
      <c r="O3" s="157" t="s">
        <v>235</v>
      </c>
      <c r="P3" s="158" t="s">
        <v>206</v>
      </c>
      <c r="Q3" s="159" t="s">
        <v>207</v>
      </c>
      <c r="R3" s="159" t="s">
        <v>208</v>
      </c>
      <c r="S3" s="160" t="s">
        <v>209</v>
      </c>
      <c r="T3" s="161" t="s">
        <v>236</v>
      </c>
      <c r="U3" s="156" t="s">
        <v>237</v>
      </c>
      <c r="V3" s="156" t="s">
        <v>210</v>
      </c>
      <c r="W3" s="156" t="s">
        <v>240</v>
      </c>
      <c r="X3" s="162" t="s">
        <v>35</v>
      </c>
      <c r="Y3" s="157" t="s">
        <v>211</v>
      </c>
      <c r="Z3" s="153" t="s">
        <v>212</v>
      </c>
      <c r="AA3" s="163" t="s">
        <v>241</v>
      </c>
      <c r="AB3" s="136"/>
      <c r="AC3" s="146" t="s">
        <v>242</v>
      </c>
      <c r="AD3" s="153" t="s">
        <v>233</v>
      </c>
      <c r="AE3" s="150" t="s">
        <v>243</v>
      </c>
      <c r="AF3" s="164" t="str">
        <f>"+MA"</f>
        <v>+MA</v>
      </c>
      <c r="AG3" s="150" t="str">
        <f>"+ST"</f>
        <v>+ST</v>
      </c>
      <c r="AH3" s="150" t="str">
        <f>"+AG"</f>
        <v>+AG</v>
      </c>
      <c r="AI3" s="150" t="str">
        <f>"+AV"</f>
        <v>+AV</v>
      </c>
      <c r="AJ3" s="163" t="s">
        <v>244</v>
      </c>
      <c r="AK3" s="136"/>
      <c r="AL3" s="601" t="s">
        <v>245</v>
      </c>
      <c r="AM3" s="575"/>
      <c r="AN3" s="575"/>
      <c r="AO3" s="575"/>
      <c r="AQ3" s="601" t="s">
        <v>246</v>
      </c>
      <c r="AR3" s="575"/>
      <c r="AS3" s="575"/>
      <c r="AT3" s="575"/>
      <c r="AU3" s="575"/>
      <c r="AV3" s="575"/>
      <c r="AW3" s="136"/>
    </row>
    <row r="4" spans="1:49" ht="18" customHeight="1">
      <c r="A4" s="321"/>
      <c r="B4" s="322">
        <v>1</v>
      </c>
      <c r="C4" s="323" t="s">
        <v>82</v>
      </c>
      <c r="D4" s="167" t="s">
        <v>83</v>
      </c>
      <c r="E4" s="168">
        <v>7</v>
      </c>
      <c r="F4" s="169">
        <v>2</v>
      </c>
      <c r="G4" s="169">
        <v>3</v>
      </c>
      <c r="H4" s="324">
        <v>7</v>
      </c>
      <c r="I4" s="325" t="s">
        <v>416</v>
      </c>
      <c r="J4" s="172" t="s">
        <v>417</v>
      </c>
      <c r="K4" s="326">
        <f t="shared" ref="K4:K19" si="0">IF(Z4&gt;175,6,IF(Z4&gt;75,5,IF(Z4&gt;50,4,IF(Z4&gt;30,3,IF(Z4&gt;15,2,IF(Z4&gt;5,1,0))))))</f>
        <v>2</v>
      </c>
      <c r="L4" s="327">
        <v>1</v>
      </c>
      <c r="M4" s="327"/>
      <c r="N4" s="327">
        <v>2</v>
      </c>
      <c r="O4" s="327"/>
      <c r="P4" s="328"/>
      <c r="Q4" s="329">
        <v>1</v>
      </c>
      <c r="R4" s="330"/>
      <c r="S4" s="331"/>
      <c r="T4" s="332"/>
      <c r="U4" s="271">
        <v>19</v>
      </c>
      <c r="V4" s="332"/>
      <c r="W4" s="271"/>
      <c r="X4" s="333"/>
      <c r="Y4" s="334">
        <v>1</v>
      </c>
      <c r="Z4" s="184">
        <f t="shared" ref="Z4:Z19" si="1">2*T4+U4+3*V4+2*W4+5*Y4</f>
        <v>24</v>
      </c>
      <c r="AA4" s="183">
        <f t="shared" ref="AA4:AA8" si="2">IF(L4=1,0,AC4+(20000*O4)+(20000*AD4)+(30000*AE4)+(30000*AF4)+(50000*AG4)+(40000*AH4)+(50000*AI4)+AJ4)</f>
        <v>0</v>
      </c>
      <c r="AB4" s="136"/>
      <c r="AC4" s="184">
        <f>IFERROR(VLOOKUP($I$22&amp;D4,'Development-Hidden'!$C$2:$E$118,3,FALSE),"")</f>
        <v>70000</v>
      </c>
      <c r="AD4" s="335">
        <v>2</v>
      </c>
      <c r="AE4" s="335"/>
      <c r="AF4" s="335"/>
      <c r="AG4" s="335"/>
      <c r="AH4" s="335"/>
      <c r="AI4" s="335"/>
      <c r="AJ4" s="335"/>
      <c r="AK4" s="318"/>
      <c r="AL4" s="336" t="s">
        <v>252</v>
      </c>
      <c r="AM4" s="337">
        <v>10000</v>
      </c>
      <c r="AN4" s="318"/>
      <c r="AO4" s="318"/>
      <c r="AP4" s="318"/>
      <c r="AQ4" s="338" t="s">
        <v>391</v>
      </c>
      <c r="AR4" s="339">
        <v>5</v>
      </c>
    </row>
    <row r="5" spans="1:49" ht="18" customHeight="1">
      <c r="A5" s="321"/>
      <c r="B5" s="340">
        <v>2</v>
      </c>
      <c r="C5" s="314" t="s">
        <v>36</v>
      </c>
      <c r="D5" s="194" t="s">
        <v>37</v>
      </c>
      <c r="E5" s="195">
        <v>10</v>
      </c>
      <c r="F5" s="196">
        <v>2</v>
      </c>
      <c r="G5" s="196">
        <v>4</v>
      </c>
      <c r="H5" s="341">
        <v>7</v>
      </c>
      <c r="I5" s="342" t="s">
        <v>419</v>
      </c>
      <c r="J5" s="199" t="s">
        <v>420</v>
      </c>
      <c r="K5" s="343">
        <f t="shared" si="0"/>
        <v>4</v>
      </c>
      <c r="L5" s="344"/>
      <c r="M5" s="344"/>
      <c r="N5" s="344">
        <v>2</v>
      </c>
      <c r="O5" s="344"/>
      <c r="P5" s="345"/>
      <c r="Q5" s="346"/>
      <c r="R5" s="347"/>
      <c r="S5" s="348"/>
      <c r="T5" s="349"/>
      <c r="U5" s="274">
        <v>2</v>
      </c>
      <c r="V5" s="349">
        <v>17</v>
      </c>
      <c r="W5" s="274"/>
      <c r="X5" s="350"/>
      <c r="Y5" s="351">
        <v>3</v>
      </c>
      <c r="Z5" s="210">
        <f t="shared" si="1"/>
        <v>68</v>
      </c>
      <c r="AA5" s="183">
        <f t="shared" si="2"/>
        <v>170000</v>
      </c>
      <c r="AB5" s="136"/>
      <c r="AC5" s="210">
        <f>IFERROR(VLOOKUP($I$22&amp;D5,'Development-Hidden'!$C$2:$E$118,3,FALSE),"")</f>
        <v>80000</v>
      </c>
      <c r="AD5" s="352">
        <v>3</v>
      </c>
      <c r="AE5" s="352"/>
      <c r="AF5" s="352">
        <v>1</v>
      </c>
      <c r="AG5" s="352"/>
      <c r="AH5" s="352"/>
      <c r="AI5" s="352"/>
      <c r="AJ5" s="352"/>
      <c r="AK5" s="318"/>
      <c r="AL5" s="353"/>
      <c r="AM5" s="353"/>
      <c r="AN5" s="353"/>
      <c r="AO5" s="353"/>
      <c r="AP5" s="353"/>
    </row>
    <row r="6" spans="1:49" ht="18" customHeight="1">
      <c r="A6" s="321"/>
      <c r="B6" s="340">
        <v>3</v>
      </c>
      <c r="C6" s="314" t="s">
        <v>62</v>
      </c>
      <c r="D6" s="194" t="s">
        <v>37</v>
      </c>
      <c r="E6" s="195">
        <v>9</v>
      </c>
      <c r="F6" s="196">
        <v>2</v>
      </c>
      <c r="G6" s="196">
        <v>4</v>
      </c>
      <c r="H6" s="341">
        <v>7</v>
      </c>
      <c r="I6" s="342" t="s">
        <v>419</v>
      </c>
      <c r="J6" s="199" t="s">
        <v>422</v>
      </c>
      <c r="K6" s="343">
        <f t="shared" si="0"/>
        <v>3</v>
      </c>
      <c r="L6" s="344"/>
      <c r="M6" s="344"/>
      <c r="N6" s="344">
        <v>2</v>
      </c>
      <c r="O6" s="344"/>
      <c r="P6" s="345"/>
      <c r="Q6" s="346"/>
      <c r="R6" s="347"/>
      <c r="S6" s="348"/>
      <c r="T6" s="349"/>
      <c r="U6" s="274">
        <v>5</v>
      </c>
      <c r="V6" s="349">
        <v>7</v>
      </c>
      <c r="W6" s="274">
        <v>1</v>
      </c>
      <c r="X6" s="350"/>
      <c r="Y6" s="351">
        <v>2</v>
      </c>
      <c r="Z6" s="210">
        <f t="shared" si="1"/>
        <v>38</v>
      </c>
      <c r="AA6" s="183">
        <f t="shared" si="2"/>
        <v>160000</v>
      </c>
      <c r="AB6" s="136"/>
      <c r="AC6" s="210">
        <f>IFERROR(VLOOKUP($I$22&amp;D6,'Development-Hidden'!$C$2:$E$118,3,FALSE),"")</f>
        <v>80000</v>
      </c>
      <c r="AD6" s="352">
        <v>1</v>
      </c>
      <c r="AE6" s="352">
        <v>2</v>
      </c>
      <c r="AF6" s="352"/>
      <c r="AG6" s="352"/>
      <c r="AH6" s="352"/>
      <c r="AI6" s="352"/>
      <c r="AJ6" s="352"/>
      <c r="AK6" s="318"/>
      <c r="AL6" s="212" t="s">
        <v>256</v>
      </c>
      <c r="AM6" s="212" t="s">
        <v>257</v>
      </c>
      <c r="AN6" s="212" t="s">
        <v>258</v>
      </c>
      <c r="AO6" s="354" t="s">
        <v>400</v>
      </c>
      <c r="AP6" s="353"/>
      <c r="AQ6" s="212" t="s">
        <v>256</v>
      </c>
      <c r="AR6" s="212" t="s">
        <v>260</v>
      </c>
      <c r="AS6" s="212" t="s">
        <v>261</v>
      </c>
      <c r="AT6" s="354" t="s">
        <v>401</v>
      </c>
      <c r="AU6" s="354" t="s">
        <v>262</v>
      </c>
      <c r="AV6" s="355" t="s">
        <v>402</v>
      </c>
      <c r="AW6" s="356"/>
    </row>
    <row r="7" spans="1:49" ht="18" customHeight="1">
      <c r="A7" s="321"/>
      <c r="B7" s="340">
        <v>4</v>
      </c>
      <c r="C7" s="314" t="s">
        <v>142</v>
      </c>
      <c r="D7" s="194" t="s">
        <v>49</v>
      </c>
      <c r="E7" s="195">
        <v>7</v>
      </c>
      <c r="F7" s="196">
        <v>3</v>
      </c>
      <c r="G7" s="196">
        <v>3</v>
      </c>
      <c r="H7" s="341">
        <v>8</v>
      </c>
      <c r="I7" s="342" t="s">
        <v>277</v>
      </c>
      <c r="J7" s="199" t="s">
        <v>423</v>
      </c>
      <c r="K7" s="343">
        <f t="shared" si="0"/>
        <v>1</v>
      </c>
      <c r="L7" s="344"/>
      <c r="M7" s="344"/>
      <c r="N7" s="344">
        <v>2</v>
      </c>
      <c r="O7" s="344"/>
      <c r="P7" s="345"/>
      <c r="Q7" s="346"/>
      <c r="R7" s="347"/>
      <c r="S7" s="348"/>
      <c r="T7" s="349"/>
      <c r="U7" s="274"/>
      <c r="V7" s="349">
        <v>1</v>
      </c>
      <c r="W7" s="274">
        <v>3</v>
      </c>
      <c r="X7" s="350"/>
      <c r="Y7" s="351"/>
      <c r="Z7" s="210">
        <f t="shared" si="1"/>
        <v>9</v>
      </c>
      <c r="AA7" s="183">
        <f t="shared" si="2"/>
        <v>110000</v>
      </c>
      <c r="AB7" s="136"/>
      <c r="AC7" s="210">
        <f>IFERROR(VLOOKUP($I$22&amp;D7,'Development-Hidden'!$C$2:$E$118,3,FALSE),"")</f>
        <v>90000</v>
      </c>
      <c r="AD7" s="352">
        <v>1</v>
      </c>
      <c r="AE7" s="352"/>
      <c r="AF7" s="352"/>
      <c r="AG7" s="352"/>
      <c r="AH7" s="352"/>
      <c r="AI7" s="352"/>
      <c r="AJ7" s="352"/>
      <c r="AK7" s="318"/>
      <c r="AL7" s="357" t="s">
        <v>267</v>
      </c>
      <c r="AM7" s="187">
        <v>50000</v>
      </c>
      <c r="AN7" s="358">
        <v>50000</v>
      </c>
      <c r="AO7" s="359" t="s">
        <v>424</v>
      </c>
      <c r="AP7" s="318"/>
      <c r="AQ7" s="357" t="s">
        <v>267</v>
      </c>
      <c r="AR7" s="358" t="s">
        <v>17</v>
      </c>
      <c r="AS7" s="358" t="s">
        <v>407</v>
      </c>
      <c r="AT7" s="187">
        <v>3</v>
      </c>
      <c r="AU7" s="359">
        <v>3</v>
      </c>
      <c r="AV7" s="360">
        <v>1</v>
      </c>
      <c r="AW7" s="353"/>
    </row>
    <row r="8" spans="1:49" ht="18" customHeight="1">
      <c r="A8" s="321"/>
      <c r="B8" s="340">
        <v>5</v>
      </c>
      <c r="C8" s="314" t="s">
        <v>135</v>
      </c>
      <c r="D8" s="194" t="s">
        <v>49</v>
      </c>
      <c r="E8" s="195">
        <v>7</v>
      </c>
      <c r="F8" s="196">
        <v>3</v>
      </c>
      <c r="G8" s="196">
        <v>3</v>
      </c>
      <c r="H8" s="341">
        <v>8</v>
      </c>
      <c r="I8" s="342" t="s">
        <v>277</v>
      </c>
      <c r="J8" s="199" t="s">
        <v>291</v>
      </c>
      <c r="K8" s="343">
        <f t="shared" si="0"/>
        <v>1</v>
      </c>
      <c r="L8" s="344"/>
      <c r="M8" s="344"/>
      <c r="N8" s="344">
        <v>2</v>
      </c>
      <c r="O8" s="344"/>
      <c r="P8" s="345"/>
      <c r="Q8" s="346"/>
      <c r="R8" s="347"/>
      <c r="S8" s="348"/>
      <c r="T8" s="349"/>
      <c r="U8" s="274">
        <v>1</v>
      </c>
      <c r="V8" s="349"/>
      <c r="W8" s="274">
        <v>2</v>
      </c>
      <c r="X8" s="350"/>
      <c r="Y8" s="351">
        <v>1</v>
      </c>
      <c r="Z8" s="210">
        <f t="shared" si="1"/>
        <v>10</v>
      </c>
      <c r="AA8" s="183">
        <f t="shared" si="2"/>
        <v>120000</v>
      </c>
      <c r="AB8" s="136"/>
      <c r="AC8" s="210">
        <f>IFERROR(VLOOKUP($I$22&amp;D8,'Development-Hidden'!$C$2:$E$118,3,FALSE),"")</f>
        <v>90000</v>
      </c>
      <c r="AD8" s="352"/>
      <c r="AE8" s="352">
        <v>1</v>
      </c>
      <c r="AF8" s="352"/>
      <c r="AG8" s="352"/>
      <c r="AH8" s="352"/>
      <c r="AI8" s="352"/>
      <c r="AJ8" s="352"/>
      <c r="AK8" s="318"/>
      <c r="AL8" s="357" t="s">
        <v>278</v>
      </c>
      <c r="AM8" s="187">
        <v>40000</v>
      </c>
      <c r="AN8" s="358">
        <v>50000</v>
      </c>
      <c r="AO8" s="359" t="s">
        <v>424</v>
      </c>
      <c r="AP8" s="318"/>
      <c r="AQ8" s="357" t="s">
        <v>278</v>
      </c>
      <c r="AR8" s="358" t="s">
        <v>425</v>
      </c>
      <c r="AS8" s="358" t="s">
        <v>407</v>
      </c>
      <c r="AT8" s="187">
        <v>5</v>
      </c>
      <c r="AU8" s="359">
        <v>2</v>
      </c>
      <c r="AV8" s="360">
        <v>1</v>
      </c>
      <c r="AW8" s="353"/>
    </row>
    <row r="9" spans="1:49" ht="18" customHeight="1">
      <c r="A9" s="321"/>
      <c r="B9" s="340">
        <v>6</v>
      </c>
      <c r="C9" s="314" t="s">
        <v>426</v>
      </c>
      <c r="D9" s="361" t="s">
        <v>44</v>
      </c>
      <c r="E9" s="362">
        <v>6</v>
      </c>
      <c r="F9" s="363">
        <v>5</v>
      </c>
      <c r="G9" s="363">
        <v>2</v>
      </c>
      <c r="H9" s="364">
        <v>8</v>
      </c>
      <c r="I9" s="365" t="s">
        <v>427</v>
      </c>
      <c r="J9" s="366" t="s">
        <v>428</v>
      </c>
      <c r="K9" s="367">
        <f t="shared" si="0"/>
        <v>2</v>
      </c>
      <c r="L9" s="368"/>
      <c r="M9" s="368"/>
      <c r="N9" s="368">
        <v>2</v>
      </c>
      <c r="O9" s="368"/>
      <c r="P9" s="369"/>
      <c r="Q9" s="370"/>
      <c r="R9" s="371"/>
      <c r="S9" s="372"/>
      <c r="T9" s="373"/>
      <c r="U9" s="374"/>
      <c r="V9" s="373"/>
      <c r="W9" s="374">
        <v>12</v>
      </c>
      <c r="X9" s="375">
        <v>1</v>
      </c>
      <c r="Y9" s="376">
        <v>1</v>
      </c>
      <c r="Z9" s="377">
        <f t="shared" si="1"/>
        <v>29</v>
      </c>
      <c r="AA9" s="378"/>
      <c r="AB9" s="136"/>
      <c r="AC9" s="210">
        <f>IFERROR(VLOOKUP($I$22&amp;D9,'Development-Hidden'!$C$2:$E$118,3,FALSE),"")</f>
        <v>150000</v>
      </c>
      <c r="AD9" s="352">
        <v>2</v>
      </c>
      <c r="AE9" s="352">
        <v>1</v>
      </c>
      <c r="AF9" s="352"/>
      <c r="AG9" s="352"/>
      <c r="AH9" s="352"/>
      <c r="AI9" s="352"/>
      <c r="AJ9" s="352"/>
      <c r="AK9" s="318"/>
      <c r="AL9" s="357" t="s">
        <v>289</v>
      </c>
      <c r="AM9" s="187">
        <v>20000</v>
      </c>
      <c r="AN9" s="358" t="s">
        <v>424</v>
      </c>
      <c r="AO9" s="359" t="s">
        <v>424</v>
      </c>
      <c r="AP9" s="318"/>
      <c r="AQ9" s="357" t="s">
        <v>289</v>
      </c>
      <c r="AR9" s="358" t="s">
        <v>8</v>
      </c>
      <c r="AS9" s="358" t="s">
        <v>361</v>
      </c>
      <c r="AT9" s="187">
        <v>0</v>
      </c>
      <c r="AU9" s="359">
        <v>2</v>
      </c>
      <c r="AV9" s="360">
        <v>0</v>
      </c>
      <c r="AW9" s="353"/>
    </row>
    <row r="10" spans="1:49" ht="18" customHeight="1">
      <c r="A10" s="321"/>
      <c r="B10" s="340">
        <v>7</v>
      </c>
      <c r="C10" s="314" t="s">
        <v>146</v>
      </c>
      <c r="D10" s="194" t="s">
        <v>58</v>
      </c>
      <c r="E10" s="195">
        <v>7</v>
      </c>
      <c r="F10" s="196">
        <v>3</v>
      </c>
      <c r="G10" s="196">
        <v>3</v>
      </c>
      <c r="H10" s="341">
        <v>7</v>
      </c>
      <c r="I10" s="342"/>
      <c r="J10" s="199" t="s">
        <v>423</v>
      </c>
      <c r="K10" s="343">
        <f t="shared" si="0"/>
        <v>1</v>
      </c>
      <c r="L10" s="344"/>
      <c r="M10" s="344"/>
      <c r="N10" s="344">
        <v>2</v>
      </c>
      <c r="O10" s="344"/>
      <c r="P10" s="345"/>
      <c r="Q10" s="346"/>
      <c r="R10" s="347"/>
      <c r="S10" s="348"/>
      <c r="T10" s="349"/>
      <c r="U10" s="274"/>
      <c r="V10" s="349">
        <v>1</v>
      </c>
      <c r="W10" s="274">
        <v>1</v>
      </c>
      <c r="X10" s="350"/>
      <c r="Y10" s="351">
        <v>2</v>
      </c>
      <c r="Z10" s="210">
        <f t="shared" si="1"/>
        <v>15</v>
      </c>
      <c r="AA10" s="183">
        <f>IF(L10=1,0,AC10+(20000*O10)+(20000*AD10)+(30000*AE10)+(30000*AF10)+(50000*AG10)+(40000*AH10)+(50000*AI10)+AJ10)</f>
        <v>70000</v>
      </c>
      <c r="AB10" s="136"/>
      <c r="AC10" s="210">
        <f>IFERROR(VLOOKUP($I$22&amp;D10,'Development-Hidden'!$C$2:$E$118,3,FALSE),"")</f>
        <v>50000</v>
      </c>
      <c r="AD10" s="352">
        <v>1</v>
      </c>
      <c r="AE10" s="352"/>
      <c r="AF10" s="352"/>
      <c r="AG10" s="352"/>
      <c r="AH10" s="352"/>
      <c r="AI10" s="352"/>
      <c r="AJ10" s="352"/>
      <c r="AK10" s="318"/>
      <c r="AL10" s="357" t="s">
        <v>296</v>
      </c>
      <c r="AM10" s="187">
        <v>30000</v>
      </c>
      <c r="AN10" s="358" t="s">
        <v>424</v>
      </c>
      <c r="AO10" s="359" t="s">
        <v>424</v>
      </c>
      <c r="AP10" s="318"/>
      <c r="AQ10" s="357" t="s">
        <v>296</v>
      </c>
      <c r="AR10" s="358" t="s">
        <v>432</v>
      </c>
      <c r="AS10" s="358" t="s">
        <v>361</v>
      </c>
      <c r="AT10" s="187">
        <v>3</v>
      </c>
      <c r="AU10" s="359">
        <v>0</v>
      </c>
      <c r="AV10" s="360">
        <v>-1</v>
      </c>
      <c r="AW10" s="353"/>
    </row>
    <row r="11" spans="1:49" ht="18" customHeight="1">
      <c r="A11" s="379"/>
      <c r="B11" s="380">
        <v>8</v>
      </c>
      <c r="C11" s="381" t="s">
        <v>433</v>
      </c>
      <c r="D11" s="361" t="s">
        <v>58</v>
      </c>
      <c r="E11" s="362">
        <v>7</v>
      </c>
      <c r="F11" s="363">
        <v>3</v>
      </c>
      <c r="G11" s="363">
        <v>3</v>
      </c>
      <c r="H11" s="364">
        <v>7</v>
      </c>
      <c r="I11" s="365"/>
      <c r="J11" s="366" t="s">
        <v>423</v>
      </c>
      <c r="K11" s="367">
        <f t="shared" si="0"/>
        <v>1</v>
      </c>
      <c r="L11" s="368"/>
      <c r="M11" s="344">
        <v>1</v>
      </c>
      <c r="N11" s="368">
        <v>2</v>
      </c>
      <c r="O11" s="368"/>
      <c r="P11" s="369"/>
      <c r="Q11" s="370"/>
      <c r="R11" s="371"/>
      <c r="S11" s="372"/>
      <c r="T11" s="373"/>
      <c r="U11" s="374"/>
      <c r="V11" s="373">
        <v>1</v>
      </c>
      <c r="W11" s="374">
        <v>1</v>
      </c>
      <c r="X11" s="375"/>
      <c r="Y11" s="376">
        <v>1</v>
      </c>
      <c r="Z11" s="377">
        <f t="shared" si="1"/>
        <v>10</v>
      </c>
      <c r="AA11" s="378"/>
      <c r="AB11" s="382"/>
      <c r="AC11" s="210">
        <f>IFERROR(VLOOKUP($I$22&amp;D11,'Development-Hidden'!$C$2:$E$118,3,FALSE),"")</f>
        <v>50000</v>
      </c>
      <c r="AD11" s="352">
        <v>1</v>
      </c>
      <c r="AE11" s="352"/>
      <c r="AF11" s="352"/>
      <c r="AG11" s="352"/>
      <c r="AH11" s="352"/>
      <c r="AI11" s="352"/>
      <c r="AJ11" s="352"/>
      <c r="AK11" s="318"/>
      <c r="AL11" s="357" t="s">
        <v>306</v>
      </c>
      <c r="AM11" s="187">
        <v>70000</v>
      </c>
      <c r="AN11" s="358" t="s">
        <v>424</v>
      </c>
      <c r="AO11" s="359" t="s">
        <v>424</v>
      </c>
      <c r="AP11" s="318"/>
      <c r="AQ11" s="357" t="s">
        <v>306</v>
      </c>
      <c r="AR11" s="358" t="s">
        <v>10</v>
      </c>
      <c r="AS11" s="358" t="s">
        <v>434</v>
      </c>
      <c r="AT11" s="187">
        <v>2</v>
      </c>
      <c r="AU11" s="359">
        <v>0</v>
      </c>
      <c r="AV11" s="360">
        <v>1</v>
      </c>
      <c r="AW11" s="383"/>
    </row>
    <row r="12" spans="1:49" ht="18" customHeight="1">
      <c r="A12" s="321"/>
      <c r="B12" s="340">
        <v>9</v>
      </c>
      <c r="C12" s="314" t="s">
        <v>99</v>
      </c>
      <c r="D12" s="194" t="s">
        <v>58</v>
      </c>
      <c r="E12" s="195">
        <v>7</v>
      </c>
      <c r="F12" s="196">
        <v>3</v>
      </c>
      <c r="G12" s="196">
        <v>3</v>
      </c>
      <c r="H12" s="341">
        <v>7</v>
      </c>
      <c r="I12" s="342"/>
      <c r="J12" s="199" t="s">
        <v>435</v>
      </c>
      <c r="K12" s="343">
        <f t="shared" si="0"/>
        <v>1</v>
      </c>
      <c r="L12" s="344"/>
      <c r="M12" s="344"/>
      <c r="N12" s="344">
        <v>2</v>
      </c>
      <c r="O12" s="344"/>
      <c r="P12" s="345"/>
      <c r="Q12" s="346"/>
      <c r="R12" s="347"/>
      <c r="S12" s="348"/>
      <c r="T12" s="349"/>
      <c r="U12" s="274"/>
      <c r="V12" s="349"/>
      <c r="W12" s="274">
        <v>2</v>
      </c>
      <c r="X12" s="350"/>
      <c r="Y12" s="351">
        <v>1</v>
      </c>
      <c r="Z12" s="210">
        <f t="shared" si="1"/>
        <v>9</v>
      </c>
      <c r="AA12" s="183">
        <f t="shared" ref="AA12:AA17" si="3">IF(L12=1,0,AC12+(20000*O12)+(20000*AD12)+(30000*AE12)+(30000*AF12)+(50000*AG12)+(40000*AH12)+(50000*AI12)+AJ12)</f>
        <v>70000</v>
      </c>
      <c r="AB12" s="136"/>
      <c r="AC12" s="210">
        <f>IFERROR(VLOOKUP($I$22&amp;D12,'Development-Hidden'!$C$2:$E$118,3,FALSE),"")</f>
        <v>50000</v>
      </c>
      <c r="AD12" s="352">
        <v>1</v>
      </c>
      <c r="AE12" s="352"/>
      <c r="AF12" s="352"/>
      <c r="AG12" s="352"/>
      <c r="AH12" s="352"/>
      <c r="AI12" s="352"/>
      <c r="AJ12" s="352"/>
      <c r="AK12" s="318"/>
      <c r="AL12" s="357" t="s">
        <v>316</v>
      </c>
      <c r="AM12" s="187"/>
      <c r="AN12" s="358"/>
      <c r="AO12" s="359"/>
      <c r="AP12" s="318"/>
      <c r="AQ12" s="357" t="s">
        <v>316</v>
      </c>
      <c r="AR12" s="358" t="s">
        <v>1</v>
      </c>
      <c r="AS12" s="358"/>
      <c r="AT12" s="187"/>
      <c r="AU12" s="359"/>
      <c r="AV12" s="360"/>
      <c r="AW12" s="353"/>
    </row>
    <row r="13" spans="1:49" ht="18" customHeight="1">
      <c r="A13" s="321"/>
      <c r="B13" s="340">
        <v>10</v>
      </c>
      <c r="C13" s="314" t="s">
        <v>149</v>
      </c>
      <c r="D13" s="194" t="s">
        <v>58</v>
      </c>
      <c r="E13" s="195">
        <v>7</v>
      </c>
      <c r="F13" s="196">
        <v>3</v>
      </c>
      <c r="G13" s="196">
        <v>3</v>
      </c>
      <c r="H13" s="341">
        <v>7</v>
      </c>
      <c r="I13" s="342"/>
      <c r="J13" s="199"/>
      <c r="K13" s="343">
        <f t="shared" si="0"/>
        <v>0</v>
      </c>
      <c r="L13" s="344"/>
      <c r="M13" s="344"/>
      <c r="N13" s="344"/>
      <c r="O13" s="344"/>
      <c r="P13" s="345"/>
      <c r="Q13" s="346"/>
      <c r="R13" s="347"/>
      <c r="S13" s="348"/>
      <c r="T13" s="349"/>
      <c r="U13" s="274">
        <v>1</v>
      </c>
      <c r="V13" s="349"/>
      <c r="W13" s="274"/>
      <c r="X13" s="350"/>
      <c r="Y13" s="351"/>
      <c r="Z13" s="210">
        <f t="shared" si="1"/>
        <v>1</v>
      </c>
      <c r="AA13" s="183">
        <f t="shared" si="3"/>
        <v>50000</v>
      </c>
      <c r="AB13" s="136"/>
      <c r="AC13" s="210">
        <f>IFERROR(VLOOKUP($I$22&amp;D13,'Development-Hidden'!$C$2:$E$118,3,FALSE),"")</f>
        <v>50000</v>
      </c>
      <c r="AD13" s="352"/>
      <c r="AE13" s="352"/>
      <c r="AF13" s="352"/>
      <c r="AG13" s="352"/>
      <c r="AH13" s="352"/>
      <c r="AI13" s="352"/>
      <c r="AJ13" s="352"/>
      <c r="AK13" s="318"/>
      <c r="AL13" s="357" t="s">
        <v>330</v>
      </c>
      <c r="AM13" s="187"/>
      <c r="AN13" s="358"/>
      <c r="AO13" s="359"/>
      <c r="AP13" s="318"/>
      <c r="AQ13" s="357" t="s">
        <v>330</v>
      </c>
      <c r="AR13" s="358"/>
      <c r="AS13" s="358"/>
      <c r="AT13" s="187"/>
      <c r="AU13" s="359"/>
      <c r="AV13" s="360"/>
      <c r="AW13" s="353"/>
    </row>
    <row r="14" spans="1:49" ht="18" customHeight="1">
      <c r="A14" s="321"/>
      <c r="B14" s="340">
        <v>11</v>
      </c>
      <c r="C14" s="314" t="s">
        <v>136</v>
      </c>
      <c r="D14" s="194" t="s">
        <v>58</v>
      </c>
      <c r="E14" s="195">
        <v>7</v>
      </c>
      <c r="F14" s="196">
        <v>2</v>
      </c>
      <c r="G14" s="196">
        <v>3</v>
      </c>
      <c r="H14" s="341">
        <v>7</v>
      </c>
      <c r="I14" s="342"/>
      <c r="J14" s="199"/>
      <c r="K14" s="343">
        <f t="shared" si="0"/>
        <v>0</v>
      </c>
      <c r="L14" s="344">
        <v>1</v>
      </c>
      <c r="M14" s="344"/>
      <c r="N14" s="344"/>
      <c r="O14" s="344"/>
      <c r="P14" s="345"/>
      <c r="Q14" s="346">
        <v>1</v>
      </c>
      <c r="R14" s="347"/>
      <c r="S14" s="348"/>
      <c r="T14" s="349"/>
      <c r="U14" s="274"/>
      <c r="V14" s="349"/>
      <c r="W14" s="274">
        <v>1</v>
      </c>
      <c r="X14" s="350"/>
      <c r="Y14" s="351"/>
      <c r="Z14" s="210">
        <f t="shared" si="1"/>
        <v>2</v>
      </c>
      <c r="AA14" s="183">
        <f t="shared" si="3"/>
        <v>0</v>
      </c>
      <c r="AB14" s="136"/>
      <c r="AC14" s="210">
        <f>IFERROR(VLOOKUP($I$22&amp;D14,'Development-Hidden'!$C$2:$E$118,3,FALSE),"")</f>
        <v>50000</v>
      </c>
      <c r="AD14" s="352"/>
      <c r="AE14" s="352"/>
      <c r="AF14" s="352"/>
      <c r="AG14" s="352"/>
      <c r="AH14" s="352"/>
      <c r="AI14" s="352"/>
      <c r="AJ14" s="352"/>
      <c r="AK14" s="318"/>
      <c r="AL14" s="357" t="s">
        <v>342</v>
      </c>
      <c r="AM14" s="187"/>
      <c r="AN14" s="358"/>
      <c r="AO14" s="359"/>
      <c r="AP14" s="318"/>
      <c r="AQ14" s="357" t="s">
        <v>342</v>
      </c>
      <c r="AR14" s="358"/>
      <c r="AS14" s="358"/>
      <c r="AT14" s="187"/>
      <c r="AU14" s="359"/>
      <c r="AV14" s="360"/>
      <c r="AW14" s="353"/>
    </row>
    <row r="15" spans="1:49" ht="18" customHeight="1">
      <c r="A15" s="321"/>
      <c r="B15" s="340">
        <v>12</v>
      </c>
      <c r="C15" s="314" t="s">
        <v>344</v>
      </c>
      <c r="D15" s="194" t="s">
        <v>58</v>
      </c>
      <c r="E15" s="195">
        <v>7</v>
      </c>
      <c r="F15" s="196">
        <v>3</v>
      </c>
      <c r="G15" s="196">
        <v>3</v>
      </c>
      <c r="H15" s="341">
        <v>7</v>
      </c>
      <c r="I15" s="342"/>
      <c r="J15" s="199"/>
      <c r="K15" s="343">
        <f t="shared" si="0"/>
        <v>0</v>
      </c>
      <c r="L15" s="344"/>
      <c r="M15" s="344"/>
      <c r="N15" s="344"/>
      <c r="O15" s="344"/>
      <c r="P15" s="345"/>
      <c r="Q15" s="346"/>
      <c r="R15" s="347"/>
      <c r="S15" s="348"/>
      <c r="T15" s="349"/>
      <c r="U15" s="274"/>
      <c r="V15" s="349"/>
      <c r="W15" s="274"/>
      <c r="X15" s="350"/>
      <c r="Y15" s="351"/>
      <c r="Z15" s="210">
        <f t="shared" si="1"/>
        <v>0</v>
      </c>
      <c r="AA15" s="183">
        <f t="shared" si="3"/>
        <v>50000</v>
      </c>
      <c r="AB15" s="136"/>
      <c r="AC15" s="210">
        <f>IFERROR(VLOOKUP($I$22&amp;D15,'Development-Hidden'!$C$2:$E$118,3,FALSE),"")</f>
        <v>50000</v>
      </c>
      <c r="AD15" s="352"/>
      <c r="AE15" s="352"/>
      <c r="AF15" s="352"/>
      <c r="AG15" s="352"/>
      <c r="AH15" s="352"/>
      <c r="AI15" s="352"/>
      <c r="AJ15" s="352"/>
      <c r="AK15" s="318"/>
      <c r="AL15" s="357" t="s">
        <v>354</v>
      </c>
      <c r="AM15" s="187"/>
      <c r="AN15" s="358"/>
      <c r="AO15" s="359"/>
      <c r="AP15" s="318"/>
      <c r="AQ15" s="357" t="s">
        <v>354</v>
      </c>
      <c r="AR15" s="358"/>
      <c r="AS15" s="358"/>
      <c r="AT15" s="187"/>
      <c r="AU15" s="359"/>
      <c r="AV15" s="360"/>
      <c r="AW15" s="353"/>
    </row>
    <row r="16" spans="1:49" ht="18" customHeight="1">
      <c r="A16" s="321"/>
      <c r="B16" s="340">
        <v>13</v>
      </c>
      <c r="C16" s="314" t="s">
        <v>345</v>
      </c>
      <c r="D16" s="194" t="s">
        <v>58</v>
      </c>
      <c r="E16" s="195">
        <v>7</v>
      </c>
      <c r="F16" s="196">
        <v>3</v>
      </c>
      <c r="G16" s="196">
        <v>3</v>
      </c>
      <c r="H16" s="341">
        <v>7</v>
      </c>
      <c r="I16" s="342"/>
      <c r="J16" s="199"/>
      <c r="K16" s="343">
        <f t="shared" si="0"/>
        <v>0</v>
      </c>
      <c r="L16" s="344"/>
      <c r="M16" s="344"/>
      <c r="N16" s="344"/>
      <c r="O16" s="344"/>
      <c r="P16" s="345"/>
      <c r="Q16" s="346"/>
      <c r="R16" s="347"/>
      <c r="S16" s="348"/>
      <c r="T16" s="349"/>
      <c r="U16" s="274"/>
      <c r="V16" s="349"/>
      <c r="W16" s="274"/>
      <c r="X16" s="350"/>
      <c r="Y16" s="351"/>
      <c r="Z16" s="210">
        <f t="shared" si="1"/>
        <v>0</v>
      </c>
      <c r="AA16" s="183">
        <f t="shared" si="3"/>
        <v>50000</v>
      </c>
      <c r="AB16" s="136"/>
      <c r="AC16" s="210">
        <f>IFERROR(VLOOKUP($I$22&amp;D16,'Development-Hidden'!$C$2:$E$118,3,FALSE),"")</f>
        <v>50000</v>
      </c>
      <c r="AD16" s="352"/>
      <c r="AE16" s="352"/>
      <c r="AF16" s="352"/>
      <c r="AG16" s="352"/>
      <c r="AH16" s="352"/>
      <c r="AI16" s="352"/>
      <c r="AJ16" s="352"/>
      <c r="AK16" s="318"/>
      <c r="AL16" s="357" t="s">
        <v>355</v>
      </c>
      <c r="AM16" s="187"/>
      <c r="AN16" s="358"/>
      <c r="AO16" s="359"/>
      <c r="AP16" s="318"/>
      <c r="AQ16" s="357" t="s">
        <v>355</v>
      </c>
      <c r="AR16" s="358"/>
      <c r="AS16" s="358"/>
      <c r="AT16" s="187"/>
      <c r="AU16" s="359"/>
      <c r="AV16" s="360"/>
      <c r="AW16" s="353"/>
    </row>
    <row r="17" spans="1:49" ht="18" customHeight="1">
      <c r="A17" s="321"/>
      <c r="B17" s="340">
        <v>14</v>
      </c>
      <c r="C17" s="314" t="s">
        <v>437</v>
      </c>
      <c r="D17" s="194" t="s">
        <v>37</v>
      </c>
      <c r="E17" s="195">
        <v>9</v>
      </c>
      <c r="F17" s="196">
        <v>2</v>
      </c>
      <c r="G17" s="196">
        <v>4</v>
      </c>
      <c r="H17" s="341">
        <v>7</v>
      </c>
      <c r="I17" s="342" t="s">
        <v>419</v>
      </c>
      <c r="J17" s="199" t="s">
        <v>277</v>
      </c>
      <c r="K17" s="343">
        <f t="shared" si="0"/>
        <v>1</v>
      </c>
      <c r="L17" s="344"/>
      <c r="M17" s="344"/>
      <c r="N17" s="344"/>
      <c r="O17" s="344"/>
      <c r="P17" s="345"/>
      <c r="Q17" s="346"/>
      <c r="R17" s="347"/>
      <c r="S17" s="348"/>
      <c r="T17" s="349"/>
      <c r="U17" s="274">
        <v>2</v>
      </c>
      <c r="V17" s="349">
        <v>1</v>
      </c>
      <c r="W17" s="274"/>
      <c r="X17" s="350"/>
      <c r="Y17" s="351">
        <v>1</v>
      </c>
      <c r="Z17" s="210">
        <f t="shared" si="1"/>
        <v>10</v>
      </c>
      <c r="AA17" s="183">
        <f t="shared" si="3"/>
        <v>100000</v>
      </c>
      <c r="AB17" s="136"/>
      <c r="AC17" s="210">
        <f>IFERROR(VLOOKUP($I$22&amp;D17,'Development-Hidden'!$C$2:$E$118,3,FALSE),"")</f>
        <v>80000</v>
      </c>
      <c r="AD17" s="352">
        <v>1</v>
      </c>
      <c r="AE17" s="352"/>
      <c r="AF17" s="352"/>
      <c r="AG17" s="352"/>
      <c r="AH17" s="352"/>
      <c r="AI17" s="352"/>
      <c r="AJ17" s="352"/>
      <c r="AK17" s="318"/>
      <c r="AL17" s="357" t="s">
        <v>357</v>
      </c>
      <c r="AM17" s="187"/>
      <c r="AN17" s="358"/>
      <c r="AO17" s="359"/>
      <c r="AP17" s="318"/>
      <c r="AQ17" s="357" t="s">
        <v>357</v>
      </c>
      <c r="AR17" s="358"/>
      <c r="AS17" s="358"/>
      <c r="AT17" s="187"/>
      <c r="AU17" s="359"/>
      <c r="AV17" s="360"/>
      <c r="AW17" s="353"/>
    </row>
    <row r="18" spans="1:49" ht="18" customHeight="1">
      <c r="A18" s="321"/>
      <c r="B18" s="340">
        <v>15</v>
      </c>
      <c r="C18" s="314" t="s">
        <v>438</v>
      </c>
      <c r="D18" s="194" t="s">
        <v>58</v>
      </c>
      <c r="E18" s="195">
        <v>7</v>
      </c>
      <c r="F18" s="196">
        <v>3</v>
      </c>
      <c r="G18" s="196">
        <v>3</v>
      </c>
      <c r="H18" s="341">
        <v>7</v>
      </c>
      <c r="I18" s="342"/>
      <c r="J18" s="199" t="s">
        <v>440</v>
      </c>
      <c r="K18" s="343">
        <f t="shared" si="0"/>
        <v>0</v>
      </c>
      <c r="L18" s="344"/>
      <c r="M18" s="344"/>
      <c r="N18" s="344"/>
      <c r="O18" s="344"/>
      <c r="P18" s="345"/>
      <c r="Q18" s="346"/>
      <c r="R18" s="347"/>
      <c r="S18" s="348"/>
      <c r="T18" s="349"/>
      <c r="U18" s="274"/>
      <c r="V18" s="349"/>
      <c r="W18" s="274"/>
      <c r="X18" s="350"/>
      <c r="Y18" s="351"/>
      <c r="Z18" s="210">
        <f t="shared" si="1"/>
        <v>0</v>
      </c>
      <c r="AA18" s="183">
        <v>50000</v>
      </c>
      <c r="AB18" s="136"/>
      <c r="AC18" s="210">
        <f>IFERROR(VLOOKUP($I$22&amp;D18,'Development-Hidden'!$C$2:$E$118,3,FALSE),"")</f>
        <v>50000</v>
      </c>
      <c r="AD18" s="352"/>
      <c r="AE18" s="352"/>
      <c r="AF18" s="352"/>
      <c r="AG18" s="352"/>
      <c r="AH18" s="352"/>
      <c r="AI18" s="352"/>
      <c r="AJ18" s="352"/>
      <c r="AK18" s="318"/>
      <c r="AL18" s="357" t="s">
        <v>359</v>
      </c>
      <c r="AM18" s="187"/>
      <c r="AN18" s="358"/>
      <c r="AO18" s="359"/>
      <c r="AP18" s="318"/>
      <c r="AQ18" s="357" t="s">
        <v>359</v>
      </c>
      <c r="AR18" s="358"/>
      <c r="AS18" s="358"/>
      <c r="AT18" s="187"/>
      <c r="AU18" s="359"/>
      <c r="AV18" s="360"/>
      <c r="AW18" s="353"/>
    </row>
    <row r="19" spans="1:49" ht="18" customHeight="1">
      <c r="A19" s="321"/>
      <c r="B19" s="384">
        <v>16</v>
      </c>
      <c r="C19" s="315"/>
      <c r="D19" s="385"/>
      <c r="E19" s="251"/>
      <c r="F19" s="252"/>
      <c r="G19" s="252"/>
      <c r="H19" s="386"/>
      <c r="I19" s="387"/>
      <c r="J19" s="388"/>
      <c r="K19" s="389">
        <f t="shared" si="0"/>
        <v>0</v>
      </c>
      <c r="L19" s="390"/>
      <c r="M19" s="390"/>
      <c r="N19" s="390"/>
      <c r="O19" s="390"/>
      <c r="P19" s="391"/>
      <c r="Q19" s="392"/>
      <c r="R19" s="393"/>
      <c r="S19" s="394"/>
      <c r="T19" s="395"/>
      <c r="U19" s="281"/>
      <c r="V19" s="395"/>
      <c r="W19" s="281"/>
      <c r="X19" s="396"/>
      <c r="Y19" s="397"/>
      <c r="Z19" s="266">
        <f t="shared" si="1"/>
        <v>0</v>
      </c>
      <c r="AA19" s="183">
        <f>IF(L19=1,0,AC19+(20000*O19)+(20000*AD19)+(30000*AE19)+(30000*AF19)+(50000*AG19)+(40000*AH19)+(50000*AI19)+AJ19)</f>
        <v>0</v>
      </c>
      <c r="AB19" s="136"/>
      <c r="AC19" s="210" t="str">
        <f>IFERROR(VLOOKUP($I$22&amp;D19,'Development-Hidden'!$C$2:$E$118,3,FALSE),"0")</f>
        <v>0</v>
      </c>
      <c r="AD19" s="398"/>
      <c r="AE19" s="398"/>
      <c r="AF19" s="398"/>
      <c r="AG19" s="398"/>
      <c r="AH19" s="398"/>
      <c r="AI19" s="398"/>
      <c r="AJ19" s="398"/>
      <c r="AK19" s="318"/>
      <c r="AL19" s="318"/>
      <c r="AM19" s="318"/>
      <c r="AN19" s="318"/>
      <c r="AO19" s="318"/>
      <c r="AP19" s="318"/>
      <c r="AQ19" s="318"/>
      <c r="AR19" s="318"/>
      <c r="AS19" s="318"/>
      <c r="AT19" s="318"/>
      <c r="AU19" s="318"/>
      <c r="AV19" s="318"/>
      <c r="AW19" s="318"/>
    </row>
    <row r="20" spans="1:49" ht="18" customHeight="1">
      <c r="A20" s="321"/>
      <c r="B20" s="399"/>
      <c r="C20" s="635"/>
      <c r="D20" s="573"/>
      <c r="E20" s="641"/>
      <c r="F20" s="587"/>
      <c r="G20" s="642"/>
      <c r="H20" s="588"/>
      <c r="I20" s="400"/>
      <c r="J20" s="640"/>
      <c r="K20" s="578"/>
      <c r="L20" s="401"/>
      <c r="M20" s="402"/>
      <c r="N20" s="402"/>
      <c r="O20" s="402"/>
      <c r="P20" s="402"/>
      <c r="Q20" s="402"/>
      <c r="R20" s="402"/>
      <c r="S20" s="402"/>
      <c r="T20" s="402"/>
      <c r="U20" s="403"/>
      <c r="V20" s="404"/>
      <c r="W20" s="402"/>
      <c r="X20" s="405" t="s">
        <v>364</v>
      </c>
      <c r="Y20" s="651"/>
      <c r="Z20" s="588"/>
      <c r="AA20" s="270">
        <f>SUM(AA4:AA19)</f>
        <v>1000000</v>
      </c>
      <c r="AB20" s="318"/>
      <c r="AC20" s="318"/>
      <c r="AD20" s="318"/>
      <c r="AE20" s="318"/>
      <c r="AF20" s="318"/>
      <c r="AG20" s="318"/>
      <c r="AH20" s="318"/>
      <c r="AI20" s="318"/>
      <c r="AJ20" s="318"/>
      <c r="AK20" s="318"/>
      <c r="AL20" s="406" t="s">
        <v>219</v>
      </c>
      <c r="AM20" s="187">
        <f>AM4+SUM(AM7:AM18)-SUM(AN7:AN18)-SUM(AO7:AO18)</f>
        <v>120000</v>
      </c>
      <c r="AN20" s="318"/>
      <c r="AO20" s="318"/>
      <c r="AP20" s="318"/>
      <c r="AS20" s="406" t="s">
        <v>219</v>
      </c>
      <c r="AT20" s="187">
        <f t="shared" ref="AT20:AU20" si="4">SUM(AT7:AT18)</f>
        <v>13</v>
      </c>
      <c r="AU20" s="407">
        <f t="shared" si="4"/>
        <v>7</v>
      </c>
      <c r="AV20" s="408">
        <f>AR4+SUM(AV7:AV18)</f>
        <v>7</v>
      </c>
      <c r="AW20" s="140"/>
    </row>
    <row r="21" spans="1:49" ht="17.25" customHeight="1">
      <c r="A21" s="321"/>
      <c r="B21" s="409"/>
      <c r="C21" s="574"/>
      <c r="D21" s="576"/>
      <c r="E21" s="643" t="s">
        <v>365</v>
      </c>
      <c r="F21" s="581"/>
      <c r="G21" s="581"/>
      <c r="H21" s="581"/>
      <c r="I21" s="609" t="s">
        <v>15</v>
      </c>
      <c r="J21" s="636"/>
      <c r="K21" s="637"/>
      <c r="L21" s="649" t="s">
        <v>366</v>
      </c>
      <c r="M21" s="636"/>
      <c r="N21" s="636"/>
      <c r="O21" s="636"/>
      <c r="P21" s="636"/>
      <c r="Q21" s="636"/>
      <c r="R21" s="636"/>
      <c r="S21" s="650"/>
      <c r="T21" s="410">
        <v>3</v>
      </c>
      <c r="U21" s="411" t="s">
        <v>220</v>
      </c>
      <c r="V21" s="648">
        <v>60000</v>
      </c>
      <c r="W21" s="636"/>
      <c r="X21" s="636"/>
      <c r="Y21" s="636"/>
      <c r="Z21" s="412" t="s">
        <v>406</v>
      </c>
      <c r="AA21" s="273">
        <f t="shared" ref="AA21:AA25" si="5">T21*V21</f>
        <v>180000</v>
      </c>
      <c r="AB21" s="318"/>
      <c r="AC21" s="318"/>
      <c r="AD21" s="318"/>
      <c r="AE21" s="318"/>
      <c r="AF21" s="318"/>
      <c r="AG21" s="318"/>
      <c r="AH21" s="318"/>
      <c r="AI21" s="318"/>
      <c r="AJ21" s="318"/>
      <c r="AK21" s="318"/>
      <c r="AL21" s="318"/>
      <c r="AM21" s="318"/>
      <c r="AN21" s="318"/>
      <c r="AO21" s="318"/>
      <c r="AP21" s="318"/>
      <c r="AQ21" s="318"/>
      <c r="AR21" s="318"/>
      <c r="AS21" s="318"/>
      <c r="AT21" s="318"/>
      <c r="AU21" s="318"/>
      <c r="AV21" s="318"/>
      <c r="AW21" s="318"/>
    </row>
    <row r="22" spans="1:49" ht="17.25" customHeight="1">
      <c r="A22" s="321"/>
      <c r="B22" s="409"/>
      <c r="C22" s="574"/>
      <c r="D22" s="576"/>
      <c r="E22" s="621" t="s">
        <v>368</v>
      </c>
      <c r="F22" s="583"/>
      <c r="G22" s="583"/>
      <c r="H22" s="583"/>
      <c r="I22" s="638" t="s">
        <v>2</v>
      </c>
      <c r="J22" s="583"/>
      <c r="K22" s="597"/>
      <c r="L22" s="591" t="s">
        <v>369</v>
      </c>
      <c r="M22" s="583"/>
      <c r="N22" s="583"/>
      <c r="O22" s="583"/>
      <c r="P22" s="583"/>
      <c r="Q22" s="583"/>
      <c r="R22" s="583"/>
      <c r="S22" s="592"/>
      <c r="T22" s="274">
        <f>AV20</f>
        <v>7</v>
      </c>
      <c r="U22" s="413" t="s">
        <v>220</v>
      </c>
      <c r="V22" s="647">
        <v>10000</v>
      </c>
      <c r="W22" s="583"/>
      <c r="X22" s="583"/>
      <c r="Y22" s="583"/>
      <c r="Z22" s="414" t="s">
        <v>406</v>
      </c>
      <c r="AA22" s="276">
        <f t="shared" si="5"/>
        <v>70000</v>
      </c>
      <c r="AB22" s="318"/>
      <c r="AC22" s="318"/>
      <c r="AD22" s="318"/>
      <c r="AE22" s="353"/>
      <c r="AF22" s="318"/>
      <c r="AG22" s="318"/>
      <c r="AH22" s="318"/>
      <c r="AI22" s="318"/>
      <c r="AJ22" s="318"/>
      <c r="AK22" s="318"/>
      <c r="AL22" s="604" t="s">
        <v>367</v>
      </c>
      <c r="AM22" s="588"/>
      <c r="AN22" s="318"/>
      <c r="AO22" s="318"/>
      <c r="AP22" s="318"/>
      <c r="AQ22" s="318"/>
      <c r="AR22" s="318"/>
      <c r="AS22" s="318"/>
      <c r="AT22" s="318"/>
      <c r="AU22" s="318"/>
      <c r="AV22" s="318"/>
      <c r="AW22" s="318"/>
    </row>
    <row r="23" spans="1:49" ht="17.25" customHeight="1">
      <c r="A23" s="321"/>
      <c r="B23" s="409"/>
      <c r="C23" s="574"/>
      <c r="D23" s="576"/>
      <c r="E23" s="621" t="s">
        <v>408</v>
      </c>
      <c r="F23" s="583"/>
      <c r="G23" s="583"/>
      <c r="H23" s="583"/>
      <c r="I23" s="639" t="s">
        <v>445</v>
      </c>
      <c r="J23" s="583"/>
      <c r="K23" s="597"/>
      <c r="L23" s="591" t="s">
        <v>409</v>
      </c>
      <c r="M23" s="583"/>
      <c r="N23" s="583"/>
      <c r="O23" s="583"/>
      <c r="P23" s="583"/>
      <c r="Q23" s="583"/>
      <c r="R23" s="583"/>
      <c r="S23" s="592"/>
      <c r="T23" s="274">
        <v>0</v>
      </c>
      <c r="U23" s="413" t="s">
        <v>220</v>
      </c>
      <c r="V23" s="647">
        <v>10000</v>
      </c>
      <c r="W23" s="583"/>
      <c r="X23" s="583"/>
      <c r="Y23" s="583"/>
      <c r="Z23" s="414" t="s">
        <v>406</v>
      </c>
      <c r="AA23" s="276">
        <f t="shared" si="5"/>
        <v>0</v>
      </c>
      <c r="AB23" s="318"/>
      <c r="AC23" s="318"/>
      <c r="AD23" s="318"/>
      <c r="AE23" s="318"/>
      <c r="AF23" s="318"/>
      <c r="AG23" s="318"/>
      <c r="AH23" s="318"/>
      <c r="AI23" s="318"/>
      <c r="AJ23" s="318"/>
      <c r="AK23" s="318"/>
      <c r="AL23" s="277" t="s">
        <v>370</v>
      </c>
      <c r="AM23" s="278">
        <f>AM20</f>
        <v>120000</v>
      </c>
      <c r="AN23" s="318"/>
      <c r="AO23" s="318"/>
      <c r="AP23" s="318"/>
      <c r="AQ23" s="318"/>
      <c r="AR23" s="318"/>
      <c r="AS23" s="318"/>
      <c r="AT23" s="318"/>
      <c r="AU23" s="318"/>
      <c r="AV23" s="318"/>
      <c r="AW23" s="318"/>
    </row>
    <row r="24" spans="1:49" ht="17.25" customHeight="1">
      <c r="A24" s="321"/>
      <c r="B24" s="409"/>
      <c r="C24" s="574"/>
      <c r="D24" s="576"/>
      <c r="E24" s="621" t="s">
        <v>373</v>
      </c>
      <c r="F24" s="583"/>
      <c r="G24" s="583"/>
      <c r="H24" s="583"/>
      <c r="I24" s="415">
        <f>(AA20+AA26)/1000</f>
        <v>1300</v>
      </c>
      <c r="J24" s="416" t="s">
        <v>410</v>
      </c>
      <c r="K24" s="417"/>
      <c r="L24" s="591" t="s">
        <v>375</v>
      </c>
      <c r="M24" s="583"/>
      <c r="N24" s="583"/>
      <c r="O24" s="583"/>
      <c r="P24" s="583"/>
      <c r="Q24" s="583"/>
      <c r="R24" s="583"/>
      <c r="S24" s="592"/>
      <c r="T24" s="274">
        <v>0</v>
      </c>
      <c r="U24" s="413" t="s">
        <v>220</v>
      </c>
      <c r="V24" s="647">
        <v>10000</v>
      </c>
      <c r="W24" s="583"/>
      <c r="X24" s="583"/>
      <c r="Y24" s="583"/>
      <c r="Z24" s="414" t="s">
        <v>406</v>
      </c>
      <c r="AA24" s="276">
        <f t="shared" si="5"/>
        <v>0</v>
      </c>
      <c r="AB24" s="318"/>
      <c r="AC24" s="318"/>
      <c r="AD24" s="318"/>
      <c r="AE24" s="318"/>
      <c r="AF24" s="318"/>
      <c r="AG24" s="318"/>
      <c r="AH24" s="318"/>
      <c r="AI24" s="318"/>
      <c r="AJ24" s="318"/>
      <c r="AK24" s="318"/>
      <c r="AL24" s="279" t="s">
        <v>372</v>
      </c>
      <c r="AM24" s="280">
        <f>COUNTA(AM7:AM18)*10000</f>
        <v>50000</v>
      </c>
      <c r="AN24" s="318"/>
      <c r="AO24" s="318"/>
      <c r="AP24" s="318"/>
      <c r="AQ24" s="318"/>
      <c r="AR24" s="318"/>
      <c r="AS24" s="318"/>
      <c r="AT24" s="318"/>
      <c r="AU24" s="318"/>
      <c r="AV24" s="318"/>
      <c r="AW24" s="318"/>
    </row>
    <row r="25" spans="1:49" ht="17.25" customHeight="1">
      <c r="A25" s="321"/>
      <c r="B25" s="409"/>
      <c r="C25" s="574"/>
      <c r="D25" s="576"/>
      <c r="E25" s="623" t="s">
        <v>376</v>
      </c>
      <c r="F25" s="594"/>
      <c r="G25" s="594"/>
      <c r="H25" s="596"/>
      <c r="I25" s="418">
        <f>AM20/1000</f>
        <v>120</v>
      </c>
      <c r="J25" s="419" t="s">
        <v>410</v>
      </c>
      <c r="K25" s="420"/>
      <c r="L25" s="593" t="s">
        <v>411</v>
      </c>
      <c r="M25" s="594"/>
      <c r="N25" s="594"/>
      <c r="O25" s="594"/>
      <c r="P25" s="594"/>
      <c r="Q25" s="594"/>
      <c r="R25" s="594"/>
      <c r="S25" s="594"/>
      <c r="T25" s="281">
        <v>1</v>
      </c>
      <c r="U25" s="413" t="s">
        <v>220</v>
      </c>
      <c r="V25" s="645">
        <v>50000</v>
      </c>
      <c r="W25" s="594"/>
      <c r="X25" s="594"/>
      <c r="Y25" s="594"/>
      <c r="Z25" s="414" t="s">
        <v>406</v>
      </c>
      <c r="AA25" s="276">
        <f t="shared" si="5"/>
        <v>50000</v>
      </c>
      <c r="AB25" s="318"/>
      <c r="AC25" s="318"/>
      <c r="AD25" s="318"/>
      <c r="AE25" s="318"/>
      <c r="AF25" s="318"/>
      <c r="AG25" s="318"/>
      <c r="AH25" s="318"/>
      <c r="AI25" s="318"/>
      <c r="AJ25" s="318"/>
      <c r="AK25" s="318"/>
      <c r="AL25" s="279" t="s">
        <v>33</v>
      </c>
      <c r="AM25" s="280">
        <f>AT20*5000</f>
        <v>65000</v>
      </c>
      <c r="AN25" s="318"/>
      <c r="AO25" s="318"/>
      <c r="AP25" s="318"/>
      <c r="AQ25" s="318"/>
      <c r="AR25" s="318"/>
      <c r="AS25" s="318"/>
      <c r="AT25" s="318"/>
      <c r="AU25" s="318"/>
      <c r="AV25" s="318"/>
      <c r="AW25" s="318"/>
    </row>
    <row r="26" spans="1:49" ht="17.25" customHeight="1">
      <c r="A26" s="321"/>
      <c r="B26" s="421"/>
      <c r="C26" s="577"/>
      <c r="D26" s="579"/>
      <c r="E26" s="422" t="s">
        <v>412</v>
      </c>
      <c r="F26" s="423"/>
      <c r="G26" s="423"/>
      <c r="H26" s="423"/>
      <c r="I26" s="424" t="s">
        <v>413</v>
      </c>
      <c r="J26" s="425" t="str">
        <f>HYPERLINK("http://www.arosbb.dk/","www.arosbb.dk")</f>
        <v>www.arosbb.dk</v>
      </c>
      <c r="K26" s="423"/>
      <c r="L26" s="644"/>
      <c r="M26" s="587"/>
      <c r="N26" s="587"/>
      <c r="O26" s="587"/>
      <c r="P26" s="587"/>
      <c r="Q26" s="587"/>
      <c r="R26" s="587"/>
      <c r="S26" s="587"/>
      <c r="T26" s="426"/>
      <c r="U26" s="403"/>
      <c r="V26" s="427"/>
      <c r="W26" s="646" t="s">
        <v>379</v>
      </c>
      <c r="X26" s="587"/>
      <c r="Y26" s="587"/>
      <c r="Z26" s="588"/>
      <c r="AA26" s="270">
        <f>SUM(AA21:AA25)</f>
        <v>300000</v>
      </c>
      <c r="AB26" s="318"/>
      <c r="AC26" s="318"/>
      <c r="AD26" s="318"/>
      <c r="AE26" s="318"/>
      <c r="AF26" s="318"/>
      <c r="AG26" s="318"/>
      <c r="AH26" s="318"/>
      <c r="AI26" s="318"/>
      <c r="AJ26" s="318"/>
      <c r="AK26" s="318"/>
      <c r="AL26" s="282" t="s">
        <v>34</v>
      </c>
      <c r="AM26" s="283">
        <f>AU20*5000</f>
        <v>35000</v>
      </c>
      <c r="AN26" s="318"/>
      <c r="AO26" s="318"/>
      <c r="AP26" s="318"/>
      <c r="AQ26" s="318"/>
      <c r="AR26" s="318"/>
      <c r="AS26" s="318"/>
      <c r="AT26" s="318"/>
      <c r="AU26" s="318"/>
      <c r="AV26" s="318"/>
      <c r="AW26" s="318"/>
    </row>
    <row r="27" spans="1:49" ht="17.25" customHeight="1">
      <c r="A27" s="318"/>
      <c r="B27" s="140"/>
      <c r="C27" s="286"/>
      <c r="D27" s="286"/>
      <c r="E27" s="428"/>
      <c r="F27" s="136"/>
      <c r="G27" s="136"/>
      <c r="H27" s="136"/>
      <c r="I27" s="429"/>
      <c r="J27" s="430"/>
      <c r="K27" s="136"/>
      <c r="L27" s="290"/>
      <c r="M27" s="290"/>
      <c r="N27" s="290"/>
      <c r="O27" s="290"/>
      <c r="P27" s="290"/>
      <c r="Q27" s="290"/>
      <c r="R27" s="290"/>
      <c r="S27" s="290"/>
      <c r="T27" s="291"/>
      <c r="U27" s="292"/>
      <c r="V27" s="143"/>
      <c r="W27" s="293"/>
      <c r="X27" s="293"/>
      <c r="Y27" s="293"/>
      <c r="Z27" s="293"/>
      <c r="AA27" s="294"/>
      <c r="AB27" s="318"/>
      <c r="AC27" s="318"/>
      <c r="AD27" s="318"/>
      <c r="AE27" s="318"/>
      <c r="AF27" s="318"/>
      <c r="AG27" s="318"/>
      <c r="AH27" s="318"/>
      <c r="AI27" s="318"/>
      <c r="AJ27" s="318"/>
      <c r="AK27" s="318"/>
      <c r="AL27" s="284" t="s">
        <v>219</v>
      </c>
      <c r="AM27" s="285">
        <f>SUM(AM23:AM26)</f>
        <v>270000</v>
      </c>
      <c r="AN27" s="318"/>
      <c r="AO27" s="318"/>
      <c r="AP27" s="318"/>
      <c r="AQ27" s="318"/>
      <c r="AR27" s="318"/>
      <c r="AS27" s="318"/>
      <c r="AT27" s="318"/>
      <c r="AU27" s="318"/>
      <c r="AV27" s="318"/>
      <c r="AW27" s="318"/>
    </row>
    <row r="28" spans="1:49" ht="17.25" hidden="1" customHeight="1">
      <c r="A28" s="431"/>
      <c r="B28" s="296"/>
      <c r="C28" s="432">
        <f>MATCH(I22,'Development-Hidden'!A2:A118,0)</f>
        <v>92</v>
      </c>
      <c r="D28" s="432" t="str">
        <f t="array" ref="D28">IFERROR(IF(INDEX('Development-Hidden'!$A$2:$B$118,$C28,1)=$I$22,INDEX('Development-Hidden'!$A$2:$B$118,$C28,2),""),"")</f>
        <v>Lineman</v>
      </c>
      <c r="E28" s="433"/>
      <c r="F28" s="433"/>
      <c r="G28" s="433"/>
      <c r="H28" s="433"/>
      <c r="I28" s="433"/>
      <c r="J28" s="434"/>
      <c r="K28" s="295"/>
      <c r="L28" s="300"/>
      <c r="M28" s="300"/>
      <c r="N28" s="300"/>
      <c r="O28" s="300"/>
      <c r="P28" s="300"/>
      <c r="Q28" s="300"/>
      <c r="R28" s="300"/>
      <c r="S28" s="300"/>
      <c r="T28" s="301"/>
      <c r="U28" s="302"/>
      <c r="V28" s="301"/>
      <c r="W28" s="303"/>
      <c r="X28" s="303"/>
      <c r="Y28" s="303"/>
      <c r="Z28" s="303"/>
      <c r="AA28" s="433"/>
      <c r="AB28" s="431"/>
      <c r="AC28" s="431"/>
      <c r="AD28" s="431"/>
      <c r="AE28" s="431"/>
      <c r="AF28" s="431"/>
      <c r="AG28" s="431"/>
      <c r="AH28" s="431"/>
      <c r="AI28" s="431"/>
      <c r="AJ28" s="431"/>
      <c r="AK28" s="431"/>
      <c r="AL28" s="431"/>
      <c r="AM28" s="431"/>
      <c r="AN28" s="431"/>
      <c r="AO28" s="431"/>
      <c r="AP28" s="431"/>
      <c r="AQ28" s="431"/>
      <c r="AR28" s="431"/>
      <c r="AS28" s="431"/>
      <c r="AT28" s="431"/>
      <c r="AU28" s="431"/>
      <c r="AV28" s="431"/>
      <c r="AW28" s="431"/>
    </row>
    <row r="29" spans="1:49" ht="17.25" hidden="1" customHeight="1">
      <c r="A29" s="431"/>
      <c r="B29" s="296"/>
      <c r="C29" s="432">
        <f t="shared" ref="C29:C37" si="6">C28+1</f>
        <v>93</v>
      </c>
      <c r="D29" s="432" t="str">
        <f t="array" ref="D29">IFERROR(IF(INDEX('Development-Hidden'!$A$2:$B$118,$C29,1)=$I$22,INDEX('Development-Hidden'!$A$2:$B$118,$C29,2),""),"")</f>
        <v>Thrower</v>
      </c>
      <c r="E29" s="433"/>
      <c r="F29" s="433"/>
      <c r="G29" s="433"/>
      <c r="H29" s="433"/>
      <c r="I29" s="433"/>
      <c r="J29" s="434"/>
      <c r="K29" s="295"/>
      <c r="L29" s="300"/>
      <c r="M29" s="300"/>
      <c r="N29" s="300"/>
      <c r="O29" s="300"/>
      <c r="P29" s="300"/>
      <c r="Q29" s="300"/>
      <c r="R29" s="300"/>
      <c r="S29" s="300"/>
      <c r="T29" s="301"/>
      <c r="U29" s="302"/>
      <c r="V29" s="301"/>
      <c r="W29" s="303"/>
      <c r="X29" s="303"/>
      <c r="Y29" s="303"/>
      <c r="Z29" s="303"/>
      <c r="AA29" s="433"/>
      <c r="AB29" s="431"/>
      <c r="AC29" s="431"/>
      <c r="AD29" s="431"/>
      <c r="AE29" s="431"/>
      <c r="AF29" s="431"/>
      <c r="AG29" s="431"/>
      <c r="AH29" s="431"/>
      <c r="AI29" s="431"/>
      <c r="AJ29" s="431"/>
      <c r="AK29" s="431"/>
      <c r="AL29" s="431"/>
      <c r="AM29" s="431"/>
      <c r="AN29" s="431"/>
      <c r="AO29" s="431"/>
      <c r="AP29" s="431"/>
      <c r="AQ29" s="431"/>
      <c r="AR29" s="431"/>
      <c r="AS29" s="431"/>
      <c r="AT29" s="431"/>
      <c r="AU29" s="431"/>
      <c r="AV29" s="431"/>
      <c r="AW29" s="431"/>
    </row>
    <row r="30" spans="1:49" ht="17.25" hidden="1" customHeight="1">
      <c r="A30" s="431"/>
      <c r="B30" s="296"/>
      <c r="C30" s="432">
        <f t="shared" si="6"/>
        <v>94</v>
      </c>
      <c r="D30" s="432" t="str">
        <f t="array" ref="D30">IFERROR(IF(INDEX('Development-Hidden'!$A$2:$B$118,$C30,1)=$I$22,INDEX('Development-Hidden'!$A$2:$B$118,$C30,2),""),"")</f>
        <v>Gutter Runner</v>
      </c>
      <c r="E30" s="433"/>
      <c r="F30" s="433"/>
      <c r="G30" s="433"/>
      <c r="H30" s="433"/>
      <c r="I30" s="433"/>
      <c r="J30" s="434"/>
      <c r="K30" s="295"/>
      <c r="L30" s="300"/>
      <c r="M30" s="300"/>
      <c r="N30" s="300"/>
      <c r="O30" s="300"/>
      <c r="P30" s="300"/>
      <c r="Q30" s="300"/>
      <c r="R30" s="300"/>
      <c r="S30" s="300"/>
      <c r="T30" s="301"/>
      <c r="U30" s="302"/>
      <c r="V30" s="301"/>
      <c r="W30" s="303"/>
      <c r="X30" s="303"/>
      <c r="Y30" s="303"/>
      <c r="Z30" s="303"/>
      <c r="AA30" s="433"/>
      <c r="AB30" s="431"/>
      <c r="AC30" s="431"/>
      <c r="AD30" s="431"/>
      <c r="AE30" s="431"/>
      <c r="AF30" s="431"/>
      <c r="AG30" s="431"/>
      <c r="AH30" s="431"/>
      <c r="AI30" s="431"/>
      <c r="AJ30" s="431"/>
      <c r="AK30" s="431"/>
      <c r="AL30" s="431"/>
      <c r="AM30" s="431"/>
      <c r="AN30" s="431"/>
      <c r="AO30" s="431"/>
      <c r="AP30" s="431"/>
      <c r="AQ30" s="431"/>
      <c r="AR30" s="431"/>
      <c r="AS30" s="431"/>
      <c r="AT30" s="431"/>
      <c r="AU30" s="431"/>
      <c r="AV30" s="431"/>
      <c r="AW30" s="431"/>
    </row>
    <row r="31" spans="1:49" ht="17.25" hidden="1" customHeight="1">
      <c r="A31" s="431"/>
      <c r="B31" s="296"/>
      <c r="C31" s="432">
        <f t="shared" si="6"/>
        <v>95</v>
      </c>
      <c r="D31" s="432" t="str">
        <f t="array" ref="D31">IFERROR(IF(INDEX('Development-Hidden'!$A$2:$B$118,$C31,1)=$I$22,INDEX('Development-Hidden'!$A$2:$B$118,$C31,2),""),"")</f>
        <v>Blitzer</v>
      </c>
      <c r="E31" s="433"/>
      <c r="F31" s="433"/>
      <c r="G31" s="433"/>
      <c r="H31" s="433"/>
      <c r="I31" s="433"/>
      <c r="J31" s="434"/>
      <c r="K31" s="295"/>
      <c r="L31" s="300"/>
      <c r="M31" s="300"/>
      <c r="N31" s="300"/>
      <c r="O31" s="300"/>
      <c r="P31" s="300"/>
      <c r="Q31" s="300"/>
      <c r="R31" s="300"/>
      <c r="S31" s="300"/>
      <c r="T31" s="301"/>
      <c r="U31" s="302"/>
      <c r="V31" s="301"/>
      <c r="W31" s="303"/>
      <c r="X31" s="303"/>
      <c r="Y31" s="303"/>
      <c r="Z31" s="303"/>
      <c r="AA31" s="433"/>
      <c r="AB31" s="431"/>
      <c r="AC31" s="431"/>
      <c r="AD31" s="431"/>
      <c r="AE31" s="431"/>
      <c r="AF31" s="431"/>
      <c r="AG31" s="431"/>
      <c r="AH31" s="431"/>
      <c r="AI31" s="431"/>
      <c r="AJ31" s="431"/>
      <c r="AK31" s="431"/>
      <c r="AL31" s="431"/>
      <c r="AM31" s="431"/>
      <c r="AN31" s="431"/>
      <c r="AO31" s="431"/>
      <c r="AP31" s="431"/>
      <c r="AQ31" s="431"/>
      <c r="AR31" s="431"/>
      <c r="AS31" s="431"/>
      <c r="AT31" s="431"/>
      <c r="AU31" s="431"/>
      <c r="AV31" s="431"/>
      <c r="AW31" s="431"/>
    </row>
    <row r="32" spans="1:49" ht="17.25" hidden="1" customHeight="1">
      <c r="A32" s="431"/>
      <c r="B32" s="296"/>
      <c r="C32" s="432">
        <f t="shared" si="6"/>
        <v>96</v>
      </c>
      <c r="D32" s="432" t="str">
        <f t="array" ref="D32">IFERROR(IF(INDEX('Development-Hidden'!$A$2:$B$118,$C32,1)=$I$22,INDEX('Development-Hidden'!$A$2:$B$118,$C32,2),""),"")</f>
        <v>Rat Ogre</v>
      </c>
      <c r="E32" s="433"/>
      <c r="F32" s="433"/>
      <c r="G32" s="433"/>
      <c r="H32" s="433"/>
      <c r="I32" s="433"/>
      <c r="J32" s="434"/>
      <c r="K32" s="295"/>
      <c r="L32" s="300"/>
      <c r="M32" s="300"/>
      <c r="N32" s="300"/>
      <c r="O32" s="300"/>
      <c r="P32" s="300"/>
      <c r="Q32" s="300"/>
      <c r="R32" s="300"/>
      <c r="S32" s="300"/>
      <c r="T32" s="301"/>
      <c r="U32" s="302"/>
      <c r="V32" s="301"/>
      <c r="W32" s="303"/>
      <c r="X32" s="303"/>
      <c r="Y32" s="303"/>
      <c r="Z32" s="303"/>
      <c r="AA32" s="433"/>
      <c r="AB32" s="431"/>
      <c r="AC32" s="431"/>
      <c r="AD32" s="431"/>
      <c r="AE32" s="431"/>
      <c r="AF32" s="431"/>
      <c r="AG32" s="431"/>
      <c r="AH32" s="431"/>
      <c r="AI32" s="431"/>
      <c r="AJ32" s="431"/>
      <c r="AK32" s="431"/>
      <c r="AL32" s="431"/>
      <c r="AM32" s="431"/>
      <c r="AN32" s="431"/>
      <c r="AO32" s="431"/>
      <c r="AP32" s="431"/>
      <c r="AQ32" s="431"/>
      <c r="AR32" s="431"/>
      <c r="AS32" s="431"/>
      <c r="AT32" s="431"/>
      <c r="AU32" s="431"/>
      <c r="AV32" s="431"/>
      <c r="AW32" s="431"/>
    </row>
    <row r="33" spans="1:49" ht="17.25" hidden="1" customHeight="1">
      <c r="A33" s="431"/>
      <c r="B33" s="296"/>
      <c r="C33" s="432">
        <f t="shared" si="6"/>
        <v>97</v>
      </c>
      <c r="D33" s="432" t="str">
        <f t="array" ref="D33">IFERROR(IF(INDEX('Development-Hidden'!$A$2:$B$118,$C33,1)=$I$22,INDEX('Development-Hidden'!$A$2:$B$118,$C33,2),""),"")</f>
        <v/>
      </c>
      <c r="E33" s="433"/>
      <c r="F33" s="433"/>
      <c r="G33" s="433"/>
      <c r="H33" s="433"/>
      <c r="I33" s="433"/>
      <c r="J33" s="434"/>
      <c r="K33" s="295"/>
      <c r="L33" s="300"/>
      <c r="M33" s="300"/>
      <c r="N33" s="300"/>
      <c r="O33" s="300"/>
      <c r="P33" s="300"/>
      <c r="Q33" s="300"/>
      <c r="R33" s="300"/>
      <c r="S33" s="300"/>
      <c r="T33" s="301"/>
      <c r="U33" s="302"/>
      <c r="V33" s="301"/>
      <c r="W33" s="303"/>
      <c r="X33" s="303"/>
      <c r="Y33" s="303"/>
      <c r="Z33" s="303"/>
      <c r="AA33" s="433"/>
      <c r="AB33" s="431"/>
      <c r="AC33" s="431"/>
      <c r="AD33" s="431"/>
      <c r="AE33" s="431"/>
      <c r="AF33" s="431"/>
      <c r="AG33" s="431"/>
      <c r="AH33" s="431"/>
      <c r="AI33" s="431"/>
      <c r="AJ33" s="431"/>
      <c r="AK33" s="431"/>
      <c r="AL33" s="431"/>
      <c r="AM33" s="431"/>
      <c r="AN33" s="431"/>
      <c r="AO33" s="431"/>
      <c r="AP33" s="431"/>
      <c r="AQ33" s="431"/>
      <c r="AR33" s="431"/>
      <c r="AS33" s="431"/>
      <c r="AT33" s="431"/>
      <c r="AU33" s="431"/>
      <c r="AV33" s="431"/>
      <c r="AW33" s="431"/>
    </row>
    <row r="34" spans="1:49" ht="17.25" hidden="1" customHeight="1">
      <c r="A34" s="431"/>
      <c r="B34" s="296"/>
      <c r="C34" s="432">
        <f t="shared" si="6"/>
        <v>98</v>
      </c>
      <c r="D34" s="432" t="str">
        <f t="array" ref="D34">IFERROR(IF(INDEX('Development-Hidden'!$A$2:$B$118,$C34,1)=$I$22,INDEX('Development-Hidden'!$A$2:$B$118,$C34,2),""),"")</f>
        <v/>
      </c>
      <c r="E34" s="433"/>
      <c r="F34" s="433"/>
      <c r="G34" s="433"/>
      <c r="H34" s="433"/>
      <c r="I34" s="433"/>
      <c r="J34" s="434"/>
      <c r="K34" s="295"/>
      <c r="L34" s="300"/>
      <c r="M34" s="300"/>
      <c r="N34" s="300"/>
      <c r="O34" s="300"/>
      <c r="P34" s="300"/>
      <c r="Q34" s="300"/>
      <c r="R34" s="300"/>
      <c r="S34" s="300"/>
      <c r="T34" s="301"/>
      <c r="U34" s="302"/>
      <c r="V34" s="301"/>
      <c r="W34" s="303"/>
      <c r="X34" s="303"/>
      <c r="Y34" s="303"/>
      <c r="Z34" s="303"/>
      <c r="AA34" s="433"/>
      <c r="AB34" s="431"/>
      <c r="AC34" s="431"/>
      <c r="AD34" s="431"/>
      <c r="AE34" s="431"/>
      <c r="AF34" s="431"/>
      <c r="AG34" s="431"/>
      <c r="AH34" s="431"/>
      <c r="AI34" s="431"/>
      <c r="AJ34" s="431"/>
      <c r="AK34" s="431"/>
      <c r="AL34" s="431"/>
      <c r="AM34" s="431"/>
      <c r="AN34" s="431"/>
      <c r="AO34" s="431"/>
      <c r="AP34" s="431"/>
      <c r="AQ34" s="431"/>
      <c r="AR34" s="431"/>
      <c r="AS34" s="431"/>
      <c r="AT34" s="431"/>
      <c r="AU34" s="431"/>
      <c r="AV34" s="431"/>
      <c r="AW34" s="431"/>
    </row>
    <row r="35" spans="1:49" ht="17.25" hidden="1" customHeight="1">
      <c r="A35" s="431"/>
      <c r="B35" s="296"/>
      <c r="C35" s="432">
        <f t="shared" si="6"/>
        <v>99</v>
      </c>
      <c r="D35" s="432" t="str">
        <f t="array" ref="D35">IFERROR(IF(INDEX('Development-Hidden'!$A$2:$B$118,$C35,1)=$I$22,INDEX('Development-Hidden'!$A$2:$B$118,$C35,2),""),"")</f>
        <v/>
      </c>
      <c r="E35" s="433"/>
      <c r="F35" s="433"/>
      <c r="G35" s="433"/>
      <c r="H35" s="433"/>
      <c r="I35" s="433"/>
      <c r="J35" s="434"/>
      <c r="K35" s="295"/>
      <c r="L35" s="300"/>
      <c r="M35" s="300"/>
      <c r="N35" s="300"/>
      <c r="O35" s="300"/>
      <c r="P35" s="300"/>
      <c r="Q35" s="300"/>
      <c r="R35" s="300"/>
      <c r="S35" s="300"/>
      <c r="T35" s="301"/>
      <c r="U35" s="302"/>
      <c r="V35" s="301"/>
      <c r="W35" s="303"/>
      <c r="X35" s="303"/>
      <c r="Y35" s="303"/>
      <c r="Z35" s="303"/>
      <c r="AA35" s="433"/>
      <c r="AB35" s="431"/>
      <c r="AC35" s="431"/>
      <c r="AD35" s="431"/>
      <c r="AE35" s="431"/>
      <c r="AF35" s="431"/>
      <c r="AG35" s="431"/>
      <c r="AH35" s="431"/>
      <c r="AI35" s="431"/>
      <c r="AJ35" s="431"/>
      <c r="AK35" s="431"/>
      <c r="AL35" s="431"/>
      <c r="AM35" s="431"/>
      <c r="AN35" s="431"/>
      <c r="AO35" s="431"/>
      <c r="AP35" s="431"/>
      <c r="AQ35" s="431"/>
      <c r="AR35" s="431"/>
      <c r="AS35" s="431"/>
      <c r="AT35" s="431"/>
      <c r="AU35" s="431"/>
      <c r="AV35" s="431"/>
      <c r="AW35" s="431"/>
    </row>
    <row r="36" spans="1:49" ht="17.25" hidden="1" customHeight="1">
      <c r="A36" s="431"/>
      <c r="B36" s="296"/>
      <c r="C36" s="432">
        <f t="shared" si="6"/>
        <v>100</v>
      </c>
      <c r="D36" s="432" t="str">
        <f t="array" ref="D36">IFERROR(IF(INDEX('Development-Hidden'!$A$2:$B$118,$C36,1)=$I$22,INDEX('Development-Hidden'!$A$2:$B$118,$C36,2),""),"")</f>
        <v/>
      </c>
      <c r="E36" s="433"/>
      <c r="F36" s="433"/>
      <c r="G36" s="433"/>
      <c r="H36" s="433"/>
      <c r="I36" s="433"/>
      <c r="J36" s="434"/>
      <c r="K36" s="295"/>
      <c r="L36" s="300"/>
      <c r="M36" s="300"/>
      <c r="N36" s="300"/>
      <c r="O36" s="300"/>
      <c r="P36" s="300"/>
      <c r="Q36" s="300"/>
      <c r="R36" s="300"/>
      <c r="S36" s="300"/>
      <c r="T36" s="301"/>
      <c r="U36" s="302"/>
      <c r="V36" s="301"/>
      <c r="W36" s="303"/>
      <c r="X36" s="303"/>
      <c r="Y36" s="303"/>
      <c r="Z36" s="303"/>
      <c r="AA36" s="433"/>
      <c r="AB36" s="431"/>
      <c r="AC36" s="431"/>
      <c r="AD36" s="431"/>
      <c r="AE36" s="431"/>
      <c r="AF36" s="431"/>
      <c r="AG36" s="431"/>
      <c r="AH36" s="431"/>
      <c r="AI36" s="431"/>
      <c r="AJ36" s="431"/>
      <c r="AK36" s="431"/>
      <c r="AL36" s="431"/>
      <c r="AM36" s="431"/>
      <c r="AN36" s="431"/>
      <c r="AO36" s="431"/>
      <c r="AP36" s="431"/>
      <c r="AQ36" s="431"/>
      <c r="AR36" s="431"/>
      <c r="AS36" s="431"/>
      <c r="AT36" s="431"/>
      <c r="AU36" s="431"/>
      <c r="AV36" s="431"/>
      <c r="AW36" s="431"/>
    </row>
    <row r="37" spans="1:49" ht="17.25" hidden="1" customHeight="1">
      <c r="A37" s="431"/>
      <c r="B37" s="296"/>
      <c r="C37" s="432">
        <f t="shared" si="6"/>
        <v>101</v>
      </c>
      <c r="D37" s="432" t="str">
        <f t="array" ref="D37">IFERROR(IF(INDEX('Development-Hidden'!$A$2:$B$118,$C37,1)=$I$22,INDEX('Development-Hidden'!$A$2:$B$118,$C37,2),""),"")</f>
        <v/>
      </c>
      <c r="E37" s="433"/>
      <c r="F37" s="433"/>
      <c r="G37" s="433"/>
      <c r="H37" s="433"/>
      <c r="I37" s="433"/>
      <c r="J37" s="434"/>
      <c r="K37" s="295"/>
      <c r="L37" s="300"/>
      <c r="M37" s="300"/>
      <c r="N37" s="300"/>
      <c r="O37" s="300"/>
      <c r="P37" s="300"/>
      <c r="Q37" s="300"/>
      <c r="R37" s="300"/>
      <c r="S37" s="300"/>
      <c r="T37" s="301"/>
      <c r="U37" s="302"/>
      <c r="V37" s="301"/>
      <c r="W37" s="303"/>
      <c r="X37" s="303"/>
      <c r="Y37" s="303"/>
      <c r="Z37" s="303"/>
      <c r="AA37" s="433"/>
      <c r="AB37" s="431"/>
      <c r="AC37" s="431"/>
      <c r="AD37" s="431"/>
      <c r="AE37" s="431"/>
      <c r="AF37" s="431"/>
      <c r="AG37" s="431"/>
      <c r="AH37" s="431"/>
      <c r="AI37" s="431"/>
      <c r="AJ37" s="431"/>
      <c r="AK37" s="431"/>
      <c r="AL37" s="431"/>
      <c r="AM37" s="431"/>
      <c r="AN37" s="431"/>
      <c r="AO37" s="431"/>
      <c r="AP37" s="431"/>
      <c r="AQ37" s="431"/>
      <c r="AR37" s="431"/>
      <c r="AS37" s="431"/>
      <c r="AT37" s="431"/>
      <c r="AU37" s="431"/>
      <c r="AV37" s="431"/>
      <c r="AW37" s="431"/>
    </row>
  </sheetData>
  <mergeCells count="29">
    <mergeCell ref="AL3:AO3"/>
    <mergeCell ref="AQ3:AV3"/>
    <mergeCell ref="P2:S2"/>
    <mergeCell ref="AL22:AM22"/>
    <mergeCell ref="V22:Y22"/>
    <mergeCell ref="V21:Y21"/>
    <mergeCell ref="L21:S21"/>
    <mergeCell ref="L22:S22"/>
    <mergeCell ref="Y20:Z20"/>
    <mergeCell ref="L25:S25"/>
    <mergeCell ref="L26:S26"/>
    <mergeCell ref="V25:Y25"/>
    <mergeCell ref="W26:Z26"/>
    <mergeCell ref="L23:S23"/>
    <mergeCell ref="L24:S24"/>
    <mergeCell ref="V24:Y24"/>
    <mergeCell ref="V23:Y23"/>
    <mergeCell ref="E23:H23"/>
    <mergeCell ref="E25:H25"/>
    <mergeCell ref="E24:H24"/>
    <mergeCell ref="C20:D26"/>
    <mergeCell ref="I21:K21"/>
    <mergeCell ref="I22:K22"/>
    <mergeCell ref="I23:K23"/>
    <mergeCell ref="J20:K20"/>
    <mergeCell ref="E20:F20"/>
    <mergeCell ref="G20:H20"/>
    <mergeCell ref="E21:H21"/>
    <mergeCell ref="E22:H22"/>
  </mergeCells>
  <conditionalFormatting sqref="AA4:AA19">
    <cfRule type="cellIs" dxfId="458" priority="1" operator="equal">
      <formula>0</formula>
    </cfRule>
  </conditionalFormatting>
  <conditionalFormatting sqref="J4">
    <cfRule type="expression" dxfId="457" priority="2">
      <formula>K4&lt;&gt;SUM(AD4:AI4)</formula>
    </cfRule>
  </conditionalFormatting>
  <conditionalFormatting sqref="I4:I19">
    <cfRule type="cellIs" dxfId="456" priority="3" stopIfTrue="1" operator="equal">
      <formula>"Player type quantity surpassed"</formula>
    </cfRule>
  </conditionalFormatting>
  <conditionalFormatting sqref="J5">
    <cfRule type="expression" dxfId="455" priority="4">
      <formula>K5&lt;&gt;SUM(AD5:AI5)</formula>
    </cfRule>
  </conditionalFormatting>
  <conditionalFormatting sqref="J6">
    <cfRule type="expression" dxfId="454" priority="5">
      <formula>K6&lt;&gt;SUM(AD6:AI6)</formula>
    </cfRule>
  </conditionalFormatting>
  <conditionalFormatting sqref="J7">
    <cfRule type="expression" dxfId="453" priority="6">
      <formula>K7&lt;&gt;SUM(AD7:AI7)</formula>
    </cfRule>
  </conditionalFormatting>
  <conditionalFormatting sqref="J8">
    <cfRule type="expression" dxfId="452" priority="7">
      <formula>K8&lt;&gt;SUM(AD8:AI8)</formula>
    </cfRule>
  </conditionalFormatting>
  <conditionalFormatting sqref="J9">
    <cfRule type="expression" dxfId="451" priority="8">
      <formula>K9&lt;&gt;SUM(AD9:AI9)</formula>
    </cfRule>
  </conditionalFormatting>
  <conditionalFormatting sqref="J10">
    <cfRule type="expression" dxfId="450" priority="9">
      <formula>K10&lt;&gt;SUM(AD10:AI10)</formula>
    </cfRule>
  </conditionalFormatting>
  <conditionalFormatting sqref="J11">
    <cfRule type="expression" dxfId="449" priority="10">
      <formula>K11&lt;&gt;SUM(AD11:AI11)</formula>
    </cfRule>
  </conditionalFormatting>
  <conditionalFormatting sqref="J12">
    <cfRule type="expression" dxfId="448" priority="11">
      <formula>K12&lt;&gt;SUM(AD12:AI12)</formula>
    </cfRule>
  </conditionalFormatting>
  <conditionalFormatting sqref="J13">
    <cfRule type="expression" dxfId="447" priority="12">
      <formula>K13&lt;&gt;SUM(AD13:AI13)</formula>
    </cfRule>
  </conditionalFormatting>
  <conditionalFormatting sqref="J14">
    <cfRule type="expression" dxfId="446" priority="13">
      <formula>K14&lt;&gt;SUM(AD14:AI14)</formula>
    </cfRule>
  </conditionalFormatting>
  <conditionalFormatting sqref="J15">
    <cfRule type="expression" dxfId="445" priority="14">
      <formula>K15&lt;&gt;SUM(AD15:AI15)</formula>
    </cfRule>
  </conditionalFormatting>
  <conditionalFormatting sqref="J16">
    <cfRule type="expression" dxfId="444" priority="15">
      <formula>K16&lt;&gt;SUM(AD16:AI16)</formula>
    </cfRule>
  </conditionalFormatting>
  <conditionalFormatting sqref="J17">
    <cfRule type="expression" dxfId="443" priority="16">
      <formula>K17&lt;&gt;SUM(AD17:AI17)</formula>
    </cfRule>
  </conditionalFormatting>
  <conditionalFormatting sqref="J18">
    <cfRule type="expression" dxfId="442" priority="17">
      <formula>K18&lt;&gt;SUM(AD18:AI18)</formula>
    </cfRule>
  </conditionalFormatting>
  <conditionalFormatting sqref="J19">
    <cfRule type="expression" dxfId="441" priority="18">
      <formula>K19&lt;&gt;SUM(AD19:AI19)</formula>
    </cfRule>
  </conditionalFormatting>
  <conditionalFormatting sqref="E4:H19">
    <cfRule type="expression" dxfId="440" priority="19">
      <formula>AF4&gt;0</formula>
    </cfRule>
  </conditionalFormatting>
  <conditionalFormatting sqref="E4:H19">
    <cfRule type="expression" dxfId="439" priority="20">
      <formula>P4&gt;0</formula>
    </cfRule>
  </conditionalFormatting>
  <conditionalFormatting sqref="I4:I19 T4:T19 U4:U20 V4:W19 Y4:Y19 U26:U37">
    <cfRule type="cellIs" dxfId="438" priority="21" stopIfTrue="1" operator="equal">
      <formula>0</formula>
    </cfRule>
  </conditionalFormatting>
  <conditionalFormatting sqref="Y27:Y37 AA27">
    <cfRule type="cellIs" dxfId="437" priority="22" stopIfTrue="1" operator="equal">
      <formula>"0,0"</formula>
    </cfRule>
  </conditionalFormatting>
  <conditionalFormatting sqref="K4:K19">
    <cfRule type="cellIs" dxfId="436" priority="23" stopIfTrue="1" operator="equal">
      <formula>"n/a"</formula>
    </cfRule>
  </conditionalFormatting>
  <conditionalFormatting sqref="L20:T20">
    <cfRule type="cellIs" dxfId="435" priority="24" stopIfTrue="1" operator="equal">
      <formula>0</formula>
    </cfRule>
  </conditionalFormatting>
  <conditionalFormatting sqref="P4:S19">
    <cfRule type="cellIs" dxfId="434" priority="25" stopIfTrue="1" operator="lessThanOrEqual">
      <formula>-1</formula>
    </cfRule>
  </conditionalFormatting>
  <conditionalFormatting sqref="V25:W25">
    <cfRule type="cellIs" dxfId="433" priority="26" stopIfTrue="1" operator="equal">
      <formula>-500</formula>
    </cfRule>
  </conditionalFormatting>
  <conditionalFormatting sqref="T25">
    <cfRule type="cellIs" dxfId="432" priority="27" stopIfTrue="1" operator="greaterThan">
      <formula>$V$25</formula>
    </cfRule>
  </conditionalFormatting>
  <conditionalFormatting sqref="Z4:Z19">
    <cfRule type="cellIs" dxfId="431" priority="28" stopIfTrue="1" operator="equal">
      <formula>"Star"</formula>
    </cfRule>
  </conditionalFormatting>
  <conditionalFormatting sqref="Z4:Z19">
    <cfRule type="cellIs" dxfId="430" priority="29" stopIfTrue="1" operator="equal">
      <formula>AA4</formula>
    </cfRule>
  </conditionalFormatting>
  <dataValidations count="1">
    <dataValidation type="list" allowBlank="1" showErrorMessage="1" sqref="D4:D19">
      <formula1>'DC1'!$D$28:$D$37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W37"/>
  <sheetViews>
    <sheetView workbookViewId="0">
      <selection activeCell="D12" sqref="D12"/>
    </sheetView>
  </sheetViews>
  <sheetFormatPr defaultColWidth="14.42578125" defaultRowHeight="15.75" customHeight="1"/>
  <cols>
    <col min="1" max="1" width="1.85546875" style="139" customWidth="1"/>
    <col min="2" max="2" width="3.140625" style="139" customWidth="1"/>
    <col min="3" max="3" width="19.28515625" style="139" customWidth="1"/>
    <col min="4" max="4" width="21.28515625" style="139" customWidth="1"/>
    <col min="5" max="8" width="3" style="139" customWidth="1"/>
    <col min="9" max="9" width="30.85546875" style="139" customWidth="1"/>
    <col min="10" max="10" width="23" style="139" customWidth="1"/>
    <col min="11" max="11" width="1.85546875" style="139" customWidth="1"/>
    <col min="12" max="13" width="2.42578125" style="139" customWidth="1"/>
    <col min="14" max="16" width="2.140625" style="139" customWidth="1"/>
    <col min="17" max="17" width="2" style="139" customWidth="1"/>
    <col min="18" max="18" width="1.85546875" style="139" customWidth="1"/>
    <col min="19" max="19" width="2" style="139" customWidth="1"/>
    <col min="20" max="21" width="3.28515625" style="139" customWidth="1"/>
    <col min="22" max="22" width="2.42578125" style="139" customWidth="1"/>
    <col min="23" max="23" width="3.28515625" style="139" customWidth="1"/>
    <col min="24" max="24" width="2.7109375" style="139" customWidth="1"/>
    <col min="25" max="25" width="3.28515625" style="139" customWidth="1"/>
    <col min="26" max="26" width="4.42578125" style="139" customWidth="1"/>
    <col min="27" max="27" width="8.7109375" style="139" customWidth="1"/>
    <col min="28" max="28" width="5.5703125" style="139" customWidth="1"/>
    <col min="29" max="29" width="8.5703125" style="139" customWidth="1"/>
    <col min="30" max="30" width="5.42578125" style="139" customWidth="1"/>
    <col min="31" max="31" width="5.28515625" style="139" customWidth="1"/>
    <col min="32" max="32" width="4.28515625" style="139" customWidth="1"/>
    <col min="33" max="33" width="3.85546875" style="139" customWidth="1"/>
    <col min="34" max="34" width="4.140625" style="139" customWidth="1"/>
    <col min="35" max="35" width="3.85546875" style="139" customWidth="1"/>
    <col min="36" max="36" width="10.42578125" style="139" customWidth="1"/>
    <col min="37" max="37" width="6.42578125" style="139" customWidth="1"/>
    <col min="38" max="38" width="14.42578125" style="139" customWidth="1"/>
    <col min="39" max="39" width="11.42578125" style="139" customWidth="1"/>
    <col min="40" max="41" width="10.7109375" style="139" customWidth="1"/>
    <col min="42" max="42" width="5.140625" style="139" customWidth="1"/>
    <col min="43" max="43" width="8.140625" style="139" customWidth="1"/>
    <col min="44" max="44" width="26.140625" style="139" customWidth="1"/>
    <col min="45" max="49" width="10.7109375" style="139" customWidth="1"/>
    <col min="50" max="16384" width="14.42578125" style="139"/>
  </cols>
  <sheetData>
    <row r="1" spans="1:49" ht="8.25" customHeight="1">
      <c r="A1" s="321"/>
      <c r="B1" s="435"/>
      <c r="C1" s="435"/>
      <c r="D1" s="436"/>
      <c r="E1" s="435"/>
      <c r="F1" s="435"/>
      <c r="G1" s="435"/>
      <c r="H1" s="435"/>
      <c r="I1" s="435"/>
      <c r="J1" s="435"/>
      <c r="K1" s="435"/>
      <c r="L1" s="435"/>
      <c r="M1" s="435"/>
      <c r="N1" s="435"/>
      <c r="O1" s="435"/>
      <c r="P1" s="435"/>
      <c r="Q1" s="435"/>
      <c r="R1" s="435"/>
      <c r="S1" s="435"/>
      <c r="T1" s="435"/>
      <c r="U1" s="435"/>
      <c r="V1" s="435"/>
      <c r="W1" s="435"/>
      <c r="X1" s="435"/>
      <c r="Y1" s="435"/>
      <c r="Z1" s="318"/>
      <c r="AA1" s="318"/>
      <c r="AB1" s="318"/>
      <c r="AC1" s="136"/>
      <c r="AD1" s="136"/>
      <c r="AE1" s="136"/>
      <c r="AF1" s="136"/>
      <c r="AG1" s="136"/>
      <c r="AH1" s="136"/>
      <c r="AI1" s="136"/>
      <c r="AJ1" s="136"/>
      <c r="AK1" s="318"/>
      <c r="AL1" s="318"/>
      <c r="AM1" s="318"/>
      <c r="AN1" s="318"/>
      <c r="AO1" s="318"/>
      <c r="AP1" s="318"/>
      <c r="AQ1" s="318"/>
      <c r="AR1" s="318"/>
      <c r="AS1" s="318"/>
      <c r="AT1" s="318"/>
      <c r="AU1" s="318"/>
      <c r="AV1" s="318"/>
      <c r="AW1" s="318"/>
    </row>
    <row r="2" spans="1:49" ht="15.75" customHeight="1">
      <c r="A2" s="136"/>
      <c r="B2" s="140"/>
      <c r="C2" s="140"/>
      <c r="D2" s="141"/>
      <c r="E2" s="140"/>
      <c r="F2" s="140"/>
      <c r="G2" s="140"/>
      <c r="H2" s="140"/>
      <c r="I2" s="140"/>
      <c r="J2" s="140"/>
      <c r="K2" s="136"/>
      <c r="L2" s="140"/>
      <c r="M2" s="140"/>
      <c r="N2" s="140"/>
      <c r="O2" s="140"/>
      <c r="P2" s="602" t="s">
        <v>218</v>
      </c>
      <c r="Q2" s="572"/>
      <c r="R2" s="572"/>
      <c r="S2" s="573"/>
      <c r="T2" s="142"/>
      <c r="U2" s="142"/>
      <c r="V2" s="142"/>
      <c r="W2" s="142"/>
      <c r="X2" s="143"/>
      <c r="Y2" s="142"/>
      <c r="Z2" s="140"/>
      <c r="AA2" s="140"/>
      <c r="AB2" s="136"/>
      <c r="AC2" s="140"/>
      <c r="AD2" s="140"/>
      <c r="AE2" s="140"/>
      <c r="AF2" s="144"/>
      <c r="AG2" s="140"/>
      <c r="AH2" s="140"/>
      <c r="AI2" s="140"/>
      <c r="AJ2" s="140"/>
      <c r="AK2" s="136"/>
      <c r="AL2" s="136"/>
      <c r="AM2" s="145"/>
      <c r="AN2" s="145"/>
      <c r="AO2" s="136"/>
      <c r="AP2" s="136"/>
      <c r="AQ2" s="136"/>
      <c r="AR2" s="145"/>
      <c r="AS2" s="145"/>
      <c r="AT2" s="145"/>
      <c r="AU2" s="145"/>
      <c r="AV2" s="136"/>
      <c r="AW2" s="136"/>
    </row>
    <row r="3" spans="1:49" ht="21.75" customHeight="1">
      <c r="A3" s="137"/>
      <c r="B3" s="146" t="s">
        <v>203</v>
      </c>
      <c r="C3" s="147" t="s">
        <v>32</v>
      </c>
      <c r="D3" s="148" t="s">
        <v>229</v>
      </c>
      <c r="E3" s="149" t="s">
        <v>206</v>
      </c>
      <c r="F3" s="150" t="s">
        <v>207</v>
      </c>
      <c r="G3" s="151" t="s">
        <v>208</v>
      </c>
      <c r="H3" s="152" t="s">
        <v>209</v>
      </c>
      <c r="I3" s="153" t="s">
        <v>230</v>
      </c>
      <c r="J3" s="152" t="s">
        <v>231</v>
      </c>
      <c r="K3" s="154" t="s">
        <v>203</v>
      </c>
      <c r="L3" s="155" t="s">
        <v>232</v>
      </c>
      <c r="M3" s="156" t="s">
        <v>233</v>
      </c>
      <c r="N3" s="156" t="s">
        <v>234</v>
      </c>
      <c r="O3" s="157" t="s">
        <v>235</v>
      </c>
      <c r="P3" s="158" t="s">
        <v>206</v>
      </c>
      <c r="Q3" s="159" t="s">
        <v>207</v>
      </c>
      <c r="R3" s="159" t="s">
        <v>208</v>
      </c>
      <c r="S3" s="160" t="s">
        <v>209</v>
      </c>
      <c r="T3" s="161" t="s">
        <v>236</v>
      </c>
      <c r="U3" s="156" t="s">
        <v>237</v>
      </c>
      <c r="V3" s="156" t="s">
        <v>210</v>
      </c>
      <c r="W3" s="156" t="s">
        <v>240</v>
      </c>
      <c r="X3" s="162" t="s">
        <v>35</v>
      </c>
      <c r="Y3" s="157" t="s">
        <v>211</v>
      </c>
      <c r="Z3" s="153" t="s">
        <v>212</v>
      </c>
      <c r="AA3" s="163" t="s">
        <v>241</v>
      </c>
      <c r="AB3" s="136"/>
      <c r="AC3" s="146" t="s">
        <v>242</v>
      </c>
      <c r="AD3" s="153" t="s">
        <v>233</v>
      </c>
      <c r="AE3" s="150" t="s">
        <v>243</v>
      </c>
      <c r="AF3" s="164" t="str">
        <f>"+MA"</f>
        <v>+MA</v>
      </c>
      <c r="AG3" s="150" t="str">
        <f>"+ST"</f>
        <v>+ST</v>
      </c>
      <c r="AH3" s="150" t="str">
        <f>"+AG"</f>
        <v>+AG</v>
      </c>
      <c r="AI3" s="150" t="str">
        <f>"+AV"</f>
        <v>+AV</v>
      </c>
      <c r="AJ3" s="163" t="s">
        <v>244</v>
      </c>
      <c r="AK3" s="136"/>
      <c r="AL3" s="136"/>
      <c r="AM3" s="601" t="s">
        <v>245</v>
      </c>
      <c r="AN3" s="575"/>
      <c r="AO3" s="136"/>
      <c r="AP3" s="136"/>
      <c r="AQ3" s="136"/>
      <c r="AR3" s="601" t="s">
        <v>246</v>
      </c>
      <c r="AS3" s="575"/>
      <c r="AT3" s="575"/>
      <c r="AU3" s="575"/>
      <c r="AV3" s="136"/>
      <c r="AW3" s="136"/>
    </row>
    <row r="4" spans="1:49" ht="18" customHeight="1">
      <c r="A4" s="321"/>
      <c r="B4" s="322">
        <v>1</v>
      </c>
      <c r="C4" s="323" t="s">
        <v>131</v>
      </c>
      <c r="D4" s="167" t="s">
        <v>132</v>
      </c>
      <c r="E4" s="168">
        <f>IFERROR(VLOOKUP($I$22&amp;$D4,'Development-Hidden'!$C$2:$J$118,4,FALSE)-P4+AF4,"")</f>
        <v>4</v>
      </c>
      <c r="F4" s="169">
        <f>IFERROR(VLOOKUP($I$22&amp;$D4,'Development-Hidden'!$C$2:$J$118,5,FALSE)-Q4+AG4,"")</f>
        <v>5</v>
      </c>
      <c r="G4" s="169">
        <f>IFERROR(VLOOKUP($I$22&amp;$D4,'Development-Hidden'!$C$2:$J$118,6,FALSE)-R4+AH4,"")</f>
        <v>1</v>
      </c>
      <c r="H4" s="170">
        <f>IFERROR(VLOOKUP($I$22&amp;$D4,'Development-Hidden'!$C$2:$J$118,7,FALSE)-S4+AI4,"")</f>
        <v>9</v>
      </c>
      <c r="I4" s="171" t="s">
        <v>436</v>
      </c>
      <c r="J4" s="172"/>
      <c r="K4" s="326">
        <f t="shared" ref="K4:K19" si="0">IF(Z4&gt;175,6,IF(Z4&gt;75,5,IF(Z4&gt;50,4,IF(Z4&gt;30,3,IF(Z4&gt;15,2,IF(Z4&gt;5,1,0))))))</f>
        <v>0</v>
      </c>
      <c r="L4" s="327"/>
      <c r="M4" s="327"/>
      <c r="N4" s="327"/>
      <c r="O4" s="327"/>
      <c r="P4" s="328"/>
      <c r="Q4" s="329"/>
      <c r="R4" s="330"/>
      <c r="S4" s="331"/>
      <c r="T4" s="332"/>
      <c r="U4" s="271"/>
      <c r="V4" s="332"/>
      <c r="W4" s="271">
        <v>2</v>
      </c>
      <c r="X4" s="333"/>
      <c r="Y4" s="334"/>
      <c r="Z4" s="184">
        <f t="shared" ref="Z4:Z19" si="1">2*T4+U4+3*V4+2*W4+5*Y4</f>
        <v>4</v>
      </c>
      <c r="AA4" s="183">
        <f t="shared" ref="AA4:AA19" si="2">IF(L4=1,0,AC4+(20000*O4)+(20000*AD4)+(30000*AE4)+(30000*AF4)+(50000*AG4)+(40000*AH4)+(50000*AI4)+AJ4)</f>
        <v>110000</v>
      </c>
      <c r="AB4" s="136"/>
      <c r="AC4" s="184">
        <f>IFERROR(VLOOKUP($I$22&amp;D4,'Development-Hidden'!$C$2:$E$118,3,FALSE),"")</f>
        <v>110000</v>
      </c>
      <c r="AD4" s="335"/>
      <c r="AE4" s="335"/>
      <c r="AF4" s="335"/>
      <c r="AG4" s="335"/>
      <c r="AH4" s="335"/>
      <c r="AI4" s="335"/>
      <c r="AJ4" s="335"/>
      <c r="AK4" s="318"/>
      <c r="AL4" s="336" t="s">
        <v>252</v>
      </c>
      <c r="AM4" s="337">
        <v>10000</v>
      </c>
      <c r="AN4" s="318"/>
      <c r="AO4" s="318"/>
      <c r="AP4" s="318"/>
      <c r="AQ4" s="338" t="s">
        <v>391</v>
      </c>
      <c r="AR4" s="339">
        <v>0</v>
      </c>
    </row>
    <row r="5" spans="1:49" ht="18" customHeight="1">
      <c r="A5" s="321"/>
      <c r="B5" s="340">
        <v>2</v>
      </c>
      <c r="C5" s="314" t="s">
        <v>88</v>
      </c>
      <c r="D5" s="194" t="s">
        <v>83</v>
      </c>
      <c r="E5" s="195">
        <f>IFERROR(VLOOKUP($I$22&amp;$D5,'Development-Hidden'!$C$2:$J$118,4,FALSE)-P5+AF5,"")</f>
        <v>5</v>
      </c>
      <c r="F5" s="196">
        <f>IFERROR(VLOOKUP($I$22&amp;$D5,'Development-Hidden'!$C$2:$J$118,5,FALSE)-Q5+AG5,"")</f>
        <v>3</v>
      </c>
      <c r="G5" s="196">
        <f>IFERROR(VLOOKUP($I$22&amp;$D5,'Development-Hidden'!$C$2:$J$118,6,FALSE)-R5+AH5,"")</f>
        <v>3</v>
      </c>
      <c r="H5" s="197">
        <f>IFERROR(VLOOKUP($I$22&amp;$D5,'Development-Hidden'!$C$2:$J$118,7,FALSE)-S5+AI5,"")</f>
        <v>8</v>
      </c>
      <c r="I5" s="198" t="s">
        <v>416</v>
      </c>
      <c r="J5" s="199" t="s">
        <v>439</v>
      </c>
      <c r="K5" s="343">
        <f t="shared" si="0"/>
        <v>1</v>
      </c>
      <c r="L5" s="344"/>
      <c r="M5" s="344"/>
      <c r="N5" s="344"/>
      <c r="O5" s="344"/>
      <c r="P5" s="345"/>
      <c r="Q5" s="346"/>
      <c r="R5" s="347"/>
      <c r="S5" s="348"/>
      <c r="T5" s="349"/>
      <c r="U5" s="274">
        <v>4</v>
      </c>
      <c r="V5" s="349"/>
      <c r="W5" s="274">
        <v>1</v>
      </c>
      <c r="X5" s="350"/>
      <c r="Y5" s="351"/>
      <c r="Z5" s="210">
        <f t="shared" si="1"/>
        <v>6</v>
      </c>
      <c r="AA5" s="183">
        <f t="shared" si="2"/>
        <v>90000</v>
      </c>
      <c r="AB5" s="136"/>
      <c r="AC5" s="210">
        <f>IFERROR(VLOOKUP($I$22&amp;D5,'Development-Hidden'!$C$2:$E$118,3,FALSE),"")</f>
        <v>70000</v>
      </c>
      <c r="AD5" s="352">
        <v>1</v>
      </c>
      <c r="AE5" s="352"/>
      <c r="AF5" s="352"/>
      <c r="AG5" s="352"/>
      <c r="AH5" s="352"/>
      <c r="AI5" s="352"/>
      <c r="AJ5" s="352"/>
      <c r="AK5" s="318"/>
      <c r="AL5" s="353"/>
      <c r="AM5" s="353"/>
      <c r="AN5" s="353"/>
      <c r="AO5" s="353"/>
      <c r="AP5" s="353"/>
    </row>
    <row r="6" spans="1:49" ht="18" customHeight="1">
      <c r="A6" s="321"/>
      <c r="B6" s="340">
        <v>3</v>
      </c>
      <c r="C6" s="314" t="s">
        <v>319</v>
      </c>
      <c r="D6" s="194" t="s">
        <v>58</v>
      </c>
      <c r="E6" s="195">
        <f>IFERROR(VLOOKUP($I$22&amp;$D6,'Development-Hidden'!$C$2:$J$118,4,FALSE)-P6+AF6,"")</f>
        <v>5</v>
      </c>
      <c r="F6" s="196">
        <f>IFERROR(VLOOKUP($I$22&amp;$D6,'Development-Hidden'!$C$2:$J$118,5,FALSE)-Q6+AG6,"")</f>
        <v>3</v>
      </c>
      <c r="G6" s="196">
        <f>IFERROR(VLOOKUP($I$22&amp;$D6,'Development-Hidden'!$C$2:$J$118,6,FALSE)-R6+AH6,"")</f>
        <v>3</v>
      </c>
      <c r="H6" s="197">
        <f>IFERROR(VLOOKUP($I$22&amp;$D6,'Development-Hidden'!$C$2:$J$118,7,FALSE)-S6+AI6,"")</f>
        <v>9</v>
      </c>
      <c r="I6" s="198"/>
      <c r="J6" s="199"/>
      <c r="K6" s="343">
        <f t="shared" si="0"/>
        <v>0</v>
      </c>
      <c r="L6" s="344"/>
      <c r="M6" s="344"/>
      <c r="N6" s="344"/>
      <c r="O6" s="344"/>
      <c r="P6" s="345"/>
      <c r="Q6" s="346"/>
      <c r="R6" s="347"/>
      <c r="S6" s="348"/>
      <c r="T6" s="349"/>
      <c r="U6" s="274"/>
      <c r="V6" s="349"/>
      <c r="W6" s="274"/>
      <c r="X6" s="350"/>
      <c r="Y6" s="351"/>
      <c r="Z6" s="210">
        <f t="shared" si="1"/>
        <v>0</v>
      </c>
      <c r="AA6" s="183">
        <f t="shared" si="2"/>
        <v>50000</v>
      </c>
      <c r="AB6" s="136"/>
      <c r="AC6" s="210">
        <f>IFERROR(VLOOKUP($I$22&amp;D6,'Development-Hidden'!$C$2:$E$118,3,FALSE),"")</f>
        <v>50000</v>
      </c>
      <c r="AD6" s="352"/>
      <c r="AE6" s="352"/>
      <c r="AF6" s="352"/>
      <c r="AG6" s="352"/>
      <c r="AH6" s="352"/>
      <c r="AI6" s="352"/>
      <c r="AJ6" s="352"/>
      <c r="AK6" s="318"/>
      <c r="AL6" s="212" t="s">
        <v>256</v>
      </c>
      <c r="AM6" s="212" t="s">
        <v>257</v>
      </c>
      <c r="AN6" s="212" t="s">
        <v>258</v>
      </c>
      <c r="AO6" s="354" t="s">
        <v>400</v>
      </c>
      <c r="AP6" s="353"/>
      <c r="AQ6" s="212" t="s">
        <v>256</v>
      </c>
      <c r="AR6" s="212" t="s">
        <v>260</v>
      </c>
      <c r="AS6" s="212" t="s">
        <v>261</v>
      </c>
      <c r="AT6" s="354" t="s">
        <v>401</v>
      </c>
      <c r="AU6" s="354" t="s">
        <v>262</v>
      </c>
      <c r="AV6" s="355" t="s">
        <v>402</v>
      </c>
      <c r="AW6" s="437"/>
    </row>
    <row r="7" spans="1:49" ht="18" customHeight="1">
      <c r="A7" s="321"/>
      <c r="B7" s="340">
        <v>4</v>
      </c>
      <c r="C7" s="314" t="s">
        <v>134</v>
      </c>
      <c r="D7" s="194" t="s">
        <v>58</v>
      </c>
      <c r="E7" s="195">
        <f>IFERROR(VLOOKUP($I$22&amp;$D7,'Development-Hidden'!$C$2:$J$118,4,FALSE)-P7+AF7,"")</f>
        <v>5</v>
      </c>
      <c r="F7" s="196">
        <f>IFERROR(VLOOKUP($I$22&amp;$D7,'Development-Hidden'!$C$2:$J$118,5,FALSE)-Q7+AG7,"")</f>
        <v>3</v>
      </c>
      <c r="G7" s="196">
        <f>IFERROR(VLOOKUP($I$22&amp;$D7,'Development-Hidden'!$C$2:$J$118,6,FALSE)-R7+AH7,"")</f>
        <v>3</v>
      </c>
      <c r="H7" s="197">
        <f>IFERROR(VLOOKUP($I$22&amp;$D7,'Development-Hidden'!$C$2:$J$118,7,FALSE)-S7+AI7,"")</f>
        <v>9</v>
      </c>
      <c r="I7" s="198"/>
      <c r="J7" s="199"/>
      <c r="K7" s="343">
        <f t="shared" si="0"/>
        <v>0</v>
      </c>
      <c r="L7" s="344"/>
      <c r="M7" s="344"/>
      <c r="N7" s="344"/>
      <c r="O7" s="344"/>
      <c r="P7" s="345"/>
      <c r="Q7" s="346"/>
      <c r="R7" s="347"/>
      <c r="S7" s="348"/>
      <c r="T7" s="349"/>
      <c r="U7" s="274"/>
      <c r="V7" s="349"/>
      <c r="W7" s="274">
        <v>1</v>
      </c>
      <c r="X7" s="350"/>
      <c r="Y7" s="351"/>
      <c r="Z7" s="210">
        <f t="shared" si="1"/>
        <v>2</v>
      </c>
      <c r="AA7" s="183">
        <f t="shared" si="2"/>
        <v>50000</v>
      </c>
      <c r="AB7" s="136"/>
      <c r="AC7" s="210">
        <f>IFERROR(VLOOKUP($I$22&amp;D7,'Development-Hidden'!$C$2:$E$118,3,FALSE),"")</f>
        <v>50000</v>
      </c>
      <c r="AD7" s="352"/>
      <c r="AE7" s="352"/>
      <c r="AF7" s="352"/>
      <c r="AG7" s="352"/>
      <c r="AH7" s="352"/>
      <c r="AI7" s="352"/>
      <c r="AJ7" s="352"/>
      <c r="AK7" s="318"/>
      <c r="AL7" s="357" t="s">
        <v>267</v>
      </c>
      <c r="AM7" s="187">
        <v>40000</v>
      </c>
      <c r="AN7" s="358">
        <v>0</v>
      </c>
      <c r="AO7" s="359" t="s">
        <v>424</v>
      </c>
      <c r="AP7" s="318"/>
      <c r="AQ7" s="357" t="s">
        <v>267</v>
      </c>
      <c r="AR7" s="358" t="s">
        <v>24</v>
      </c>
      <c r="AS7" s="358" t="s">
        <v>441</v>
      </c>
      <c r="AT7" s="187">
        <v>2</v>
      </c>
      <c r="AU7" s="359">
        <v>5</v>
      </c>
      <c r="AV7" s="438">
        <v>1</v>
      </c>
      <c r="AW7" s="439"/>
    </row>
    <row r="8" spans="1:49" ht="18" customHeight="1">
      <c r="A8" s="321"/>
      <c r="B8" s="340">
        <v>5</v>
      </c>
      <c r="C8" s="314"/>
      <c r="D8" s="194"/>
      <c r="E8" s="195"/>
      <c r="F8" s="196"/>
      <c r="G8" s="196"/>
      <c r="H8" s="197"/>
      <c r="I8" s="198"/>
      <c r="J8" s="199"/>
      <c r="K8" s="343">
        <f t="shared" si="0"/>
        <v>0</v>
      </c>
      <c r="L8" s="344"/>
      <c r="M8" s="344"/>
      <c r="N8" s="344"/>
      <c r="O8" s="344"/>
      <c r="P8" s="345"/>
      <c r="Q8" s="346"/>
      <c r="R8" s="347"/>
      <c r="S8" s="348"/>
      <c r="T8" s="349"/>
      <c r="U8" s="274"/>
      <c r="V8" s="349"/>
      <c r="W8" s="274"/>
      <c r="X8" s="350"/>
      <c r="Y8" s="351"/>
      <c r="Z8" s="210">
        <f t="shared" si="1"/>
        <v>0</v>
      </c>
      <c r="AA8" s="183">
        <f t="shared" si="2"/>
        <v>0</v>
      </c>
      <c r="AB8" s="136"/>
      <c r="AC8" s="210" t="str">
        <f>IFERROR(VLOOKUP($I$22&amp;D8,'Development-Hidden'!$C$2:$E$118,3,FALSE),"0")</f>
        <v>0</v>
      </c>
      <c r="AD8" s="352"/>
      <c r="AE8" s="352"/>
      <c r="AF8" s="352"/>
      <c r="AG8" s="352"/>
      <c r="AH8" s="352"/>
      <c r="AI8" s="352"/>
      <c r="AJ8" s="352"/>
      <c r="AK8" s="318"/>
      <c r="AL8" s="357" t="s">
        <v>278</v>
      </c>
      <c r="AM8" s="187">
        <v>80000</v>
      </c>
      <c r="AN8" s="358">
        <v>130000</v>
      </c>
      <c r="AO8" s="359" t="s">
        <v>424</v>
      </c>
      <c r="AP8" s="318"/>
      <c r="AQ8" s="357" t="s">
        <v>278</v>
      </c>
      <c r="AR8" s="358" t="s">
        <v>17</v>
      </c>
      <c r="AS8" s="358" t="s">
        <v>441</v>
      </c>
      <c r="AT8" s="187">
        <v>2</v>
      </c>
      <c r="AU8" s="359">
        <v>1</v>
      </c>
      <c r="AV8" s="438">
        <v>1</v>
      </c>
      <c r="AW8" s="439"/>
    </row>
    <row r="9" spans="1:49" ht="18" customHeight="1">
      <c r="A9" s="321"/>
      <c r="B9" s="340">
        <v>6</v>
      </c>
      <c r="C9" s="314" t="s">
        <v>192</v>
      </c>
      <c r="D9" s="194" t="s">
        <v>788</v>
      </c>
      <c r="E9" s="195">
        <f>IFERROR(VLOOKUP($I$22&amp;$D9,'Development-Hidden'!$C$2:$J$118,4,FALSE)-P9+AF9,"")</f>
        <v>4</v>
      </c>
      <c r="F9" s="196">
        <f>IFERROR(VLOOKUP($I$22&amp;$D9,'Development-Hidden'!$C$2:$J$118,5,FALSE)-Q9+AG9,"")</f>
        <v>4</v>
      </c>
      <c r="G9" s="196">
        <f>IFERROR(VLOOKUP($I$22&amp;$D9,'Development-Hidden'!$C$2:$J$118,6,FALSE)-R9+AH9,"")</f>
        <v>2</v>
      </c>
      <c r="H9" s="197">
        <f>IFERROR(VLOOKUP($I$22&amp;$D9,'Development-Hidden'!$C$2:$J$118,7,FALSE)-S9+AI9,"")</f>
        <v>9</v>
      </c>
      <c r="I9" s="198"/>
      <c r="J9" s="199" t="s">
        <v>399</v>
      </c>
      <c r="K9" s="343">
        <f t="shared" si="0"/>
        <v>1</v>
      </c>
      <c r="L9" s="344"/>
      <c r="M9" s="344"/>
      <c r="N9" s="344"/>
      <c r="O9" s="344"/>
      <c r="P9" s="345"/>
      <c r="Q9" s="346"/>
      <c r="R9" s="347"/>
      <c r="S9" s="348"/>
      <c r="T9" s="349"/>
      <c r="U9" s="274"/>
      <c r="V9" s="349"/>
      <c r="W9" s="274">
        <v>2</v>
      </c>
      <c r="X9" s="350"/>
      <c r="Y9" s="351">
        <v>1</v>
      </c>
      <c r="Z9" s="210">
        <f t="shared" si="1"/>
        <v>9</v>
      </c>
      <c r="AA9" s="183">
        <f t="shared" si="2"/>
        <v>100000</v>
      </c>
      <c r="AB9" s="136"/>
      <c r="AC9" s="210">
        <f>IFERROR(VLOOKUP($I$22&amp;D9,'Development-Hidden'!$C$2:$E$118,3,FALSE),"")</f>
        <v>80000</v>
      </c>
      <c r="AD9" s="352">
        <v>1</v>
      </c>
      <c r="AE9" s="352"/>
      <c r="AF9" s="352"/>
      <c r="AG9" s="352"/>
      <c r="AH9" s="352"/>
      <c r="AI9" s="352"/>
      <c r="AJ9" s="352"/>
      <c r="AK9" s="318"/>
      <c r="AL9" s="357" t="s">
        <v>289</v>
      </c>
      <c r="AM9" s="187">
        <v>50000</v>
      </c>
      <c r="AN9" s="358">
        <v>0</v>
      </c>
      <c r="AO9" s="359" t="s">
        <v>424</v>
      </c>
      <c r="AP9" s="318"/>
      <c r="AQ9" s="357" t="s">
        <v>289</v>
      </c>
      <c r="AR9" s="358" t="s">
        <v>18</v>
      </c>
      <c r="AS9" s="358" t="s">
        <v>443</v>
      </c>
      <c r="AT9" s="187">
        <v>1</v>
      </c>
      <c r="AU9" s="359">
        <v>3</v>
      </c>
      <c r="AV9" s="438">
        <v>1</v>
      </c>
      <c r="AW9" s="439"/>
    </row>
    <row r="10" spans="1:49" ht="18" customHeight="1">
      <c r="A10" s="321"/>
      <c r="B10" s="340">
        <v>7</v>
      </c>
      <c r="C10" s="314" t="s">
        <v>60</v>
      </c>
      <c r="D10" s="194" t="s">
        <v>788</v>
      </c>
      <c r="E10" s="195">
        <f>IFERROR(VLOOKUP($I$22&amp;$D10,'Development-Hidden'!$C$2:$J$118,4,FALSE)-P10+AF10,"")</f>
        <v>4</v>
      </c>
      <c r="F10" s="196">
        <f>IFERROR(VLOOKUP($I$22&amp;$D10,'Development-Hidden'!$C$2:$J$118,5,FALSE)-Q10+AG10,"")</f>
        <v>4</v>
      </c>
      <c r="G10" s="196">
        <f>IFERROR(VLOOKUP($I$22&amp;$D10,'Development-Hidden'!$C$2:$J$118,6,FALSE)-R10+AH10,"")</f>
        <v>2</v>
      </c>
      <c r="H10" s="197">
        <f>IFERROR(VLOOKUP($I$22&amp;$D10,'Development-Hidden'!$C$2:$J$118,7,FALSE)-S10+AI10,"")</f>
        <v>9</v>
      </c>
      <c r="I10" s="198"/>
      <c r="J10" s="199" t="s">
        <v>277</v>
      </c>
      <c r="K10" s="343">
        <f t="shared" si="0"/>
        <v>1</v>
      </c>
      <c r="L10" s="344"/>
      <c r="M10" s="344"/>
      <c r="N10" s="344"/>
      <c r="O10" s="344"/>
      <c r="P10" s="345"/>
      <c r="Q10" s="346"/>
      <c r="R10" s="347"/>
      <c r="S10" s="348"/>
      <c r="T10" s="349"/>
      <c r="U10" s="274"/>
      <c r="V10" s="349"/>
      <c r="W10" s="274">
        <v>2</v>
      </c>
      <c r="X10" s="350"/>
      <c r="Y10" s="351">
        <v>1</v>
      </c>
      <c r="Z10" s="210">
        <f t="shared" si="1"/>
        <v>9</v>
      </c>
      <c r="AA10" s="183">
        <f t="shared" si="2"/>
        <v>100000</v>
      </c>
      <c r="AB10" s="136"/>
      <c r="AC10" s="210">
        <f>IFERROR(VLOOKUP($I$22&amp;D10,'Development-Hidden'!$C$2:$E$118,3,FALSE),"")</f>
        <v>80000</v>
      </c>
      <c r="AD10" s="352">
        <v>1</v>
      </c>
      <c r="AE10" s="352"/>
      <c r="AF10" s="352"/>
      <c r="AG10" s="352"/>
      <c r="AH10" s="352"/>
      <c r="AI10" s="352"/>
      <c r="AJ10" s="352"/>
      <c r="AK10" s="318"/>
      <c r="AL10" s="357" t="s">
        <v>296</v>
      </c>
      <c r="AM10" s="187">
        <v>40000</v>
      </c>
      <c r="AN10" s="358">
        <v>0</v>
      </c>
      <c r="AO10" s="359" t="s">
        <v>424</v>
      </c>
      <c r="AP10" s="318"/>
      <c r="AQ10" s="357" t="s">
        <v>296</v>
      </c>
      <c r="AR10" s="358" t="s">
        <v>6</v>
      </c>
      <c r="AS10" s="358" t="s">
        <v>444</v>
      </c>
      <c r="AT10" s="187">
        <v>0</v>
      </c>
      <c r="AU10" s="359">
        <v>1</v>
      </c>
      <c r="AV10" s="438">
        <v>0</v>
      </c>
      <c r="AW10" s="439"/>
    </row>
    <row r="11" spans="1:49" ht="18" customHeight="1">
      <c r="A11" s="321"/>
      <c r="B11" s="340">
        <v>8</v>
      </c>
      <c r="C11" s="314" t="s">
        <v>55</v>
      </c>
      <c r="D11" s="194" t="s">
        <v>788</v>
      </c>
      <c r="E11" s="195">
        <f>IFERROR(VLOOKUP($I$22&amp;$D11,'Development-Hidden'!$C$2:$J$118,4,FALSE)-P11+AF11,"")</f>
        <v>4</v>
      </c>
      <c r="F11" s="196">
        <f>IFERROR(VLOOKUP($I$22&amp;$D11,'Development-Hidden'!$C$2:$J$118,5,FALSE)-Q11+AG11,"")</f>
        <v>4</v>
      </c>
      <c r="G11" s="196">
        <f>IFERROR(VLOOKUP($I$22&amp;$D11,'Development-Hidden'!$C$2:$J$118,6,FALSE)-R11+AH11,"")</f>
        <v>2</v>
      </c>
      <c r="H11" s="197">
        <f>IFERROR(VLOOKUP($I$22&amp;$D11,'Development-Hidden'!$C$2:$J$118,7,FALSE)-S11+AI11,"")</f>
        <v>9</v>
      </c>
      <c r="I11" s="198"/>
      <c r="J11" s="199" t="s">
        <v>399</v>
      </c>
      <c r="K11" s="343">
        <f t="shared" si="0"/>
        <v>1</v>
      </c>
      <c r="L11" s="344"/>
      <c r="M11" s="344"/>
      <c r="N11" s="344"/>
      <c r="O11" s="344"/>
      <c r="P11" s="345"/>
      <c r="Q11" s="346"/>
      <c r="R11" s="347"/>
      <c r="S11" s="348"/>
      <c r="T11" s="349"/>
      <c r="U11" s="274"/>
      <c r="V11" s="349"/>
      <c r="W11" s="274">
        <v>4</v>
      </c>
      <c r="X11" s="350"/>
      <c r="Y11" s="351">
        <v>1</v>
      </c>
      <c r="Z11" s="210">
        <f t="shared" si="1"/>
        <v>13</v>
      </c>
      <c r="AA11" s="183">
        <f t="shared" si="2"/>
        <v>100000</v>
      </c>
      <c r="AB11" s="136"/>
      <c r="AC11" s="210">
        <f>IFERROR(VLOOKUP($I$22&amp;D11,'Development-Hidden'!$C$2:$E$118,3,FALSE),"")</f>
        <v>80000</v>
      </c>
      <c r="AD11" s="352">
        <v>1</v>
      </c>
      <c r="AE11" s="352"/>
      <c r="AF11" s="352"/>
      <c r="AG11" s="352"/>
      <c r="AH11" s="352"/>
      <c r="AI11" s="352"/>
      <c r="AJ11" s="352"/>
      <c r="AK11" s="318"/>
      <c r="AL11" s="357" t="s">
        <v>306</v>
      </c>
      <c r="AM11" s="187">
        <v>80000</v>
      </c>
      <c r="AN11" s="358">
        <v>80000</v>
      </c>
      <c r="AO11" s="359">
        <v>0</v>
      </c>
      <c r="AP11" s="318"/>
      <c r="AQ11" s="357" t="s">
        <v>306</v>
      </c>
      <c r="AR11" s="358" t="s">
        <v>11</v>
      </c>
      <c r="AS11" s="358" t="s">
        <v>441</v>
      </c>
      <c r="AT11" s="187">
        <v>2</v>
      </c>
      <c r="AU11" s="359">
        <v>2</v>
      </c>
      <c r="AV11" s="438">
        <v>1</v>
      </c>
      <c r="AW11" s="439"/>
    </row>
    <row r="12" spans="1:49" ht="18" customHeight="1">
      <c r="A12" s="321"/>
      <c r="B12" s="340">
        <v>9</v>
      </c>
      <c r="C12" s="314" t="s">
        <v>73</v>
      </c>
      <c r="D12" s="194" t="s">
        <v>49</v>
      </c>
      <c r="E12" s="195">
        <f>IFERROR(VLOOKUP($I$22&amp;$D12,'Development-Hidden'!$C$2:$J$118,4,FALSE)-P12+AF12,"")</f>
        <v>6</v>
      </c>
      <c r="F12" s="196">
        <f>IFERROR(VLOOKUP($I$22&amp;$D12,'Development-Hidden'!$C$2:$J$118,5,FALSE)-Q12+AG12,"")</f>
        <v>3</v>
      </c>
      <c r="G12" s="196">
        <f>IFERROR(VLOOKUP($I$22&amp;$D12,'Development-Hidden'!$C$2:$J$118,6,FALSE)-R12+AH12,"")</f>
        <v>3</v>
      </c>
      <c r="H12" s="197">
        <f>IFERROR(VLOOKUP($I$22&amp;$D12,'Development-Hidden'!$C$2:$J$118,7,FALSE)-S12+AI12,"")</f>
        <v>9</v>
      </c>
      <c r="I12" s="198" t="s">
        <v>277</v>
      </c>
      <c r="J12" s="199" t="s">
        <v>446</v>
      </c>
      <c r="K12" s="343">
        <f t="shared" si="0"/>
        <v>1</v>
      </c>
      <c r="L12" s="344"/>
      <c r="M12" s="344"/>
      <c r="N12" s="344"/>
      <c r="O12" s="344"/>
      <c r="P12" s="345"/>
      <c r="Q12" s="346"/>
      <c r="R12" s="347"/>
      <c r="S12" s="348"/>
      <c r="T12" s="349"/>
      <c r="U12" s="274"/>
      <c r="V12" s="349"/>
      <c r="W12" s="274">
        <v>1</v>
      </c>
      <c r="X12" s="350"/>
      <c r="Y12" s="351">
        <v>1</v>
      </c>
      <c r="Z12" s="210">
        <f t="shared" si="1"/>
        <v>7</v>
      </c>
      <c r="AA12" s="183">
        <f t="shared" si="2"/>
        <v>100000</v>
      </c>
      <c r="AB12" s="136"/>
      <c r="AC12" s="210">
        <f>IFERROR(VLOOKUP($I$22&amp;D12,'Development-Hidden'!$C$2:$E$118,3,FALSE),"")</f>
        <v>80000</v>
      </c>
      <c r="AD12" s="352">
        <v>1</v>
      </c>
      <c r="AE12" s="352"/>
      <c r="AF12" s="352"/>
      <c r="AG12" s="352"/>
      <c r="AH12" s="352"/>
      <c r="AI12" s="352"/>
      <c r="AJ12" s="352"/>
      <c r="AK12" s="318"/>
      <c r="AL12" s="357" t="s">
        <v>316</v>
      </c>
      <c r="AM12" s="187">
        <v>70000</v>
      </c>
      <c r="AN12" s="358">
        <v>0</v>
      </c>
      <c r="AO12" s="359" t="s">
        <v>424</v>
      </c>
      <c r="AP12" s="318"/>
      <c r="AQ12" s="357" t="s">
        <v>316</v>
      </c>
      <c r="AR12" s="358" t="s">
        <v>447</v>
      </c>
      <c r="AS12" s="358" t="s">
        <v>443</v>
      </c>
      <c r="AT12" s="187">
        <v>1</v>
      </c>
      <c r="AU12" s="359">
        <v>3</v>
      </c>
      <c r="AV12" s="438">
        <v>1</v>
      </c>
      <c r="AW12" s="439"/>
    </row>
    <row r="13" spans="1:49" ht="18" customHeight="1">
      <c r="A13" s="321"/>
      <c r="B13" s="340">
        <v>10</v>
      </c>
      <c r="C13" s="314" t="s">
        <v>74</v>
      </c>
      <c r="D13" s="194" t="s">
        <v>49</v>
      </c>
      <c r="E13" s="195">
        <f>IFERROR(VLOOKUP($I$22&amp;$D13,'Development-Hidden'!$C$2:$J$118,4,FALSE)-P13+AF13,"")</f>
        <v>6</v>
      </c>
      <c r="F13" s="196">
        <f>IFERROR(VLOOKUP($I$22&amp;$D13,'Development-Hidden'!$C$2:$J$118,5,FALSE)-Q13+AG13,"")</f>
        <v>3</v>
      </c>
      <c r="G13" s="196">
        <f>IFERROR(VLOOKUP($I$22&amp;$D13,'Development-Hidden'!$C$2:$J$118,6,FALSE)-R13+AH13,"")</f>
        <v>3</v>
      </c>
      <c r="H13" s="197">
        <f>IFERROR(VLOOKUP($I$22&amp;$D13,'Development-Hidden'!$C$2:$J$118,7,FALSE)-S13+AI13,"")</f>
        <v>9</v>
      </c>
      <c r="I13" s="198" t="s">
        <v>277</v>
      </c>
      <c r="J13" s="199" t="s">
        <v>377</v>
      </c>
      <c r="K13" s="343">
        <f t="shared" si="0"/>
        <v>1</v>
      </c>
      <c r="L13" s="344"/>
      <c r="M13" s="344"/>
      <c r="N13" s="344"/>
      <c r="O13" s="344"/>
      <c r="P13" s="345"/>
      <c r="Q13" s="346"/>
      <c r="R13" s="347"/>
      <c r="S13" s="348"/>
      <c r="T13" s="349"/>
      <c r="U13" s="274"/>
      <c r="V13" s="349"/>
      <c r="W13" s="274">
        <v>2</v>
      </c>
      <c r="X13" s="350"/>
      <c r="Y13" s="351">
        <v>1</v>
      </c>
      <c r="Z13" s="210">
        <f t="shared" si="1"/>
        <v>9</v>
      </c>
      <c r="AA13" s="183">
        <f t="shared" si="2"/>
        <v>100000</v>
      </c>
      <c r="AB13" s="136"/>
      <c r="AC13" s="210">
        <f>IFERROR(VLOOKUP($I$22&amp;D13,'Development-Hidden'!$C$2:$E$118,3,FALSE),"")</f>
        <v>80000</v>
      </c>
      <c r="AD13" s="352">
        <v>1</v>
      </c>
      <c r="AE13" s="352"/>
      <c r="AF13" s="352"/>
      <c r="AG13" s="352"/>
      <c r="AH13" s="352"/>
      <c r="AI13" s="352"/>
      <c r="AJ13" s="352"/>
      <c r="AK13" s="318"/>
      <c r="AL13" s="357" t="s">
        <v>330</v>
      </c>
      <c r="AM13" s="187">
        <v>40000</v>
      </c>
      <c r="AN13" s="358">
        <v>40000</v>
      </c>
      <c r="AO13" s="359"/>
      <c r="AP13" s="318"/>
      <c r="AQ13" s="357" t="s">
        <v>330</v>
      </c>
      <c r="AR13" s="358" t="s">
        <v>10</v>
      </c>
      <c r="AS13" s="358" t="s">
        <v>448</v>
      </c>
      <c r="AT13" s="187">
        <v>0</v>
      </c>
      <c r="AU13" s="359">
        <v>2</v>
      </c>
      <c r="AV13" s="438">
        <v>0</v>
      </c>
      <c r="AW13" s="439"/>
    </row>
    <row r="14" spans="1:49" ht="18" customHeight="1">
      <c r="A14" s="321"/>
      <c r="B14" s="340">
        <v>11</v>
      </c>
      <c r="C14" s="314" t="s">
        <v>75</v>
      </c>
      <c r="D14" s="194" t="s">
        <v>49</v>
      </c>
      <c r="E14" s="195">
        <f>IFERROR(VLOOKUP($I$22&amp;$D14,'Development-Hidden'!$C$2:$J$118,4,FALSE)-P14+AF14,"")</f>
        <v>6</v>
      </c>
      <c r="F14" s="196">
        <f>IFERROR(VLOOKUP($I$22&amp;$D14,'Development-Hidden'!$C$2:$J$118,5,FALSE)-Q14+AG14,"")</f>
        <v>3</v>
      </c>
      <c r="G14" s="196">
        <f>IFERROR(VLOOKUP($I$22&amp;$D14,'Development-Hidden'!$C$2:$J$118,6,FALSE)-R14+AH14,"")</f>
        <v>3</v>
      </c>
      <c r="H14" s="197">
        <f>IFERROR(VLOOKUP($I$22&amp;$D14,'Development-Hidden'!$C$2:$J$118,7,FALSE)-S14+AI14,"")</f>
        <v>9</v>
      </c>
      <c r="I14" s="198" t="s">
        <v>277</v>
      </c>
      <c r="J14" s="199" t="s">
        <v>450</v>
      </c>
      <c r="K14" s="343">
        <f t="shared" si="0"/>
        <v>2</v>
      </c>
      <c r="L14" s="344"/>
      <c r="M14" s="344"/>
      <c r="N14" s="344"/>
      <c r="O14" s="344"/>
      <c r="P14" s="345"/>
      <c r="Q14" s="346"/>
      <c r="R14" s="347"/>
      <c r="S14" s="348"/>
      <c r="T14" s="349"/>
      <c r="U14" s="274"/>
      <c r="V14" s="349">
        <v>2</v>
      </c>
      <c r="W14" s="274">
        <v>3</v>
      </c>
      <c r="X14" s="350"/>
      <c r="Y14" s="351">
        <v>2</v>
      </c>
      <c r="Z14" s="210">
        <f t="shared" si="1"/>
        <v>22</v>
      </c>
      <c r="AA14" s="183">
        <f t="shared" si="2"/>
        <v>130000</v>
      </c>
      <c r="AB14" s="136"/>
      <c r="AC14" s="210">
        <f>IFERROR(VLOOKUP($I$22&amp;D14,'Development-Hidden'!$C$2:$E$118,3,FALSE),"")</f>
        <v>80000</v>
      </c>
      <c r="AD14" s="352">
        <v>1</v>
      </c>
      <c r="AE14" s="352">
        <v>1</v>
      </c>
      <c r="AF14" s="352"/>
      <c r="AG14" s="352"/>
      <c r="AH14" s="352"/>
      <c r="AI14" s="352"/>
      <c r="AJ14" s="352"/>
      <c r="AK14" s="318"/>
      <c r="AL14" s="357" t="s">
        <v>342</v>
      </c>
      <c r="AM14" s="187"/>
      <c r="AN14" s="358"/>
      <c r="AO14" s="359"/>
      <c r="AP14" s="318"/>
      <c r="AQ14" s="357" t="s">
        <v>342</v>
      </c>
      <c r="AR14" s="358"/>
      <c r="AS14" s="358"/>
      <c r="AT14" s="187"/>
      <c r="AU14" s="359"/>
      <c r="AV14" s="438"/>
      <c r="AW14" s="439"/>
    </row>
    <row r="15" spans="1:49" ht="18" customHeight="1">
      <c r="A15" s="321"/>
      <c r="B15" s="340">
        <v>12</v>
      </c>
      <c r="C15" s="314" t="s">
        <v>320</v>
      </c>
      <c r="D15" s="194" t="s">
        <v>49</v>
      </c>
      <c r="E15" s="195">
        <f>IFERROR(VLOOKUP($I$22&amp;$D15,'Development-Hidden'!$C$2:$J$118,4,FALSE)-P15+AF15,"")</f>
        <v>6</v>
      </c>
      <c r="F15" s="196">
        <f>IFERROR(VLOOKUP($I$22&amp;$D15,'Development-Hidden'!$C$2:$J$118,5,FALSE)-Q15+AG15,"")</f>
        <v>3</v>
      </c>
      <c r="G15" s="196">
        <f>IFERROR(VLOOKUP($I$22&amp;$D15,'Development-Hidden'!$C$2:$J$118,6,FALSE)-R15+AH15,"")</f>
        <v>3</v>
      </c>
      <c r="H15" s="197">
        <f>IFERROR(VLOOKUP($I$22&amp;$D15,'Development-Hidden'!$C$2:$J$118,7,FALSE)-S15+AI15,"")</f>
        <v>9</v>
      </c>
      <c r="I15" s="198" t="s">
        <v>277</v>
      </c>
      <c r="J15" s="199"/>
      <c r="K15" s="343">
        <f t="shared" si="0"/>
        <v>0</v>
      </c>
      <c r="L15" s="344"/>
      <c r="M15" s="344"/>
      <c r="N15" s="344"/>
      <c r="O15" s="344"/>
      <c r="P15" s="345"/>
      <c r="Q15" s="346"/>
      <c r="R15" s="347"/>
      <c r="S15" s="348"/>
      <c r="T15" s="349"/>
      <c r="U15" s="274"/>
      <c r="V15" s="349"/>
      <c r="W15" s="274"/>
      <c r="X15" s="350"/>
      <c r="Y15" s="351"/>
      <c r="Z15" s="210">
        <f t="shared" si="1"/>
        <v>0</v>
      </c>
      <c r="AA15" s="183">
        <f t="shared" si="2"/>
        <v>80000</v>
      </c>
      <c r="AB15" s="136"/>
      <c r="AC15" s="210">
        <f>IFERROR(VLOOKUP($I$22&amp;D15,'Development-Hidden'!$C$2:$E$118,3,FALSE),"")</f>
        <v>80000</v>
      </c>
      <c r="AD15" s="352"/>
      <c r="AE15" s="352"/>
      <c r="AF15" s="352"/>
      <c r="AG15" s="352"/>
      <c r="AH15" s="352"/>
      <c r="AI15" s="352"/>
      <c r="AJ15" s="352"/>
      <c r="AK15" s="318"/>
      <c r="AL15" s="357" t="s">
        <v>354</v>
      </c>
      <c r="AM15" s="187"/>
      <c r="AN15" s="358"/>
      <c r="AO15" s="359"/>
      <c r="AP15" s="318"/>
      <c r="AQ15" s="357" t="s">
        <v>354</v>
      </c>
      <c r="AR15" s="358"/>
      <c r="AS15" s="358"/>
      <c r="AT15" s="187"/>
      <c r="AU15" s="359"/>
      <c r="AV15" s="438"/>
      <c r="AW15" s="439"/>
    </row>
    <row r="16" spans="1:49" ht="18" customHeight="1">
      <c r="A16" s="321"/>
      <c r="B16" s="340">
        <v>13</v>
      </c>
      <c r="C16" s="314"/>
      <c r="D16" s="194"/>
      <c r="E16" s="195" t="str">
        <f>IFERROR(VLOOKUP($I$22&amp;$D16,'Development-Hidden'!$C$2:$J$118,4,FALSE)-P16+AF16,"")</f>
        <v/>
      </c>
      <c r="F16" s="196" t="str">
        <f>IFERROR(VLOOKUP($I$22&amp;$D16,'Development-Hidden'!$C$2:$J$118,5,FALSE)-Q16+AG16,"")</f>
        <v/>
      </c>
      <c r="G16" s="196" t="str">
        <f>IFERROR(VLOOKUP($I$22&amp;$D16,'Development-Hidden'!$C$2:$J$118,6,FALSE)-R16+AH16,"")</f>
        <v/>
      </c>
      <c r="H16" s="197" t="str">
        <f>IFERROR(VLOOKUP($I$22&amp;$D16,'Development-Hidden'!$C$2:$J$118,7,FALSE)-S16+AI16,"")</f>
        <v/>
      </c>
      <c r="I16" s="198"/>
      <c r="J16" s="199"/>
      <c r="K16" s="343">
        <f t="shared" si="0"/>
        <v>0</v>
      </c>
      <c r="L16" s="344"/>
      <c r="M16" s="344"/>
      <c r="N16" s="344"/>
      <c r="O16" s="344"/>
      <c r="P16" s="345"/>
      <c r="Q16" s="346"/>
      <c r="R16" s="347"/>
      <c r="S16" s="348"/>
      <c r="T16" s="349"/>
      <c r="U16" s="274"/>
      <c r="V16" s="349"/>
      <c r="W16" s="274"/>
      <c r="X16" s="350"/>
      <c r="Y16" s="351"/>
      <c r="Z16" s="210">
        <f t="shared" si="1"/>
        <v>0</v>
      </c>
      <c r="AA16" s="183">
        <f t="shared" si="2"/>
        <v>0</v>
      </c>
      <c r="AB16" s="136"/>
      <c r="AC16" s="210" t="str">
        <f>IFERROR(VLOOKUP($I$22&amp;D16,'Development-Hidden'!$C$2:$E$118,3,FALSE),"0")</f>
        <v>0</v>
      </c>
      <c r="AD16" s="352"/>
      <c r="AE16" s="352"/>
      <c r="AF16" s="352"/>
      <c r="AG16" s="352"/>
      <c r="AH16" s="352"/>
      <c r="AI16" s="352"/>
      <c r="AJ16" s="352"/>
      <c r="AK16" s="318"/>
      <c r="AL16" s="357" t="s">
        <v>355</v>
      </c>
      <c r="AM16" s="187"/>
      <c r="AN16" s="358"/>
      <c r="AO16" s="359"/>
      <c r="AP16" s="318"/>
      <c r="AQ16" s="357" t="s">
        <v>355</v>
      </c>
      <c r="AR16" s="358"/>
      <c r="AS16" s="358"/>
      <c r="AT16" s="187"/>
      <c r="AU16" s="359"/>
      <c r="AV16" s="438"/>
      <c r="AW16" s="439"/>
    </row>
    <row r="17" spans="1:49" ht="18" customHeight="1">
      <c r="A17" s="321"/>
      <c r="B17" s="340">
        <v>14</v>
      </c>
      <c r="C17" s="314" t="s">
        <v>45</v>
      </c>
      <c r="D17" s="194" t="s">
        <v>46</v>
      </c>
      <c r="E17" s="195">
        <f>IFERROR(VLOOKUP($I$22&amp;$D17,'Development-Hidden'!$C$2:$J$118,4,FALSE)-P17+AF17,"")</f>
        <v>6</v>
      </c>
      <c r="F17" s="196">
        <f>IFERROR(VLOOKUP($I$22&amp;$D17,'Development-Hidden'!$C$2:$J$118,5,FALSE)-Q17+AG17,"")</f>
        <v>2</v>
      </c>
      <c r="G17" s="196">
        <f>IFERROR(VLOOKUP($I$22&amp;$D17,'Development-Hidden'!$C$2:$J$118,6,FALSE)-R17+AH17,"")</f>
        <v>3</v>
      </c>
      <c r="H17" s="197">
        <f>IFERROR(VLOOKUP($I$22&amp;$D17,'Development-Hidden'!$C$2:$J$118,7,FALSE)-S17+AI17,"")</f>
        <v>7</v>
      </c>
      <c r="I17" s="198" t="s">
        <v>452</v>
      </c>
      <c r="J17" s="199" t="s">
        <v>453</v>
      </c>
      <c r="K17" s="343">
        <f t="shared" si="0"/>
        <v>1</v>
      </c>
      <c r="L17" s="344"/>
      <c r="M17" s="344"/>
      <c r="N17" s="344"/>
      <c r="O17" s="344"/>
      <c r="P17" s="345"/>
      <c r="Q17" s="346"/>
      <c r="R17" s="347"/>
      <c r="S17" s="348"/>
      <c r="T17" s="349"/>
      <c r="U17" s="274"/>
      <c r="V17" s="349">
        <v>3</v>
      </c>
      <c r="W17" s="274"/>
      <c r="X17" s="350"/>
      <c r="Y17" s="351">
        <v>1</v>
      </c>
      <c r="Z17" s="210">
        <f t="shared" si="1"/>
        <v>14</v>
      </c>
      <c r="AA17" s="183">
        <f t="shared" si="2"/>
        <v>60000</v>
      </c>
      <c r="AB17" s="136"/>
      <c r="AC17" s="210">
        <f>IFERROR(VLOOKUP($I$22&amp;D17,'Development-Hidden'!$C$2:$E$118,3,FALSE),"")</f>
        <v>40000</v>
      </c>
      <c r="AD17" s="352">
        <v>1</v>
      </c>
      <c r="AE17" s="352"/>
      <c r="AF17" s="352"/>
      <c r="AG17" s="352"/>
      <c r="AH17" s="352"/>
      <c r="AI17" s="352"/>
      <c r="AJ17" s="352"/>
      <c r="AK17" s="318"/>
      <c r="AL17" s="357" t="s">
        <v>357</v>
      </c>
      <c r="AM17" s="187"/>
      <c r="AN17" s="358"/>
      <c r="AO17" s="359"/>
      <c r="AP17" s="318"/>
      <c r="AQ17" s="357" t="s">
        <v>357</v>
      </c>
      <c r="AR17" s="358"/>
      <c r="AS17" s="358"/>
      <c r="AT17" s="187"/>
      <c r="AU17" s="359"/>
      <c r="AV17" s="438"/>
      <c r="AW17" s="439"/>
    </row>
    <row r="18" spans="1:49" ht="18" customHeight="1">
      <c r="A18" s="321"/>
      <c r="B18" s="340">
        <v>15</v>
      </c>
      <c r="C18" s="314" t="s">
        <v>92</v>
      </c>
      <c r="D18" s="194" t="s">
        <v>46</v>
      </c>
      <c r="E18" s="195">
        <f>IFERROR(VLOOKUP($I$22&amp;$D18,'Development-Hidden'!$C$2:$J$118,4,FALSE)-P18+AF18,"")</f>
        <v>6</v>
      </c>
      <c r="F18" s="196">
        <f>IFERROR(VLOOKUP($I$22&amp;$D18,'Development-Hidden'!$C$2:$J$118,5,FALSE)-Q18+AG18,"")</f>
        <v>2</v>
      </c>
      <c r="G18" s="196">
        <f>IFERROR(VLOOKUP($I$22&amp;$D18,'Development-Hidden'!$C$2:$J$118,6,FALSE)-R18+AH18,"")</f>
        <v>3</v>
      </c>
      <c r="H18" s="197">
        <f>IFERROR(VLOOKUP($I$22&amp;$D18,'Development-Hidden'!$C$2:$J$118,7,FALSE)-S18+AI18,"")</f>
        <v>7</v>
      </c>
      <c r="I18" s="198" t="s">
        <v>452</v>
      </c>
      <c r="J18" s="199" t="s">
        <v>454</v>
      </c>
      <c r="K18" s="343">
        <f t="shared" si="0"/>
        <v>1</v>
      </c>
      <c r="L18" s="344"/>
      <c r="M18" s="344"/>
      <c r="N18" s="344"/>
      <c r="O18" s="344"/>
      <c r="P18" s="345"/>
      <c r="Q18" s="346"/>
      <c r="R18" s="347"/>
      <c r="S18" s="348"/>
      <c r="T18" s="349"/>
      <c r="U18" s="274"/>
      <c r="V18" s="349">
        <v>2</v>
      </c>
      <c r="W18" s="274"/>
      <c r="X18" s="350"/>
      <c r="Y18" s="351"/>
      <c r="Z18" s="210">
        <f t="shared" si="1"/>
        <v>6</v>
      </c>
      <c r="AA18" s="183">
        <f t="shared" si="2"/>
        <v>60000</v>
      </c>
      <c r="AB18" s="136"/>
      <c r="AC18" s="210">
        <f>IFERROR(VLOOKUP($I$22&amp;D18,'Development-Hidden'!$C$2:$E$118,3,FALSE),"")</f>
        <v>40000</v>
      </c>
      <c r="AD18" s="352">
        <v>1</v>
      </c>
      <c r="AE18" s="352"/>
      <c r="AF18" s="352"/>
      <c r="AG18" s="352"/>
      <c r="AH18" s="352"/>
      <c r="AI18" s="352"/>
      <c r="AJ18" s="352"/>
      <c r="AK18" s="318"/>
      <c r="AL18" s="357" t="s">
        <v>359</v>
      </c>
      <c r="AM18" s="187"/>
      <c r="AN18" s="358"/>
      <c r="AO18" s="359"/>
      <c r="AP18" s="318"/>
      <c r="AQ18" s="357" t="s">
        <v>359</v>
      </c>
      <c r="AR18" s="358"/>
      <c r="AS18" s="358"/>
      <c r="AT18" s="187"/>
      <c r="AU18" s="359"/>
      <c r="AV18" s="438"/>
      <c r="AW18" s="439"/>
    </row>
    <row r="19" spans="1:49" ht="18" customHeight="1">
      <c r="A19" s="321"/>
      <c r="B19" s="384">
        <v>16</v>
      </c>
      <c r="C19" s="315" t="s">
        <v>456</v>
      </c>
      <c r="D19" s="385" t="s">
        <v>46</v>
      </c>
      <c r="E19" s="251">
        <f>IFERROR(VLOOKUP($I$22&amp;$D19,'Development-Hidden'!$C$2:$J$118,4,FALSE)-P19+AF19,"")</f>
        <v>6</v>
      </c>
      <c r="F19" s="252">
        <f>IFERROR(VLOOKUP($I$22&amp;$D19,'Development-Hidden'!$C$2:$J$118,5,FALSE)-Q19+AG19,"")</f>
        <v>2</v>
      </c>
      <c r="G19" s="252">
        <f>IFERROR(VLOOKUP($I$22&amp;$D19,'Development-Hidden'!$C$2:$J$118,6,FALSE)-R19+AH19,"")</f>
        <v>3</v>
      </c>
      <c r="H19" s="253">
        <f>IFERROR(VLOOKUP($I$22&amp;$D19,'Development-Hidden'!$C$2:$J$118,7,FALSE)-S19+AI19,"")</f>
        <v>7</v>
      </c>
      <c r="I19" s="254" t="s">
        <v>452</v>
      </c>
      <c r="J19" s="255" t="s">
        <v>457</v>
      </c>
      <c r="K19" s="389">
        <f t="shared" si="0"/>
        <v>1</v>
      </c>
      <c r="L19" s="390"/>
      <c r="M19" s="390"/>
      <c r="N19" s="390"/>
      <c r="O19" s="390"/>
      <c r="P19" s="391"/>
      <c r="Q19" s="392"/>
      <c r="R19" s="393"/>
      <c r="S19" s="394"/>
      <c r="T19" s="395"/>
      <c r="U19" s="281"/>
      <c r="V19" s="395">
        <v>3</v>
      </c>
      <c r="W19" s="281"/>
      <c r="X19" s="396"/>
      <c r="Y19" s="397"/>
      <c r="Z19" s="266">
        <f t="shared" si="1"/>
        <v>9</v>
      </c>
      <c r="AA19" s="183">
        <f t="shared" si="2"/>
        <v>60000</v>
      </c>
      <c r="AB19" s="136"/>
      <c r="AC19" s="266">
        <f>IFERROR(VLOOKUP($I$22&amp;D19,'Development-Hidden'!$C$2:$E$118,3,FALSE),"")</f>
        <v>40000</v>
      </c>
      <c r="AD19" s="398">
        <v>1</v>
      </c>
      <c r="AE19" s="398"/>
      <c r="AF19" s="398"/>
      <c r="AG19" s="398"/>
      <c r="AH19" s="398"/>
      <c r="AI19" s="398"/>
      <c r="AJ19" s="398"/>
      <c r="AK19" s="318"/>
      <c r="AL19" s="318"/>
      <c r="AM19" s="318"/>
      <c r="AN19" s="318"/>
      <c r="AO19" s="318"/>
      <c r="AP19" s="318"/>
      <c r="AQ19" s="318"/>
      <c r="AR19" s="318"/>
      <c r="AS19" s="318"/>
      <c r="AT19" s="318"/>
      <c r="AU19" s="318"/>
      <c r="AV19" s="318"/>
      <c r="AW19" s="440"/>
    </row>
    <row r="20" spans="1:49" ht="18" customHeight="1">
      <c r="A20" s="321"/>
      <c r="B20" s="399"/>
      <c r="C20" s="635"/>
      <c r="D20" s="573"/>
      <c r="E20" s="641"/>
      <c r="F20" s="587"/>
      <c r="G20" s="642"/>
      <c r="H20" s="588"/>
      <c r="I20" s="441"/>
      <c r="J20" s="652"/>
      <c r="K20" s="587"/>
      <c r="L20" s="401"/>
      <c r="M20" s="402"/>
      <c r="N20" s="402"/>
      <c r="O20" s="402"/>
      <c r="P20" s="402"/>
      <c r="Q20" s="402"/>
      <c r="R20" s="402"/>
      <c r="S20" s="402"/>
      <c r="T20" s="402"/>
      <c r="U20" s="403"/>
      <c r="V20" s="404"/>
      <c r="W20" s="402"/>
      <c r="X20" s="405" t="s">
        <v>364</v>
      </c>
      <c r="Y20" s="651"/>
      <c r="Z20" s="588"/>
      <c r="AA20" s="270">
        <f>SUM(AA4:AA19)</f>
        <v>1190000</v>
      </c>
      <c r="AB20" s="318"/>
      <c r="AC20" s="318"/>
      <c r="AD20" s="318"/>
      <c r="AE20" s="318"/>
      <c r="AF20" s="318"/>
      <c r="AG20" s="318"/>
      <c r="AH20" s="318"/>
      <c r="AI20" s="318"/>
      <c r="AJ20" s="318"/>
      <c r="AK20" s="318"/>
      <c r="AL20" s="406" t="s">
        <v>219</v>
      </c>
      <c r="AM20" s="187">
        <f>AM4+SUM(AM7:AM18)-SUM(AN7:AN18)-SUM(AO7:AO18)</f>
        <v>160000</v>
      </c>
      <c r="AN20" s="318"/>
      <c r="AO20" s="318"/>
      <c r="AP20" s="318"/>
      <c r="AS20" s="406" t="s">
        <v>219</v>
      </c>
      <c r="AT20" s="187">
        <f t="shared" ref="AT20:AU20" si="3">SUM(AT7:AT18)</f>
        <v>8</v>
      </c>
      <c r="AU20" s="407">
        <f t="shared" si="3"/>
        <v>17</v>
      </c>
      <c r="AV20" s="408">
        <f>AR4+SUM(AV7:AV18)</f>
        <v>5</v>
      </c>
      <c r="AW20" s="442"/>
    </row>
    <row r="21" spans="1:49" ht="17.25" customHeight="1">
      <c r="A21" s="321"/>
      <c r="B21" s="409"/>
      <c r="C21" s="574"/>
      <c r="D21" s="576"/>
      <c r="E21" s="643" t="s">
        <v>365</v>
      </c>
      <c r="F21" s="581"/>
      <c r="G21" s="581"/>
      <c r="H21" s="581"/>
      <c r="I21" s="609" t="s">
        <v>47</v>
      </c>
      <c r="J21" s="636"/>
      <c r="K21" s="637"/>
      <c r="L21" s="649" t="s">
        <v>366</v>
      </c>
      <c r="M21" s="636"/>
      <c r="N21" s="636"/>
      <c r="O21" s="636"/>
      <c r="P21" s="636"/>
      <c r="Q21" s="636"/>
      <c r="R21" s="636"/>
      <c r="S21" s="650"/>
      <c r="T21" s="410">
        <v>3</v>
      </c>
      <c r="U21" s="411" t="s">
        <v>220</v>
      </c>
      <c r="V21" s="648">
        <v>60000</v>
      </c>
      <c r="W21" s="636"/>
      <c r="X21" s="636"/>
      <c r="Y21" s="636"/>
      <c r="Z21" s="412" t="s">
        <v>406</v>
      </c>
      <c r="AA21" s="273">
        <f t="shared" ref="AA21:AA25" si="4">T21*V21</f>
        <v>180000</v>
      </c>
      <c r="AB21" s="318"/>
      <c r="AC21" s="318"/>
      <c r="AD21" s="318"/>
      <c r="AE21" s="318"/>
      <c r="AF21" s="318"/>
      <c r="AG21" s="318"/>
      <c r="AH21" s="318"/>
      <c r="AI21" s="318"/>
      <c r="AJ21" s="318"/>
      <c r="AK21" s="318"/>
      <c r="AL21" s="318"/>
      <c r="AM21" s="318"/>
      <c r="AN21" s="318"/>
      <c r="AO21" s="318"/>
      <c r="AP21" s="318"/>
      <c r="AS21" s="318"/>
      <c r="AT21" s="318"/>
      <c r="AU21" s="318"/>
      <c r="AV21" s="318"/>
      <c r="AW21" s="318"/>
    </row>
    <row r="22" spans="1:49" ht="17.25" customHeight="1">
      <c r="A22" s="321"/>
      <c r="B22" s="409"/>
      <c r="C22" s="574"/>
      <c r="D22" s="576"/>
      <c r="E22" s="621" t="s">
        <v>368</v>
      </c>
      <c r="F22" s="583"/>
      <c r="G22" s="583"/>
      <c r="H22" s="583"/>
      <c r="I22" s="638" t="s">
        <v>5</v>
      </c>
      <c r="J22" s="583"/>
      <c r="K22" s="597"/>
      <c r="L22" s="591" t="s">
        <v>369</v>
      </c>
      <c r="M22" s="583"/>
      <c r="N22" s="583"/>
      <c r="O22" s="583"/>
      <c r="P22" s="583"/>
      <c r="Q22" s="583"/>
      <c r="R22" s="583"/>
      <c r="S22" s="592"/>
      <c r="T22" s="274">
        <f>AV20</f>
        <v>5</v>
      </c>
      <c r="U22" s="413" t="s">
        <v>220</v>
      </c>
      <c r="V22" s="647">
        <v>10000</v>
      </c>
      <c r="W22" s="583"/>
      <c r="X22" s="583"/>
      <c r="Y22" s="583"/>
      <c r="Z22" s="414" t="s">
        <v>406</v>
      </c>
      <c r="AA22" s="276">
        <f t="shared" si="4"/>
        <v>50000</v>
      </c>
      <c r="AB22" s="318"/>
      <c r="AC22" s="318"/>
      <c r="AD22" s="318"/>
      <c r="AE22" s="353"/>
      <c r="AF22" s="318"/>
      <c r="AG22" s="318"/>
      <c r="AH22" s="318"/>
      <c r="AI22" s="318"/>
      <c r="AJ22" s="318"/>
      <c r="AK22" s="318"/>
      <c r="AL22" s="604" t="s">
        <v>367</v>
      </c>
      <c r="AM22" s="588"/>
      <c r="AN22" s="318"/>
      <c r="AO22" s="318"/>
      <c r="AP22" s="318"/>
      <c r="AS22" s="318"/>
      <c r="AT22" s="318"/>
      <c r="AU22" s="318"/>
      <c r="AV22" s="318"/>
      <c r="AW22" s="318"/>
    </row>
    <row r="23" spans="1:49" ht="17.25" customHeight="1">
      <c r="A23" s="321"/>
      <c r="B23" s="409"/>
      <c r="C23" s="574"/>
      <c r="D23" s="576"/>
      <c r="E23" s="621" t="s">
        <v>408</v>
      </c>
      <c r="F23" s="583"/>
      <c r="G23" s="583"/>
      <c r="H23" s="583"/>
      <c r="I23" s="639" t="s">
        <v>445</v>
      </c>
      <c r="J23" s="583"/>
      <c r="K23" s="597"/>
      <c r="L23" s="591" t="s">
        <v>409</v>
      </c>
      <c r="M23" s="583"/>
      <c r="N23" s="583"/>
      <c r="O23" s="583"/>
      <c r="P23" s="583"/>
      <c r="Q23" s="583"/>
      <c r="R23" s="583"/>
      <c r="S23" s="592"/>
      <c r="T23" s="274">
        <v>2</v>
      </c>
      <c r="U23" s="413" t="s">
        <v>220</v>
      </c>
      <c r="V23" s="647">
        <v>10000</v>
      </c>
      <c r="W23" s="583"/>
      <c r="X23" s="583"/>
      <c r="Y23" s="583"/>
      <c r="Z23" s="414" t="s">
        <v>406</v>
      </c>
      <c r="AA23" s="276">
        <f t="shared" si="4"/>
        <v>20000</v>
      </c>
      <c r="AB23" s="318"/>
      <c r="AC23" s="318"/>
      <c r="AD23" s="318"/>
      <c r="AE23" s="318"/>
      <c r="AF23" s="318"/>
      <c r="AG23" s="318"/>
      <c r="AH23" s="318"/>
      <c r="AI23" s="318"/>
      <c r="AJ23" s="318"/>
      <c r="AK23" s="318"/>
      <c r="AL23" s="277" t="s">
        <v>370</v>
      </c>
      <c r="AM23" s="278">
        <f>AM20</f>
        <v>160000</v>
      </c>
      <c r="AN23" s="318"/>
      <c r="AO23" s="318"/>
      <c r="AP23" s="318"/>
      <c r="AS23" s="318"/>
      <c r="AT23" s="318"/>
      <c r="AU23" s="318"/>
      <c r="AV23" s="318"/>
      <c r="AW23" s="318"/>
    </row>
    <row r="24" spans="1:49" ht="17.25" customHeight="1">
      <c r="A24" s="321"/>
      <c r="B24" s="409"/>
      <c r="C24" s="574"/>
      <c r="D24" s="576"/>
      <c r="E24" s="621" t="s">
        <v>373</v>
      </c>
      <c r="F24" s="583"/>
      <c r="G24" s="583"/>
      <c r="H24" s="583"/>
      <c r="I24" s="415">
        <f>(AA20+AA26)/1000</f>
        <v>1510</v>
      </c>
      <c r="J24" s="416" t="s">
        <v>410</v>
      </c>
      <c r="K24" s="417"/>
      <c r="L24" s="591" t="s">
        <v>375</v>
      </c>
      <c r="M24" s="583"/>
      <c r="N24" s="583"/>
      <c r="O24" s="583"/>
      <c r="P24" s="583"/>
      <c r="Q24" s="583"/>
      <c r="R24" s="583"/>
      <c r="S24" s="592"/>
      <c r="T24" s="274">
        <v>2</v>
      </c>
      <c r="U24" s="413" t="s">
        <v>220</v>
      </c>
      <c r="V24" s="647">
        <v>10000</v>
      </c>
      <c r="W24" s="583"/>
      <c r="X24" s="583"/>
      <c r="Y24" s="583"/>
      <c r="Z24" s="414" t="s">
        <v>406</v>
      </c>
      <c r="AA24" s="276">
        <f t="shared" si="4"/>
        <v>20000</v>
      </c>
      <c r="AB24" s="318"/>
      <c r="AC24" s="318"/>
      <c r="AD24" s="318"/>
      <c r="AE24" s="318"/>
      <c r="AF24" s="318"/>
      <c r="AG24" s="318"/>
      <c r="AH24" s="318"/>
      <c r="AI24" s="318"/>
      <c r="AJ24" s="318"/>
      <c r="AK24" s="318"/>
      <c r="AL24" s="279" t="s">
        <v>372</v>
      </c>
      <c r="AM24" s="280">
        <f>COUNTA(AR7:AR18)*10000</f>
        <v>70000</v>
      </c>
      <c r="AN24" s="318"/>
      <c r="AO24" s="318"/>
      <c r="AP24" s="318"/>
      <c r="AS24" s="318"/>
      <c r="AT24" s="318"/>
      <c r="AU24" s="318"/>
      <c r="AV24" s="318"/>
      <c r="AW24" s="318"/>
    </row>
    <row r="25" spans="1:49" ht="17.25" customHeight="1">
      <c r="A25" s="321"/>
      <c r="B25" s="409"/>
      <c r="C25" s="574"/>
      <c r="D25" s="576"/>
      <c r="E25" s="623" t="s">
        <v>376</v>
      </c>
      <c r="F25" s="594"/>
      <c r="G25" s="594"/>
      <c r="H25" s="596"/>
      <c r="I25" s="418">
        <f>AM20/1000</f>
        <v>160</v>
      </c>
      <c r="J25" s="419" t="s">
        <v>410</v>
      </c>
      <c r="K25" s="420"/>
      <c r="L25" s="593" t="s">
        <v>411</v>
      </c>
      <c r="M25" s="594"/>
      <c r="N25" s="594"/>
      <c r="O25" s="594"/>
      <c r="P25" s="594"/>
      <c r="Q25" s="594"/>
      <c r="R25" s="594"/>
      <c r="S25" s="594"/>
      <c r="T25" s="281">
        <v>1</v>
      </c>
      <c r="U25" s="413" t="s">
        <v>220</v>
      </c>
      <c r="V25" s="645">
        <v>50000</v>
      </c>
      <c r="W25" s="594"/>
      <c r="X25" s="594"/>
      <c r="Y25" s="594"/>
      <c r="Z25" s="414" t="s">
        <v>406</v>
      </c>
      <c r="AA25" s="276">
        <f t="shared" si="4"/>
        <v>50000</v>
      </c>
      <c r="AB25" s="318"/>
      <c r="AC25" s="318"/>
      <c r="AD25" s="318"/>
      <c r="AE25" s="318"/>
      <c r="AF25" s="318"/>
      <c r="AG25" s="318"/>
      <c r="AH25" s="318"/>
      <c r="AI25" s="318"/>
      <c r="AJ25" s="318"/>
      <c r="AK25" s="318"/>
      <c r="AL25" s="279" t="s">
        <v>33</v>
      </c>
      <c r="AM25" s="280">
        <f>AT20*5000</f>
        <v>40000</v>
      </c>
      <c r="AN25" s="318"/>
      <c r="AO25" s="318"/>
      <c r="AP25" s="318"/>
      <c r="AS25" s="318"/>
      <c r="AT25" s="318"/>
      <c r="AU25" s="318"/>
      <c r="AV25" s="318"/>
      <c r="AW25" s="318"/>
    </row>
    <row r="26" spans="1:49" ht="17.25" customHeight="1">
      <c r="A26" s="321"/>
      <c r="B26" s="421"/>
      <c r="C26" s="577"/>
      <c r="D26" s="579"/>
      <c r="E26" s="422" t="s">
        <v>412</v>
      </c>
      <c r="F26" s="423"/>
      <c r="G26" s="423"/>
      <c r="H26" s="423"/>
      <c r="I26" s="424" t="s">
        <v>413</v>
      </c>
      <c r="J26" s="425" t="str">
        <f>HYPERLINK("http://www.arosbb.dk/","www.arosbb.dk")</f>
        <v>www.arosbb.dk</v>
      </c>
      <c r="K26" s="423"/>
      <c r="L26" s="644"/>
      <c r="M26" s="587"/>
      <c r="N26" s="587"/>
      <c r="O26" s="587"/>
      <c r="P26" s="587"/>
      <c r="Q26" s="587"/>
      <c r="R26" s="587"/>
      <c r="S26" s="587"/>
      <c r="T26" s="426"/>
      <c r="U26" s="403"/>
      <c r="V26" s="427"/>
      <c r="W26" s="646" t="s">
        <v>379</v>
      </c>
      <c r="X26" s="587"/>
      <c r="Y26" s="587"/>
      <c r="Z26" s="588"/>
      <c r="AA26" s="270">
        <f>SUM(AA21:AA25)</f>
        <v>320000</v>
      </c>
      <c r="AB26" s="318"/>
      <c r="AC26" s="353"/>
      <c r="AD26" s="318"/>
      <c r="AE26" s="318"/>
      <c r="AF26" s="318"/>
      <c r="AG26" s="318"/>
      <c r="AH26" s="318"/>
      <c r="AI26" s="318"/>
      <c r="AJ26" s="318"/>
      <c r="AK26" s="318"/>
      <c r="AL26" s="282" t="s">
        <v>34</v>
      </c>
      <c r="AM26" s="283">
        <f>AU20*5000</f>
        <v>85000</v>
      </c>
      <c r="AN26" s="318"/>
      <c r="AO26" s="318"/>
      <c r="AP26" s="318"/>
      <c r="AS26" s="318"/>
      <c r="AT26" s="318"/>
      <c r="AU26" s="318"/>
      <c r="AV26" s="318"/>
      <c r="AW26" s="318"/>
    </row>
    <row r="27" spans="1:49" ht="17.25" customHeight="1">
      <c r="A27" s="318"/>
      <c r="B27" s="140"/>
      <c r="C27" s="286"/>
      <c r="D27" s="286"/>
      <c r="E27" s="428"/>
      <c r="F27" s="136"/>
      <c r="G27" s="136"/>
      <c r="H27" s="136"/>
      <c r="I27" s="429"/>
      <c r="J27" s="430"/>
      <c r="K27" s="136"/>
      <c r="L27" s="290"/>
      <c r="M27" s="290"/>
      <c r="N27" s="290"/>
      <c r="O27" s="290"/>
      <c r="P27" s="290"/>
      <c r="Q27" s="290"/>
      <c r="R27" s="290"/>
      <c r="S27" s="290"/>
      <c r="T27" s="291"/>
      <c r="U27" s="292"/>
      <c r="V27" s="143"/>
      <c r="W27" s="293"/>
      <c r="X27" s="293"/>
      <c r="Y27" s="293"/>
      <c r="Z27" s="293"/>
      <c r="AA27" s="294"/>
      <c r="AB27" s="318"/>
      <c r="AC27" s="318"/>
      <c r="AD27" s="318"/>
      <c r="AE27" s="318"/>
      <c r="AF27" s="318"/>
      <c r="AG27" s="318"/>
      <c r="AH27" s="318"/>
      <c r="AI27" s="318"/>
      <c r="AJ27" s="318"/>
      <c r="AK27" s="318"/>
      <c r="AL27" s="284" t="s">
        <v>219</v>
      </c>
      <c r="AM27" s="285">
        <f>SUM(AM23:AM26)</f>
        <v>355000</v>
      </c>
      <c r="AN27" s="318"/>
      <c r="AO27" s="318"/>
      <c r="AP27" s="318"/>
      <c r="AQ27" s="318"/>
      <c r="AR27" s="318"/>
      <c r="AS27" s="318"/>
      <c r="AT27" s="318"/>
      <c r="AU27" s="318"/>
      <c r="AV27" s="318"/>
      <c r="AW27" s="318"/>
    </row>
    <row r="28" spans="1:49" ht="17.25" hidden="1" customHeight="1">
      <c r="A28" s="431"/>
      <c r="B28" s="296"/>
      <c r="C28" s="432">
        <f>MATCH(I22,'Development-Hidden'!A2:A118,0)</f>
        <v>81</v>
      </c>
      <c r="D28" s="432" t="str">
        <f t="array" ref="D28">IFERROR(IF(INDEX('Development-Hidden'!$A$2:$B$118,$C28,1)=$I$22,INDEX('Development-Hidden'!$A$2:$B$118,$C28,2),""),"")</f>
        <v>Lineman</v>
      </c>
      <c r="E28" s="433"/>
      <c r="F28" s="433"/>
      <c r="G28" s="433"/>
      <c r="H28" s="433"/>
      <c r="I28" s="433"/>
      <c r="J28" s="434"/>
      <c r="K28" s="295"/>
      <c r="L28" s="300"/>
      <c r="M28" s="300"/>
      <c r="N28" s="300"/>
      <c r="O28" s="300"/>
      <c r="P28" s="300"/>
      <c r="Q28" s="300"/>
      <c r="R28" s="300"/>
      <c r="S28" s="300"/>
      <c r="T28" s="301"/>
      <c r="U28" s="302"/>
      <c r="V28" s="301"/>
      <c r="W28" s="303"/>
      <c r="X28" s="303"/>
      <c r="Y28" s="303"/>
      <c r="Z28" s="303"/>
      <c r="AA28" s="433"/>
      <c r="AB28" s="431"/>
      <c r="AC28" s="431"/>
      <c r="AD28" s="431"/>
      <c r="AE28" s="431"/>
      <c r="AF28" s="431"/>
      <c r="AG28" s="431"/>
      <c r="AH28" s="431"/>
      <c r="AI28" s="431"/>
      <c r="AJ28" s="431"/>
      <c r="AK28" s="431"/>
      <c r="AL28" s="431"/>
      <c r="AM28" s="431"/>
      <c r="AN28" s="431"/>
      <c r="AO28" s="431"/>
      <c r="AP28" s="431"/>
      <c r="AQ28" s="431"/>
      <c r="AR28" s="431"/>
      <c r="AS28" s="431"/>
      <c r="AT28" s="431"/>
      <c r="AU28" s="431"/>
      <c r="AV28" s="431"/>
      <c r="AW28" s="431"/>
    </row>
    <row r="29" spans="1:49" ht="17.25" hidden="1" customHeight="1">
      <c r="A29" s="431"/>
      <c r="B29" s="296"/>
      <c r="C29" s="432">
        <f t="shared" ref="C29:C37" si="5">C28+1</f>
        <v>82</v>
      </c>
      <c r="D29" s="432" t="str">
        <f t="array" ref="D29">IFERROR(IF(INDEX('Development-Hidden'!$A$2:$B$118,$C29,1)=$I$22,INDEX('Development-Hidden'!$A$2:$B$118,$C29,2),""),"")</f>
        <v>Goblin</v>
      </c>
      <c r="E29" s="433"/>
      <c r="F29" s="433"/>
      <c r="G29" s="433"/>
      <c r="H29" s="433"/>
      <c r="I29" s="433"/>
      <c r="J29" s="434"/>
      <c r="K29" s="295"/>
      <c r="L29" s="300"/>
      <c r="M29" s="300"/>
      <c r="N29" s="300"/>
      <c r="O29" s="300"/>
      <c r="P29" s="300"/>
      <c r="Q29" s="300"/>
      <c r="R29" s="300"/>
      <c r="S29" s="300"/>
      <c r="T29" s="301"/>
      <c r="U29" s="302"/>
      <c r="V29" s="301"/>
      <c r="W29" s="303"/>
      <c r="X29" s="303"/>
      <c r="Y29" s="303"/>
      <c r="Z29" s="303"/>
      <c r="AA29" s="433"/>
      <c r="AB29" s="431"/>
      <c r="AC29" s="431"/>
      <c r="AD29" s="431"/>
      <c r="AE29" s="431"/>
      <c r="AF29" s="431"/>
      <c r="AG29" s="431"/>
      <c r="AH29" s="431"/>
      <c r="AI29" s="431"/>
      <c r="AJ29" s="431"/>
      <c r="AK29" s="431"/>
      <c r="AL29" s="431"/>
      <c r="AM29" s="431"/>
      <c r="AN29" s="431"/>
      <c r="AO29" s="431"/>
      <c r="AP29" s="431"/>
      <c r="AQ29" s="431"/>
      <c r="AR29" s="431"/>
      <c r="AS29" s="431"/>
      <c r="AT29" s="431"/>
      <c r="AU29" s="431"/>
      <c r="AV29" s="431"/>
      <c r="AW29" s="431"/>
    </row>
    <row r="30" spans="1:49" ht="17.25" hidden="1" customHeight="1">
      <c r="A30" s="431"/>
      <c r="B30" s="296"/>
      <c r="C30" s="432">
        <f t="shared" si="5"/>
        <v>83</v>
      </c>
      <c r="D30" s="432" t="str">
        <f t="array" ref="D30">IFERROR(IF(INDEX('Development-Hidden'!$A$2:$B$118,$C30,1)=$I$22,INDEX('Development-Hidden'!$A$2:$B$118,$C30,2),""),"")</f>
        <v>Thrower</v>
      </c>
      <c r="E30" s="433"/>
      <c r="F30" s="433"/>
      <c r="G30" s="433"/>
      <c r="H30" s="433"/>
      <c r="I30" s="433"/>
      <c r="J30" s="434"/>
      <c r="K30" s="295"/>
      <c r="L30" s="300"/>
      <c r="M30" s="300"/>
      <c r="N30" s="300"/>
      <c r="O30" s="300"/>
      <c r="P30" s="300"/>
      <c r="Q30" s="300"/>
      <c r="R30" s="300"/>
      <c r="S30" s="300"/>
      <c r="T30" s="301"/>
      <c r="U30" s="302"/>
      <c r="V30" s="301"/>
      <c r="W30" s="303"/>
      <c r="X30" s="303"/>
      <c r="Y30" s="303"/>
      <c r="Z30" s="303"/>
      <c r="AA30" s="433"/>
      <c r="AB30" s="431"/>
      <c r="AC30" s="431"/>
      <c r="AD30" s="431"/>
      <c r="AE30" s="431"/>
      <c r="AF30" s="431"/>
      <c r="AG30" s="431"/>
      <c r="AH30" s="431"/>
      <c r="AI30" s="431"/>
      <c r="AJ30" s="431"/>
      <c r="AK30" s="431"/>
      <c r="AL30" s="431"/>
      <c r="AM30" s="431"/>
      <c r="AN30" s="431"/>
      <c r="AO30" s="431"/>
      <c r="AP30" s="431"/>
      <c r="AQ30" s="431"/>
      <c r="AR30" s="431"/>
      <c r="AS30" s="431"/>
      <c r="AT30" s="431"/>
      <c r="AU30" s="431"/>
      <c r="AV30" s="431"/>
      <c r="AW30" s="431"/>
    </row>
    <row r="31" spans="1:49" ht="17.25" hidden="1" customHeight="1">
      <c r="A31" s="431"/>
      <c r="B31" s="296"/>
      <c r="C31" s="432">
        <f t="shared" si="5"/>
        <v>84</v>
      </c>
      <c r="D31" s="432" t="str">
        <f t="array" ref="D31">IFERROR(IF(INDEX('Development-Hidden'!$A$2:$B$118,$C31,1)=$I$22,INDEX('Development-Hidden'!$A$2:$B$118,$C31,2),""),"")</f>
        <v>Black Orc Blocker</v>
      </c>
      <c r="E31" s="433"/>
      <c r="F31" s="433"/>
      <c r="G31" s="433"/>
      <c r="H31" s="433"/>
      <c r="I31" s="433"/>
      <c r="J31" s="434"/>
      <c r="K31" s="295"/>
      <c r="L31" s="300"/>
      <c r="M31" s="300"/>
      <c r="N31" s="300"/>
      <c r="O31" s="300"/>
      <c r="P31" s="300"/>
      <c r="Q31" s="300"/>
      <c r="R31" s="300"/>
      <c r="S31" s="300"/>
      <c r="T31" s="301"/>
      <c r="U31" s="302"/>
      <c r="V31" s="301"/>
      <c r="W31" s="303"/>
      <c r="X31" s="303"/>
      <c r="Y31" s="303"/>
      <c r="Z31" s="303"/>
      <c r="AA31" s="433"/>
      <c r="AB31" s="431"/>
      <c r="AC31" s="431"/>
      <c r="AD31" s="431"/>
      <c r="AE31" s="431"/>
      <c r="AF31" s="431"/>
      <c r="AG31" s="431"/>
      <c r="AH31" s="431"/>
      <c r="AI31" s="431"/>
      <c r="AJ31" s="431"/>
      <c r="AK31" s="431"/>
      <c r="AL31" s="431"/>
      <c r="AM31" s="431"/>
      <c r="AN31" s="431"/>
      <c r="AO31" s="431"/>
      <c r="AP31" s="431"/>
      <c r="AQ31" s="431"/>
      <c r="AR31" s="431"/>
      <c r="AS31" s="431"/>
      <c r="AT31" s="431"/>
      <c r="AU31" s="431"/>
      <c r="AV31" s="431"/>
      <c r="AW31" s="431"/>
    </row>
    <row r="32" spans="1:49" ht="17.25" hidden="1" customHeight="1">
      <c r="A32" s="431"/>
      <c r="B32" s="296"/>
      <c r="C32" s="432">
        <f t="shared" si="5"/>
        <v>85</v>
      </c>
      <c r="D32" s="432" t="str">
        <f t="array" ref="D32">IFERROR(IF(INDEX('Development-Hidden'!$A$2:$B$118,$C32,1)=$I$22,INDEX('Development-Hidden'!$A$2:$B$118,$C32,2),""),"")</f>
        <v>Blitzer</v>
      </c>
      <c r="E32" s="433"/>
      <c r="F32" s="433"/>
      <c r="G32" s="433"/>
      <c r="H32" s="433"/>
      <c r="I32" s="433"/>
      <c r="J32" s="434"/>
      <c r="K32" s="295"/>
      <c r="L32" s="300"/>
      <c r="M32" s="300"/>
      <c r="N32" s="300"/>
      <c r="O32" s="300"/>
      <c r="P32" s="300"/>
      <c r="Q32" s="300"/>
      <c r="R32" s="300"/>
      <c r="S32" s="300"/>
      <c r="T32" s="301"/>
      <c r="U32" s="302"/>
      <c r="V32" s="301"/>
      <c r="W32" s="303"/>
      <c r="X32" s="303"/>
      <c r="Y32" s="303"/>
      <c r="Z32" s="303"/>
      <c r="AA32" s="433"/>
      <c r="AB32" s="431"/>
      <c r="AC32" s="431"/>
      <c r="AD32" s="431"/>
      <c r="AE32" s="431"/>
      <c r="AF32" s="431"/>
      <c r="AG32" s="431"/>
      <c r="AH32" s="431"/>
      <c r="AI32" s="431"/>
      <c r="AJ32" s="431"/>
      <c r="AK32" s="431"/>
      <c r="AL32" s="431"/>
      <c r="AM32" s="431"/>
      <c r="AN32" s="431"/>
      <c r="AO32" s="431"/>
      <c r="AP32" s="431"/>
      <c r="AQ32" s="431"/>
      <c r="AR32" s="431"/>
      <c r="AS32" s="431"/>
      <c r="AT32" s="431"/>
      <c r="AU32" s="431"/>
      <c r="AV32" s="431"/>
      <c r="AW32" s="431"/>
    </row>
    <row r="33" spans="1:49" ht="17.25" hidden="1" customHeight="1">
      <c r="A33" s="431"/>
      <c r="B33" s="296"/>
      <c r="C33" s="432">
        <f t="shared" si="5"/>
        <v>86</v>
      </c>
      <c r="D33" s="432" t="str">
        <f t="array" ref="D33">IFERROR(IF(INDEX('Development-Hidden'!$A$2:$B$118,$C33,1)=$I$22,INDEX('Development-Hidden'!$A$2:$B$118,$C33,2),""),"")</f>
        <v>Troll</v>
      </c>
      <c r="E33" s="433"/>
      <c r="F33" s="433"/>
      <c r="G33" s="433"/>
      <c r="H33" s="433"/>
      <c r="I33" s="433"/>
      <c r="J33" s="434"/>
      <c r="K33" s="295"/>
      <c r="L33" s="300"/>
      <c r="M33" s="300"/>
      <c r="N33" s="300"/>
      <c r="O33" s="300"/>
      <c r="P33" s="300"/>
      <c r="Q33" s="300"/>
      <c r="R33" s="300"/>
      <c r="S33" s="300"/>
      <c r="T33" s="301"/>
      <c r="U33" s="302"/>
      <c r="V33" s="301"/>
      <c r="W33" s="303"/>
      <c r="X33" s="303"/>
      <c r="Y33" s="303"/>
      <c r="Z33" s="303"/>
      <c r="AA33" s="433"/>
      <c r="AB33" s="431"/>
      <c r="AC33" s="431"/>
      <c r="AD33" s="431"/>
      <c r="AE33" s="431"/>
      <c r="AF33" s="431"/>
      <c r="AG33" s="431"/>
      <c r="AH33" s="431"/>
      <c r="AI33" s="431"/>
      <c r="AJ33" s="431"/>
      <c r="AK33" s="431"/>
      <c r="AL33" s="431"/>
      <c r="AM33" s="431"/>
      <c r="AN33" s="431"/>
      <c r="AO33" s="431"/>
      <c r="AP33" s="431"/>
      <c r="AQ33" s="431"/>
      <c r="AR33" s="431"/>
      <c r="AS33" s="431"/>
      <c r="AT33" s="431"/>
      <c r="AU33" s="431"/>
      <c r="AV33" s="431"/>
      <c r="AW33" s="431"/>
    </row>
    <row r="34" spans="1:49" ht="17.25" hidden="1" customHeight="1">
      <c r="A34" s="431"/>
      <c r="B34" s="296"/>
      <c r="C34" s="432">
        <f t="shared" si="5"/>
        <v>87</v>
      </c>
      <c r="D34" s="432" t="str">
        <f t="array" ref="D34">IFERROR(IF(INDEX('Development-Hidden'!$A$2:$B$118,$C34,1)=$I$22,INDEX('Development-Hidden'!$A$2:$B$118,$C34,2),""),"")</f>
        <v/>
      </c>
      <c r="E34" s="433"/>
      <c r="F34" s="433"/>
      <c r="G34" s="433"/>
      <c r="H34" s="433"/>
      <c r="I34" s="433"/>
      <c r="J34" s="434"/>
      <c r="K34" s="295"/>
      <c r="L34" s="300"/>
      <c r="M34" s="300"/>
      <c r="N34" s="300"/>
      <c r="O34" s="300"/>
      <c r="P34" s="300"/>
      <c r="Q34" s="300"/>
      <c r="R34" s="300"/>
      <c r="S34" s="300"/>
      <c r="T34" s="301"/>
      <c r="U34" s="302"/>
      <c r="V34" s="301"/>
      <c r="W34" s="303"/>
      <c r="X34" s="303"/>
      <c r="Y34" s="303"/>
      <c r="Z34" s="303"/>
      <c r="AA34" s="433"/>
      <c r="AB34" s="431"/>
      <c r="AC34" s="431"/>
      <c r="AD34" s="431"/>
      <c r="AE34" s="431"/>
      <c r="AF34" s="431"/>
      <c r="AG34" s="431"/>
      <c r="AH34" s="431"/>
      <c r="AI34" s="431"/>
      <c r="AJ34" s="431"/>
      <c r="AK34" s="431"/>
      <c r="AL34" s="431"/>
      <c r="AM34" s="431"/>
      <c r="AN34" s="431"/>
      <c r="AO34" s="431"/>
      <c r="AP34" s="431"/>
      <c r="AQ34" s="431"/>
      <c r="AR34" s="431"/>
      <c r="AS34" s="431"/>
      <c r="AT34" s="431"/>
      <c r="AU34" s="431"/>
      <c r="AV34" s="431"/>
      <c r="AW34" s="431"/>
    </row>
    <row r="35" spans="1:49" ht="17.25" hidden="1" customHeight="1">
      <c r="A35" s="431"/>
      <c r="B35" s="296"/>
      <c r="C35" s="432">
        <f t="shared" si="5"/>
        <v>88</v>
      </c>
      <c r="D35" s="432" t="str">
        <f t="array" ref="D35">IFERROR(IF(INDEX('Development-Hidden'!$A$2:$B$118,$C35,1)=$I$22,INDEX('Development-Hidden'!$A$2:$B$118,$C35,2),""),"")</f>
        <v/>
      </c>
      <c r="E35" s="433"/>
      <c r="F35" s="433"/>
      <c r="G35" s="433"/>
      <c r="H35" s="433"/>
      <c r="I35" s="433"/>
      <c r="J35" s="434"/>
      <c r="K35" s="295"/>
      <c r="L35" s="300"/>
      <c r="M35" s="300"/>
      <c r="N35" s="300"/>
      <c r="O35" s="300"/>
      <c r="P35" s="300"/>
      <c r="Q35" s="300"/>
      <c r="R35" s="300"/>
      <c r="S35" s="300"/>
      <c r="T35" s="301"/>
      <c r="U35" s="302"/>
      <c r="V35" s="301"/>
      <c r="W35" s="303"/>
      <c r="X35" s="303"/>
      <c r="Y35" s="303"/>
      <c r="Z35" s="303"/>
      <c r="AA35" s="433"/>
      <c r="AB35" s="431"/>
      <c r="AC35" s="431"/>
      <c r="AD35" s="431"/>
      <c r="AE35" s="431"/>
      <c r="AF35" s="431"/>
      <c r="AG35" s="431"/>
      <c r="AH35" s="431"/>
      <c r="AI35" s="431"/>
      <c r="AJ35" s="431"/>
      <c r="AK35" s="431"/>
      <c r="AL35" s="431"/>
      <c r="AM35" s="431"/>
      <c r="AN35" s="431"/>
      <c r="AO35" s="431"/>
      <c r="AP35" s="431"/>
      <c r="AQ35" s="431"/>
      <c r="AR35" s="431"/>
      <c r="AS35" s="431"/>
      <c r="AT35" s="431"/>
      <c r="AU35" s="431"/>
      <c r="AV35" s="431"/>
      <c r="AW35" s="431"/>
    </row>
    <row r="36" spans="1:49" ht="17.25" hidden="1" customHeight="1">
      <c r="A36" s="431"/>
      <c r="B36" s="296"/>
      <c r="C36" s="432">
        <f t="shared" si="5"/>
        <v>89</v>
      </c>
      <c r="D36" s="432" t="str">
        <f t="array" ref="D36">IFERROR(IF(INDEX('Development-Hidden'!$A$2:$B$118,$C36,1)=$I$22,INDEX('Development-Hidden'!$A$2:$B$118,$C36,2),""),"")</f>
        <v/>
      </c>
      <c r="E36" s="433"/>
      <c r="F36" s="433"/>
      <c r="G36" s="433"/>
      <c r="H36" s="433"/>
      <c r="I36" s="433"/>
      <c r="J36" s="434"/>
      <c r="K36" s="295"/>
      <c r="L36" s="300"/>
      <c r="M36" s="300"/>
      <c r="N36" s="300"/>
      <c r="O36" s="300"/>
      <c r="P36" s="300"/>
      <c r="Q36" s="300"/>
      <c r="R36" s="300"/>
      <c r="S36" s="300"/>
      <c r="T36" s="301"/>
      <c r="U36" s="302"/>
      <c r="V36" s="301"/>
      <c r="W36" s="303"/>
      <c r="X36" s="303"/>
      <c r="Y36" s="303"/>
      <c r="Z36" s="303"/>
      <c r="AA36" s="433"/>
      <c r="AB36" s="431"/>
      <c r="AC36" s="431"/>
      <c r="AD36" s="431"/>
      <c r="AE36" s="431"/>
      <c r="AF36" s="431"/>
      <c r="AG36" s="431"/>
      <c r="AH36" s="431"/>
      <c r="AI36" s="431"/>
      <c r="AJ36" s="431"/>
      <c r="AK36" s="431"/>
      <c r="AL36" s="431"/>
      <c r="AM36" s="431"/>
      <c r="AN36" s="431"/>
      <c r="AO36" s="431"/>
      <c r="AP36" s="431"/>
      <c r="AQ36" s="431"/>
      <c r="AR36" s="431"/>
      <c r="AS36" s="431"/>
      <c r="AT36" s="431"/>
      <c r="AU36" s="431"/>
      <c r="AV36" s="431"/>
      <c r="AW36" s="431"/>
    </row>
    <row r="37" spans="1:49" ht="17.25" hidden="1" customHeight="1">
      <c r="A37" s="431"/>
      <c r="B37" s="296"/>
      <c r="C37" s="432">
        <f t="shared" si="5"/>
        <v>90</v>
      </c>
      <c r="D37" s="432" t="str">
        <f t="array" ref="D37">IFERROR(IF(INDEX('Development-Hidden'!$A$2:$B$118,$C37,1)=$I$22,INDEX('Development-Hidden'!$A$2:$B$118,$C37,2),""),"")</f>
        <v/>
      </c>
      <c r="E37" s="433"/>
      <c r="F37" s="433"/>
      <c r="G37" s="433"/>
      <c r="H37" s="433"/>
      <c r="I37" s="433"/>
      <c r="J37" s="434"/>
      <c r="K37" s="295"/>
      <c r="L37" s="300"/>
      <c r="M37" s="300"/>
      <c r="N37" s="300"/>
      <c r="O37" s="300"/>
      <c r="P37" s="300"/>
      <c r="Q37" s="300"/>
      <c r="R37" s="300"/>
      <c r="S37" s="300"/>
      <c r="T37" s="301"/>
      <c r="U37" s="302"/>
      <c r="V37" s="301"/>
      <c r="W37" s="303"/>
      <c r="X37" s="303"/>
      <c r="Y37" s="303"/>
      <c r="Z37" s="303"/>
      <c r="AA37" s="433"/>
      <c r="AB37" s="431"/>
      <c r="AC37" s="431"/>
      <c r="AD37" s="431"/>
      <c r="AE37" s="431"/>
      <c r="AF37" s="431"/>
      <c r="AG37" s="431"/>
      <c r="AH37" s="431"/>
      <c r="AI37" s="431"/>
      <c r="AJ37" s="431"/>
      <c r="AK37" s="431"/>
      <c r="AL37" s="431"/>
      <c r="AM37" s="431"/>
      <c r="AN37" s="431"/>
      <c r="AO37" s="431"/>
      <c r="AP37" s="431"/>
      <c r="AQ37" s="431"/>
      <c r="AR37" s="431"/>
      <c r="AS37" s="431"/>
      <c r="AT37" s="431"/>
      <c r="AU37" s="431"/>
      <c r="AV37" s="431"/>
      <c r="AW37" s="431"/>
    </row>
  </sheetData>
  <mergeCells count="29">
    <mergeCell ref="AM3:AN3"/>
    <mergeCell ref="AR3:AU3"/>
    <mergeCell ref="P2:S2"/>
    <mergeCell ref="Y20:Z20"/>
    <mergeCell ref="L22:S22"/>
    <mergeCell ref="L21:S21"/>
    <mergeCell ref="V22:Y22"/>
    <mergeCell ref="V21:Y21"/>
    <mergeCell ref="AL22:AM22"/>
    <mergeCell ref="L26:S26"/>
    <mergeCell ref="L25:S25"/>
    <mergeCell ref="W26:Z26"/>
    <mergeCell ref="V24:Y24"/>
    <mergeCell ref="V23:Y23"/>
    <mergeCell ref="V25:Y25"/>
    <mergeCell ref="L24:S24"/>
    <mergeCell ref="L23:S23"/>
    <mergeCell ref="C20:D26"/>
    <mergeCell ref="G20:H20"/>
    <mergeCell ref="J20:K20"/>
    <mergeCell ref="E20:F20"/>
    <mergeCell ref="E24:H24"/>
    <mergeCell ref="E25:H25"/>
    <mergeCell ref="I22:K22"/>
    <mergeCell ref="I21:K21"/>
    <mergeCell ref="E23:H23"/>
    <mergeCell ref="I23:K23"/>
    <mergeCell ref="E21:H21"/>
    <mergeCell ref="E22:H22"/>
  </mergeCells>
  <conditionalFormatting sqref="AA4:AA19">
    <cfRule type="cellIs" dxfId="429" priority="1" operator="equal">
      <formula>0</formula>
    </cfRule>
  </conditionalFormatting>
  <conditionalFormatting sqref="J4">
    <cfRule type="expression" dxfId="428" priority="2">
      <formula>K4&lt;&gt;SUM(AD4:AI4)</formula>
    </cfRule>
  </conditionalFormatting>
  <conditionalFormatting sqref="I4:I19">
    <cfRule type="cellIs" dxfId="427" priority="3" stopIfTrue="1" operator="equal">
      <formula>"Player type quantity surpassed"</formula>
    </cfRule>
  </conditionalFormatting>
  <conditionalFormatting sqref="J5">
    <cfRule type="expression" dxfId="426" priority="4">
      <formula>K5&lt;&gt;SUM(AD5:AI5)</formula>
    </cfRule>
  </conditionalFormatting>
  <conditionalFormatting sqref="J6">
    <cfRule type="expression" dxfId="425" priority="5">
      <formula>K6&lt;&gt;SUM(AD6:AI6)</formula>
    </cfRule>
  </conditionalFormatting>
  <conditionalFormatting sqref="J7">
    <cfRule type="expression" dxfId="424" priority="6">
      <formula>K7&lt;&gt;SUM(AD7:AI7)</formula>
    </cfRule>
  </conditionalFormatting>
  <conditionalFormatting sqref="J8">
    <cfRule type="expression" dxfId="423" priority="7">
      <formula>K8&lt;&gt;SUM(AD8:AI8)</formula>
    </cfRule>
  </conditionalFormatting>
  <conditionalFormatting sqref="J9">
    <cfRule type="expression" dxfId="422" priority="8">
      <formula>K9&lt;&gt;SUM(AD9:AI9)</formula>
    </cfRule>
  </conditionalFormatting>
  <conditionalFormatting sqref="J10">
    <cfRule type="expression" dxfId="421" priority="9">
      <formula>K10&lt;&gt;SUM(AD10:AI10)</formula>
    </cfRule>
  </conditionalFormatting>
  <conditionalFormatting sqref="J11">
    <cfRule type="expression" dxfId="420" priority="10">
      <formula>K11&lt;&gt;SUM(AD11:AI11)</formula>
    </cfRule>
  </conditionalFormatting>
  <conditionalFormatting sqref="J12">
    <cfRule type="expression" dxfId="419" priority="11">
      <formula>K12&lt;&gt;SUM(AD12:AI12)</formula>
    </cfRule>
  </conditionalFormatting>
  <conditionalFormatting sqref="J13">
    <cfRule type="expression" dxfId="418" priority="12">
      <formula>K13&lt;&gt;SUM(AD13:AI13)</formula>
    </cfRule>
  </conditionalFormatting>
  <conditionalFormatting sqref="J14">
    <cfRule type="expression" dxfId="417" priority="13">
      <formula>K14&lt;&gt;SUM(AD14:AI14)</formula>
    </cfRule>
  </conditionalFormatting>
  <conditionalFormatting sqref="J15">
    <cfRule type="expression" dxfId="416" priority="14">
      <formula>K15&lt;&gt;SUM(AD15:AI15)</formula>
    </cfRule>
  </conditionalFormatting>
  <conditionalFormatting sqref="J16">
    <cfRule type="expression" dxfId="415" priority="15">
      <formula>K16&lt;&gt;SUM(AD16:AI16)</formula>
    </cfRule>
  </conditionalFormatting>
  <conditionalFormatting sqref="J17">
    <cfRule type="expression" dxfId="414" priority="16">
      <formula>K17&lt;&gt;SUM(AD17:AI17)</formula>
    </cfRule>
  </conditionalFormatting>
  <conditionalFormatting sqref="J18">
    <cfRule type="expression" dxfId="413" priority="17">
      <formula>K18&lt;&gt;SUM(AD18:AI18)</formula>
    </cfRule>
  </conditionalFormatting>
  <conditionalFormatting sqref="J19">
    <cfRule type="expression" dxfId="412" priority="18">
      <formula>K19&lt;&gt;SUM(AD19:AI19)</formula>
    </cfRule>
  </conditionalFormatting>
  <conditionalFormatting sqref="E4:H19">
    <cfRule type="expression" dxfId="411" priority="19">
      <formula>AF4&gt;0</formula>
    </cfRule>
  </conditionalFormatting>
  <conditionalFormatting sqref="E4:H19">
    <cfRule type="expression" dxfId="410" priority="20">
      <formula>P4&gt;0</formula>
    </cfRule>
  </conditionalFormatting>
  <conditionalFormatting sqref="I4:I19 T4:T19 U4:U20 V4:W19 Y4:Y19 U26:U37">
    <cfRule type="cellIs" dxfId="409" priority="21" stopIfTrue="1" operator="equal">
      <formula>0</formula>
    </cfRule>
  </conditionalFormatting>
  <conditionalFormatting sqref="Y27:Y37 AA27">
    <cfRule type="cellIs" dxfId="408" priority="22" stopIfTrue="1" operator="equal">
      <formula>"0,0"</formula>
    </cfRule>
  </conditionalFormatting>
  <conditionalFormatting sqref="K4:K19">
    <cfRule type="cellIs" dxfId="407" priority="23" stopIfTrue="1" operator="equal">
      <formula>"n/a"</formula>
    </cfRule>
  </conditionalFormatting>
  <conditionalFormatting sqref="L20:T20">
    <cfRule type="cellIs" dxfId="406" priority="24" stopIfTrue="1" operator="equal">
      <formula>0</formula>
    </cfRule>
  </conditionalFormatting>
  <conditionalFormatting sqref="P4:S19">
    <cfRule type="cellIs" dxfId="405" priority="25" stopIfTrue="1" operator="lessThanOrEqual">
      <formula>-1</formula>
    </cfRule>
  </conditionalFormatting>
  <conditionalFormatting sqref="V25:W25">
    <cfRule type="cellIs" dxfId="404" priority="26" stopIfTrue="1" operator="equal">
      <formula>-500</formula>
    </cfRule>
  </conditionalFormatting>
  <conditionalFormatting sqref="T25">
    <cfRule type="cellIs" dxfId="403" priority="27" stopIfTrue="1" operator="greaterThan">
      <formula>$V$25</formula>
    </cfRule>
  </conditionalFormatting>
  <conditionalFormatting sqref="Z4:Z19">
    <cfRule type="cellIs" dxfId="402" priority="28" stopIfTrue="1" operator="equal">
      <formula>"Star"</formula>
    </cfRule>
  </conditionalFormatting>
  <conditionalFormatting sqref="Z4:Z19">
    <cfRule type="cellIs" dxfId="401" priority="29" stopIfTrue="1" operator="equal">
      <formula>AA4</formula>
    </cfRule>
  </conditionalFormatting>
  <dataValidations count="1">
    <dataValidation type="list" allowBlank="1" showErrorMessage="1" sqref="D4:D19">
      <formula1>'DC2'!$D$28:$D$37</formula1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U37"/>
  <sheetViews>
    <sheetView showGridLines="0" workbookViewId="0">
      <selection activeCell="T25" sqref="T25"/>
    </sheetView>
  </sheetViews>
  <sheetFormatPr defaultColWidth="14.42578125" defaultRowHeight="15.75" customHeight="1"/>
  <cols>
    <col min="1" max="1" width="1.85546875" style="139" customWidth="1"/>
    <col min="2" max="2" width="3.140625" style="139" customWidth="1"/>
    <col min="3" max="3" width="19.28515625" style="139" customWidth="1"/>
    <col min="4" max="4" width="21.28515625" style="139" customWidth="1"/>
    <col min="5" max="8" width="3.42578125" style="139" customWidth="1"/>
    <col min="9" max="9" width="30.85546875" style="139" customWidth="1"/>
    <col min="10" max="10" width="23" style="139" customWidth="1"/>
    <col min="11" max="11" width="1.85546875" style="139" customWidth="1"/>
    <col min="12" max="15" width="2.42578125" style="139" customWidth="1"/>
    <col min="16" max="19" width="2.7109375" style="139" customWidth="1"/>
    <col min="20" max="21" width="3.28515625" style="139" customWidth="1"/>
    <col min="22" max="22" width="2.42578125" style="139" customWidth="1"/>
    <col min="23" max="23" width="3.28515625" style="139" customWidth="1"/>
    <col min="24" max="24" width="2.7109375" style="139" customWidth="1"/>
    <col min="25" max="25" width="3.28515625" style="139" customWidth="1"/>
    <col min="26" max="26" width="4.42578125" style="139" customWidth="1"/>
    <col min="27" max="27" width="10.28515625" style="139" customWidth="1"/>
    <col min="28" max="28" width="5.5703125" style="139" customWidth="1"/>
    <col min="29" max="29" width="8.85546875" style="139" customWidth="1"/>
    <col min="30" max="35" width="4.140625" style="139" customWidth="1"/>
    <col min="36" max="36" width="12.28515625" style="139" customWidth="1"/>
    <col min="37" max="37" width="6.42578125" style="139" customWidth="1"/>
    <col min="38" max="38" width="12.7109375" style="139" customWidth="1"/>
    <col min="39" max="39" width="11.42578125" style="139" customWidth="1"/>
    <col min="40" max="41" width="10.7109375" style="139" customWidth="1"/>
    <col min="42" max="42" width="26.140625" style="139" customWidth="1"/>
    <col min="43" max="44" width="10.7109375" style="139" customWidth="1"/>
    <col min="45" max="45" width="12.28515625" style="139" customWidth="1"/>
    <col min="46" max="46" width="10.7109375" style="139" customWidth="1"/>
    <col min="47" max="47" width="2.28515625" style="139" customWidth="1"/>
    <col min="48" max="16384" width="14.42578125" style="139"/>
  </cols>
  <sheetData>
    <row r="1" spans="1:47" ht="9" customHeight="1">
      <c r="A1" s="136"/>
      <c r="B1" s="137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</row>
    <row r="2" spans="1:47" ht="9.75" customHeight="1">
      <c r="A2" s="136"/>
      <c r="B2" s="140"/>
      <c r="C2" s="140"/>
      <c r="D2" s="141"/>
      <c r="E2" s="140"/>
      <c r="F2" s="140"/>
      <c r="G2" s="140"/>
      <c r="H2" s="140"/>
      <c r="I2" s="140"/>
      <c r="J2" s="140"/>
      <c r="K2" s="136"/>
      <c r="L2" s="140"/>
      <c r="M2" s="140"/>
      <c r="N2" s="140"/>
      <c r="O2" s="140"/>
      <c r="P2" s="602" t="s">
        <v>218</v>
      </c>
      <c r="Q2" s="572"/>
      <c r="R2" s="572"/>
      <c r="S2" s="573"/>
      <c r="T2" s="142"/>
      <c r="U2" s="142"/>
      <c r="V2" s="142"/>
      <c r="W2" s="142"/>
      <c r="X2" s="143"/>
      <c r="Y2" s="142"/>
      <c r="Z2" s="140"/>
      <c r="AA2" s="140"/>
      <c r="AB2" s="136"/>
      <c r="AC2" s="140"/>
      <c r="AD2" s="140"/>
      <c r="AE2" s="140"/>
      <c r="AF2" s="144"/>
      <c r="AG2" s="140"/>
      <c r="AH2" s="140"/>
      <c r="AI2" s="140"/>
      <c r="AJ2" s="140"/>
      <c r="AK2" s="136"/>
      <c r="AL2" s="145"/>
      <c r="AM2" s="145"/>
      <c r="AN2" s="145"/>
      <c r="AO2" s="145"/>
      <c r="AP2" s="145"/>
      <c r="AQ2" s="145"/>
      <c r="AR2" s="145"/>
      <c r="AS2" s="145"/>
      <c r="AT2" s="145"/>
      <c r="AU2" s="145"/>
    </row>
    <row r="3" spans="1:47" ht="8.25" customHeight="1">
      <c r="A3" s="137"/>
      <c r="B3" s="146" t="s">
        <v>203</v>
      </c>
      <c r="C3" s="147" t="s">
        <v>32</v>
      </c>
      <c r="D3" s="148" t="s">
        <v>229</v>
      </c>
      <c r="E3" s="149" t="s">
        <v>206</v>
      </c>
      <c r="F3" s="150" t="s">
        <v>207</v>
      </c>
      <c r="G3" s="151" t="s">
        <v>208</v>
      </c>
      <c r="H3" s="152" t="s">
        <v>209</v>
      </c>
      <c r="I3" s="153" t="s">
        <v>230</v>
      </c>
      <c r="J3" s="152" t="s">
        <v>231</v>
      </c>
      <c r="K3" s="154" t="s">
        <v>203</v>
      </c>
      <c r="L3" s="155" t="s">
        <v>232</v>
      </c>
      <c r="M3" s="156" t="s">
        <v>233</v>
      </c>
      <c r="N3" s="156" t="s">
        <v>234</v>
      </c>
      <c r="O3" s="157" t="s">
        <v>235</v>
      </c>
      <c r="P3" s="158" t="s">
        <v>206</v>
      </c>
      <c r="Q3" s="159" t="s">
        <v>207</v>
      </c>
      <c r="R3" s="159" t="s">
        <v>208</v>
      </c>
      <c r="S3" s="160" t="s">
        <v>209</v>
      </c>
      <c r="T3" s="161" t="s">
        <v>236</v>
      </c>
      <c r="U3" s="156" t="s">
        <v>237</v>
      </c>
      <c r="V3" s="156" t="s">
        <v>210</v>
      </c>
      <c r="W3" s="156" t="s">
        <v>240</v>
      </c>
      <c r="X3" s="162" t="s">
        <v>35</v>
      </c>
      <c r="Y3" s="157" t="s">
        <v>211</v>
      </c>
      <c r="Z3" s="153" t="s">
        <v>212</v>
      </c>
      <c r="AA3" s="163" t="s">
        <v>241</v>
      </c>
      <c r="AB3" s="136"/>
      <c r="AC3" s="146" t="s">
        <v>242</v>
      </c>
      <c r="AD3" s="153" t="s">
        <v>233</v>
      </c>
      <c r="AE3" s="150" t="s">
        <v>243</v>
      </c>
      <c r="AF3" s="164" t="str">
        <f>"+MA"</f>
        <v>+MA</v>
      </c>
      <c r="AG3" s="150" t="str">
        <f>"+ST"</f>
        <v>+ST</v>
      </c>
      <c r="AH3" s="150" t="str">
        <f>"+AG"</f>
        <v>+AG</v>
      </c>
      <c r="AI3" s="150" t="str">
        <f>"+AV"</f>
        <v>+AV</v>
      </c>
      <c r="AJ3" s="163" t="s">
        <v>244</v>
      </c>
      <c r="AK3" s="136"/>
      <c r="AL3" s="601" t="s">
        <v>245</v>
      </c>
      <c r="AM3" s="575"/>
      <c r="AN3" s="575"/>
      <c r="AO3" s="575"/>
      <c r="AP3" s="603" t="s">
        <v>246</v>
      </c>
      <c r="AQ3" s="575"/>
      <c r="AR3" s="575"/>
      <c r="AS3" s="575"/>
      <c r="AT3" s="575"/>
      <c r="AU3" s="145"/>
    </row>
    <row r="4" spans="1:47" ht="15.75" customHeight="1">
      <c r="A4" s="137"/>
      <c r="B4" s="165">
        <v>1</v>
      </c>
      <c r="C4" s="166" t="s">
        <v>55</v>
      </c>
      <c r="D4" s="167" t="s">
        <v>49</v>
      </c>
      <c r="E4" s="168">
        <f>IFERROR(VLOOKUP($I$22&amp;$D4,'Development-Hidden'!$C$2:$J$118,4,FALSE)-P4+AF4,"")</f>
        <v>7</v>
      </c>
      <c r="F4" s="169">
        <f>IFERROR(VLOOKUP($I$22&amp;$D4,'Development-Hidden'!$C$2:$J$118,5,FALSE)-Q4+AG4,"")</f>
        <v>3</v>
      </c>
      <c r="G4" s="169">
        <f>IFERROR(VLOOKUP($I$22&amp;$D4,'Development-Hidden'!$C$2:$J$118,6,FALSE)-R4+AH4,"")</f>
        <v>3</v>
      </c>
      <c r="H4" s="170">
        <f>IFERROR(VLOOKUP($I$22&amp;$D4,'Development-Hidden'!$C$2:$J$118,7,FALSE)-S4+AI4,"")</f>
        <v>8</v>
      </c>
      <c r="I4" s="171" t="str">
        <f>IFERROR(VLOOKUP($I$22&amp;$D4,'Development-Hidden'!$C$2:$J$118,8,FALSE),"")</f>
        <v>Block</v>
      </c>
      <c r="J4" s="172" t="s">
        <v>449</v>
      </c>
      <c r="K4" s="173">
        <f t="shared" ref="K4:K19" si="0">IF(Z4&gt;175,6,IF(Z4&gt;75,5,IF(Z4&gt;50,4,IF(Z4&gt;30,3,IF(Z4&gt;15,2,IF(Z4&gt;5,1,0))))))</f>
        <v>2</v>
      </c>
      <c r="L4" s="174"/>
      <c r="M4" s="174"/>
      <c r="N4" s="174"/>
      <c r="O4" s="175"/>
      <c r="P4" s="176"/>
      <c r="Q4" s="177"/>
      <c r="R4" s="177"/>
      <c r="S4" s="178"/>
      <c r="T4" s="179"/>
      <c r="U4" s="180"/>
      <c r="V4" s="180"/>
      <c r="W4" s="180">
        <v>5</v>
      </c>
      <c r="X4" s="177"/>
      <c r="Y4" s="181">
        <v>3</v>
      </c>
      <c r="Z4" s="182">
        <f t="shared" ref="Z4:Z19" si="1">2*T4+U4+3*V4+2*W4+5*Y4</f>
        <v>25</v>
      </c>
      <c r="AA4" s="183">
        <f t="shared" ref="AA4:AA19" si="2">IF(L4=1,0,AC4+(20000*O4)+(20000*AD4)+(30000*AE4)+(30000*AF4)+(50000*AG4)+(40000*AH4)+(50000*AI4)+AJ4)</f>
        <v>130000</v>
      </c>
      <c r="AB4" s="136"/>
      <c r="AC4" s="184">
        <f>IFERROR(VLOOKUP($I$22&amp;D4,'Development-Hidden'!$C$2:$E$118,3,FALSE),"")</f>
        <v>90000</v>
      </c>
      <c r="AD4" s="179">
        <v>2</v>
      </c>
      <c r="AE4" s="180"/>
      <c r="AF4" s="180"/>
      <c r="AG4" s="180"/>
      <c r="AH4" s="180"/>
      <c r="AI4" s="180"/>
      <c r="AJ4" s="185"/>
      <c r="AK4" s="136"/>
      <c r="AL4" s="186" t="s">
        <v>252</v>
      </c>
      <c r="AM4" s="187">
        <v>0</v>
      </c>
      <c r="AN4" s="136"/>
      <c r="AO4" s="136"/>
      <c r="AP4" s="188"/>
      <c r="AQ4" s="189"/>
      <c r="AR4" s="189"/>
      <c r="AS4" s="186" t="s">
        <v>253</v>
      </c>
      <c r="AT4" s="304">
        <v>0</v>
      </c>
      <c r="AU4" s="191"/>
    </row>
    <row r="5" spans="1:47" ht="15.75" customHeight="1">
      <c r="A5" s="137"/>
      <c r="B5" s="192">
        <v>2</v>
      </c>
      <c r="C5" s="193" t="s">
        <v>451</v>
      </c>
      <c r="D5" s="194" t="s">
        <v>49</v>
      </c>
      <c r="E5" s="195">
        <f>IFERROR(VLOOKUP($I$22&amp;$D5,'Development-Hidden'!$C$2:$J$118,4,FALSE)-P5+AF5,"")</f>
        <v>7</v>
      </c>
      <c r="F5" s="196">
        <f>IFERROR(VLOOKUP($I$22&amp;$D5,'Development-Hidden'!$C$2:$J$118,5,FALSE)-Q5+AG5,"")</f>
        <v>3</v>
      </c>
      <c r="G5" s="196">
        <f>IFERROR(VLOOKUP($I$22&amp;$D5,'Development-Hidden'!$C$2:$J$118,6,FALSE)-R5+AH5,"")</f>
        <v>3</v>
      </c>
      <c r="H5" s="197">
        <f>IFERROR(VLOOKUP($I$22&amp;$D5,'Development-Hidden'!$C$2:$J$118,7,FALSE)-S5+AI5,"")</f>
        <v>8</v>
      </c>
      <c r="I5" s="198" t="str">
        <f>IFERROR(VLOOKUP($I$22&amp;$D5,'Development-Hidden'!$C$2:$J$118,8,FALSE),"")</f>
        <v>Block</v>
      </c>
      <c r="J5" s="199"/>
      <c r="K5" s="200">
        <f t="shared" si="0"/>
        <v>0</v>
      </c>
      <c r="L5" s="201"/>
      <c r="M5" s="201"/>
      <c r="N5" s="201"/>
      <c r="O5" s="202"/>
      <c r="P5" s="203"/>
      <c r="Q5" s="204"/>
      <c r="R5" s="204"/>
      <c r="S5" s="205"/>
      <c r="T5" s="206"/>
      <c r="U5" s="207"/>
      <c r="V5" s="207"/>
      <c r="W5" s="207">
        <v>1</v>
      </c>
      <c r="X5" s="204"/>
      <c r="Y5" s="208"/>
      <c r="Z5" s="209">
        <f t="shared" si="1"/>
        <v>2</v>
      </c>
      <c r="AA5" s="183">
        <f t="shared" si="2"/>
        <v>90000</v>
      </c>
      <c r="AB5" s="136"/>
      <c r="AC5" s="210">
        <f>IFERROR(VLOOKUP($I$22&amp;D5,'Development-Hidden'!$C$2:$E$118,3,FALSE),"")</f>
        <v>90000</v>
      </c>
      <c r="AD5" s="206"/>
      <c r="AE5" s="207"/>
      <c r="AF5" s="207"/>
      <c r="AG5" s="207"/>
      <c r="AH5" s="207"/>
      <c r="AI5" s="207"/>
      <c r="AJ5" s="211"/>
      <c r="AK5" s="136"/>
      <c r="AL5" s="212" t="s">
        <v>256</v>
      </c>
      <c r="AM5" s="213" t="s">
        <v>257</v>
      </c>
      <c r="AN5" s="214" t="s">
        <v>258</v>
      </c>
      <c r="AO5" s="215" t="s">
        <v>259</v>
      </c>
      <c r="AP5" s="216" t="s">
        <v>260</v>
      </c>
      <c r="AQ5" s="214" t="s">
        <v>261</v>
      </c>
      <c r="AR5" s="217" t="s">
        <v>33</v>
      </c>
      <c r="AS5" s="217" t="s">
        <v>262</v>
      </c>
      <c r="AT5" s="218" t="s">
        <v>221</v>
      </c>
      <c r="AU5" s="144"/>
    </row>
    <row r="6" spans="1:47" ht="15.75" customHeight="1">
      <c r="A6" s="137"/>
      <c r="B6" s="192">
        <v>3</v>
      </c>
      <c r="C6" s="193" t="s">
        <v>115</v>
      </c>
      <c r="D6" s="194" t="s">
        <v>37</v>
      </c>
      <c r="E6" s="195">
        <f>IFERROR(VLOOKUP($I$22&amp;$D6,'Development-Hidden'!$C$2:$J$118,4,FALSE)-P6+AF6,"")</f>
        <v>9</v>
      </c>
      <c r="F6" s="196">
        <f>IFERROR(VLOOKUP($I$22&amp;$D6,'Development-Hidden'!$C$2:$J$118,5,FALSE)-Q6+AG6,"")</f>
        <v>2</v>
      </c>
      <c r="G6" s="196">
        <f>IFERROR(VLOOKUP($I$22&amp;$D6,'Development-Hidden'!$C$2:$J$118,6,FALSE)-R6+AH6,"")</f>
        <v>4</v>
      </c>
      <c r="H6" s="197">
        <f>IFERROR(VLOOKUP($I$22&amp;$D6,'Development-Hidden'!$C$2:$J$118,7,FALSE)-S6+AI6,"")</f>
        <v>7</v>
      </c>
      <c r="I6" s="198" t="str">
        <f>IFERROR(VLOOKUP($I$22&amp;$D6,'Development-Hidden'!$C$2:$J$118,8,FALSE),"")</f>
        <v>Dodge, Weeping Dagger</v>
      </c>
      <c r="J6" s="199" t="s">
        <v>435</v>
      </c>
      <c r="K6" s="200">
        <f t="shared" si="0"/>
        <v>1</v>
      </c>
      <c r="L6" s="201"/>
      <c r="M6" s="201"/>
      <c r="N6" s="201"/>
      <c r="O6" s="202"/>
      <c r="P6" s="203"/>
      <c r="Q6" s="204"/>
      <c r="R6" s="204"/>
      <c r="S6" s="205"/>
      <c r="T6" s="206"/>
      <c r="U6" s="207">
        <v>4</v>
      </c>
      <c r="V6" s="207">
        <v>2</v>
      </c>
      <c r="W6" s="207"/>
      <c r="X6" s="204"/>
      <c r="Y6" s="208">
        <v>1</v>
      </c>
      <c r="Z6" s="209">
        <f t="shared" si="1"/>
        <v>15</v>
      </c>
      <c r="AA6" s="183">
        <f t="shared" si="2"/>
        <v>100000</v>
      </c>
      <c r="AB6" s="136"/>
      <c r="AC6" s="210">
        <f>IFERROR(VLOOKUP($I$22&amp;D6,'Development-Hidden'!$C$2:$E$118,3,FALSE),"")</f>
        <v>80000</v>
      </c>
      <c r="AD6" s="206">
        <v>1</v>
      </c>
      <c r="AE6" s="207"/>
      <c r="AF6" s="207"/>
      <c r="AG6" s="207"/>
      <c r="AH6" s="207"/>
      <c r="AI6" s="207"/>
      <c r="AJ6" s="211"/>
      <c r="AK6" s="136"/>
      <c r="AL6" s="219" t="s">
        <v>267</v>
      </c>
      <c r="AM6" s="220">
        <v>70000</v>
      </c>
      <c r="AN6" s="221"/>
      <c r="AO6" s="222">
        <v>0</v>
      </c>
      <c r="AP6" s="231" t="s">
        <v>6</v>
      </c>
      <c r="AQ6" s="221" t="s">
        <v>407</v>
      </c>
      <c r="AR6" s="224">
        <v>2</v>
      </c>
      <c r="AS6" s="225">
        <v>2</v>
      </c>
      <c r="AT6" s="226">
        <v>1</v>
      </c>
      <c r="AU6" s="136"/>
    </row>
    <row r="7" spans="1:47" ht="15.75" customHeight="1">
      <c r="A7" s="137"/>
      <c r="B7" s="192">
        <v>4</v>
      </c>
      <c r="C7" s="193" t="s">
        <v>117</v>
      </c>
      <c r="D7" s="194" t="s">
        <v>37</v>
      </c>
      <c r="E7" s="195">
        <f>IFERROR(VLOOKUP($I$22&amp;$D7,'Development-Hidden'!$C$2:$J$118,4,FALSE)-P7+AF7,"")</f>
        <v>9</v>
      </c>
      <c r="F7" s="196">
        <f>IFERROR(VLOOKUP($I$22&amp;$D7,'Development-Hidden'!$C$2:$J$118,5,FALSE)-Q7+AG7,"")</f>
        <v>2</v>
      </c>
      <c r="G7" s="196">
        <f>IFERROR(VLOOKUP($I$22&amp;$D7,'Development-Hidden'!$C$2:$J$118,6,FALSE)-R7+AH7,"")</f>
        <v>4</v>
      </c>
      <c r="H7" s="197">
        <f>IFERROR(VLOOKUP($I$22&amp;$D7,'Development-Hidden'!$C$2:$J$118,7,FALSE)-S7+AI7,"")</f>
        <v>7</v>
      </c>
      <c r="I7" s="198" t="str">
        <f>IFERROR(VLOOKUP($I$22&amp;$D7,'Development-Hidden'!$C$2:$J$118,8,FALSE),"")</f>
        <v>Dodge, Weeping Dagger</v>
      </c>
      <c r="J7" s="199" t="s">
        <v>455</v>
      </c>
      <c r="K7" s="200">
        <f t="shared" si="0"/>
        <v>2</v>
      </c>
      <c r="L7" s="201"/>
      <c r="M7" s="201"/>
      <c r="N7" s="201"/>
      <c r="O7" s="202"/>
      <c r="P7" s="203"/>
      <c r="Q7" s="204"/>
      <c r="R7" s="204"/>
      <c r="S7" s="205"/>
      <c r="T7" s="206"/>
      <c r="U7" s="207">
        <v>2</v>
      </c>
      <c r="V7" s="207">
        <v>6</v>
      </c>
      <c r="W7" s="207"/>
      <c r="X7" s="204"/>
      <c r="Y7" s="208"/>
      <c r="Z7" s="209">
        <f t="shared" si="1"/>
        <v>20</v>
      </c>
      <c r="AA7" s="183">
        <f t="shared" si="2"/>
        <v>120000</v>
      </c>
      <c r="AB7" s="136"/>
      <c r="AC7" s="210">
        <f>IFERROR(VLOOKUP($I$22&amp;D7,'Development-Hidden'!$C$2:$E$118,3,FALSE),"")</f>
        <v>80000</v>
      </c>
      <c r="AD7" s="206">
        <v>2</v>
      </c>
      <c r="AE7" s="207"/>
      <c r="AF7" s="207"/>
      <c r="AG7" s="207"/>
      <c r="AH7" s="207"/>
      <c r="AI7" s="207"/>
      <c r="AJ7" s="211"/>
      <c r="AK7" s="136"/>
      <c r="AL7" s="227" t="s">
        <v>278</v>
      </c>
      <c r="AM7" s="228">
        <v>30000</v>
      </c>
      <c r="AN7" s="229">
        <v>50000</v>
      </c>
      <c r="AO7" s="230">
        <v>0</v>
      </c>
      <c r="AP7" s="231" t="s">
        <v>16</v>
      </c>
      <c r="AQ7" s="229" t="s">
        <v>361</v>
      </c>
      <c r="AR7" s="232">
        <v>2</v>
      </c>
      <c r="AS7" s="233">
        <v>2</v>
      </c>
      <c r="AT7" s="234">
        <v>0</v>
      </c>
      <c r="AU7" s="136"/>
    </row>
    <row r="8" spans="1:47" ht="15.75" customHeight="1">
      <c r="A8" s="137"/>
      <c r="B8" s="192">
        <v>5</v>
      </c>
      <c r="C8" s="193" t="s">
        <v>91</v>
      </c>
      <c r="D8" s="194" t="s">
        <v>37</v>
      </c>
      <c r="E8" s="195">
        <f>IFERROR(VLOOKUP($I$22&amp;$D8,'Development-Hidden'!$C$2:$J$118,4,FALSE)-P8+AF8,"")</f>
        <v>9</v>
      </c>
      <c r="F8" s="196">
        <f>IFERROR(VLOOKUP($I$22&amp;$D8,'Development-Hidden'!$C$2:$J$118,5,FALSE)-Q8+AG8,"")</f>
        <v>2</v>
      </c>
      <c r="G8" s="196">
        <f>IFERROR(VLOOKUP($I$22&amp;$D8,'Development-Hidden'!$C$2:$J$118,6,FALSE)-R8+AH8,"")</f>
        <v>4</v>
      </c>
      <c r="H8" s="197">
        <f>IFERROR(VLOOKUP($I$22&amp;$D8,'Development-Hidden'!$C$2:$J$118,7,FALSE)-S8+AI8,"")</f>
        <v>6</v>
      </c>
      <c r="I8" s="198" t="str">
        <f>IFERROR(VLOOKUP($I$22&amp;$D8,'Development-Hidden'!$C$2:$J$118,8,FALSE),"")</f>
        <v>Dodge, Weeping Dagger</v>
      </c>
      <c r="J8" s="199" t="s">
        <v>435</v>
      </c>
      <c r="K8" s="200">
        <f t="shared" si="0"/>
        <v>1</v>
      </c>
      <c r="L8" s="201"/>
      <c r="M8" s="201"/>
      <c r="N8" s="201"/>
      <c r="O8" s="202"/>
      <c r="P8" s="203"/>
      <c r="Q8" s="204"/>
      <c r="R8" s="204"/>
      <c r="S8" s="205">
        <v>1</v>
      </c>
      <c r="T8" s="206"/>
      <c r="U8" s="207">
        <v>1</v>
      </c>
      <c r="V8" s="207">
        <v>3</v>
      </c>
      <c r="W8" s="207">
        <v>1</v>
      </c>
      <c r="X8" s="204"/>
      <c r="Y8" s="208"/>
      <c r="Z8" s="209">
        <f t="shared" si="1"/>
        <v>12</v>
      </c>
      <c r="AA8" s="183">
        <f t="shared" si="2"/>
        <v>100000</v>
      </c>
      <c r="AB8" s="136"/>
      <c r="AC8" s="210">
        <f>IFERROR(VLOOKUP($I$22&amp;D8,'Development-Hidden'!$C$2:$E$118,3,FALSE),"")</f>
        <v>80000</v>
      </c>
      <c r="AD8" s="206">
        <v>1</v>
      </c>
      <c r="AE8" s="207"/>
      <c r="AF8" s="207"/>
      <c r="AG8" s="207"/>
      <c r="AH8" s="207"/>
      <c r="AI8" s="207"/>
      <c r="AJ8" s="211"/>
      <c r="AK8" s="136"/>
      <c r="AL8" s="227" t="s">
        <v>289</v>
      </c>
      <c r="AM8" s="228">
        <v>60000</v>
      </c>
      <c r="AN8" s="229">
        <v>80000</v>
      </c>
      <c r="AO8" s="230"/>
      <c r="AP8" s="231" t="s">
        <v>8</v>
      </c>
      <c r="AQ8" s="221" t="s">
        <v>407</v>
      </c>
      <c r="AR8" s="232">
        <v>2</v>
      </c>
      <c r="AS8" s="233">
        <v>2</v>
      </c>
      <c r="AT8" s="234">
        <v>1</v>
      </c>
      <c r="AU8" s="136"/>
    </row>
    <row r="9" spans="1:47" ht="15.75" customHeight="1">
      <c r="A9" s="137"/>
      <c r="B9" s="192">
        <v>6</v>
      </c>
      <c r="C9" s="193" t="s">
        <v>310</v>
      </c>
      <c r="D9" s="194" t="s">
        <v>58</v>
      </c>
      <c r="E9" s="195">
        <f>IFERROR(VLOOKUP($I$22&amp;$D9,'Development-Hidden'!$C$2:$J$118,4,FALSE)-P9+AF9,"")</f>
        <v>7</v>
      </c>
      <c r="F9" s="196">
        <f>IFERROR(VLOOKUP($I$22&amp;$D9,'Development-Hidden'!$C$2:$J$118,5,FALSE)-Q9+AG9,"")</f>
        <v>3</v>
      </c>
      <c r="G9" s="196">
        <f>IFERROR(VLOOKUP($I$22&amp;$D9,'Development-Hidden'!$C$2:$J$118,6,FALSE)-R9+AH9,"")</f>
        <v>3</v>
      </c>
      <c r="H9" s="197">
        <f>IFERROR(VLOOKUP($I$22&amp;$D9,'Development-Hidden'!$C$2:$J$118,7,FALSE)-S9+AI9,"")</f>
        <v>7</v>
      </c>
      <c r="I9" s="198">
        <f>IFERROR(VLOOKUP($I$22&amp;$D9,'Development-Hidden'!$C$2:$J$118,8,FALSE),"")</f>
        <v>0</v>
      </c>
      <c r="J9" s="199"/>
      <c r="K9" s="200">
        <f t="shared" si="0"/>
        <v>0</v>
      </c>
      <c r="L9" s="201"/>
      <c r="M9" s="201"/>
      <c r="N9" s="201"/>
      <c r="O9" s="202"/>
      <c r="P9" s="203"/>
      <c r="Q9" s="204"/>
      <c r="R9" s="204"/>
      <c r="S9" s="205"/>
      <c r="T9" s="206"/>
      <c r="U9" s="207"/>
      <c r="V9" s="207"/>
      <c r="W9" s="207"/>
      <c r="X9" s="204"/>
      <c r="Y9" s="208"/>
      <c r="Z9" s="209">
        <f t="shared" si="1"/>
        <v>0</v>
      </c>
      <c r="AA9" s="183">
        <f t="shared" si="2"/>
        <v>50000</v>
      </c>
      <c r="AB9" s="136"/>
      <c r="AC9" s="210">
        <f>IFERROR(VLOOKUP($I$22&amp;D9,'Development-Hidden'!$C$2:$E$118,3,FALSE),"")</f>
        <v>50000</v>
      </c>
      <c r="AD9" s="206"/>
      <c r="AE9" s="207"/>
      <c r="AF9" s="207"/>
      <c r="AG9" s="207"/>
      <c r="AH9" s="207"/>
      <c r="AI9" s="207"/>
      <c r="AJ9" s="211"/>
      <c r="AK9" s="136"/>
      <c r="AL9" s="227" t="s">
        <v>296</v>
      </c>
      <c r="AM9" s="228">
        <v>70000</v>
      </c>
      <c r="AN9" s="229">
        <v>50000</v>
      </c>
      <c r="AO9" s="230"/>
      <c r="AP9" s="231" t="s">
        <v>13</v>
      </c>
      <c r="AQ9" s="229" t="s">
        <v>407</v>
      </c>
      <c r="AR9" s="232">
        <v>1</v>
      </c>
      <c r="AS9" s="233">
        <v>2</v>
      </c>
      <c r="AT9" s="234">
        <v>1</v>
      </c>
      <c r="AU9" s="136"/>
    </row>
    <row r="10" spans="1:47" ht="15.75" customHeight="1">
      <c r="A10" s="137"/>
      <c r="B10" s="192">
        <v>7</v>
      </c>
      <c r="C10" s="193" t="s">
        <v>311</v>
      </c>
      <c r="D10" s="194" t="s">
        <v>58</v>
      </c>
      <c r="E10" s="195">
        <f>IFERROR(VLOOKUP($I$22&amp;$D10,'Development-Hidden'!$C$2:$J$118,4,FALSE)-P10+AF10,"")</f>
        <v>7</v>
      </c>
      <c r="F10" s="196">
        <f>IFERROR(VLOOKUP($I$22&amp;$D10,'Development-Hidden'!$C$2:$J$118,5,FALSE)-Q10+AG10,"")</f>
        <v>3</v>
      </c>
      <c r="G10" s="196">
        <f>IFERROR(VLOOKUP($I$22&amp;$D10,'Development-Hidden'!$C$2:$J$118,6,FALSE)-R10+AH10,"")</f>
        <v>3</v>
      </c>
      <c r="H10" s="197">
        <f>IFERROR(VLOOKUP($I$22&amp;$D10,'Development-Hidden'!$C$2:$J$118,7,FALSE)-S10+AI10,"")</f>
        <v>7</v>
      </c>
      <c r="I10" s="198">
        <f>IFERROR(VLOOKUP($I$22&amp;$D10,'Development-Hidden'!$C$2:$J$118,8,FALSE),"")</f>
        <v>0</v>
      </c>
      <c r="J10" s="199"/>
      <c r="K10" s="200">
        <f t="shared" si="0"/>
        <v>0</v>
      </c>
      <c r="L10" s="201"/>
      <c r="M10" s="201"/>
      <c r="N10" s="201"/>
      <c r="O10" s="202"/>
      <c r="P10" s="203"/>
      <c r="Q10" s="204"/>
      <c r="R10" s="204"/>
      <c r="S10" s="205"/>
      <c r="T10" s="206"/>
      <c r="U10" s="207"/>
      <c r="V10" s="207"/>
      <c r="W10" s="207"/>
      <c r="X10" s="204"/>
      <c r="Y10" s="208"/>
      <c r="Z10" s="209">
        <f t="shared" si="1"/>
        <v>0</v>
      </c>
      <c r="AA10" s="183">
        <f t="shared" si="2"/>
        <v>50000</v>
      </c>
      <c r="AB10" s="136"/>
      <c r="AC10" s="210">
        <f>IFERROR(VLOOKUP($I$22&amp;D10,'Development-Hidden'!$C$2:$E$118,3,FALSE),"")</f>
        <v>50000</v>
      </c>
      <c r="AD10" s="206"/>
      <c r="AE10" s="207"/>
      <c r="AF10" s="207"/>
      <c r="AG10" s="207"/>
      <c r="AH10" s="207"/>
      <c r="AI10" s="207"/>
      <c r="AJ10" s="211"/>
      <c r="AK10" s="136"/>
      <c r="AL10" s="227" t="s">
        <v>306</v>
      </c>
      <c r="AM10" s="228">
        <v>50000</v>
      </c>
      <c r="AN10" s="229">
        <v>10000</v>
      </c>
      <c r="AO10" s="230"/>
      <c r="AP10" s="231" t="s">
        <v>23</v>
      </c>
      <c r="AQ10" s="229" t="s">
        <v>407</v>
      </c>
      <c r="AR10" s="232">
        <v>4</v>
      </c>
      <c r="AS10" s="233">
        <v>1</v>
      </c>
      <c r="AT10" s="234">
        <v>1</v>
      </c>
      <c r="AU10" s="136"/>
    </row>
    <row r="11" spans="1:47" ht="15.75" customHeight="1">
      <c r="A11" s="137"/>
      <c r="B11" s="192">
        <v>8</v>
      </c>
      <c r="C11" s="193" t="s">
        <v>312</v>
      </c>
      <c r="D11" s="194" t="s">
        <v>58</v>
      </c>
      <c r="E11" s="195">
        <f>IFERROR(VLOOKUP($I$22&amp;$D11,'Development-Hidden'!$C$2:$J$118,4,FALSE)-P11+AF11,"")</f>
        <v>7</v>
      </c>
      <c r="F11" s="196">
        <f>IFERROR(VLOOKUP($I$22&amp;$D11,'Development-Hidden'!$C$2:$J$118,5,FALSE)-Q11+AG11,"")</f>
        <v>3</v>
      </c>
      <c r="G11" s="196">
        <f>IFERROR(VLOOKUP($I$22&amp;$D11,'Development-Hidden'!$C$2:$J$118,6,FALSE)-R11+AH11,"")</f>
        <v>3</v>
      </c>
      <c r="H11" s="197">
        <f>IFERROR(VLOOKUP($I$22&amp;$D11,'Development-Hidden'!$C$2:$J$118,7,FALSE)-S11+AI11,"")</f>
        <v>7</v>
      </c>
      <c r="I11" s="198">
        <f>IFERROR(VLOOKUP($I$22&amp;$D11,'Development-Hidden'!$C$2:$J$118,8,FALSE),"")</f>
        <v>0</v>
      </c>
      <c r="J11" s="199"/>
      <c r="K11" s="200">
        <f t="shared" si="0"/>
        <v>0</v>
      </c>
      <c r="L11" s="201"/>
      <c r="M11" s="201"/>
      <c r="N11" s="201"/>
      <c r="O11" s="202"/>
      <c r="P11" s="203"/>
      <c r="Q11" s="204"/>
      <c r="R11" s="204"/>
      <c r="S11" s="205"/>
      <c r="T11" s="206"/>
      <c r="U11" s="207"/>
      <c r="V11" s="207"/>
      <c r="W11" s="207"/>
      <c r="X11" s="204"/>
      <c r="Y11" s="208"/>
      <c r="Z11" s="209">
        <f t="shared" si="1"/>
        <v>0</v>
      </c>
      <c r="AA11" s="183">
        <f t="shared" si="2"/>
        <v>50000</v>
      </c>
      <c r="AB11" s="136"/>
      <c r="AC11" s="210">
        <f>IFERROR(VLOOKUP($I$22&amp;D11,'Development-Hidden'!$C$2:$E$118,3,FALSE),"")</f>
        <v>50000</v>
      </c>
      <c r="AD11" s="206"/>
      <c r="AE11" s="207"/>
      <c r="AF11" s="207"/>
      <c r="AG11" s="207"/>
      <c r="AH11" s="207"/>
      <c r="AI11" s="207"/>
      <c r="AJ11" s="211"/>
      <c r="AK11" s="136"/>
      <c r="AL11" s="227" t="s">
        <v>316</v>
      </c>
      <c r="AM11" s="228">
        <v>50000</v>
      </c>
      <c r="AN11" s="229">
        <v>50000</v>
      </c>
      <c r="AO11" s="230"/>
      <c r="AP11" s="231" t="s">
        <v>458</v>
      </c>
      <c r="AQ11" s="229" t="s">
        <v>407</v>
      </c>
      <c r="AR11" s="232">
        <v>2</v>
      </c>
      <c r="AS11" s="233">
        <v>1</v>
      </c>
      <c r="AT11" s="234">
        <v>1</v>
      </c>
      <c r="AU11" s="136"/>
    </row>
    <row r="12" spans="1:47" ht="15.75" customHeight="1">
      <c r="A12" s="137"/>
      <c r="B12" s="192">
        <v>9</v>
      </c>
      <c r="C12" s="193" t="s">
        <v>197</v>
      </c>
      <c r="D12" s="194" t="s">
        <v>58</v>
      </c>
      <c r="E12" s="195">
        <f>IFERROR(VLOOKUP($I$22&amp;$D12,'Development-Hidden'!$C$2:$J$118,4,FALSE)-P12+AF12,"")</f>
        <v>7</v>
      </c>
      <c r="F12" s="196">
        <f>IFERROR(VLOOKUP($I$22&amp;$D12,'Development-Hidden'!$C$2:$J$118,5,FALSE)-Q12+AG12,"")</f>
        <v>3</v>
      </c>
      <c r="G12" s="196">
        <f>IFERROR(VLOOKUP($I$22&amp;$D12,'Development-Hidden'!$C$2:$J$118,6,FALSE)-R12+AH12,"")</f>
        <v>3</v>
      </c>
      <c r="H12" s="197">
        <f>IFERROR(VLOOKUP($I$22&amp;$D12,'Development-Hidden'!$C$2:$J$118,7,FALSE)-S12+AI12,"")</f>
        <v>7</v>
      </c>
      <c r="I12" s="198">
        <f>IFERROR(VLOOKUP($I$22&amp;$D12,'Development-Hidden'!$C$2:$J$118,8,FALSE),"")</f>
        <v>0</v>
      </c>
      <c r="J12" s="199"/>
      <c r="K12" s="200">
        <f t="shared" si="0"/>
        <v>0</v>
      </c>
      <c r="L12" s="201"/>
      <c r="M12" s="201"/>
      <c r="N12" s="201"/>
      <c r="O12" s="202"/>
      <c r="P12" s="203"/>
      <c r="Q12" s="204"/>
      <c r="R12" s="204"/>
      <c r="S12" s="205"/>
      <c r="T12" s="206"/>
      <c r="U12" s="207"/>
      <c r="V12" s="207"/>
      <c r="W12" s="207">
        <v>1</v>
      </c>
      <c r="X12" s="204"/>
      <c r="Y12" s="208"/>
      <c r="Z12" s="209">
        <f t="shared" si="1"/>
        <v>2</v>
      </c>
      <c r="AA12" s="183">
        <f t="shared" si="2"/>
        <v>50000</v>
      </c>
      <c r="AB12" s="136"/>
      <c r="AC12" s="210">
        <f>IFERROR(VLOOKUP($I$22&amp;D12,'Development-Hidden'!$C$2:$E$118,3,FALSE),"")</f>
        <v>50000</v>
      </c>
      <c r="AD12" s="206"/>
      <c r="AE12" s="207"/>
      <c r="AF12" s="207"/>
      <c r="AG12" s="207"/>
      <c r="AH12" s="207"/>
      <c r="AI12" s="207"/>
      <c r="AJ12" s="211"/>
      <c r="AK12" s="136"/>
      <c r="AL12" s="227" t="s">
        <v>330</v>
      </c>
      <c r="AM12" s="228">
        <v>50000</v>
      </c>
      <c r="AN12" s="229">
        <v>90000</v>
      </c>
      <c r="AO12" s="230"/>
      <c r="AP12" s="231" t="s">
        <v>10</v>
      </c>
      <c r="AQ12" s="229" t="s">
        <v>407</v>
      </c>
      <c r="AR12" s="232">
        <v>4</v>
      </c>
      <c r="AS12" s="233">
        <v>1</v>
      </c>
      <c r="AT12" s="234">
        <v>1</v>
      </c>
      <c r="AU12" s="136"/>
    </row>
    <row r="13" spans="1:47" ht="15.75" customHeight="1">
      <c r="A13" s="137"/>
      <c r="B13" s="192">
        <v>10</v>
      </c>
      <c r="C13" s="193" t="s">
        <v>166</v>
      </c>
      <c r="D13" s="194" t="s">
        <v>37</v>
      </c>
      <c r="E13" s="195">
        <f>IFERROR(VLOOKUP($I$22&amp;$D13,'Development-Hidden'!$C$2:$J$118,4,FALSE)-P13+AF13,"")</f>
        <v>10</v>
      </c>
      <c r="F13" s="196">
        <f>IFERROR(VLOOKUP($I$22&amp;$D13,'Development-Hidden'!$C$2:$J$118,5,FALSE)-Q13+AG13,"")</f>
        <v>2</v>
      </c>
      <c r="G13" s="196">
        <f>IFERROR(VLOOKUP($I$22&amp;$D13,'Development-Hidden'!$C$2:$J$118,6,FALSE)-R13+AH13,"")</f>
        <v>4</v>
      </c>
      <c r="H13" s="197">
        <f>IFERROR(VLOOKUP($I$22&amp;$D13,'Development-Hidden'!$C$2:$J$118,7,FALSE)-S13+AI13,"")</f>
        <v>7</v>
      </c>
      <c r="I13" s="198" t="str">
        <f>IFERROR(VLOOKUP($I$22&amp;$D13,'Development-Hidden'!$C$2:$J$118,8,FALSE),"")</f>
        <v>Dodge, Weeping Dagger</v>
      </c>
      <c r="J13" s="199" t="s">
        <v>459</v>
      </c>
      <c r="K13" s="200">
        <f t="shared" si="0"/>
        <v>3</v>
      </c>
      <c r="L13" s="201"/>
      <c r="M13" s="201"/>
      <c r="N13" s="201"/>
      <c r="O13" s="202"/>
      <c r="P13" s="203"/>
      <c r="Q13" s="204"/>
      <c r="R13" s="204"/>
      <c r="S13" s="205"/>
      <c r="T13" s="206"/>
      <c r="U13" s="207">
        <v>1</v>
      </c>
      <c r="V13" s="207">
        <v>7</v>
      </c>
      <c r="W13" s="207"/>
      <c r="X13" s="204"/>
      <c r="Y13" s="208">
        <v>2</v>
      </c>
      <c r="Z13" s="209">
        <f t="shared" si="1"/>
        <v>32</v>
      </c>
      <c r="AA13" s="183">
        <f t="shared" si="2"/>
        <v>130000</v>
      </c>
      <c r="AB13" s="136"/>
      <c r="AC13" s="210">
        <f>IFERROR(VLOOKUP($I$22&amp;D13,'Development-Hidden'!$C$2:$E$118,3,FALSE),"")</f>
        <v>80000</v>
      </c>
      <c r="AD13" s="206">
        <v>1</v>
      </c>
      <c r="AE13" s="207"/>
      <c r="AF13" s="207">
        <v>1</v>
      </c>
      <c r="AG13" s="207"/>
      <c r="AH13" s="207"/>
      <c r="AI13" s="207"/>
      <c r="AJ13" s="211"/>
      <c r="AK13" s="136"/>
      <c r="AL13" s="227" t="s">
        <v>342</v>
      </c>
      <c r="AM13" s="228">
        <v>70000</v>
      </c>
      <c r="AN13" s="229"/>
      <c r="AO13" s="230"/>
      <c r="AP13" s="231" t="s">
        <v>460</v>
      </c>
      <c r="AQ13" s="229" t="s">
        <v>407</v>
      </c>
      <c r="AR13" s="232">
        <v>2</v>
      </c>
      <c r="AS13" s="233">
        <v>4</v>
      </c>
      <c r="AT13" s="234">
        <v>1</v>
      </c>
      <c r="AU13" s="136"/>
    </row>
    <row r="14" spans="1:47" ht="15.75" customHeight="1">
      <c r="A14" s="137"/>
      <c r="B14" s="192">
        <v>11</v>
      </c>
      <c r="C14" s="193" t="s">
        <v>187</v>
      </c>
      <c r="D14" s="194" t="s">
        <v>44</v>
      </c>
      <c r="E14" s="195">
        <f>IFERROR(VLOOKUP($I$22&amp;$D14,'Development-Hidden'!$C$2:$J$118,4,FALSE)-P14+AF14,"")</f>
        <v>6</v>
      </c>
      <c r="F14" s="196">
        <f>IFERROR(VLOOKUP($I$22&amp;$D14,'Development-Hidden'!$C$2:$J$118,5,FALSE)-Q14+AG14,"")</f>
        <v>5</v>
      </c>
      <c r="G14" s="196">
        <f>IFERROR(VLOOKUP($I$22&amp;$D14,'Development-Hidden'!$C$2:$J$118,6,FALSE)-R14+AH14,"")</f>
        <v>2</v>
      </c>
      <c r="H14" s="197">
        <f>IFERROR(VLOOKUP($I$22&amp;$D14,'Development-Hidden'!$C$2:$J$118,7,FALSE)-S14+AI14,"")</f>
        <v>8</v>
      </c>
      <c r="I14" s="198" t="str">
        <f>IFERROR(VLOOKUP($I$22&amp;$D14,'Development-Hidden'!$C$2:$J$118,8,FALSE),"")</f>
        <v>Loner, Frenzy, Mighty Blow, Prehensal Tail, Wild Animal</v>
      </c>
      <c r="J14" s="199" t="s">
        <v>377</v>
      </c>
      <c r="K14" s="200">
        <f t="shared" si="0"/>
        <v>1</v>
      </c>
      <c r="L14" s="201"/>
      <c r="M14" s="201"/>
      <c r="N14" s="201"/>
      <c r="O14" s="202"/>
      <c r="P14" s="203"/>
      <c r="Q14" s="204"/>
      <c r="R14" s="204"/>
      <c r="S14" s="205"/>
      <c r="T14" s="206"/>
      <c r="U14" s="207"/>
      <c r="V14" s="207"/>
      <c r="W14" s="207">
        <v>3</v>
      </c>
      <c r="X14" s="204"/>
      <c r="Y14" s="208">
        <v>1</v>
      </c>
      <c r="Z14" s="209">
        <f t="shared" si="1"/>
        <v>11</v>
      </c>
      <c r="AA14" s="183">
        <f t="shared" si="2"/>
        <v>170000</v>
      </c>
      <c r="AB14" s="136"/>
      <c r="AC14" s="210">
        <f>IFERROR(VLOOKUP($I$22&amp;D14,'Development-Hidden'!$C$2:$E$118,3,FALSE),"")</f>
        <v>150000</v>
      </c>
      <c r="AD14" s="206">
        <v>1</v>
      </c>
      <c r="AE14" s="207"/>
      <c r="AF14" s="207"/>
      <c r="AG14" s="207"/>
      <c r="AH14" s="207"/>
      <c r="AI14" s="207"/>
      <c r="AJ14" s="211"/>
      <c r="AK14" s="136"/>
      <c r="AL14" s="227" t="s">
        <v>354</v>
      </c>
      <c r="AM14" s="228"/>
      <c r="AN14" s="229"/>
      <c r="AO14" s="230"/>
      <c r="AP14" s="231"/>
      <c r="AQ14" s="229"/>
      <c r="AR14" s="232"/>
      <c r="AS14" s="233"/>
      <c r="AT14" s="234"/>
      <c r="AU14" s="136"/>
    </row>
    <row r="15" spans="1:47" ht="15.75" customHeight="1">
      <c r="A15" s="137"/>
      <c r="B15" s="192">
        <v>12</v>
      </c>
      <c r="C15" s="193" t="s">
        <v>313</v>
      </c>
      <c r="D15" s="194" t="s">
        <v>58</v>
      </c>
      <c r="E15" s="195">
        <f>IFERROR(VLOOKUP($I$22&amp;$D15,'Development-Hidden'!$C$2:$J$118,4,FALSE)-P15+AF15,"")</f>
        <v>7</v>
      </c>
      <c r="F15" s="196">
        <f>IFERROR(VLOOKUP($I$22&amp;$D15,'Development-Hidden'!$C$2:$J$118,5,FALSE)-Q15+AG15,"")</f>
        <v>3</v>
      </c>
      <c r="G15" s="196">
        <f>IFERROR(VLOOKUP($I$22&amp;$D15,'Development-Hidden'!$C$2:$J$118,6,FALSE)-R15+AH15,"")</f>
        <v>3</v>
      </c>
      <c r="H15" s="197">
        <f>IFERROR(VLOOKUP($I$22&amp;$D15,'Development-Hidden'!$C$2:$J$118,7,FALSE)-S15+AI15,"")</f>
        <v>6</v>
      </c>
      <c r="I15" s="198">
        <f>IFERROR(VLOOKUP($I$22&amp;$D15,'Development-Hidden'!$C$2:$J$118,8,FALSE),"")</f>
        <v>0</v>
      </c>
      <c r="J15" s="199"/>
      <c r="K15" s="200">
        <f t="shared" si="0"/>
        <v>0</v>
      </c>
      <c r="L15" s="201"/>
      <c r="M15" s="201"/>
      <c r="N15" s="201"/>
      <c r="O15" s="202"/>
      <c r="P15" s="203"/>
      <c r="Q15" s="204"/>
      <c r="R15" s="204"/>
      <c r="S15" s="205">
        <v>1</v>
      </c>
      <c r="T15" s="206"/>
      <c r="U15" s="207"/>
      <c r="V15" s="207"/>
      <c r="W15" s="207"/>
      <c r="X15" s="204"/>
      <c r="Y15" s="208"/>
      <c r="Z15" s="209">
        <f t="shared" si="1"/>
        <v>0</v>
      </c>
      <c r="AA15" s="183">
        <f t="shared" si="2"/>
        <v>50000</v>
      </c>
      <c r="AB15" s="136"/>
      <c r="AC15" s="210">
        <f>IFERROR(VLOOKUP($I$22&amp;D15,'Development-Hidden'!$C$2:$E$118,3,FALSE),"")</f>
        <v>50000</v>
      </c>
      <c r="AD15" s="206"/>
      <c r="AE15" s="207"/>
      <c r="AF15" s="207"/>
      <c r="AG15" s="207"/>
      <c r="AH15" s="207"/>
      <c r="AI15" s="207"/>
      <c r="AJ15" s="211"/>
      <c r="AK15" s="136"/>
      <c r="AL15" s="227" t="s">
        <v>355</v>
      </c>
      <c r="AM15" s="228"/>
      <c r="AN15" s="229"/>
      <c r="AO15" s="230"/>
      <c r="AP15" s="231"/>
      <c r="AQ15" s="229"/>
      <c r="AR15" s="232"/>
      <c r="AS15" s="233"/>
      <c r="AT15" s="234"/>
      <c r="AU15" s="136"/>
    </row>
    <row r="16" spans="1:47" ht="15.75" customHeight="1">
      <c r="A16" s="137"/>
      <c r="B16" s="192">
        <v>13</v>
      </c>
      <c r="C16" s="193"/>
      <c r="D16" s="194"/>
      <c r="E16" s="195" t="str">
        <f>IFERROR(VLOOKUP($I$22&amp;$D16,'Development-Hidden'!$C$2:$J$118,4,FALSE)-P16+AF16,"")</f>
        <v/>
      </c>
      <c r="F16" s="196" t="str">
        <f>IFERROR(VLOOKUP($I$22&amp;$D16,'Development-Hidden'!$C$2:$J$118,5,FALSE)-Q16+AG16,"")</f>
        <v/>
      </c>
      <c r="G16" s="196" t="str">
        <f>IFERROR(VLOOKUP($I$22&amp;$D16,'Development-Hidden'!$C$2:$J$118,6,FALSE)-R16+AH16,"")</f>
        <v/>
      </c>
      <c r="H16" s="197" t="str">
        <f>IFERROR(VLOOKUP($I$22&amp;$D16,'Development-Hidden'!$C$2:$J$118,7,FALSE)-S16+AI16,"")</f>
        <v/>
      </c>
      <c r="I16" s="198" t="str">
        <f>IFERROR(VLOOKUP($I$22&amp;$D16,'Development-Hidden'!$C$2:$J$118,8,FALSE),"")</f>
        <v/>
      </c>
      <c r="J16" s="199"/>
      <c r="K16" s="200">
        <f t="shared" si="0"/>
        <v>0</v>
      </c>
      <c r="L16" s="201"/>
      <c r="M16" s="201"/>
      <c r="N16" s="201"/>
      <c r="O16" s="202"/>
      <c r="P16" s="203"/>
      <c r="Q16" s="204"/>
      <c r="R16" s="204"/>
      <c r="S16" s="205"/>
      <c r="T16" s="206"/>
      <c r="U16" s="207"/>
      <c r="V16" s="207"/>
      <c r="W16" s="207"/>
      <c r="X16" s="204"/>
      <c r="Y16" s="208"/>
      <c r="Z16" s="209">
        <f t="shared" si="1"/>
        <v>0</v>
      </c>
      <c r="AA16" s="183">
        <f t="shared" si="2"/>
        <v>0</v>
      </c>
      <c r="AB16" s="136"/>
      <c r="AC16" s="210" t="str">
        <f>IFERROR(VLOOKUP($I$22&amp;D16,'Development-Hidden'!$C$2:$E$118,3,FALSE),"0")</f>
        <v>0</v>
      </c>
      <c r="AD16" s="206"/>
      <c r="AE16" s="207"/>
      <c r="AF16" s="207"/>
      <c r="AG16" s="207"/>
      <c r="AH16" s="207"/>
      <c r="AI16" s="207"/>
      <c r="AJ16" s="211"/>
      <c r="AK16" s="136"/>
      <c r="AL16" s="227" t="s">
        <v>357</v>
      </c>
      <c r="AM16" s="228"/>
      <c r="AN16" s="229"/>
      <c r="AO16" s="230"/>
      <c r="AP16" s="231"/>
      <c r="AQ16" s="229"/>
      <c r="AR16" s="232"/>
      <c r="AS16" s="233"/>
      <c r="AT16" s="234"/>
      <c r="AU16" s="136"/>
    </row>
    <row r="17" spans="1:47" ht="15.75" customHeight="1">
      <c r="A17" s="137"/>
      <c r="B17" s="192">
        <v>14</v>
      </c>
      <c r="C17" s="193"/>
      <c r="D17" s="194"/>
      <c r="E17" s="195" t="str">
        <f>IFERROR(VLOOKUP($I$22&amp;$D17,'Development-Hidden'!$C$2:$J$118,4,FALSE)-P17+AF17,"")</f>
        <v/>
      </c>
      <c r="F17" s="196" t="str">
        <f>IFERROR(VLOOKUP($I$22&amp;$D17,'Development-Hidden'!$C$2:$J$118,5,FALSE)-Q17+AG17,"")</f>
        <v/>
      </c>
      <c r="G17" s="196" t="str">
        <f>IFERROR(VLOOKUP($I$22&amp;$D17,'Development-Hidden'!$C$2:$J$118,6,FALSE)-R17+AH17,"")</f>
        <v/>
      </c>
      <c r="H17" s="197" t="str">
        <f>IFERROR(VLOOKUP($I$22&amp;$D17,'Development-Hidden'!$C$2:$J$118,7,FALSE)-S17+AI17,"")</f>
        <v/>
      </c>
      <c r="I17" s="198" t="str">
        <f>IFERROR(VLOOKUP($I$22&amp;$D17,'Development-Hidden'!$C$2:$J$118,8,FALSE),"")</f>
        <v/>
      </c>
      <c r="J17" s="199"/>
      <c r="K17" s="200">
        <f t="shared" si="0"/>
        <v>0</v>
      </c>
      <c r="L17" s="201"/>
      <c r="M17" s="201"/>
      <c r="N17" s="201"/>
      <c r="O17" s="202"/>
      <c r="P17" s="203"/>
      <c r="Q17" s="204"/>
      <c r="R17" s="204"/>
      <c r="S17" s="205"/>
      <c r="T17" s="206"/>
      <c r="U17" s="207"/>
      <c r="V17" s="207"/>
      <c r="W17" s="207"/>
      <c r="X17" s="204"/>
      <c r="Y17" s="208"/>
      <c r="Z17" s="209">
        <f t="shared" si="1"/>
        <v>0</v>
      </c>
      <c r="AA17" s="183">
        <f t="shared" si="2"/>
        <v>0</v>
      </c>
      <c r="AB17" s="136"/>
      <c r="AC17" s="210" t="str">
        <f>IFERROR(VLOOKUP($I$22&amp;D17,'Development-Hidden'!$C$2:$E$118,3,FALSE),"0")</f>
        <v>0</v>
      </c>
      <c r="AD17" s="206"/>
      <c r="AE17" s="207"/>
      <c r="AF17" s="207"/>
      <c r="AG17" s="207"/>
      <c r="AH17" s="207"/>
      <c r="AI17" s="207"/>
      <c r="AJ17" s="211"/>
      <c r="AK17" s="136"/>
      <c r="AL17" s="235" t="s">
        <v>359</v>
      </c>
      <c r="AM17" s="236"/>
      <c r="AN17" s="237"/>
      <c r="AO17" s="238"/>
      <c r="AP17" s="239"/>
      <c r="AQ17" s="237"/>
      <c r="AR17" s="240"/>
      <c r="AS17" s="241"/>
      <c r="AT17" s="242"/>
      <c r="AU17" s="136"/>
    </row>
    <row r="18" spans="1:47" ht="15.75" customHeight="1">
      <c r="A18" s="137"/>
      <c r="B18" s="192">
        <v>15</v>
      </c>
      <c r="C18" s="193"/>
      <c r="D18" s="194"/>
      <c r="E18" s="195" t="str">
        <f>IFERROR(VLOOKUP($I$22&amp;$D18,'Development-Hidden'!$C$2:$J$118,4,FALSE)-P18+AF18,"")</f>
        <v/>
      </c>
      <c r="F18" s="196" t="str">
        <f>IFERROR(VLOOKUP($I$22&amp;$D18,'Development-Hidden'!$C$2:$J$118,5,FALSE)-Q18+AG18,"")</f>
        <v/>
      </c>
      <c r="G18" s="196" t="str">
        <f>IFERROR(VLOOKUP($I$22&amp;$D18,'Development-Hidden'!$C$2:$J$118,6,FALSE)-R18+AH18,"")</f>
        <v/>
      </c>
      <c r="H18" s="197" t="str">
        <f>IFERROR(VLOOKUP($I$22&amp;$D18,'Development-Hidden'!$C$2:$J$118,7,FALSE)-S18+AI18,"")</f>
        <v/>
      </c>
      <c r="I18" s="198" t="str">
        <f>IFERROR(VLOOKUP($I$22&amp;$D18,'Development-Hidden'!$C$2:$J$118,8,FALSE),"")</f>
        <v/>
      </c>
      <c r="J18" s="199"/>
      <c r="K18" s="200">
        <f t="shared" si="0"/>
        <v>0</v>
      </c>
      <c r="L18" s="201"/>
      <c r="M18" s="201"/>
      <c r="N18" s="201"/>
      <c r="O18" s="202"/>
      <c r="P18" s="203"/>
      <c r="Q18" s="204"/>
      <c r="R18" s="204"/>
      <c r="S18" s="205"/>
      <c r="T18" s="206"/>
      <c r="U18" s="207"/>
      <c r="V18" s="207"/>
      <c r="W18" s="207"/>
      <c r="X18" s="204"/>
      <c r="Y18" s="208"/>
      <c r="Z18" s="209">
        <f t="shared" si="1"/>
        <v>0</v>
      </c>
      <c r="AA18" s="183">
        <f t="shared" si="2"/>
        <v>0</v>
      </c>
      <c r="AB18" s="136"/>
      <c r="AC18" s="210" t="str">
        <f>IFERROR(VLOOKUP($I$22&amp;D18,'Development-Hidden'!$C$2:$E$118,3,FALSE),"0")</f>
        <v>0</v>
      </c>
      <c r="AD18" s="206"/>
      <c r="AE18" s="207"/>
      <c r="AF18" s="207"/>
      <c r="AG18" s="207"/>
      <c r="AH18" s="207"/>
      <c r="AI18" s="207"/>
      <c r="AJ18" s="211"/>
      <c r="AK18" s="136"/>
      <c r="AL18" s="243" t="s">
        <v>219</v>
      </c>
      <c r="AM18" s="244">
        <f>AM4+SUM(AM6:AM17)-SUM(AN6:AN17)-SUM(AO6:AO17)</f>
        <v>120000</v>
      </c>
      <c r="AN18" s="136"/>
      <c r="AO18" s="136"/>
      <c r="AP18" s="189"/>
      <c r="AQ18" s="243" t="s">
        <v>219</v>
      </c>
      <c r="AR18" s="245">
        <f t="shared" ref="AR18:AS18" si="3">SUM(AR6:AR17)</f>
        <v>19</v>
      </c>
      <c r="AS18" s="246">
        <f t="shared" si="3"/>
        <v>15</v>
      </c>
      <c r="AT18" s="247">
        <f>AT4+SUM(AT6:AT17)</f>
        <v>7</v>
      </c>
      <c r="AU18" s="140"/>
    </row>
    <row r="19" spans="1:47" ht="15.75" customHeight="1">
      <c r="A19" s="137"/>
      <c r="B19" s="248">
        <v>16</v>
      </c>
      <c r="C19" s="249"/>
      <c r="D19" s="250"/>
      <c r="E19" s="251" t="str">
        <f>IFERROR(VLOOKUP($I$22&amp;$D19,'Development-Hidden'!$C$2:$J$118,4,FALSE)-P19+AF19,"")</f>
        <v/>
      </c>
      <c r="F19" s="252" t="str">
        <f>IFERROR(VLOOKUP($I$22&amp;$D19,'Development-Hidden'!$C$2:$J$118,5,FALSE)-Q19+AG19,"")</f>
        <v/>
      </c>
      <c r="G19" s="252" t="str">
        <f>IFERROR(VLOOKUP($I$22&amp;$D19,'Development-Hidden'!$C$2:$J$118,6,FALSE)-R19+AH19,"")</f>
        <v/>
      </c>
      <c r="H19" s="253" t="str">
        <f>IFERROR(VLOOKUP($I$22&amp;$D19,'Development-Hidden'!$C$2:$J$118,7,FALSE)-S19+AI19,"")</f>
        <v/>
      </c>
      <c r="I19" s="254" t="str">
        <f>IFERROR(VLOOKUP($I$22&amp;$D19,'Development-Hidden'!$C$2:$J$118,8,FALSE),"")</f>
        <v/>
      </c>
      <c r="J19" s="255"/>
      <c r="K19" s="256">
        <f t="shared" si="0"/>
        <v>0</v>
      </c>
      <c r="L19" s="257"/>
      <c r="M19" s="257"/>
      <c r="N19" s="257"/>
      <c r="O19" s="258"/>
      <c r="P19" s="259"/>
      <c r="Q19" s="260"/>
      <c r="R19" s="260"/>
      <c r="S19" s="261"/>
      <c r="T19" s="262"/>
      <c r="U19" s="263"/>
      <c r="V19" s="263"/>
      <c r="W19" s="263"/>
      <c r="X19" s="260"/>
      <c r="Y19" s="264"/>
      <c r="Z19" s="265">
        <f t="shared" si="1"/>
        <v>0</v>
      </c>
      <c r="AA19" s="183">
        <f t="shared" si="2"/>
        <v>0</v>
      </c>
      <c r="AB19" s="136"/>
      <c r="AC19" s="210" t="str">
        <f>IFERROR(VLOOKUP($I$22&amp;D19,'Development-Hidden'!$C$2:$E$118,3,FALSE),"0")</f>
        <v>0</v>
      </c>
      <c r="AD19" s="267"/>
      <c r="AE19" s="268"/>
      <c r="AF19" s="268"/>
      <c r="AG19" s="268"/>
      <c r="AH19" s="268"/>
      <c r="AI19" s="268"/>
      <c r="AJ19" s="269"/>
      <c r="AK19" s="136"/>
    </row>
    <row r="20" spans="1:47" ht="15.75" customHeight="1">
      <c r="A20" s="137"/>
      <c r="B20" s="571"/>
      <c r="C20" s="572"/>
      <c r="D20" s="573"/>
      <c r="E20" s="586" t="s">
        <v>364</v>
      </c>
      <c r="F20" s="587"/>
      <c r="G20" s="587"/>
      <c r="H20" s="587"/>
      <c r="I20" s="587"/>
      <c r="J20" s="587"/>
      <c r="K20" s="587"/>
      <c r="L20" s="587"/>
      <c r="M20" s="587"/>
      <c r="N20" s="587"/>
      <c r="O20" s="587"/>
      <c r="P20" s="587"/>
      <c r="Q20" s="587"/>
      <c r="R20" s="587"/>
      <c r="S20" s="587"/>
      <c r="T20" s="587"/>
      <c r="U20" s="587"/>
      <c r="V20" s="587"/>
      <c r="W20" s="587"/>
      <c r="X20" s="587"/>
      <c r="Y20" s="587"/>
      <c r="Z20" s="588"/>
      <c r="AA20" s="270">
        <f>SUM(AA4:AA19)</f>
        <v>1090000</v>
      </c>
      <c r="AB20" s="136"/>
      <c r="AC20" s="136"/>
      <c r="AD20" s="136"/>
      <c r="AE20" s="136"/>
      <c r="AF20" s="136"/>
      <c r="AG20" s="136"/>
      <c r="AH20" s="136"/>
      <c r="AI20" s="136"/>
      <c r="AJ20" s="136"/>
      <c r="AK20" s="136"/>
      <c r="AL20" s="189"/>
      <c r="AM20" s="189"/>
      <c r="AN20" s="189"/>
      <c r="AO20" s="189"/>
      <c r="AP20" s="189"/>
      <c r="AQ20" s="189"/>
      <c r="AR20" s="189"/>
      <c r="AS20" s="189"/>
      <c r="AT20" s="189"/>
      <c r="AU20" s="189"/>
    </row>
    <row r="21" spans="1:47" ht="15.75" customHeight="1">
      <c r="A21" s="137"/>
      <c r="B21" s="574"/>
      <c r="C21" s="575"/>
      <c r="D21" s="576"/>
      <c r="E21" s="580" t="s">
        <v>365</v>
      </c>
      <c r="F21" s="581"/>
      <c r="G21" s="581"/>
      <c r="H21" s="581"/>
      <c r="I21" s="589" t="s">
        <v>56</v>
      </c>
      <c r="J21" s="581"/>
      <c r="K21" s="590"/>
      <c r="L21" s="584" t="s">
        <v>366</v>
      </c>
      <c r="M21" s="581"/>
      <c r="N21" s="581"/>
      <c r="O21" s="581"/>
      <c r="P21" s="581"/>
      <c r="Q21" s="581"/>
      <c r="R21" s="581"/>
      <c r="S21" s="585"/>
      <c r="T21" s="271">
        <v>3</v>
      </c>
      <c r="U21" s="272" t="s">
        <v>220</v>
      </c>
      <c r="V21" s="580">
        <f>IFERROR(VLOOKUP(I22,'Development-Hidden'!N2:O28,2,FALSE),"")</f>
        <v>60000</v>
      </c>
      <c r="W21" s="581"/>
      <c r="X21" s="581"/>
      <c r="Y21" s="581"/>
      <c r="Z21" s="590"/>
      <c r="AA21" s="273">
        <f t="shared" ref="AA21:AA25" si="4">T21*V21</f>
        <v>180000</v>
      </c>
      <c r="AB21" s="136"/>
      <c r="AC21" s="136"/>
      <c r="AD21" s="136"/>
      <c r="AE21" s="136"/>
      <c r="AF21" s="136"/>
      <c r="AG21" s="136"/>
      <c r="AH21" s="136"/>
      <c r="AI21" s="136"/>
      <c r="AJ21" s="136"/>
      <c r="AK21" s="136"/>
      <c r="AL21" s="604" t="s">
        <v>367</v>
      </c>
      <c r="AM21" s="588"/>
      <c r="AN21" s="136"/>
      <c r="AO21" s="136"/>
      <c r="AP21" s="136"/>
      <c r="AQ21" s="136"/>
      <c r="AR21" s="136"/>
      <c r="AS21" s="136"/>
      <c r="AT21" s="136"/>
      <c r="AU21" s="136"/>
    </row>
    <row r="22" spans="1:47" ht="15.75" customHeight="1">
      <c r="A22" s="137"/>
      <c r="B22" s="574"/>
      <c r="C22" s="575"/>
      <c r="D22" s="576"/>
      <c r="E22" s="582" t="s">
        <v>368</v>
      </c>
      <c r="F22" s="583"/>
      <c r="G22" s="583"/>
      <c r="H22" s="583"/>
      <c r="I22" s="598" t="s">
        <v>2</v>
      </c>
      <c r="J22" s="583"/>
      <c r="K22" s="597"/>
      <c r="L22" s="591" t="s">
        <v>369</v>
      </c>
      <c r="M22" s="583"/>
      <c r="N22" s="583"/>
      <c r="O22" s="583"/>
      <c r="P22" s="583"/>
      <c r="Q22" s="583"/>
      <c r="R22" s="583"/>
      <c r="S22" s="592"/>
      <c r="T22" s="274">
        <f>AT18</f>
        <v>7</v>
      </c>
      <c r="U22" s="275" t="s">
        <v>220</v>
      </c>
      <c r="V22" s="582">
        <v>10000</v>
      </c>
      <c r="W22" s="583"/>
      <c r="X22" s="583"/>
      <c r="Y22" s="583"/>
      <c r="Z22" s="597"/>
      <c r="AA22" s="276">
        <f t="shared" si="4"/>
        <v>70000</v>
      </c>
      <c r="AB22" s="136"/>
      <c r="AC22" s="136"/>
      <c r="AD22" s="136"/>
      <c r="AE22" s="136"/>
      <c r="AF22" s="136"/>
      <c r="AG22" s="136"/>
      <c r="AH22" s="136"/>
      <c r="AI22" s="136"/>
      <c r="AJ22" s="136"/>
      <c r="AK22" s="136"/>
      <c r="AL22" s="277" t="s">
        <v>370</v>
      </c>
      <c r="AM22" s="278">
        <f>AM18</f>
        <v>120000</v>
      </c>
      <c r="AN22" s="136"/>
      <c r="AO22" s="136"/>
      <c r="AP22" s="136"/>
      <c r="AQ22" s="136"/>
      <c r="AR22" s="136"/>
      <c r="AS22" s="136"/>
      <c r="AT22" s="136"/>
      <c r="AU22" s="136"/>
    </row>
    <row r="23" spans="1:47" ht="15.75" customHeight="1">
      <c r="A23" s="137"/>
      <c r="B23" s="574"/>
      <c r="C23" s="575"/>
      <c r="D23" s="576"/>
      <c r="E23" s="582" t="str">
        <f>IFERROR(IF(VLOOKUP(I22,'Development-Hidden'!X2:Y28,2,FALSE)="Yes","NECROMANCER","HEAD COACH"),"HEAD COACH")</f>
        <v>HEAD COACH</v>
      </c>
      <c r="F23" s="583"/>
      <c r="G23" s="583"/>
      <c r="H23" s="583"/>
      <c r="I23" s="598" t="s">
        <v>470</v>
      </c>
      <c r="J23" s="583"/>
      <c r="K23" s="597"/>
      <c r="L23" s="591" t="s">
        <v>371</v>
      </c>
      <c r="M23" s="583"/>
      <c r="N23" s="583"/>
      <c r="O23" s="583"/>
      <c r="P23" s="583"/>
      <c r="Q23" s="583"/>
      <c r="R23" s="583"/>
      <c r="S23" s="592"/>
      <c r="T23" s="274">
        <v>0</v>
      </c>
      <c r="U23" s="275" t="s">
        <v>220</v>
      </c>
      <c r="V23" s="582">
        <v>10000</v>
      </c>
      <c r="W23" s="583"/>
      <c r="X23" s="583"/>
      <c r="Y23" s="583"/>
      <c r="Z23" s="597"/>
      <c r="AA23" s="276">
        <f t="shared" si="4"/>
        <v>0</v>
      </c>
      <c r="AB23" s="136"/>
      <c r="AC23" s="136"/>
      <c r="AD23" s="136"/>
      <c r="AE23" s="136"/>
      <c r="AF23" s="136"/>
      <c r="AG23" s="136"/>
      <c r="AH23" s="136"/>
      <c r="AI23" s="136"/>
      <c r="AJ23" s="136"/>
      <c r="AK23" s="136"/>
      <c r="AL23" s="279" t="s">
        <v>372</v>
      </c>
      <c r="AM23" s="280">
        <f>COUNTA(AP6:AP17)*10000</f>
        <v>80000</v>
      </c>
      <c r="AN23" s="136"/>
      <c r="AO23" s="136"/>
      <c r="AP23" s="136"/>
      <c r="AQ23" s="136"/>
      <c r="AR23" s="136"/>
      <c r="AS23" s="136"/>
      <c r="AT23" s="136"/>
      <c r="AU23" s="136"/>
    </row>
    <row r="24" spans="1:47" ht="15.75" customHeight="1">
      <c r="A24" s="137"/>
      <c r="B24" s="574"/>
      <c r="C24" s="575"/>
      <c r="D24" s="576"/>
      <c r="E24" s="582" t="s">
        <v>373</v>
      </c>
      <c r="F24" s="583"/>
      <c r="G24" s="583"/>
      <c r="H24" s="583"/>
      <c r="I24" s="599">
        <f>AA20+AA26</f>
        <v>1390000</v>
      </c>
      <c r="J24" s="583"/>
      <c r="K24" s="597"/>
      <c r="L24" s="591" t="s">
        <v>375</v>
      </c>
      <c r="M24" s="583"/>
      <c r="N24" s="583"/>
      <c r="O24" s="583"/>
      <c r="P24" s="583"/>
      <c r="Q24" s="583"/>
      <c r="R24" s="583"/>
      <c r="S24" s="592"/>
      <c r="T24" s="274">
        <v>0</v>
      </c>
      <c r="U24" s="275" t="s">
        <v>220</v>
      </c>
      <c r="V24" s="582">
        <v>10000</v>
      </c>
      <c r="W24" s="583"/>
      <c r="X24" s="583"/>
      <c r="Y24" s="583"/>
      <c r="Z24" s="597"/>
      <c r="AA24" s="276">
        <f t="shared" si="4"/>
        <v>0</v>
      </c>
      <c r="AB24" s="136"/>
      <c r="AC24" s="136"/>
      <c r="AD24" s="136"/>
      <c r="AE24" s="136"/>
      <c r="AF24" s="136"/>
      <c r="AG24" s="136"/>
      <c r="AH24" s="136"/>
      <c r="AI24" s="136"/>
      <c r="AJ24" s="136"/>
      <c r="AK24" s="136"/>
      <c r="AL24" s="279" t="s">
        <v>33</v>
      </c>
      <c r="AM24" s="280">
        <f>AR18*5000</f>
        <v>95000</v>
      </c>
      <c r="AN24" s="136"/>
      <c r="AO24" s="136"/>
      <c r="AP24" s="136"/>
      <c r="AQ24" s="136"/>
      <c r="AR24" s="136"/>
      <c r="AS24" s="136"/>
      <c r="AT24" s="136"/>
      <c r="AU24" s="136"/>
    </row>
    <row r="25" spans="1:47" ht="15.75" customHeight="1">
      <c r="A25" s="137"/>
      <c r="B25" s="574"/>
      <c r="C25" s="575"/>
      <c r="D25" s="576"/>
      <c r="E25" s="595" t="s">
        <v>376</v>
      </c>
      <c r="F25" s="594"/>
      <c r="G25" s="594"/>
      <c r="H25" s="596"/>
      <c r="I25" s="600">
        <f>AM18</f>
        <v>120000</v>
      </c>
      <c r="J25" s="594"/>
      <c r="K25" s="596"/>
      <c r="L25" s="593" t="str">
        <f>IFERROR(IF(VLOOKUP(I22,'Development-Hidden'!X2:Y28,1,FALSE)&lt;&gt;"","",""),"APOTHECARY")</f>
        <v>APOTHECARY</v>
      </c>
      <c r="M25" s="594"/>
      <c r="N25" s="594"/>
      <c r="O25" s="594"/>
      <c r="P25" s="594"/>
      <c r="Q25" s="594"/>
      <c r="R25" s="594"/>
      <c r="S25" s="594"/>
      <c r="T25" s="281">
        <v>1</v>
      </c>
      <c r="U25" s="275" t="str">
        <f>IF(L25&lt;&gt;"","x","")</f>
        <v>x</v>
      </c>
      <c r="V25" s="595">
        <f>IF(L25&lt;&gt;"",50000,"")</f>
        <v>50000</v>
      </c>
      <c r="W25" s="594"/>
      <c r="X25" s="594"/>
      <c r="Y25" s="594"/>
      <c r="Z25" s="596"/>
      <c r="AA25" s="276">
        <f t="shared" si="4"/>
        <v>50000</v>
      </c>
      <c r="AB25" s="136"/>
      <c r="AC25" s="136"/>
      <c r="AD25" s="136"/>
      <c r="AE25" s="136"/>
      <c r="AF25" s="136"/>
      <c r="AG25" s="136"/>
      <c r="AH25" s="136"/>
      <c r="AI25" s="136"/>
      <c r="AJ25" s="136"/>
      <c r="AK25" s="136"/>
      <c r="AL25" s="282" t="s">
        <v>34</v>
      </c>
      <c r="AM25" s="283">
        <f>AS18*5000</f>
        <v>75000</v>
      </c>
      <c r="AN25" s="136"/>
      <c r="AO25" s="136"/>
      <c r="AP25" s="136"/>
      <c r="AQ25" s="136"/>
      <c r="AR25" s="136"/>
      <c r="AS25" s="136"/>
      <c r="AT25" s="136"/>
      <c r="AU25" s="136"/>
    </row>
    <row r="26" spans="1:47" ht="15.75" customHeight="1">
      <c r="A26" s="137"/>
      <c r="B26" s="577"/>
      <c r="C26" s="578"/>
      <c r="D26" s="579"/>
      <c r="E26" s="586" t="s">
        <v>379</v>
      </c>
      <c r="F26" s="587"/>
      <c r="G26" s="587"/>
      <c r="H26" s="587"/>
      <c r="I26" s="587"/>
      <c r="J26" s="587"/>
      <c r="K26" s="587"/>
      <c r="L26" s="587"/>
      <c r="M26" s="587"/>
      <c r="N26" s="587"/>
      <c r="O26" s="587"/>
      <c r="P26" s="587"/>
      <c r="Q26" s="587"/>
      <c r="R26" s="587"/>
      <c r="S26" s="587"/>
      <c r="T26" s="587"/>
      <c r="U26" s="587"/>
      <c r="V26" s="587"/>
      <c r="W26" s="587"/>
      <c r="X26" s="587"/>
      <c r="Y26" s="587"/>
      <c r="Z26" s="588"/>
      <c r="AA26" s="270">
        <f>SUM(AA21:AA25)</f>
        <v>300000</v>
      </c>
      <c r="AB26" s="136"/>
      <c r="AC26" s="136"/>
      <c r="AD26" s="136"/>
      <c r="AE26" s="136"/>
      <c r="AF26" s="136"/>
      <c r="AG26" s="136"/>
      <c r="AH26" s="136"/>
      <c r="AI26" s="136"/>
      <c r="AJ26" s="136"/>
      <c r="AK26" s="136"/>
      <c r="AL26" s="284" t="s">
        <v>219</v>
      </c>
      <c r="AM26" s="285">
        <f>SUM(AM22:AM25)</f>
        <v>370000</v>
      </c>
      <c r="AN26" s="136"/>
      <c r="AO26" s="136"/>
      <c r="AP26" s="136"/>
      <c r="AQ26" s="136"/>
      <c r="AR26" s="136"/>
      <c r="AS26" s="136"/>
      <c r="AT26" s="136"/>
      <c r="AU26" s="136"/>
    </row>
    <row r="27" spans="1:47" ht="8.25" customHeight="1">
      <c r="A27" s="136"/>
      <c r="B27" s="140"/>
      <c r="C27" s="286"/>
      <c r="D27" s="286"/>
      <c r="E27" s="287"/>
      <c r="F27" s="136"/>
      <c r="G27" s="136"/>
      <c r="H27" s="136"/>
      <c r="I27" s="288"/>
      <c r="J27" s="289"/>
      <c r="K27" s="136"/>
      <c r="L27" s="290"/>
      <c r="M27" s="290"/>
      <c r="N27" s="290"/>
      <c r="O27" s="290"/>
      <c r="P27" s="290"/>
      <c r="Q27" s="290"/>
      <c r="R27" s="290"/>
      <c r="S27" s="290"/>
      <c r="T27" s="291"/>
      <c r="U27" s="292"/>
      <c r="V27" s="143"/>
      <c r="W27" s="293"/>
      <c r="X27" s="293"/>
      <c r="Y27" s="293"/>
      <c r="Z27" s="293"/>
      <c r="AA27" s="294"/>
      <c r="AB27" s="136"/>
      <c r="AC27" s="136"/>
      <c r="AD27" s="136"/>
      <c r="AE27" s="136"/>
      <c r="AF27" s="136"/>
      <c r="AG27" s="136"/>
      <c r="AH27" s="136"/>
      <c r="AI27" s="136"/>
      <c r="AJ27" s="136"/>
      <c r="AK27" s="136"/>
      <c r="AL27" s="136"/>
      <c r="AM27" s="136"/>
      <c r="AN27" s="136"/>
      <c r="AO27" s="136"/>
      <c r="AP27" s="136"/>
      <c r="AQ27" s="136"/>
      <c r="AR27" s="136"/>
      <c r="AS27" s="136"/>
      <c r="AT27" s="136"/>
      <c r="AU27" s="136"/>
    </row>
    <row r="28" spans="1:47" ht="17.25" hidden="1" customHeight="1">
      <c r="A28" s="295"/>
      <c r="B28" s="296"/>
      <c r="C28" s="297">
        <f>MATCH(I22,'Development-Hidden'!A2:A118,0)</f>
        <v>92</v>
      </c>
      <c r="D28" s="297" t="str">
        <f t="array" ref="D28">IFERROR(IF(INDEX('Development-Hidden'!$A$2:$B$118,$C28,1)=$I$22,INDEX('Development-Hidden'!$A$2:$B$118,$C28,2),""),"")</f>
        <v>Lineman</v>
      </c>
      <c r="E28" s="298"/>
      <c r="F28" s="298"/>
      <c r="G28" s="298"/>
      <c r="H28" s="298"/>
      <c r="I28" s="298"/>
      <c r="J28" s="299"/>
      <c r="K28" s="295"/>
      <c r="L28" s="300"/>
      <c r="M28" s="300"/>
      <c r="N28" s="300"/>
      <c r="O28" s="300"/>
      <c r="P28" s="300"/>
      <c r="Q28" s="300"/>
      <c r="R28" s="300"/>
      <c r="S28" s="300"/>
      <c r="T28" s="301"/>
      <c r="U28" s="302"/>
      <c r="V28" s="301"/>
      <c r="W28" s="303"/>
      <c r="X28" s="303"/>
      <c r="Y28" s="303"/>
      <c r="Z28" s="303"/>
      <c r="AA28" s="298"/>
      <c r="AB28" s="295"/>
      <c r="AC28" s="295"/>
      <c r="AD28" s="295"/>
      <c r="AE28" s="295"/>
      <c r="AF28" s="295"/>
      <c r="AG28" s="295"/>
      <c r="AH28" s="295"/>
      <c r="AI28" s="295"/>
      <c r="AJ28" s="295"/>
      <c r="AK28" s="295"/>
      <c r="AL28" s="295"/>
      <c r="AM28" s="295"/>
      <c r="AN28" s="295"/>
      <c r="AO28" s="295"/>
      <c r="AP28" s="295"/>
      <c r="AQ28" s="295"/>
      <c r="AR28" s="295"/>
      <c r="AS28" s="295"/>
      <c r="AT28" s="295"/>
      <c r="AU28" s="295"/>
    </row>
    <row r="29" spans="1:47" ht="17.25" hidden="1" customHeight="1">
      <c r="A29" s="295"/>
      <c r="B29" s="296"/>
      <c r="C29" s="297">
        <f t="shared" ref="C29:C37" si="5">C28+1</f>
        <v>93</v>
      </c>
      <c r="D29" s="297" t="str">
        <f t="array" ref="D29">IFERROR(IF(INDEX('Development-Hidden'!$A$2:$B$118,$C29,1)=$I$22,INDEX('Development-Hidden'!$A$2:$B$118,$C29,2),""),"")</f>
        <v>Thrower</v>
      </c>
      <c r="E29" s="298"/>
      <c r="F29" s="298"/>
      <c r="G29" s="298"/>
      <c r="H29" s="298"/>
      <c r="I29" s="298"/>
      <c r="J29" s="299"/>
      <c r="K29" s="295"/>
      <c r="L29" s="300"/>
      <c r="M29" s="300"/>
      <c r="N29" s="300"/>
      <c r="O29" s="300"/>
      <c r="P29" s="300"/>
      <c r="Q29" s="300"/>
      <c r="R29" s="300"/>
      <c r="S29" s="300"/>
      <c r="T29" s="301"/>
      <c r="U29" s="302"/>
      <c r="V29" s="301"/>
      <c r="W29" s="303"/>
      <c r="X29" s="303"/>
      <c r="Y29" s="303"/>
      <c r="Z29" s="303"/>
      <c r="AA29" s="298"/>
      <c r="AB29" s="295"/>
      <c r="AC29" s="295"/>
      <c r="AD29" s="295"/>
      <c r="AE29" s="295"/>
      <c r="AF29" s="295"/>
      <c r="AG29" s="295"/>
      <c r="AH29" s="295"/>
      <c r="AI29" s="295"/>
      <c r="AJ29" s="295"/>
      <c r="AK29" s="295"/>
      <c r="AL29" s="295"/>
      <c r="AM29" s="295"/>
      <c r="AN29" s="295"/>
      <c r="AO29" s="295"/>
      <c r="AP29" s="295"/>
      <c r="AQ29" s="295"/>
      <c r="AR29" s="295"/>
      <c r="AS29" s="295"/>
      <c r="AT29" s="295"/>
      <c r="AU29" s="295"/>
    </row>
    <row r="30" spans="1:47" ht="17.25" hidden="1" customHeight="1">
      <c r="A30" s="295"/>
      <c r="B30" s="296"/>
      <c r="C30" s="297">
        <f t="shared" si="5"/>
        <v>94</v>
      </c>
      <c r="D30" s="297" t="str">
        <f t="array" ref="D30">IFERROR(IF(INDEX('Development-Hidden'!$A$2:$B$118,$C30,1)=$I$22,INDEX('Development-Hidden'!$A$2:$B$118,$C30,2),""),"")</f>
        <v>Gutter Runner</v>
      </c>
      <c r="E30" s="298"/>
      <c r="F30" s="298"/>
      <c r="G30" s="298"/>
      <c r="H30" s="298"/>
      <c r="I30" s="298"/>
      <c r="J30" s="299"/>
      <c r="K30" s="295"/>
      <c r="L30" s="300"/>
      <c r="M30" s="300"/>
      <c r="N30" s="300"/>
      <c r="O30" s="300"/>
      <c r="P30" s="300"/>
      <c r="Q30" s="300"/>
      <c r="R30" s="300"/>
      <c r="S30" s="300"/>
      <c r="T30" s="301"/>
      <c r="U30" s="302"/>
      <c r="V30" s="301"/>
      <c r="W30" s="303"/>
      <c r="X30" s="303"/>
      <c r="Y30" s="303"/>
      <c r="Z30" s="303"/>
      <c r="AA30" s="298"/>
      <c r="AB30" s="295"/>
      <c r="AC30" s="295"/>
      <c r="AD30" s="295"/>
      <c r="AE30" s="295"/>
      <c r="AF30" s="295"/>
      <c r="AG30" s="295"/>
      <c r="AH30" s="295"/>
      <c r="AI30" s="295"/>
      <c r="AJ30" s="295"/>
      <c r="AK30" s="295"/>
      <c r="AL30" s="295"/>
      <c r="AM30" s="295"/>
      <c r="AN30" s="295"/>
      <c r="AO30" s="295"/>
      <c r="AP30" s="295"/>
      <c r="AQ30" s="295"/>
      <c r="AR30" s="295"/>
      <c r="AS30" s="295"/>
      <c r="AT30" s="295"/>
      <c r="AU30" s="295"/>
    </row>
    <row r="31" spans="1:47" ht="17.25" hidden="1" customHeight="1">
      <c r="A31" s="295"/>
      <c r="B31" s="296"/>
      <c r="C31" s="297">
        <f t="shared" si="5"/>
        <v>95</v>
      </c>
      <c r="D31" s="297" t="str">
        <f t="array" ref="D31">IFERROR(IF(INDEX('Development-Hidden'!$A$2:$B$118,$C31,1)=$I$22,INDEX('Development-Hidden'!$A$2:$B$118,$C31,2),""),"")</f>
        <v>Blitzer</v>
      </c>
      <c r="E31" s="298"/>
      <c r="F31" s="298"/>
      <c r="G31" s="298"/>
      <c r="H31" s="298"/>
      <c r="I31" s="298"/>
      <c r="J31" s="299"/>
      <c r="K31" s="295"/>
      <c r="L31" s="300"/>
      <c r="M31" s="300"/>
      <c r="N31" s="300"/>
      <c r="O31" s="300"/>
      <c r="P31" s="300"/>
      <c r="Q31" s="300"/>
      <c r="R31" s="300"/>
      <c r="S31" s="300"/>
      <c r="T31" s="301"/>
      <c r="U31" s="302"/>
      <c r="V31" s="301"/>
      <c r="W31" s="303"/>
      <c r="X31" s="303"/>
      <c r="Y31" s="303"/>
      <c r="Z31" s="303"/>
      <c r="AA31" s="298"/>
      <c r="AB31" s="295"/>
      <c r="AC31" s="295"/>
      <c r="AD31" s="295"/>
      <c r="AE31" s="295"/>
      <c r="AF31" s="295"/>
      <c r="AG31" s="295"/>
      <c r="AH31" s="295"/>
      <c r="AI31" s="295"/>
      <c r="AJ31" s="295"/>
      <c r="AK31" s="295"/>
      <c r="AL31" s="295"/>
      <c r="AM31" s="295"/>
      <c r="AN31" s="295"/>
      <c r="AO31" s="295"/>
      <c r="AP31" s="295"/>
      <c r="AQ31" s="295"/>
      <c r="AR31" s="295"/>
      <c r="AS31" s="295"/>
      <c r="AT31" s="295"/>
      <c r="AU31" s="295"/>
    </row>
    <row r="32" spans="1:47" ht="17.25" hidden="1" customHeight="1">
      <c r="A32" s="295"/>
      <c r="B32" s="296"/>
      <c r="C32" s="297">
        <f t="shared" si="5"/>
        <v>96</v>
      </c>
      <c r="D32" s="297" t="str">
        <f t="array" ref="D32">IFERROR(IF(INDEX('Development-Hidden'!$A$2:$B$118,$C32,1)=$I$22,INDEX('Development-Hidden'!$A$2:$B$118,$C32,2),""),"")</f>
        <v>Rat Ogre</v>
      </c>
      <c r="E32" s="298"/>
      <c r="F32" s="298"/>
      <c r="G32" s="298"/>
      <c r="H32" s="298"/>
      <c r="I32" s="298"/>
      <c r="J32" s="299"/>
      <c r="K32" s="295"/>
      <c r="L32" s="300"/>
      <c r="M32" s="300"/>
      <c r="N32" s="300"/>
      <c r="O32" s="300"/>
      <c r="P32" s="300"/>
      <c r="Q32" s="300"/>
      <c r="R32" s="300"/>
      <c r="S32" s="300"/>
      <c r="T32" s="301"/>
      <c r="U32" s="302"/>
      <c r="V32" s="301"/>
      <c r="W32" s="303"/>
      <c r="X32" s="303"/>
      <c r="Y32" s="303"/>
      <c r="Z32" s="303"/>
      <c r="AA32" s="298"/>
      <c r="AB32" s="295"/>
      <c r="AC32" s="295"/>
      <c r="AD32" s="295"/>
      <c r="AE32" s="295"/>
      <c r="AF32" s="295"/>
      <c r="AG32" s="295"/>
      <c r="AH32" s="295"/>
      <c r="AI32" s="295"/>
      <c r="AJ32" s="295"/>
      <c r="AK32" s="295"/>
      <c r="AL32" s="295"/>
      <c r="AM32" s="295"/>
      <c r="AN32" s="295"/>
      <c r="AO32" s="295"/>
      <c r="AP32" s="295"/>
      <c r="AQ32" s="295"/>
      <c r="AR32" s="295"/>
      <c r="AS32" s="295"/>
      <c r="AT32" s="295"/>
      <c r="AU32" s="295"/>
    </row>
    <row r="33" spans="1:47" ht="17.25" hidden="1" customHeight="1">
      <c r="A33" s="295"/>
      <c r="B33" s="296"/>
      <c r="C33" s="297">
        <f t="shared" si="5"/>
        <v>97</v>
      </c>
      <c r="D33" s="297" t="str">
        <f t="array" ref="D33">IFERROR(IF(INDEX('Development-Hidden'!$A$2:$B$118,$C33,1)=$I$22,INDEX('Development-Hidden'!$A$2:$B$118,$C33,2),""),"")</f>
        <v/>
      </c>
      <c r="E33" s="298"/>
      <c r="F33" s="298"/>
      <c r="G33" s="298"/>
      <c r="H33" s="298"/>
      <c r="I33" s="298"/>
      <c r="J33" s="299"/>
      <c r="K33" s="295"/>
      <c r="L33" s="300"/>
      <c r="M33" s="300"/>
      <c r="N33" s="300"/>
      <c r="O33" s="300"/>
      <c r="P33" s="300"/>
      <c r="Q33" s="300"/>
      <c r="R33" s="300"/>
      <c r="S33" s="300"/>
      <c r="T33" s="301"/>
      <c r="U33" s="302"/>
      <c r="V33" s="301"/>
      <c r="W33" s="303"/>
      <c r="X33" s="303"/>
      <c r="Y33" s="303"/>
      <c r="Z33" s="303"/>
      <c r="AA33" s="298"/>
      <c r="AB33" s="295"/>
      <c r="AC33" s="295"/>
      <c r="AD33" s="295"/>
      <c r="AE33" s="295"/>
      <c r="AF33" s="295"/>
      <c r="AG33" s="295"/>
      <c r="AH33" s="295"/>
      <c r="AI33" s="295"/>
      <c r="AJ33" s="295"/>
      <c r="AK33" s="295"/>
      <c r="AL33" s="295"/>
      <c r="AM33" s="295"/>
      <c r="AN33" s="295"/>
      <c r="AO33" s="295"/>
      <c r="AP33" s="295"/>
      <c r="AQ33" s="295"/>
      <c r="AR33" s="295"/>
      <c r="AS33" s="295"/>
      <c r="AT33" s="295"/>
      <c r="AU33" s="295"/>
    </row>
    <row r="34" spans="1:47" ht="17.25" hidden="1" customHeight="1">
      <c r="A34" s="295"/>
      <c r="B34" s="296"/>
      <c r="C34" s="297">
        <f t="shared" si="5"/>
        <v>98</v>
      </c>
      <c r="D34" s="297" t="str">
        <f t="array" ref="D34">IFERROR(IF(INDEX('Development-Hidden'!$A$2:$B$118,$C34,1)=$I$22,INDEX('Development-Hidden'!$A$2:$B$118,$C34,2),""),"")</f>
        <v/>
      </c>
      <c r="E34" s="298"/>
      <c r="F34" s="298"/>
      <c r="G34" s="298"/>
      <c r="H34" s="298"/>
      <c r="I34" s="298"/>
      <c r="J34" s="299"/>
      <c r="K34" s="295"/>
      <c r="L34" s="300"/>
      <c r="M34" s="300"/>
      <c r="N34" s="300"/>
      <c r="O34" s="300"/>
      <c r="P34" s="300"/>
      <c r="Q34" s="300"/>
      <c r="R34" s="300"/>
      <c r="S34" s="300"/>
      <c r="T34" s="301"/>
      <c r="U34" s="302"/>
      <c r="V34" s="301"/>
      <c r="W34" s="303"/>
      <c r="X34" s="303"/>
      <c r="Y34" s="303"/>
      <c r="Z34" s="303"/>
      <c r="AA34" s="298"/>
      <c r="AB34" s="295"/>
      <c r="AC34" s="295"/>
      <c r="AD34" s="295"/>
      <c r="AE34" s="295"/>
      <c r="AF34" s="295"/>
      <c r="AG34" s="295"/>
      <c r="AH34" s="295"/>
      <c r="AI34" s="295"/>
      <c r="AJ34" s="295"/>
      <c r="AK34" s="295"/>
      <c r="AL34" s="295"/>
      <c r="AM34" s="295"/>
      <c r="AN34" s="295"/>
      <c r="AO34" s="295"/>
      <c r="AP34" s="295"/>
      <c r="AQ34" s="295"/>
      <c r="AR34" s="295"/>
      <c r="AS34" s="295"/>
      <c r="AT34" s="295"/>
      <c r="AU34" s="295"/>
    </row>
    <row r="35" spans="1:47" ht="17.25" hidden="1" customHeight="1">
      <c r="A35" s="295"/>
      <c r="B35" s="296"/>
      <c r="C35" s="297">
        <f t="shared" si="5"/>
        <v>99</v>
      </c>
      <c r="D35" s="297" t="str">
        <f t="array" ref="D35">IFERROR(IF(INDEX('Development-Hidden'!$A$2:$B$118,$C35,1)=$I$22,INDEX('Development-Hidden'!$A$2:$B$118,$C35,2),""),"")</f>
        <v/>
      </c>
      <c r="E35" s="298"/>
      <c r="F35" s="298"/>
      <c r="G35" s="298"/>
      <c r="H35" s="298"/>
      <c r="I35" s="298"/>
      <c r="J35" s="299"/>
      <c r="K35" s="295"/>
      <c r="L35" s="300"/>
      <c r="M35" s="300"/>
      <c r="N35" s="300"/>
      <c r="O35" s="300"/>
      <c r="P35" s="300"/>
      <c r="Q35" s="300"/>
      <c r="R35" s="300"/>
      <c r="S35" s="300"/>
      <c r="T35" s="301"/>
      <c r="U35" s="302"/>
      <c r="V35" s="301"/>
      <c r="W35" s="303"/>
      <c r="X35" s="303"/>
      <c r="Y35" s="303"/>
      <c r="Z35" s="303"/>
      <c r="AA35" s="298"/>
      <c r="AB35" s="295"/>
      <c r="AC35" s="295"/>
      <c r="AD35" s="295"/>
      <c r="AE35" s="295"/>
      <c r="AF35" s="295"/>
      <c r="AG35" s="295"/>
      <c r="AH35" s="295"/>
      <c r="AI35" s="295"/>
      <c r="AJ35" s="295"/>
      <c r="AK35" s="295"/>
      <c r="AL35" s="295"/>
      <c r="AM35" s="295"/>
      <c r="AN35" s="295"/>
      <c r="AO35" s="295"/>
      <c r="AP35" s="295"/>
      <c r="AQ35" s="295"/>
      <c r="AR35" s="295"/>
      <c r="AS35" s="295"/>
      <c r="AT35" s="295"/>
      <c r="AU35" s="295"/>
    </row>
    <row r="36" spans="1:47" ht="17.25" hidden="1" customHeight="1">
      <c r="A36" s="295"/>
      <c r="B36" s="296"/>
      <c r="C36" s="297">
        <f t="shared" si="5"/>
        <v>100</v>
      </c>
      <c r="D36" s="297" t="str">
        <f t="array" ref="D36">IFERROR(IF(INDEX('Development-Hidden'!$A$2:$B$118,$C36,1)=$I$22,INDEX('Development-Hidden'!$A$2:$B$118,$C36,2),""),"")</f>
        <v/>
      </c>
      <c r="E36" s="298"/>
      <c r="F36" s="298"/>
      <c r="G36" s="298"/>
      <c r="H36" s="298"/>
      <c r="I36" s="298"/>
      <c r="J36" s="299"/>
      <c r="K36" s="295"/>
      <c r="L36" s="300"/>
      <c r="M36" s="300"/>
      <c r="N36" s="300"/>
      <c r="O36" s="300"/>
      <c r="P36" s="300"/>
      <c r="Q36" s="300"/>
      <c r="R36" s="300"/>
      <c r="S36" s="300"/>
      <c r="T36" s="301"/>
      <c r="U36" s="302"/>
      <c r="V36" s="301"/>
      <c r="W36" s="303"/>
      <c r="X36" s="303"/>
      <c r="Y36" s="303"/>
      <c r="Z36" s="303"/>
      <c r="AA36" s="298"/>
      <c r="AB36" s="295"/>
      <c r="AC36" s="295"/>
      <c r="AD36" s="295"/>
      <c r="AE36" s="295"/>
      <c r="AF36" s="295"/>
      <c r="AG36" s="295"/>
      <c r="AH36" s="295"/>
      <c r="AI36" s="295"/>
      <c r="AJ36" s="295"/>
      <c r="AK36" s="295"/>
      <c r="AL36" s="295"/>
      <c r="AM36" s="295"/>
      <c r="AN36" s="295"/>
      <c r="AO36" s="295"/>
      <c r="AP36" s="295"/>
      <c r="AQ36" s="295"/>
      <c r="AR36" s="295"/>
      <c r="AS36" s="295"/>
      <c r="AT36" s="295"/>
      <c r="AU36" s="295"/>
    </row>
    <row r="37" spans="1:47" ht="17.25" hidden="1" customHeight="1">
      <c r="A37" s="295"/>
      <c r="B37" s="296"/>
      <c r="C37" s="297">
        <f t="shared" si="5"/>
        <v>101</v>
      </c>
      <c r="D37" s="297" t="str">
        <f t="array" ref="D37">IFERROR(IF(INDEX('Development-Hidden'!$A$2:$B$118,$C37,1)=$I$22,INDEX('Development-Hidden'!$A$2:$B$118,$C37,2),""),"")</f>
        <v/>
      </c>
      <c r="E37" s="298"/>
      <c r="F37" s="298"/>
      <c r="G37" s="298"/>
      <c r="H37" s="298"/>
      <c r="I37" s="298"/>
      <c r="J37" s="299"/>
      <c r="K37" s="295"/>
      <c r="L37" s="300"/>
      <c r="M37" s="300"/>
      <c r="N37" s="300"/>
      <c r="O37" s="300"/>
      <c r="P37" s="300"/>
      <c r="Q37" s="300"/>
      <c r="R37" s="300"/>
      <c r="S37" s="300"/>
      <c r="T37" s="301"/>
      <c r="U37" s="302"/>
      <c r="V37" s="301"/>
      <c r="W37" s="303"/>
      <c r="X37" s="303"/>
      <c r="Y37" s="303"/>
      <c r="Z37" s="303"/>
      <c r="AA37" s="298"/>
      <c r="AB37" s="295"/>
      <c r="AC37" s="295"/>
      <c r="AD37" s="295"/>
      <c r="AE37" s="295"/>
      <c r="AF37" s="295"/>
      <c r="AG37" s="295"/>
      <c r="AH37" s="295"/>
      <c r="AI37" s="295"/>
      <c r="AJ37" s="295"/>
      <c r="AK37" s="295"/>
      <c r="AL37" s="295"/>
      <c r="AM37" s="295"/>
      <c r="AN37" s="295"/>
      <c r="AO37" s="295"/>
      <c r="AP37" s="295"/>
      <c r="AQ37" s="295"/>
      <c r="AR37" s="295"/>
      <c r="AS37" s="295"/>
      <c r="AT37" s="295"/>
      <c r="AU37" s="295"/>
    </row>
  </sheetData>
  <mergeCells count="27">
    <mergeCell ref="AL3:AO3"/>
    <mergeCell ref="P2:S2"/>
    <mergeCell ref="AP3:AT3"/>
    <mergeCell ref="AL21:AM21"/>
    <mergeCell ref="L22:S22"/>
    <mergeCell ref="L21:S21"/>
    <mergeCell ref="L23:S23"/>
    <mergeCell ref="I22:K22"/>
    <mergeCell ref="I23:K23"/>
    <mergeCell ref="V22:Z22"/>
    <mergeCell ref="V21:Z21"/>
    <mergeCell ref="E23:H23"/>
    <mergeCell ref="B20:D26"/>
    <mergeCell ref="E25:H25"/>
    <mergeCell ref="E24:H24"/>
    <mergeCell ref="I25:K25"/>
    <mergeCell ref="I24:K24"/>
    <mergeCell ref="E22:H22"/>
    <mergeCell ref="I21:K21"/>
    <mergeCell ref="E21:H21"/>
    <mergeCell ref="E20:Z20"/>
    <mergeCell ref="L25:S25"/>
    <mergeCell ref="E26:Z26"/>
    <mergeCell ref="V23:Z23"/>
    <mergeCell ref="V25:Z25"/>
    <mergeCell ref="V24:Z24"/>
    <mergeCell ref="L24:S24"/>
  </mergeCells>
  <conditionalFormatting sqref="AA4:AA19">
    <cfRule type="cellIs" dxfId="400" priority="1" operator="equal">
      <formula>0</formula>
    </cfRule>
  </conditionalFormatting>
  <conditionalFormatting sqref="J4">
    <cfRule type="expression" dxfId="399" priority="2">
      <formula>K4&lt;&gt;SUM(AD4:AI4)</formula>
    </cfRule>
  </conditionalFormatting>
  <conditionalFormatting sqref="I4:I19">
    <cfRule type="cellIs" dxfId="398" priority="3" stopIfTrue="1" operator="equal">
      <formula>"Player type quantity surpassed"</formula>
    </cfRule>
  </conditionalFormatting>
  <conditionalFormatting sqref="J5">
    <cfRule type="expression" dxfId="397" priority="4">
      <formula>K5&lt;&gt;SUM(AD5:AI5)</formula>
    </cfRule>
  </conditionalFormatting>
  <conditionalFormatting sqref="J6">
    <cfRule type="expression" dxfId="396" priority="5">
      <formula>K6&lt;&gt;SUM(AD6:AI6)</formula>
    </cfRule>
  </conditionalFormatting>
  <conditionalFormatting sqref="J7">
    <cfRule type="expression" dxfId="395" priority="6">
      <formula>K7&lt;&gt;SUM(AD7:AI7)</formula>
    </cfRule>
  </conditionalFormatting>
  <conditionalFormatting sqref="J8">
    <cfRule type="expression" dxfId="394" priority="7">
      <formula>K8&lt;&gt;SUM(AD8:AI8)</formula>
    </cfRule>
  </conditionalFormatting>
  <conditionalFormatting sqref="J9">
    <cfRule type="expression" dxfId="393" priority="8">
      <formula>K9&lt;&gt;SUM(AD9:AI9)</formula>
    </cfRule>
  </conditionalFormatting>
  <conditionalFormatting sqref="J10">
    <cfRule type="expression" dxfId="392" priority="9">
      <formula>K10&lt;&gt;SUM(AD10:AI10)</formula>
    </cfRule>
  </conditionalFormatting>
  <conditionalFormatting sqref="J11">
    <cfRule type="expression" dxfId="391" priority="10">
      <formula>K11&lt;&gt;SUM(AD11:AI11)</formula>
    </cfRule>
  </conditionalFormatting>
  <conditionalFormatting sqref="J12">
    <cfRule type="expression" dxfId="390" priority="11">
      <formula>K12&lt;&gt;SUM(AD12:AI12)</formula>
    </cfRule>
  </conditionalFormatting>
  <conditionalFormatting sqref="J13">
    <cfRule type="expression" dxfId="389" priority="12">
      <formula>K13&lt;&gt;SUM(AD13:AI13)</formula>
    </cfRule>
  </conditionalFormatting>
  <conditionalFormatting sqref="J14">
    <cfRule type="expression" dxfId="388" priority="13">
      <formula>K14&lt;&gt;SUM(AD14:AI14)</formula>
    </cfRule>
  </conditionalFormatting>
  <conditionalFormatting sqref="J15">
    <cfRule type="expression" dxfId="387" priority="14">
      <formula>K15&lt;&gt;SUM(AD15:AI15)</formula>
    </cfRule>
  </conditionalFormatting>
  <conditionalFormatting sqref="J16">
    <cfRule type="expression" dxfId="386" priority="15">
      <formula>K16&lt;&gt;SUM(AD16:AI16)</formula>
    </cfRule>
  </conditionalFormatting>
  <conditionalFormatting sqref="J17">
    <cfRule type="expression" dxfId="385" priority="16">
      <formula>K17&lt;&gt;SUM(AD17:AI17)</formula>
    </cfRule>
  </conditionalFormatting>
  <conditionalFormatting sqref="J18">
    <cfRule type="expression" dxfId="384" priority="17">
      <formula>K18&lt;&gt;SUM(AD18:AI18)</formula>
    </cfRule>
  </conditionalFormatting>
  <conditionalFormatting sqref="J19">
    <cfRule type="expression" dxfId="383" priority="18">
      <formula>K19&lt;&gt;SUM(AD19:AI19)</formula>
    </cfRule>
  </conditionalFormatting>
  <conditionalFormatting sqref="K4:K19">
    <cfRule type="cellIs" dxfId="382" priority="19" operator="equal">
      <formula>0</formula>
    </cfRule>
  </conditionalFormatting>
  <conditionalFormatting sqref="E4:H19">
    <cfRule type="expression" dxfId="381" priority="20">
      <formula>AF4&gt;0</formula>
    </cfRule>
  </conditionalFormatting>
  <conditionalFormatting sqref="E4:H19">
    <cfRule type="expression" dxfId="380" priority="21">
      <formula>P4&gt;0</formula>
    </cfRule>
  </conditionalFormatting>
  <conditionalFormatting sqref="I4:I19 T4:W19 Y4:Y19 U27:U37">
    <cfRule type="cellIs" dxfId="379" priority="22" stopIfTrue="1" operator="equal">
      <formula>0</formula>
    </cfRule>
  </conditionalFormatting>
  <conditionalFormatting sqref="K4:K19">
    <cfRule type="cellIs" dxfId="378" priority="23" stopIfTrue="1" operator="equal">
      <formula>"n/a"</formula>
    </cfRule>
  </conditionalFormatting>
  <conditionalFormatting sqref="P4:S19">
    <cfRule type="cellIs" dxfId="377" priority="24" stopIfTrue="1" operator="lessThanOrEqual">
      <formula>-1</formula>
    </cfRule>
  </conditionalFormatting>
  <conditionalFormatting sqref="V25:W25">
    <cfRule type="cellIs" dxfId="376" priority="25" stopIfTrue="1" operator="equal">
      <formula>-500</formula>
    </cfRule>
  </conditionalFormatting>
  <conditionalFormatting sqref="T25">
    <cfRule type="cellIs" dxfId="375" priority="26" stopIfTrue="1" operator="greaterThan">
      <formula>$V$25</formula>
    </cfRule>
  </conditionalFormatting>
  <conditionalFormatting sqref="Z4:Z19">
    <cfRule type="cellIs" dxfId="374" priority="27" stopIfTrue="1" operator="equal">
      <formula>"Star"</formula>
    </cfRule>
  </conditionalFormatting>
  <conditionalFormatting sqref="Z4:Z19">
    <cfRule type="cellIs" dxfId="373" priority="28" stopIfTrue="1" operator="equal">
      <formula>AA4</formula>
    </cfRule>
  </conditionalFormatting>
  <dataValidations count="2">
    <dataValidation type="list" allowBlank="1" showErrorMessage="1" sqref="D4:D19">
      <formula1>'KB1'!$D$28:$D$37</formula1>
    </dataValidation>
    <dataValidation type="list" allowBlank="1" showErrorMessage="1" sqref="I22">
      <formula1>'Development-Hidden'!$N$2:$N$28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W37"/>
  <sheetViews>
    <sheetView workbookViewId="0">
      <selection sqref="A1:A1048576"/>
    </sheetView>
  </sheetViews>
  <sheetFormatPr defaultColWidth="14.42578125" defaultRowHeight="15.75" customHeight="1"/>
  <cols>
    <col min="1" max="1" width="1.85546875" style="139" customWidth="1"/>
    <col min="2" max="2" width="3.140625" style="139" customWidth="1"/>
    <col min="3" max="3" width="19.28515625" style="139" customWidth="1"/>
    <col min="4" max="4" width="21.28515625" style="139" customWidth="1"/>
    <col min="5" max="8" width="3" style="139" customWidth="1"/>
    <col min="9" max="9" width="30.85546875" style="139" customWidth="1"/>
    <col min="10" max="10" width="23" style="139" customWidth="1"/>
    <col min="11" max="11" width="1.85546875" style="139" customWidth="1"/>
    <col min="12" max="13" width="2.42578125" style="139" customWidth="1"/>
    <col min="14" max="16" width="2.140625" style="139" customWidth="1"/>
    <col min="17" max="17" width="2" style="139" customWidth="1"/>
    <col min="18" max="18" width="1.85546875" style="139" customWidth="1"/>
    <col min="19" max="19" width="2" style="139" customWidth="1"/>
    <col min="20" max="21" width="3.28515625" style="139" customWidth="1"/>
    <col min="22" max="22" width="2.42578125" style="139" customWidth="1"/>
    <col min="23" max="23" width="3.28515625" style="139" customWidth="1"/>
    <col min="24" max="24" width="2.7109375" style="139" customWidth="1"/>
    <col min="25" max="25" width="3.28515625" style="139" customWidth="1"/>
    <col min="26" max="26" width="4.42578125" style="139" customWidth="1"/>
    <col min="27" max="27" width="10" style="139" customWidth="1"/>
    <col min="28" max="28" width="5.5703125" style="139" customWidth="1"/>
    <col min="29" max="29" width="8.140625" style="139" customWidth="1"/>
    <col min="30" max="30" width="5.42578125" style="139" customWidth="1"/>
    <col min="31" max="31" width="5.28515625" style="139" customWidth="1"/>
    <col min="32" max="32" width="4.28515625" style="139" customWidth="1"/>
    <col min="33" max="33" width="3.85546875" style="139" customWidth="1"/>
    <col min="34" max="34" width="4.140625" style="139" customWidth="1"/>
    <col min="35" max="35" width="3.85546875" style="139" customWidth="1"/>
    <col min="36" max="36" width="11.42578125" style="139" customWidth="1"/>
    <col min="37" max="37" width="6.42578125" style="139" customWidth="1"/>
    <col min="38" max="38" width="14.42578125" style="139" customWidth="1"/>
    <col min="39" max="39" width="11.42578125" style="139" customWidth="1"/>
    <col min="40" max="40" width="17.5703125" style="139" customWidth="1"/>
    <col min="41" max="41" width="10" style="139" customWidth="1"/>
    <col min="42" max="42" width="5.140625" style="139" customWidth="1"/>
    <col min="43" max="43" width="8.140625" style="139" customWidth="1"/>
    <col min="44" max="44" width="26.140625" style="139" customWidth="1"/>
    <col min="45" max="49" width="10.7109375" style="139" customWidth="1"/>
    <col min="50" max="16384" width="14.42578125" style="139"/>
  </cols>
  <sheetData>
    <row r="1" spans="1:49" ht="8.25" customHeight="1">
      <c r="A1" s="440"/>
      <c r="B1" s="137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318"/>
      <c r="AA1" s="318"/>
      <c r="AB1" s="318"/>
      <c r="AC1" s="318"/>
      <c r="AD1" s="318"/>
      <c r="AE1" s="318"/>
      <c r="AF1" s="318"/>
      <c r="AG1" s="318"/>
      <c r="AH1" s="318"/>
      <c r="AI1" s="318"/>
      <c r="AJ1" s="318"/>
      <c r="AK1" s="318"/>
      <c r="AL1" s="318"/>
      <c r="AM1" s="318"/>
      <c r="AN1" s="318"/>
      <c r="AO1" s="318"/>
      <c r="AP1" s="318"/>
      <c r="AQ1" s="318"/>
      <c r="AR1" s="318"/>
      <c r="AS1" s="318"/>
      <c r="AT1" s="318"/>
      <c r="AU1" s="318"/>
      <c r="AV1" s="318"/>
      <c r="AW1" s="318"/>
    </row>
    <row r="2" spans="1:49" ht="8.25" customHeight="1">
      <c r="B2" s="140"/>
      <c r="C2" s="140"/>
      <c r="D2" s="141"/>
      <c r="E2" s="140"/>
      <c r="F2" s="140"/>
      <c r="G2" s="140"/>
      <c r="H2" s="140"/>
      <c r="I2" s="140"/>
      <c r="J2" s="140"/>
      <c r="K2" s="136"/>
      <c r="L2" s="140"/>
      <c r="M2" s="140"/>
      <c r="N2" s="140"/>
      <c r="O2" s="140"/>
      <c r="P2" s="602" t="s">
        <v>218</v>
      </c>
      <c r="Q2" s="572"/>
      <c r="R2" s="572"/>
      <c r="S2" s="573"/>
      <c r="T2" s="142"/>
      <c r="U2" s="142"/>
      <c r="V2" s="142"/>
      <c r="W2" s="142"/>
      <c r="X2" s="143"/>
      <c r="Y2" s="142"/>
      <c r="Z2" s="140"/>
      <c r="AA2" s="140"/>
      <c r="AB2" s="318"/>
      <c r="AC2" s="318"/>
      <c r="AD2" s="318"/>
      <c r="AE2" s="318"/>
      <c r="AF2" s="318"/>
      <c r="AG2" s="318"/>
      <c r="AH2" s="318"/>
      <c r="AI2" s="318"/>
      <c r="AJ2" s="318"/>
      <c r="AK2" s="318"/>
      <c r="AL2" s="318"/>
      <c r="AM2" s="318"/>
      <c r="AN2" s="318"/>
      <c r="AO2" s="318"/>
      <c r="AP2" s="318"/>
      <c r="AQ2" s="318"/>
      <c r="AR2" s="318"/>
      <c r="AS2" s="318"/>
      <c r="AT2" s="318"/>
      <c r="AU2" s="318"/>
      <c r="AV2" s="318"/>
      <c r="AW2" s="318"/>
    </row>
    <row r="3" spans="1:49" ht="21.75" customHeight="1">
      <c r="A3" s="137"/>
      <c r="B3" s="146" t="s">
        <v>203</v>
      </c>
      <c r="C3" s="147" t="s">
        <v>32</v>
      </c>
      <c r="D3" s="148" t="s">
        <v>229</v>
      </c>
      <c r="E3" s="149" t="s">
        <v>206</v>
      </c>
      <c r="F3" s="150" t="s">
        <v>207</v>
      </c>
      <c r="G3" s="151" t="s">
        <v>208</v>
      </c>
      <c r="H3" s="152" t="s">
        <v>209</v>
      </c>
      <c r="I3" s="153" t="s">
        <v>230</v>
      </c>
      <c r="J3" s="152" t="s">
        <v>231</v>
      </c>
      <c r="K3" s="154" t="s">
        <v>203</v>
      </c>
      <c r="L3" s="155" t="s">
        <v>232</v>
      </c>
      <c r="M3" s="156" t="s">
        <v>233</v>
      </c>
      <c r="N3" s="156" t="s">
        <v>234</v>
      </c>
      <c r="O3" s="157" t="s">
        <v>235</v>
      </c>
      <c r="P3" s="158" t="s">
        <v>206</v>
      </c>
      <c r="Q3" s="159" t="s">
        <v>207</v>
      </c>
      <c r="R3" s="159" t="s">
        <v>208</v>
      </c>
      <c r="S3" s="160" t="s">
        <v>209</v>
      </c>
      <c r="T3" s="161" t="s">
        <v>236</v>
      </c>
      <c r="U3" s="156" t="s">
        <v>237</v>
      </c>
      <c r="V3" s="156" t="s">
        <v>210</v>
      </c>
      <c r="W3" s="156" t="s">
        <v>240</v>
      </c>
      <c r="X3" s="162" t="s">
        <v>35</v>
      </c>
      <c r="Y3" s="157" t="s">
        <v>211</v>
      </c>
      <c r="Z3" s="153" t="s">
        <v>212</v>
      </c>
      <c r="AA3" s="163" t="s">
        <v>241</v>
      </c>
      <c r="AB3" s="136"/>
      <c r="AC3" s="146" t="s">
        <v>242</v>
      </c>
      <c r="AD3" s="153" t="s">
        <v>233</v>
      </c>
      <c r="AE3" s="150" t="s">
        <v>243</v>
      </c>
      <c r="AF3" s="164" t="str">
        <f>"+MA"</f>
        <v>+MA</v>
      </c>
      <c r="AG3" s="150" t="str">
        <f>"+ST"</f>
        <v>+ST</v>
      </c>
      <c r="AH3" s="150" t="str">
        <f>"+AG"</f>
        <v>+AG</v>
      </c>
      <c r="AI3" s="150" t="str">
        <f>"+AV"</f>
        <v>+AV</v>
      </c>
      <c r="AJ3" s="163" t="s">
        <v>244</v>
      </c>
      <c r="AK3" s="136"/>
      <c r="AL3" s="136"/>
      <c r="AM3" s="601" t="s">
        <v>245</v>
      </c>
      <c r="AN3" s="575"/>
      <c r="AO3" s="136"/>
      <c r="AP3" s="136"/>
      <c r="AQ3" s="136"/>
      <c r="AR3" s="601" t="s">
        <v>246</v>
      </c>
      <c r="AS3" s="575"/>
      <c r="AT3" s="575"/>
      <c r="AU3" s="575"/>
      <c r="AV3" s="136"/>
      <c r="AW3" s="136"/>
    </row>
    <row r="4" spans="1:49" ht="17.25" customHeight="1">
      <c r="A4" s="321"/>
      <c r="B4" s="322">
        <v>1</v>
      </c>
      <c r="C4" s="443" t="s">
        <v>271</v>
      </c>
      <c r="D4" s="444" t="s">
        <v>98</v>
      </c>
      <c r="E4" s="168">
        <f>IFERROR(VLOOKUP($I$22&amp;$D4,'Development-Hidden'!$C$2:$J$118,4,FALSE)-P4+AF4,"")</f>
        <v>4</v>
      </c>
      <c r="F4" s="169">
        <f>IFERROR(VLOOKUP($I$22&amp;$D4,'Development-Hidden'!$C$2:$J$118,5,FALSE)-Q4+AG4,"")</f>
        <v>3</v>
      </c>
      <c r="G4" s="169">
        <f>IFERROR(VLOOKUP($I$22&amp;$D4,'Development-Hidden'!$C$2:$J$118,6,FALSE)-R4+AH4,"")</f>
        <v>2</v>
      </c>
      <c r="H4" s="170">
        <f>IFERROR(VLOOKUP($I$22&amp;$D4,'Development-Hidden'!$C$2:$J$118,7,FALSE)-S4+AI4,"")</f>
        <v>9</v>
      </c>
      <c r="I4" s="171" t="str">
        <f>IFERROR(VLOOKUP($I$22&amp;$D4,'Development-Hidden'!$C$2:$J$118,8,FALSE),"")</f>
        <v>Block, Tackle, Thick Skull</v>
      </c>
      <c r="J4" s="172" t="s">
        <v>377</v>
      </c>
      <c r="K4" s="326">
        <f t="shared" ref="K4:K19" si="0">IF(Z4&gt;175,6,IF(Z4&gt;75,5,IF(Z4&gt;50,4,IF(Z4&gt;30,3,IF(Z4&gt;15,2,IF(Z4&gt;5,1,0))))))</f>
        <v>1</v>
      </c>
      <c r="L4" s="327"/>
      <c r="M4" s="327"/>
      <c r="N4" s="327">
        <v>1</v>
      </c>
      <c r="O4" s="327"/>
      <c r="P4" s="328"/>
      <c r="Q4" s="329"/>
      <c r="R4" s="330"/>
      <c r="S4" s="331"/>
      <c r="T4" s="332"/>
      <c r="U4" s="271"/>
      <c r="V4" s="332"/>
      <c r="W4" s="271">
        <v>1</v>
      </c>
      <c r="X4" s="333"/>
      <c r="Y4" s="334">
        <v>1</v>
      </c>
      <c r="Z4" s="184">
        <f t="shared" ref="Z4:Z19" si="1">2*T4+U4+3*V4+2*W4+5*Y4</f>
        <v>7</v>
      </c>
      <c r="AA4" s="183">
        <f t="shared" ref="AA4:AA19" si="2">IF(L4=1,0,AC4+(20000*O4)+(20000*AD4)+(30000*AE4)+(30000*AF4)+(50000*AG4)+(40000*AH4)+(50000*AI4)+AJ4)</f>
        <v>90000</v>
      </c>
      <c r="AB4" s="136"/>
      <c r="AC4" s="184">
        <f>IFERROR(VLOOKUP($I$22&amp;D4,'Development-Hidden'!$C$2:$E$118,3,FALSE),"")</f>
        <v>70000</v>
      </c>
      <c r="AD4" s="335">
        <v>1</v>
      </c>
      <c r="AE4" s="335"/>
      <c r="AF4" s="335"/>
      <c r="AG4" s="335"/>
      <c r="AH4" s="335"/>
      <c r="AI4" s="335"/>
      <c r="AJ4" s="335"/>
      <c r="AK4" s="318"/>
      <c r="AL4" s="336" t="s">
        <v>252</v>
      </c>
      <c r="AM4" s="337">
        <v>60000</v>
      </c>
      <c r="AN4" s="318"/>
      <c r="AO4" s="318"/>
      <c r="AP4" s="318"/>
      <c r="AQ4" s="338" t="s">
        <v>391</v>
      </c>
      <c r="AR4" s="339">
        <v>6</v>
      </c>
    </row>
    <row r="5" spans="1:49" ht="17.25" customHeight="1">
      <c r="A5" s="321"/>
      <c r="B5" s="340">
        <v>2</v>
      </c>
      <c r="C5" s="445" t="s">
        <v>272</v>
      </c>
      <c r="D5" s="446" t="s">
        <v>98</v>
      </c>
      <c r="E5" s="195">
        <f>IFERROR(VLOOKUP($I$22&amp;$D5,'Development-Hidden'!$C$2:$J$118,4,FALSE)-P5+AF5,"")</f>
        <v>3</v>
      </c>
      <c r="F5" s="196">
        <f>IFERROR(VLOOKUP($I$22&amp;$D5,'Development-Hidden'!$C$2:$J$118,5,FALSE)-Q5+AG5,"")</f>
        <v>3</v>
      </c>
      <c r="G5" s="196">
        <f>IFERROR(VLOOKUP($I$22&amp;$D5,'Development-Hidden'!$C$2:$J$118,6,FALSE)-R5+AH5,"")</f>
        <v>2</v>
      </c>
      <c r="H5" s="197">
        <f>IFERROR(VLOOKUP($I$22&amp;$D5,'Development-Hidden'!$C$2:$J$118,7,FALSE)-S5+AI5,"")</f>
        <v>9</v>
      </c>
      <c r="I5" s="171" t="str">
        <f>IFERROR(VLOOKUP($I$22&amp;$D5,'Development-Hidden'!$C$2:$J$118,8,FALSE),"")</f>
        <v>Block, Tackle, Thick Skull</v>
      </c>
      <c r="J5" s="199" t="s">
        <v>377</v>
      </c>
      <c r="K5" s="343">
        <f t="shared" si="0"/>
        <v>1</v>
      </c>
      <c r="L5" s="344"/>
      <c r="M5" s="344"/>
      <c r="N5" s="344">
        <v>1</v>
      </c>
      <c r="O5" s="344"/>
      <c r="P5" s="345">
        <v>1</v>
      </c>
      <c r="Q5" s="346"/>
      <c r="R5" s="347"/>
      <c r="S5" s="348"/>
      <c r="T5" s="349"/>
      <c r="U5" s="274"/>
      <c r="V5" s="349"/>
      <c r="W5" s="274">
        <v>1</v>
      </c>
      <c r="X5" s="350"/>
      <c r="Y5" s="351">
        <v>1</v>
      </c>
      <c r="Z5" s="210">
        <f t="shared" si="1"/>
        <v>7</v>
      </c>
      <c r="AA5" s="183">
        <f t="shared" si="2"/>
        <v>90000</v>
      </c>
      <c r="AB5" s="136"/>
      <c r="AC5" s="210">
        <f>IFERROR(VLOOKUP($I$22&amp;D5,'Development-Hidden'!$C$2:$E$118,3,FALSE),"")</f>
        <v>70000</v>
      </c>
      <c r="AD5" s="352">
        <v>1</v>
      </c>
      <c r="AE5" s="352"/>
      <c r="AF5" s="352"/>
      <c r="AG5" s="352"/>
      <c r="AH5" s="352"/>
      <c r="AI5" s="352"/>
      <c r="AJ5" s="352"/>
      <c r="AK5" s="318"/>
      <c r="AL5" s="353"/>
      <c r="AM5" s="353"/>
      <c r="AN5" s="353"/>
      <c r="AO5" s="353"/>
      <c r="AP5" s="353"/>
    </row>
    <row r="6" spans="1:49" ht="17.25" customHeight="1">
      <c r="A6" s="321"/>
      <c r="B6" s="340">
        <v>3</v>
      </c>
      <c r="C6" s="445" t="s">
        <v>97</v>
      </c>
      <c r="D6" s="446" t="s">
        <v>98</v>
      </c>
      <c r="E6" s="195">
        <f>IFERROR(VLOOKUP($I$22&amp;$D6,'Development-Hidden'!$C$2:$J$118,4,FALSE)-P6+AF6,"")</f>
        <v>4</v>
      </c>
      <c r="F6" s="196">
        <f>IFERROR(VLOOKUP($I$22&amp;$D6,'Development-Hidden'!$C$2:$J$118,5,FALSE)-Q6+AG6,"")</f>
        <v>3</v>
      </c>
      <c r="G6" s="196">
        <f>IFERROR(VLOOKUP($I$22&amp;$D6,'Development-Hidden'!$C$2:$J$118,6,FALSE)-R6+AH6,"")</f>
        <v>2</v>
      </c>
      <c r="H6" s="197">
        <f>IFERROR(VLOOKUP($I$22&amp;$D6,'Development-Hidden'!$C$2:$J$118,7,FALSE)-S6+AI6,"")</f>
        <v>9</v>
      </c>
      <c r="I6" s="171" t="str">
        <f>IFERROR(VLOOKUP($I$22&amp;$D6,'Development-Hidden'!$C$2:$J$118,8,FALSE),"")</f>
        <v>Block, Tackle, Thick Skull</v>
      </c>
      <c r="J6" s="199" t="s">
        <v>381</v>
      </c>
      <c r="K6" s="343">
        <f t="shared" si="0"/>
        <v>2</v>
      </c>
      <c r="L6" s="344"/>
      <c r="M6" s="344"/>
      <c r="N6" s="344">
        <v>1</v>
      </c>
      <c r="O6" s="344"/>
      <c r="P6" s="345"/>
      <c r="Q6" s="346"/>
      <c r="R6" s="347"/>
      <c r="S6" s="348"/>
      <c r="T6" s="349"/>
      <c r="U6" s="274"/>
      <c r="V6" s="349"/>
      <c r="W6" s="274">
        <v>4</v>
      </c>
      <c r="X6" s="350"/>
      <c r="Y6" s="351">
        <v>2</v>
      </c>
      <c r="Z6" s="210">
        <f t="shared" si="1"/>
        <v>18</v>
      </c>
      <c r="AA6" s="183">
        <f t="shared" si="2"/>
        <v>120000</v>
      </c>
      <c r="AB6" s="136"/>
      <c r="AC6" s="210">
        <f>IFERROR(VLOOKUP($I$22&amp;D6,'Development-Hidden'!$C$2:$E$118,3,FALSE),"")</f>
        <v>70000</v>
      </c>
      <c r="AD6" s="352">
        <v>1</v>
      </c>
      <c r="AE6" s="352">
        <v>1</v>
      </c>
      <c r="AF6" s="352"/>
      <c r="AG6" s="352"/>
      <c r="AH6" s="352"/>
      <c r="AI6" s="352"/>
      <c r="AJ6" s="352"/>
      <c r="AK6" s="318"/>
      <c r="AL6" s="212" t="s">
        <v>256</v>
      </c>
      <c r="AM6" s="212" t="s">
        <v>257</v>
      </c>
      <c r="AN6" s="212" t="s">
        <v>258</v>
      </c>
      <c r="AO6" s="354" t="s">
        <v>400</v>
      </c>
      <c r="AP6" s="353"/>
      <c r="AQ6" s="212" t="s">
        <v>256</v>
      </c>
      <c r="AR6" s="212" t="s">
        <v>260</v>
      </c>
      <c r="AS6" s="212" t="s">
        <v>261</v>
      </c>
      <c r="AT6" s="354" t="s">
        <v>401</v>
      </c>
      <c r="AU6" s="354" t="s">
        <v>262</v>
      </c>
      <c r="AV6" s="355" t="s">
        <v>402</v>
      </c>
      <c r="AW6" s="447"/>
    </row>
    <row r="7" spans="1:49" ht="17.25" customHeight="1">
      <c r="A7" s="321"/>
      <c r="B7" s="340">
        <v>4</v>
      </c>
      <c r="C7" s="445" t="s">
        <v>273</v>
      </c>
      <c r="D7" s="446" t="s">
        <v>98</v>
      </c>
      <c r="E7" s="195">
        <f>IFERROR(VLOOKUP($I$22&amp;$D7,'Development-Hidden'!$C$2:$J$118,4,FALSE)-P7+AF7,"")</f>
        <v>4</v>
      </c>
      <c r="F7" s="196">
        <f>IFERROR(VLOOKUP($I$22&amp;$D7,'Development-Hidden'!$C$2:$J$118,5,FALSE)-Q7+AG7,"")</f>
        <v>3</v>
      </c>
      <c r="G7" s="196">
        <f>IFERROR(VLOOKUP($I$22&amp;$D7,'Development-Hidden'!$C$2:$J$118,6,FALSE)-R7+AH7,"")</f>
        <v>2</v>
      </c>
      <c r="H7" s="197">
        <f>IFERROR(VLOOKUP($I$22&amp;$D7,'Development-Hidden'!$C$2:$J$118,7,FALSE)-S7+AI7,"")</f>
        <v>9</v>
      </c>
      <c r="I7" s="171" t="str">
        <f>IFERROR(VLOOKUP($I$22&amp;$D7,'Development-Hidden'!$C$2:$J$118,8,FALSE),"")</f>
        <v>Block, Tackle, Thick Skull</v>
      </c>
      <c r="J7" s="199" t="s">
        <v>377</v>
      </c>
      <c r="K7" s="343">
        <f t="shared" si="0"/>
        <v>1</v>
      </c>
      <c r="L7" s="344"/>
      <c r="M7" s="344"/>
      <c r="N7" s="344">
        <v>1</v>
      </c>
      <c r="O7" s="344"/>
      <c r="P7" s="345"/>
      <c r="Q7" s="346"/>
      <c r="R7" s="347"/>
      <c r="S7" s="348"/>
      <c r="T7" s="349"/>
      <c r="U7" s="274"/>
      <c r="V7" s="349"/>
      <c r="W7" s="274">
        <v>1</v>
      </c>
      <c r="X7" s="350"/>
      <c r="Y7" s="351">
        <v>1</v>
      </c>
      <c r="Z7" s="210">
        <f t="shared" si="1"/>
        <v>7</v>
      </c>
      <c r="AA7" s="183">
        <f t="shared" si="2"/>
        <v>90000</v>
      </c>
      <c r="AB7" s="136"/>
      <c r="AC7" s="210">
        <f>IFERROR(VLOOKUP($I$22&amp;D7,'Development-Hidden'!$C$2:$E$118,3,FALSE),"")</f>
        <v>70000</v>
      </c>
      <c r="AD7" s="352">
        <v>1</v>
      </c>
      <c r="AE7" s="352"/>
      <c r="AF7" s="352"/>
      <c r="AG7" s="352"/>
      <c r="AH7" s="352"/>
      <c r="AI7" s="352"/>
      <c r="AJ7" s="352"/>
      <c r="AK7" s="318"/>
      <c r="AL7" s="357" t="s">
        <v>267</v>
      </c>
      <c r="AM7" s="187">
        <v>30000</v>
      </c>
      <c r="AN7" s="358"/>
      <c r="AO7" s="359"/>
      <c r="AP7" s="318"/>
      <c r="AQ7" s="357" t="s">
        <v>267</v>
      </c>
      <c r="AR7" s="358" t="s">
        <v>40</v>
      </c>
      <c r="AS7" s="358" t="s">
        <v>461</v>
      </c>
      <c r="AT7" s="187">
        <v>0</v>
      </c>
      <c r="AU7" s="359">
        <v>3</v>
      </c>
      <c r="AV7" s="360">
        <v>0</v>
      </c>
      <c r="AW7" s="448"/>
    </row>
    <row r="8" spans="1:49" ht="17.25" customHeight="1">
      <c r="A8" s="321"/>
      <c r="B8" s="340">
        <v>5</v>
      </c>
      <c r="C8" s="445" t="s">
        <v>274</v>
      </c>
      <c r="D8" s="446" t="s">
        <v>98</v>
      </c>
      <c r="E8" s="195">
        <f>IFERROR(VLOOKUP($I$22&amp;$D8,'Development-Hidden'!$C$2:$J$118,4,FALSE)-P8+AF8,"")</f>
        <v>4</v>
      </c>
      <c r="F8" s="196">
        <f>IFERROR(VLOOKUP($I$22&amp;$D8,'Development-Hidden'!$C$2:$J$118,5,FALSE)-Q8+AG8,"")</f>
        <v>3</v>
      </c>
      <c r="G8" s="196">
        <f>IFERROR(VLOOKUP($I$22&amp;$D8,'Development-Hidden'!$C$2:$J$118,6,FALSE)-R8+AH8,"")</f>
        <v>2</v>
      </c>
      <c r="H8" s="197">
        <f>IFERROR(VLOOKUP($I$22&amp;$D8,'Development-Hidden'!$C$2:$J$118,7,FALSE)-S8+AI8,"")</f>
        <v>9</v>
      </c>
      <c r="I8" s="171" t="str">
        <f>IFERROR(VLOOKUP($I$22&amp;$D8,'Development-Hidden'!$C$2:$J$118,8,FALSE),"")</f>
        <v>Block, Tackle, Thick Skull</v>
      </c>
      <c r="J8" s="199" t="s">
        <v>377</v>
      </c>
      <c r="K8" s="343">
        <f t="shared" si="0"/>
        <v>1</v>
      </c>
      <c r="L8" s="344"/>
      <c r="M8" s="344"/>
      <c r="N8" s="344">
        <v>1</v>
      </c>
      <c r="O8" s="344"/>
      <c r="P8" s="345"/>
      <c r="Q8" s="346"/>
      <c r="R8" s="347"/>
      <c r="S8" s="348"/>
      <c r="T8" s="349"/>
      <c r="U8" s="274"/>
      <c r="V8" s="349"/>
      <c r="W8" s="274">
        <v>1</v>
      </c>
      <c r="X8" s="350"/>
      <c r="Y8" s="351">
        <v>1</v>
      </c>
      <c r="Z8" s="210">
        <f t="shared" si="1"/>
        <v>7</v>
      </c>
      <c r="AA8" s="183">
        <f t="shared" si="2"/>
        <v>90000</v>
      </c>
      <c r="AB8" s="136"/>
      <c r="AC8" s="210">
        <f>IFERROR(VLOOKUP($I$22&amp;D8,'Development-Hidden'!$C$2:$E$118,3,FALSE),"")</f>
        <v>70000</v>
      </c>
      <c r="AD8" s="352">
        <v>1</v>
      </c>
      <c r="AE8" s="352"/>
      <c r="AF8" s="352"/>
      <c r="AG8" s="352"/>
      <c r="AH8" s="352"/>
      <c r="AI8" s="352"/>
      <c r="AJ8" s="352"/>
      <c r="AK8" s="318"/>
      <c r="AL8" s="357" t="s">
        <v>278</v>
      </c>
      <c r="AM8" s="187">
        <v>70000</v>
      </c>
      <c r="AN8" s="358"/>
      <c r="AO8" s="359"/>
      <c r="AP8" s="318"/>
      <c r="AQ8" s="357" t="s">
        <v>278</v>
      </c>
      <c r="AR8" s="358" t="s">
        <v>11</v>
      </c>
      <c r="AS8" s="358" t="s">
        <v>441</v>
      </c>
      <c r="AT8" s="187">
        <v>2</v>
      </c>
      <c r="AU8" s="359">
        <v>4</v>
      </c>
      <c r="AV8" s="360">
        <v>1</v>
      </c>
      <c r="AW8" s="448"/>
    </row>
    <row r="9" spans="1:49" ht="17.25" customHeight="1">
      <c r="A9" s="321"/>
      <c r="B9" s="340">
        <v>6</v>
      </c>
      <c r="C9" s="445" t="s">
        <v>248</v>
      </c>
      <c r="D9" s="446" t="s">
        <v>98</v>
      </c>
      <c r="E9" s="195">
        <f>IFERROR(VLOOKUP($I$22&amp;$D9,'Development-Hidden'!$C$2:$J$118,4,FALSE)-P9+AF9,"")</f>
        <v>4</v>
      </c>
      <c r="F9" s="196">
        <f>IFERROR(VLOOKUP($I$22&amp;$D9,'Development-Hidden'!$C$2:$J$118,5,FALSE)-Q9+AG9,"")</f>
        <v>3</v>
      </c>
      <c r="G9" s="196">
        <f>IFERROR(VLOOKUP($I$22&amp;$D9,'Development-Hidden'!$C$2:$J$118,6,FALSE)-R9+AH9,"")</f>
        <v>2</v>
      </c>
      <c r="H9" s="197">
        <f>IFERROR(VLOOKUP($I$22&amp;$D9,'Development-Hidden'!$C$2:$J$118,7,FALSE)-S9+AI9,"")</f>
        <v>9</v>
      </c>
      <c r="I9" s="171" t="str">
        <f>IFERROR(VLOOKUP($I$22&amp;$D9,'Development-Hidden'!$C$2:$J$118,8,FALSE),"")</f>
        <v>Block, Tackle, Thick Skull</v>
      </c>
      <c r="J9" s="199" t="s">
        <v>377</v>
      </c>
      <c r="K9" s="343">
        <f t="shared" si="0"/>
        <v>1</v>
      </c>
      <c r="L9" s="344"/>
      <c r="M9" s="344"/>
      <c r="N9" s="344">
        <v>1</v>
      </c>
      <c r="O9" s="344"/>
      <c r="P9" s="345"/>
      <c r="Q9" s="346"/>
      <c r="R9" s="347"/>
      <c r="S9" s="348"/>
      <c r="T9" s="349"/>
      <c r="U9" s="274"/>
      <c r="V9" s="349"/>
      <c r="W9" s="274">
        <v>2</v>
      </c>
      <c r="X9" s="350"/>
      <c r="Y9" s="351">
        <v>1</v>
      </c>
      <c r="Z9" s="210">
        <f t="shared" si="1"/>
        <v>9</v>
      </c>
      <c r="AA9" s="183">
        <f t="shared" si="2"/>
        <v>90000</v>
      </c>
      <c r="AB9" s="136"/>
      <c r="AC9" s="210">
        <f>IFERROR(VLOOKUP($I$22&amp;D9,'Development-Hidden'!$C$2:$E$118,3,FALSE),"")</f>
        <v>70000</v>
      </c>
      <c r="AD9" s="352">
        <v>1</v>
      </c>
      <c r="AE9" s="352"/>
      <c r="AF9" s="352"/>
      <c r="AG9" s="352"/>
      <c r="AH9" s="352"/>
      <c r="AI9" s="352"/>
      <c r="AJ9" s="352"/>
      <c r="AK9" s="318"/>
      <c r="AL9" s="357" t="s">
        <v>289</v>
      </c>
      <c r="AM9" s="187">
        <v>30000</v>
      </c>
      <c r="AN9" s="358">
        <v>80000</v>
      </c>
      <c r="AO9" s="359"/>
      <c r="AP9" s="318"/>
      <c r="AQ9" s="357" t="s">
        <v>289</v>
      </c>
      <c r="AR9" s="358" t="s">
        <v>22</v>
      </c>
      <c r="AS9" s="358" t="s">
        <v>462</v>
      </c>
      <c r="AT9" s="187">
        <v>0</v>
      </c>
      <c r="AU9" s="359">
        <v>2</v>
      </c>
      <c r="AV9" s="360">
        <v>0</v>
      </c>
      <c r="AW9" s="448"/>
    </row>
    <row r="10" spans="1:49" ht="17.25" customHeight="1">
      <c r="A10" s="321"/>
      <c r="B10" s="340">
        <v>7</v>
      </c>
      <c r="C10" s="314" t="s">
        <v>103</v>
      </c>
      <c r="D10" s="194" t="s">
        <v>71</v>
      </c>
      <c r="E10" s="195">
        <f>IFERROR(VLOOKUP($I$22&amp;$D10,'Development-Hidden'!$C$2:$J$118,4,FALSE)-P10+AF10,"")</f>
        <v>6</v>
      </c>
      <c r="F10" s="196">
        <f>IFERROR(VLOOKUP($I$22&amp;$D10,'Development-Hidden'!$C$2:$J$118,5,FALSE)-Q10+AG10,"")</f>
        <v>3</v>
      </c>
      <c r="G10" s="196">
        <f>IFERROR(VLOOKUP($I$22&amp;$D10,'Development-Hidden'!$C$2:$J$118,6,FALSE)-R10+AH10,"")</f>
        <v>3</v>
      </c>
      <c r="H10" s="197">
        <f>IFERROR(VLOOKUP($I$22&amp;$D10,'Development-Hidden'!$C$2:$J$118,7,FALSE)-S10+AI10,"")</f>
        <v>8</v>
      </c>
      <c r="I10" s="171" t="str">
        <f>IFERROR(VLOOKUP($I$22&amp;$D10,'Development-Hidden'!$C$2:$J$118,8,FALSE),"")</f>
        <v>Sure Hands, Thick Skull</v>
      </c>
      <c r="J10" s="199" t="s">
        <v>463</v>
      </c>
      <c r="K10" s="343">
        <f t="shared" si="0"/>
        <v>3</v>
      </c>
      <c r="L10" s="344"/>
      <c r="M10" s="344"/>
      <c r="N10" s="344">
        <v>1</v>
      </c>
      <c r="O10" s="344"/>
      <c r="P10" s="345"/>
      <c r="Q10" s="346"/>
      <c r="R10" s="347"/>
      <c r="S10" s="348"/>
      <c r="T10" s="349"/>
      <c r="U10" s="274">
        <v>5</v>
      </c>
      <c r="V10" s="349">
        <v>6</v>
      </c>
      <c r="W10" s="274">
        <v>5</v>
      </c>
      <c r="X10" s="350"/>
      <c r="Y10" s="351">
        <v>2</v>
      </c>
      <c r="Z10" s="210">
        <f t="shared" si="1"/>
        <v>43</v>
      </c>
      <c r="AA10" s="183">
        <f t="shared" si="2"/>
        <v>140000</v>
      </c>
      <c r="AB10" s="136"/>
      <c r="AC10" s="210">
        <f>IFERROR(VLOOKUP($I$22&amp;D10,'Development-Hidden'!$C$2:$E$118,3,FALSE),"")</f>
        <v>80000</v>
      </c>
      <c r="AD10" s="352">
        <v>3</v>
      </c>
      <c r="AE10" s="352"/>
      <c r="AF10" s="352"/>
      <c r="AG10" s="352"/>
      <c r="AH10" s="352"/>
      <c r="AI10" s="352"/>
      <c r="AJ10" s="352"/>
      <c r="AK10" s="318"/>
      <c r="AL10" s="357" t="s">
        <v>296</v>
      </c>
      <c r="AM10" s="187">
        <v>30000</v>
      </c>
      <c r="AN10" s="358"/>
      <c r="AO10" s="359"/>
      <c r="AP10" s="318"/>
      <c r="AQ10" s="357" t="s">
        <v>296</v>
      </c>
      <c r="AR10" s="358" t="s">
        <v>1</v>
      </c>
      <c r="AS10" s="358" t="s">
        <v>464</v>
      </c>
      <c r="AT10" s="187">
        <v>1</v>
      </c>
      <c r="AU10" s="359">
        <v>2</v>
      </c>
      <c r="AV10" s="360">
        <v>0</v>
      </c>
      <c r="AW10" s="448"/>
    </row>
    <row r="11" spans="1:49" ht="17.25" customHeight="1">
      <c r="A11" s="321"/>
      <c r="B11" s="380">
        <v>8</v>
      </c>
      <c r="C11" s="449" t="s">
        <v>465</v>
      </c>
      <c r="D11" s="450" t="s">
        <v>49</v>
      </c>
      <c r="E11" s="362">
        <f>IFERROR(VLOOKUP($I$22&amp;$D11,'Development-Hidden'!$C$2:$J$118,4,FALSE)-P11+AF11,"")</f>
        <v>5</v>
      </c>
      <c r="F11" s="363">
        <f>IFERROR(VLOOKUP($I$22&amp;$D11,'Development-Hidden'!$C$2:$J$118,5,FALSE)-Q11+AG11,"")</f>
        <v>3</v>
      </c>
      <c r="G11" s="363">
        <f>IFERROR(VLOOKUP($I$22&amp;$D11,'Development-Hidden'!$C$2:$J$118,6,FALSE)-R11+AH11,"")</f>
        <v>3</v>
      </c>
      <c r="H11" s="451">
        <f>IFERROR(VLOOKUP($I$22&amp;$D11,'Development-Hidden'!$C$2:$J$118,7,FALSE)-S11+AI11,"")</f>
        <v>9</v>
      </c>
      <c r="I11" s="452" t="str">
        <f>IFERROR(VLOOKUP($I$22&amp;$D11,'Development-Hidden'!$C$2:$J$118,8,FALSE),"")</f>
        <v>Block, Thick Skull</v>
      </c>
      <c r="J11" s="366" t="s">
        <v>466</v>
      </c>
      <c r="K11" s="367">
        <f t="shared" si="0"/>
        <v>1</v>
      </c>
      <c r="L11" s="344">
        <v>1</v>
      </c>
      <c r="M11" s="368"/>
      <c r="N11" s="368">
        <v>1</v>
      </c>
      <c r="O11" s="368"/>
      <c r="P11" s="369"/>
      <c r="Q11" s="370"/>
      <c r="R11" s="371"/>
      <c r="S11" s="372"/>
      <c r="T11" s="373"/>
      <c r="U11" s="374"/>
      <c r="V11" s="373">
        <v>2</v>
      </c>
      <c r="W11" s="374">
        <v>1</v>
      </c>
      <c r="X11" s="375"/>
      <c r="Y11" s="376">
        <v>1</v>
      </c>
      <c r="Z11" s="377">
        <f t="shared" si="1"/>
        <v>13</v>
      </c>
      <c r="AA11" s="378">
        <f t="shared" si="2"/>
        <v>0</v>
      </c>
      <c r="AB11" s="136"/>
      <c r="AC11" s="210">
        <f>IFERROR(VLOOKUP($I$22&amp;D11,'Development-Hidden'!$C$2:$E$118,3,FALSE),"")</f>
        <v>80000</v>
      </c>
      <c r="AD11" s="352">
        <v>1</v>
      </c>
      <c r="AE11" s="352"/>
      <c r="AF11" s="352"/>
      <c r="AG11" s="352"/>
      <c r="AH11" s="352"/>
      <c r="AI11" s="352"/>
      <c r="AJ11" s="352"/>
      <c r="AK11" s="318"/>
      <c r="AL11" s="357" t="s">
        <v>306</v>
      </c>
      <c r="AM11" s="187">
        <v>30000</v>
      </c>
      <c r="AN11" s="358"/>
      <c r="AO11" s="359"/>
      <c r="AP11" s="318"/>
      <c r="AQ11" s="357" t="s">
        <v>306</v>
      </c>
      <c r="AR11" s="358" t="s">
        <v>10</v>
      </c>
      <c r="AS11" s="358" t="s">
        <v>467</v>
      </c>
      <c r="AT11" s="187">
        <v>1</v>
      </c>
      <c r="AU11" s="359">
        <v>5</v>
      </c>
      <c r="AV11" s="360">
        <v>0</v>
      </c>
      <c r="AW11" s="448"/>
    </row>
    <row r="12" spans="1:49" ht="17.25" customHeight="1">
      <c r="A12" s="321"/>
      <c r="B12" s="340">
        <v>9</v>
      </c>
      <c r="C12" s="445" t="s">
        <v>81</v>
      </c>
      <c r="D12" s="446" t="s">
        <v>49</v>
      </c>
      <c r="E12" s="195">
        <f>IFERROR(VLOOKUP($I$22&amp;$D12,'Development-Hidden'!$C$2:$J$118,4,FALSE)-P12+AF12,"")</f>
        <v>5</v>
      </c>
      <c r="F12" s="196">
        <f>IFERROR(VLOOKUP($I$22&amp;$D12,'Development-Hidden'!$C$2:$J$118,5,FALSE)-Q12+AG12,"")</f>
        <v>3</v>
      </c>
      <c r="G12" s="196">
        <f>IFERROR(VLOOKUP($I$22&amp;$D12,'Development-Hidden'!$C$2:$J$118,6,FALSE)-R12+AH12,"")</f>
        <v>3</v>
      </c>
      <c r="H12" s="197">
        <f>IFERROR(VLOOKUP($I$22&amp;$D12,'Development-Hidden'!$C$2:$J$118,7,FALSE)-S12+AI12,"")</f>
        <v>9</v>
      </c>
      <c r="I12" s="171" t="str">
        <f>IFERROR(VLOOKUP($I$22&amp;$D12,'Development-Hidden'!$C$2:$J$118,8,FALSE),"")</f>
        <v>Block, Thick Skull</v>
      </c>
      <c r="J12" s="199" t="s">
        <v>468</v>
      </c>
      <c r="K12" s="343">
        <f t="shared" si="0"/>
        <v>2</v>
      </c>
      <c r="L12" s="344"/>
      <c r="M12" s="344"/>
      <c r="N12" s="344">
        <v>1</v>
      </c>
      <c r="O12" s="344"/>
      <c r="P12" s="345"/>
      <c r="Q12" s="346"/>
      <c r="R12" s="347"/>
      <c r="S12" s="348"/>
      <c r="T12" s="349"/>
      <c r="U12" s="274"/>
      <c r="V12" s="349">
        <v>2</v>
      </c>
      <c r="W12" s="274">
        <v>3</v>
      </c>
      <c r="X12" s="350"/>
      <c r="Y12" s="351">
        <v>2</v>
      </c>
      <c r="Z12" s="210">
        <f t="shared" si="1"/>
        <v>22</v>
      </c>
      <c r="AA12" s="183">
        <f t="shared" si="2"/>
        <v>120000</v>
      </c>
      <c r="AB12" s="136"/>
      <c r="AC12" s="210">
        <f>IFERROR(VLOOKUP($I$22&amp;D12,'Development-Hidden'!$C$2:$E$118,3,FALSE),"")</f>
        <v>80000</v>
      </c>
      <c r="AD12" s="352">
        <v>2</v>
      </c>
      <c r="AE12" s="352"/>
      <c r="AF12" s="352"/>
      <c r="AG12" s="352"/>
      <c r="AH12" s="352"/>
      <c r="AI12" s="352"/>
      <c r="AJ12" s="352"/>
      <c r="AK12" s="318"/>
      <c r="AL12" s="357" t="s">
        <v>316</v>
      </c>
      <c r="AM12" s="187">
        <v>80000</v>
      </c>
      <c r="AN12" s="358"/>
      <c r="AO12" s="359"/>
      <c r="AP12" s="318"/>
      <c r="AQ12" s="357" t="s">
        <v>316</v>
      </c>
      <c r="AR12" s="358" t="s">
        <v>6</v>
      </c>
      <c r="AS12" s="358" t="s">
        <v>443</v>
      </c>
      <c r="AT12" s="187">
        <v>1</v>
      </c>
      <c r="AU12" s="359">
        <v>4</v>
      </c>
      <c r="AV12" s="360">
        <v>-1</v>
      </c>
      <c r="AW12" s="448"/>
    </row>
    <row r="13" spans="1:49" ht="17.25" customHeight="1">
      <c r="A13" s="321"/>
      <c r="B13" s="340">
        <v>10</v>
      </c>
      <c r="C13" s="314" t="s">
        <v>109</v>
      </c>
      <c r="D13" s="194" t="s">
        <v>49</v>
      </c>
      <c r="E13" s="195">
        <f>IFERROR(VLOOKUP($I$22&amp;$D13,'Development-Hidden'!$C$2:$J$118,4,FALSE)-P13+AF13,"")</f>
        <v>5</v>
      </c>
      <c r="F13" s="196">
        <f>IFERROR(VLOOKUP($I$22&amp;$D13,'Development-Hidden'!$C$2:$J$118,5,FALSE)-Q13+AG13,"")</f>
        <v>3</v>
      </c>
      <c r="G13" s="196">
        <f>IFERROR(VLOOKUP($I$22&amp;$D13,'Development-Hidden'!$C$2:$J$118,6,FALSE)-R13+AH13,"")</f>
        <v>3</v>
      </c>
      <c r="H13" s="197">
        <f>IFERROR(VLOOKUP($I$22&amp;$D13,'Development-Hidden'!$C$2:$J$118,7,FALSE)-S13+AI13,"")</f>
        <v>9</v>
      </c>
      <c r="I13" s="171" t="str">
        <f>IFERROR(VLOOKUP($I$22&amp;$D13,'Development-Hidden'!$C$2:$J$118,8,FALSE),"")</f>
        <v>Block, Thick Skull</v>
      </c>
      <c r="J13" s="199" t="s">
        <v>399</v>
      </c>
      <c r="K13" s="343">
        <f t="shared" si="0"/>
        <v>1</v>
      </c>
      <c r="L13" s="344"/>
      <c r="M13" s="344"/>
      <c r="N13" s="344">
        <v>0</v>
      </c>
      <c r="O13" s="344"/>
      <c r="P13" s="345"/>
      <c r="Q13" s="346"/>
      <c r="R13" s="347"/>
      <c r="S13" s="348"/>
      <c r="T13" s="349"/>
      <c r="U13" s="274"/>
      <c r="V13" s="349">
        <v>1</v>
      </c>
      <c r="W13" s="274">
        <v>1</v>
      </c>
      <c r="X13" s="350"/>
      <c r="Y13" s="351">
        <v>1</v>
      </c>
      <c r="Z13" s="210">
        <f t="shared" si="1"/>
        <v>10</v>
      </c>
      <c r="AA13" s="183">
        <f t="shared" si="2"/>
        <v>100000</v>
      </c>
      <c r="AB13" s="136"/>
      <c r="AC13" s="210">
        <f>IFERROR(VLOOKUP($I$22&amp;D13,'Development-Hidden'!$C$2:$E$118,3,FALSE),"")</f>
        <v>80000</v>
      </c>
      <c r="AD13" s="352">
        <v>1</v>
      </c>
      <c r="AE13" s="352"/>
      <c r="AF13" s="352"/>
      <c r="AG13" s="352"/>
      <c r="AH13" s="352"/>
      <c r="AI13" s="352"/>
      <c r="AJ13" s="352"/>
      <c r="AK13" s="318"/>
      <c r="AL13" s="357" t="s">
        <v>330</v>
      </c>
      <c r="AM13" s="187"/>
      <c r="AN13" s="358"/>
      <c r="AO13" s="359"/>
      <c r="AP13" s="318"/>
      <c r="AQ13" s="357" t="s">
        <v>330</v>
      </c>
      <c r="AR13" s="358"/>
      <c r="AS13" s="358"/>
      <c r="AT13" s="187"/>
      <c r="AU13" s="359"/>
      <c r="AV13" s="360"/>
      <c r="AW13" s="448"/>
    </row>
    <row r="14" spans="1:49" ht="17.25" customHeight="1">
      <c r="A14" s="321"/>
      <c r="B14" s="380">
        <v>11</v>
      </c>
      <c r="C14" s="449" t="s">
        <v>164</v>
      </c>
      <c r="D14" s="450" t="s">
        <v>43</v>
      </c>
      <c r="E14" s="362">
        <f>IFERROR(VLOOKUP($I$22&amp;$D14,'Development-Hidden'!$C$2:$J$118,4,FALSE)-P14+AF14,"")</f>
        <v>5</v>
      </c>
      <c r="F14" s="363">
        <f>IFERROR(VLOOKUP($I$22&amp;$D14,'Development-Hidden'!$C$2:$J$118,5,FALSE)-Q14+AG14,"")</f>
        <v>3</v>
      </c>
      <c r="G14" s="363">
        <f>IFERROR(VLOOKUP($I$22&amp;$D14,'Development-Hidden'!$C$2:$J$118,6,FALSE)-R14+AH14,"")</f>
        <v>2</v>
      </c>
      <c r="H14" s="451">
        <f>IFERROR(VLOOKUP($I$22&amp;$D14,'Development-Hidden'!$C$2:$J$118,7,FALSE)-S14+AI14,"")</f>
        <v>8</v>
      </c>
      <c r="I14" s="452" t="str">
        <f>IFERROR(VLOOKUP($I$22&amp;$D14,'Development-Hidden'!$C$2:$J$118,8,FALSE),"")</f>
        <v>Block, Dauntless, Frenzy, Thick Skull</v>
      </c>
      <c r="J14" s="366" t="s">
        <v>469</v>
      </c>
      <c r="K14" s="367">
        <f t="shared" si="0"/>
        <v>3</v>
      </c>
      <c r="L14" s="344">
        <v>1</v>
      </c>
      <c r="M14" s="368"/>
      <c r="N14" s="368">
        <v>1</v>
      </c>
      <c r="O14" s="368"/>
      <c r="P14" s="369"/>
      <c r="Q14" s="370"/>
      <c r="R14" s="371"/>
      <c r="S14" s="372"/>
      <c r="T14" s="373"/>
      <c r="U14" s="374"/>
      <c r="V14" s="373"/>
      <c r="W14" s="374">
        <v>13</v>
      </c>
      <c r="X14" s="375"/>
      <c r="Y14" s="376">
        <v>3</v>
      </c>
      <c r="Z14" s="377">
        <f t="shared" si="1"/>
        <v>41</v>
      </c>
      <c r="AA14" s="378">
        <f t="shared" si="2"/>
        <v>0</v>
      </c>
      <c r="AB14" s="136"/>
      <c r="AC14" s="210">
        <f>IFERROR(VLOOKUP($I$22&amp;D14,'Development-Hidden'!$C$2:$E$118,3,FALSE),"")</f>
        <v>90000</v>
      </c>
      <c r="AD14" s="352">
        <v>3</v>
      </c>
      <c r="AE14" s="352"/>
      <c r="AF14" s="352"/>
      <c r="AG14" s="352"/>
      <c r="AH14" s="352"/>
      <c r="AI14" s="352"/>
      <c r="AJ14" s="352"/>
      <c r="AK14" s="318"/>
      <c r="AL14" s="357" t="s">
        <v>342</v>
      </c>
      <c r="AM14" s="187"/>
      <c r="AN14" s="358"/>
      <c r="AO14" s="359"/>
      <c r="AP14" s="318"/>
      <c r="AQ14" s="357" t="s">
        <v>342</v>
      </c>
      <c r="AR14" s="358"/>
      <c r="AS14" s="358"/>
      <c r="AT14" s="187"/>
      <c r="AU14" s="359"/>
      <c r="AV14" s="360"/>
      <c r="AW14" s="448"/>
    </row>
    <row r="15" spans="1:49" ht="17.25" customHeight="1">
      <c r="A15" s="321"/>
      <c r="B15" s="340">
        <v>12</v>
      </c>
      <c r="C15" s="445" t="s">
        <v>70</v>
      </c>
      <c r="D15" s="446" t="s">
        <v>71</v>
      </c>
      <c r="E15" s="195">
        <f>IFERROR(VLOOKUP($I$22&amp;$D15,'Development-Hidden'!$C$2:$J$118,4,FALSE)-P15+AF15,"")</f>
        <v>6</v>
      </c>
      <c r="F15" s="196">
        <f>IFERROR(VLOOKUP($I$22&amp;$D15,'Development-Hidden'!$C$2:$J$118,5,FALSE)-Q15+AG15,"")</f>
        <v>3</v>
      </c>
      <c r="G15" s="196">
        <f>IFERROR(VLOOKUP($I$22&amp;$D15,'Development-Hidden'!$C$2:$J$118,6,FALSE)-R15+AH15,"")</f>
        <v>4</v>
      </c>
      <c r="H15" s="197">
        <f>IFERROR(VLOOKUP($I$22&amp;$D15,'Development-Hidden'!$C$2:$J$118,7,FALSE)-S15+AI15,"")</f>
        <v>8</v>
      </c>
      <c r="I15" s="171" t="str">
        <f>IFERROR(VLOOKUP($I$22&amp;$D15,'Development-Hidden'!$C$2:$J$118,8,FALSE),"")</f>
        <v>Sure Hands, Thick Skull</v>
      </c>
      <c r="J15" s="199" t="s">
        <v>277</v>
      </c>
      <c r="K15" s="343">
        <f t="shared" si="0"/>
        <v>2</v>
      </c>
      <c r="L15" s="344"/>
      <c r="M15" s="344"/>
      <c r="N15" s="344">
        <v>1</v>
      </c>
      <c r="O15" s="344"/>
      <c r="P15" s="345"/>
      <c r="Q15" s="346"/>
      <c r="R15" s="347"/>
      <c r="S15" s="348"/>
      <c r="T15" s="349"/>
      <c r="U15" s="274">
        <v>5</v>
      </c>
      <c r="V15" s="349">
        <v>3</v>
      </c>
      <c r="W15" s="274">
        <v>1</v>
      </c>
      <c r="X15" s="350">
        <v>1</v>
      </c>
      <c r="Y15" s="351"/>
      <c r="Z15" s="210">
        <f t="shared" si="1"/>
        <v>16</v>
      </c>
      <c r="AA15" s="183">
        <f t="shared" si="2"/>
        <v>140000</v>
      </c>
      <c r="AB15" s="136"/>
      <c r="AC15" s="210">
        <f>IFERROR(VLOOKUP($I$22&amp;D15,'Development-Hidden'!$C$2:$E$118,3,FALSE),"")</f>
        <v>80000</v>
      </c>
      <c r="AD15" s="352">
        <v>1</v>
      </c>
      <c r="AE15" s="352"/>
      <c r="AF15" s="352"/>
      <c r="AG15" s="352"/>
      <c r="AH15" s="352">
        <v>1</v>
      </c>
      <c r="AI15" s="352"/>
      <c r="AJ15" s="352"/>
      <c r="AK15" s="318"/>
      <c r="AL15" s="357" t="s">
        <v>354</v>
      </c>
      <c r="AM15" s="187"/>
      <c r="AN15" s="358"/>
      <c r="AO15" s="359"/>
      <c r="AP15" s="318"/>
      <c r="AQ15" s="357" t="s">
        <v>354</v>
      </c>
      <c r="AR15" s="358"/>
      <c r="AS15" s="358"/>
      <c r="AT15" s="187"/>
      <c r="AU15" s="359"/>
      <c r="AV15" s="360"/>
      <c r="AW15" s="448"/>
    </row>
    <row r="16" spans="1:49" ht="17.25" customHeight="1">
      <c r="A16" s="321"/>
      <c r="B16" s="340">
        <v>13</v>
      </c>
      <c r="C16" s="314"/>
      <c r="D16" s="194"/>
      <c r="E16" s="195" t="str">
        <f>IFERROR(VLOOKUP($I$22&amp;$D16,'Development-Hidden'!$C$2:$J$118,4,FALSE)-P16+AF16,"")</f>
        <v/>
      </c>
      <c r="F16" s="196" t="str">
        <f>IFERROR(VLOOKUP($I$22&amp;$D16,'Development-Hidden'!$C$2:$J$118,5,FALSE)-Q16+AG16,"")</f>
        <v/>
      </c>
      <c r="G16" s="196" t="str">
        <f>IFERROR(VLOOKUP($I$22&amp;$D16,'Development-Hidden'!$C$2:$J$118,6,FALSE)-R16+AH16,"")</f>
        <v/>
      </c>
      <c r="H16" s="197" t="str">
        <f>IFERROR(VLOOKUP($I$22&amp;$D16,'Development-Hidden'!$C$2:$J$118,7,FALSE)-S16+AI16,"")</f>
        <v/>
      </c>
      <c r="I16" s="171" t="str">
        <f>IFERROR(VLOOKUP($I$22&amp;$D16,'Development-Hidden'!$C$2:$J$118,8,FALSE),"")</f>
        <v/>
      </c>
      <c r="J16" s="199"/>
      <c r="K16" s="343">
        <f t="shared" si="0"/>
        <v>0</v>
      </c>
      <c r="L16" s="344"/>
      <c r="M16" s="344"/>
      <c r="N16" s="344"/>
      <c r="O16" s="344"/>
      <c r="P16" s="345"/>
      <c r="Q16" s="346"/>
      <c r="R16" s="347"/>
      <c r="S16" s="348"/>
      <c r="T16" s="349"/>
      <c r="U16" s="274"/>
      <c r="V16" s="349"/>
      <c r="W16" s="274"/>
      <c r="X16" s="350"/>
      <c r="Y16" s="351"/>
      <c r="Z16" s="210">
        <f t="shared" si="1"/>
        <v>0</v>
      </c>
      <c r="AA16" s="183">
        <f t="shared" si="2"/>
        <v>0</v>
      </c>
      <c r="AB16" s="136"/>
      <c r="AC16" s="210" t="str">
        <f>IFERROR(VLOOKUP($I$22&amp;D16,'Development-Hidden'!$C$2:$E$118,3,FALSE),"0")</f>
        <v>0</v>
      </c>
      <c r="AD16" s="352"/>
      <c r="AE16" s="352"/>
      <c r="AF16" s="352"/>
      <c r="AG16" s="352"/>
      <c r="AH16" s="352"/>
      <c r="AI16" s="352"/>
      <c r="AJ16" s="352"/>
      <c r="AK16" s="318"/>
      <c r="AL16" s="357" t="s">
        <v>355</v>
      </c>
      <c r="AM16" s="187"/>
      <c r="AN16" s="358"/>
      <c r="AO16" s="359"/>
      <c r="AP16" s="318"/>
      <c r="AQ16" s="357" t="s">
        <v>355</v>
      </c>
      <c r="AR16" s="358"/>
      <c r="AS16" s="358"/>
      <c r="AT16" s="187"/>
      <c r="AU16" s="359"/>
      <c r="AV16" s="360"/>
      <c r="AW16" s="448"/>
    </row>
    <row r="17" spans="1:49" ht="17.25" customHeight="1">
      <c r="A17" s="321"/>
      <c r="B17" s="340">
        <v>14</v>
      </c>
      <c r="C17" s="314"/>
      <c r="D17" s="194"/>
      <c r="E17" s="195" t="str">
        <f>IFERROR(VLOOKUP($I$22&amp;$D17,'Development-Hidden'!$C$2:$J$118,4,FALSE)-P17+AF17,"")</f>
        <v/>
      </c>
      <c r="F17" s="196" t="str">
        <f>IFERROR(VLOOKUP($I$22&amp;$D17,'Development-Hidden'!$C$2:$J$118,5,FALSE)-Q17+AG17,"")</f>
        <v/>
      </c>
      <c r="G17" s="196" t="str">
        <f>IFERROR(VLOOKUP($I$22&amp;$D17,'Development-Hidden'!$C$2:$J$118,6,FALSE)-R17+AH17,"")</f>
        <v/>
      </c>
      <c r="H17" s="197" t="str">
        <f>IFERROR(VLOOKUP($I$22&amp;$D17,'Development-Hidden'!$C$2:$J$118,7,FALSE)-S17+AI17,"")</f>
        <v/>
      </c>
      <c r="I17" s="171" t="str">
        <f>IFERROR(VLOOKUP($I$22&amp;$D17,'Development-Hidden'!$C$2:$J$118,8,FALSE),"")</f>
        <v/>
      </c>
      <c r="J17" s="199"/>
      <c r="K17" s="343">
        <f t="shared" si="0"/>
        <v>0</v>
      </c>
      <c r="L17" s="344"/>
      <c r="M17" s="344"/>
      <c r="N17" s="344"/>
      <c r="O17" s="344"/>
      <c r="P17" s="345"/>
      <c r="Q17" s="346"/>
      <c r="R17" s="347"/>
      <c r="S17" s="348"/>
      <c r="T17" s="349"/>
      <c r="U17" s="274"/>
      <c r="V17" s="349"/>
      <c r="W17" s="274"/>
      <c r="X17" s="350"/>
      <c r="Y17" s="351"/>
      <c r="Z17" s="210">
        <f t="shared" si="1"/>
        <v>0</v>
      </c>
      <c r="AA17" s="183">
        <f t="shared" si="2"/>
        <v>0</v>
      </c>
      <c r="AB17" s="136"/>
      <c r="AC17" s="210" t="str">
        <f>IFERROR(VLOOKUP($I$22&amp;D17,'Development-Hidden'!$C$2:$E$118,3,FALSE),"0")</f>
        <v>0</v>
      </c>
      <c r="AD17" s="352"/>
      <c r="AE17" s="352"/>
      <c r="AF17" s="352"/>
      <c r="AG17" s="352"/>
      <c r="AH17" s="352"/>
      <c r="AI17" s="352"/>
      <c r="AJ17" s="352"/>
      <c r="AK17" s="318"/>
      <c r="AL17" s="357" t="s">
        <v>357</v>
      </c>
      <c r="AM17" s="187"/>
      <c r="AN17" s="358"/>
      <c r="AO17" s="359"/>
      <c r="AP17" s="318"/>
      <c r="AQ17" s="357" t="s">
        <v>357</v>
      </c>
      <c r="AR17" s="358"/>
      <c r="AS17" s="358"/>
      <c r="AT17" s="187"/>
      <c r="AU17" s="359"/>
      <c r="AV17" s="360"/>
      <c r="AW17" s="448"/>
    </row>
    <row r="18" spans="1:49" ht="17.25" customHeight="1">
      <c r="A18" s="321"/>
      <c r="B18" s="340">
        <v>15</v>
      </c>
      <c r="C18" s="314"/>
      <c r="D18" s="194"/>
      <c r="E18" s="195" t="str">
        <f>IFERROR(VLOOKUP($I$22&amp;$D18,'Development-Hidden'!$C$2:$J$118,4,FALSE)-P18+AF18,"")</f>
        <v/>
      </c>
      <c r="F18" s="196" t="str">
        <f>IFERROR(VLOOKUP($I$22&amp;$D18,'Development-Hidden'!$C$2:$J$118,5,FALSE)-Q18+AG18,"")</f>
        <v/>
      </c>
      <c r="G18" s="196" t="str">
        <f>IFERROR(VLOOKUP($I$22&amp;$D18,'Development-Hidden'!$C$2:$J$118,6,FALSE)-R18+AH18,"")</f>
        <v/>
      </c>
      <c r="H18" s="197" t="str">
        <f>IFERROR(VLOOKUP($I$22&amp;$D18,'Development-Hidden'!$C$2:$J$118,7,FALSE)-S18+AI18,"")</f>
        <v/>
      </c>
      <c r="I18" s="171" t="str">
        <f>IFERROR(VLOOKUP($I$22&amp;$D18,'Development-Hidden'!$C$2:$J$118,8,FALSE),"")</f>
        <v/>
      </c>
      <c r="J18" s="199"/>
      <c r="K18" s="343">
        <f t="shared" si="0"/>
        <v>0</v>
      </c>
      <c r="L18" s="344"/>
      <c r="M18" s="344"/>
      <c r="N18" s="344"/>
      <c r="O18" s="344"/>
      <c r="P18" s="345"/>
      <c r="Q18" s="346"/>
      <c r="R18" s="347"/>
      <c r="S18" s="348"/>
      <c r="T18" s="349"/>
      <c r="U18" s="274"/>
      <c r="V18" s="349"/>
      <c r="W18" s="274"/>
      <c r="X18" s="350"/>
      <c r="Y18" s="351"/>
      <c r="Z18" s="210">
        <f t="shared" si="1"/>
        <v>0</v>
      </c>
      <c r="AA18" s="183">
        <f t="shared" si="2"/>
        <v>0</v>
      </c>
      <c r="AB18" s="136"/>
      <c r="AC18" s="210" t="str">
        <f>IFERROR(VLOOKUP($I$22&amp;D18,'Development-Hidden'!$C$2:$E$118,3,FALSE),"0")</f>
        <v>0</v>
      </c>
      <c r="AD18" s="352"/>
      <c r="AE18" s="352"/>
      <c r="AF18" s="352"/>
      <c r="AG18" s="352"/>
      <c r="AH18" s="352"/>
      <c r="AI18" s="352"/>
      <c r="AJ18" s="352"/>
      <c r="AK18" s="318"/>
      <c r="AL18" s="357" t="s">
        <v>359</v>
      </c>
      <c r="AM18" s="187"/>
      <c r="AN18" s="358"/>
      <c r="AO18" s="359"/>
      <c r="AP18" s="318"/>
      <c r="AQ18" s="357" t="s">
        <v>359</v>
      </c>
      <c r="AR18" s="358"/>
      <c r="AS18" s="358"/>
      <c r="AT18" s="187"/>
      <c r="AU18" s="359"/>
      <c r="AV18" s="360"/>
      <c r="AW18" s="448"/>
    </row>
    <row r="19" spans="1:49" ht="17.25" customHeight="1">
      <c r="A19" s="321"/>
      <c r="B19" s="384">
        <v>16</v>
      </c>
      <c r="C19" s="315" t="s">
        <v>471</v>
      </c>
      <c r="D19" s="385" t="s">
        <v>98</v>
      </c>
      <c r="E19" s="251">
        <f>IFERROR(VLOOKUP($I$22&amp;$D19,'Development-Hidden'!$C$2:$J$118,4,FALSE)-P19+AF19,"")</f>
        <v>4</v>
      </c>
      <c r="F19" s="252">
        <f>IFERROR(VLOOKUP($I$22&amp;$D19,'Development-Hidden'!$C$2:$J$118,5,FALSE)-Q19+AG19,"")</f>
        <v>3</v>
      </c>
      <c r="G19" s="252">
        <f>IFERROR(VLOOKUP($I$22&amp;$D19,'Development-Hidden'!$C$2:$J$118,6,FALSE)-R19+AH19,"")</f>
        <v>2</v>
      </c>
      <c r="H19" s="253">
        <f>IFERROR(VLOOKUP($I$22&amp;$D19,'Development-Hidden'!$C$2:$J$118,7,FALSE)-S19+AI19,"")</f>
        <v>9</v>
      </c>
      <c r="I19" s="171" t="str">
        <f>IFERROR(VLOOKUP($I$22&amp;$D19,'Development-Hidden'!$C$2:$J$118,8,FALSE),"")</f>
        <v>Block, Tackle, Thick Skull</v>
      </c>
      <c r="J19" s="255" t="s">
        <v>440</v>
      </c>
      <c r="K19" s="389">
        <f t="shared" si="0"/>
        <v>0</v>
      </c>
      <c r="L19" s="390">
        <v>1</v>
      </c>
      <c r="M19" s="390"/>
      <c r="N19" s="390"/>
      <c r="O19" s="390"/>
      <c r="P19" s="391"/>
      <c r="Q19" s="392"/>
      <c r="R19" s="393"/>
      <c r="S19" s="394"/>
      <c r="T19" s="395"/>
      <c r="U19" s="281"/>
      <c r="V19" s="395"/>
      <c r="W19" s="281"/>
      <c r="X19" s="396"/>
      <c r="Y19" s="397"/>
      <c r="Z19" s="266">
        <f t="shared" si="1"/>
        <v>0</v>
      </c>
      <c r="AA19" s="183">
        <f t="shared" si="2"/>
        <v>0</v>
      </c>
      <c r="AB19" s="136"/>
      <c r="AC19" s="266">
        <f>IFERROR(VLOOKUP($I$22&amp;D19,'Development-Hidden'!$C$2:$E$118,3,FALSE),"")</f>
        <v>70000</v>
      </c>
      <c r="AD19" s="398"/>
      <c r="AE19" s="398"/>
      <c r="AF19" s="398"/>
      <c r="AG19" s="398"/>
      <c r="AH19" s="398"/>
      <c r="AI19" s="398"/>
      <c r="AJ19" s="398"/>
      <c r="AK19" s="318"/>
      <c r="AL19" s="318"/>
      <c r="AM19" s="318"/>
      <c r="AN19" s="318"/>
      <c r="AO19" s="318"/>
      <c r="AP19" s="318"/>
      <c r="AQ19" s="318"/>
      <c r="AR19" s="318"/>
      <c r="AS19" s="318"/>
      <c r="AT19" s="318"/>
      <c r="AU19" s="318"/>
      <c r="AV19" s="318"/>
      <c r="AW19" s="318"/>
    </row>
    <row r="20" spans="1:49" ht="18" customHeight="1">
      <c r="A20" s="321"/>
      <c r="B20" s="399"/>
      <c r="C20" s="653"/>
      <c r="D20" s="573"/>
      <c r="E20" s="641"/>
      <c r="F20" s="587"/>
      <c r="G20" s="642"/>
      <c r="H20" s="588"/>
      <c r="I20" s="441"/>
      <c r="J20" s="652"/>
      <c r="K20" s="587"/>
      <c r="L20" s="401"/>
      <c r="M20" s="402"/>
      <c r="N20" s="402"/>
      <c r="O20" s="402"/>
      <c r="P20" s="402"/>
      <c r="Q20" s="402"/>
      <c r="R20" s="402"/>
      <c r="S20" s="402"/>
      <c r="T20" s="402"/>
      <c r="U20" s="403"/>
      <c r="V20" s="404"/>
      <c r="W20" s="402"/>
      <c r="X20" s="405" t="s">
        <v>364</v>
      </c>
      <c r="Y20" s="651"/>
      <c r="Z20" s="588"/>
      <c r="AA20" s="270">
        <f>SUM(AA4:AA19)</f>
        <v>1070000</v>
      </c>
      <c r="AB20" s="318"/>
      <c r="AC20" s="318"/>
      <c r="AD20" s="318"/>
      <c r="AE20" s="318"/>
      <c r="AF20" s="318"/>
      <c r="AG20" s="318"/>
      <c r="AH20" s="318"/>
      <c r="AI20" s="318"/>
      <c r="AJ20" s="318"/>
      <c r="AK20" s="318"/>
      <c r="AL20" s="406" t="s">
        <v>219</v>
      </c>
      <c r="AM20" s="187">
        <f>AM4+SUM(AM7:AM18)-SUM(AN7:AN18)-SUM(AO7:AO18)</f>
        <v>250000</v>
      </c>
      <c r="AN20" s="318"/>
      <c r="AO20" s="318"/>
      <c r="AP20" s="318"/>
      <c r="AS20" s="406" t="s">
        <v>219</v>
      </c>
      <c r="AT20" s="187">
        <f t="shared" ref="AT20:AU20" si="3">SUM(AT7:AT18)</f>
        <v>5</v>
      </c>
      <c r="AU20" s="407">
        <f t="shared" si="3"/>
        <v>20</v>
      </c>
      <c r="AV20" s="408">
        <f>AR4+SUM(AV7:AV18)</f>
        <v>6</v>
      </c>
      <c r="AW20" s="453"/>
    </row>
    <row r="21" spans="1:49" ht="17.25" customHeight="1">
      <c r="A21" s="321"/>
      <c r="B21" s="409"/>
      <c r="C21" s="574"/>
      <c r="D21" s="576"/>
      <c r="E21" s="643" t="s">
        <v>365</v>
      </c>
      <c r="F21" s="581"/>
      <c r="G21" s="581"/>
      <c r="H21" s="581"/>
      <c r="I21" s="609" t="s">
        <v>23</v>
      </c>
      <c r="J21" s="636"/>
      <c r="K21" s="637"/>
      <c r="L21" s="649" t="s">
        <v>366</v>
      </c>
      <c r="M21" s="636"/>
      <c r="N21" s="636"/>
      <c r="O21" s="636"/>
      <c r="P21" s="636"/>
      <c r="Q21" s="636"/>
      <c r="R21" s="636"/>
      <c r="S21" s="650"/>
      <c r="T21" s="410">
        <v>4</v>
      </c>
      <c r="U21" s="411" t="s">
        <v>220</v>
      </c>
      <c r="V21" s="648">
        <v>50000</v>
      </c>
      <c r="W21" s="636"/>
      <c r="X21" s="636"/>
      <c r="Y21" s="636"/>
      <c r="Z21" s="412" t="s">
        <v>406</v>
      </c>
      <c r="AA21" s="273">
        <f t="shared" ref="AA21:AA25" si="4">T21*V21</f>
        <v>200000</v>
      </c>
      <c r="AB21" s="318"/>
      <c r="AC21" s="454"/>
      <c r="AD21" s="454"/>
      <c r="AE21" s="318"/>
      <c r="AF21" s="318"/>
      <c r="AG21" s="318"/>
      <c r="AH21" s="318"/>
      <c r="AI21" s="318"/>
      <c r="AJ21" s="318"/>
      <c r="AK21" s="318"/>
      <c r="AL21" s="318"/>
      <c r="AM21" s="318"/>
      <c r="AN21" s="604" t="s">
        <v>367</v>
      </c>
      <c r="AO21" s="588"/>
      <c r="AP21" s="318"/>
      <c r="AQ21" s="318"/>
      <c r="AR21" s="318"/>
      <c r="AS21" s="318"/>
      <c r="AT21" s="318"/>
      <c r="AU21" s="318"/>
      <c r="AV21" s="318"/>
      <c r="AW21" s="318"/>
    </row>
    <row r="22" spans="1:49" ht="17.25" customHeight="1">
      <c r="A22" s="321"/>
      <c r="B22" s="409"/>
      <c r="C22" s="574"/>
      <c r="D22" s="576"/>
      <c r="E22" s="621" t="s">
        <v>368</v>
      </c>
      <c r="F22" s="583"/>
      <c r="G22" s="583"/>
      <c r="H22" s="583"/>
      <c r="I22" s="638" t="s">
        <v>472</v>
      </c>
      <c r="J22" s="583"/>
      <c r="K22" s="597"/>
      <c r="L22" s="591" t="s">
        <v>369</v>
      </c>
      <c r="M22" s="583"/>
      <c r="N22" s="583"/>
      <c r="O22" s="583"/>
      <c r="P22" s="583"/>
      <c r="Q22" s="583"/>
      <c r="R22" s="583"/>
      <c r="S22" s="592"/>
      <c r="T22" s="274">
        <f>AV20</f>
        <v>6</v>
      </c>
      <c r="U22" s="413" t="s">
        <v>220</v>
      </c>
      <c r="V22" s="647">
        <v>10000</v>
      </c>
      <c r="W22" s="583"/>
      <c r="X22" s="583"/>
      <c r="Y22" s="583"/>
      <c r="Z22" s="414" t="s">
        <v>406</v>
      </c>
      <c r="AA22" s="276">
        <f t="shared" si="4"/>
        <v>60000</v>
      </c>
      <c r="AB22" s="318"/>
      <c r="AC22" s="454"/>
      <c r="AD22" s="454"/>
      <c r="AE22" s="318"/>
      <c r="AF22" s="318"/>
      <c r="AG22" s="318"/>
      <c r="AH22" s="318"/>
      <c r="AI22" s="318"/>
      <c r="AJ22" s="318"/>
      <c r="AK22" s="318"/>
      <c r="AL22" s="318"/>
      <c r="AM22" s="318"/>
      <c r="AN22" s="277" t="s">
        <v>370</v>
      </c>
      <c r="AO22" s="278">
        <f>AM20</f>
        <v>250000</v>
      </c>
      <c r="AP22" s="318"/>
      <c r="AQ22" s="318"/>
      <c r="AR22" s="318"/>
      <c r="AS22" s="318"/>
      <c r="AT22" s="318"/>
      <c r="AU22" s="318"/>
      <c r="AV22" s="318"/>
      <c r="AW22" s="318"/>
    </row>
    <row r="23" spans="1:49" ht="17.25" customHeight="1">
      <c r="A23" s="321"/>
      <c r="B23" s="409"/>
      <c r="C23" s="574"/>
      <c r="D23" s="576"/>
      <c r="E23" s="621" t="s">
        <v>408</v>
      </c>
      <c r="F23" s="583"/>
      <c r="G23" s="583"/>
      <c r="H23" s="583"/>
      <c r="I23" s="639" t="s">
        <v>473</v>
      </c>
      <c r="J23" s="583"/>
      <c r="K23" s="597"/>
      <c r="L23" s="591" t="s">
        <v>409</v>
      </c>
      <c r="M23" s="583"/>
      <c r="N23" s="583"/>
      <c r="O23" s="583"/>
      <c r="P23" s="583"/>
      <c r="Q23" s="583"/>
      <c r="R23" s="583"/>
      <c r="S23" s="592"/>
      <c r="T23" s="274">
        <v>0</v>
      </c>
      <c r="U23" s="413" t="s">
        <v>220</v>
      </c>
      <c r="V23" s="647">
        <v>10000</v>
      </c>
      <c r="W23" s="583"/>
      <c r="X23" s="583"/>
      <c r="Y23" s="583"/>
      <c r="Z23" s="414" t="s">
        <v>406</v>
      </c>
      <c r="AA23" s="276">
        <f t="shared" si="4"/>
        <v>0</v>
      </c>
      <c r="AB23" s="318"/>
      <c r="AC23" s="454"/>
      <c r="AD23" s="454"/>
      <c r="AE23" s="318"/>
      <c r="AF23" s="318"/>
      <c r="AG23" s="318"/>
      <c r="AH23" s="318"/>
      <c r="AI23" s="318"/>
      <c r="AJ23" s="318"/>
      <c r="AK23" s="318"/>
      <c r="AL23" s="318"/>
      <c r="AM23" s="318"/>
      <c r="AN23" s="279" t="s">
        <v>372</v>
      </c>
      <c r="AO23" s="280">
        <f>COUNTA(AM7:AM18)*10000</f>
        <v>60000</v>
      </c>
      <c r="AP23" s="318"/>
      <c r="AQ23" s="318"/>
      <c r="AR23" s="318"/>
      <c r="AS23" s="318"/>
      <c r="AT23" s="318"/>
      <c r="AU23" s="318"/>
      <c r="AV23" s="318"/>
      <c r="AW23" s="318"/>
    </row>
    <row r="24" spans="1:49" ht="17.25" customHeight="1">
      <c r="A24" s="321"/>
      <c r="B24" s="409"/>
      <c r="C24" s="574"/>
      <c r="D24" s="576"/>
      <c r="E24" s="621" t="s">
        <v>373</v>
      </c>
      <c r="F24" s="583"/>
      <c r="G24" s="583"/>
      <c r="H24" s="583"/>
      <c r="I24" s="415">
        <f>(AA20+AA26)/1000</f>
        <v>1380</v>
      </c>
      <c r="J24" s="416" t="s">
        <v>410</v>
      </c>
      <c r="K24" s="417"/>
      <c r="L24" s="591" t="s">
        <v>375</v>
      </c>
      <c r="M24" s="583"/>
      <c r="N24" s="583"/>
      <c r="O24" s="583"/>
      <c r="P24" s="583"/>
      <c r="Q24" s="583"/>
      <c r="R24" s="583"/>
      <c r="S24" s="592"/>
      <c r="T24" s="274">
        <v>0</v>
      </c>
      <c r="U24" s="413" t="s">
        <v>220</v>
      </c>
      <c r="V24" s="647">
        <v>10000</v>
      </c>
      <c r="W24" s="583"/>
      <c r="X24" s="583"/>
      <c r="Y24" s="583"/>
      <c r="Z24" s="414" t="s">
        <v>406</v>
      </c>
      <c r="AA24" s="276">
        <f t="shared" si="4"/>
        <v>0</v>
      </c>
      <c r="AB24" s="318"/>
      <c r="AC24" s="454"/>
      <c r="AD24" s="454"/>
      <c r="AE24" s="318"/>
      <c r="AF24" s="318"/>
      <c r="AG24" s="318"/>
      <c r="AH24" s="318"/>
      <c r="AI24" s="318"/>
      <c r="AJ24" s="318"/>
      <c r="AK24" s="318"/>
      <c r="AL24" s="318"/>
      <c r="AM24" s="318"/>
      <c r="AN24" s="279" t="s">
        <v>33</v>
      </c>
      <c r="AO24" s="280">
        <f>AT20*5000</f>
        <v>25000</v>
      </c>
      <c r="AP24" s="318"/>
      <c r="AQ24" s="318"/>
      <c r="AR24" s="318"/>
      <c r="AS24" s="318"/>
      <c r="AT24" s="318"/>
      <c r="AU24" s="318"/>
      <c r="AV24" s="318"/>
      <c r="AW24" s="318"/>
    </row>
    <row r="25" spans="1:49" ht="17.25" customHeight="1">
      <c r="A25" s="321"/>
      <c r="B25" s="409"/>
      <c r="C25" s="574"/>
      <c r="D25" s="576"/>
      <c r="E25" s="623" t="s">
        <v>376</v>
      </c>
      <c r="F25" s="594"/>
      <c r="G25" s="594"/>
      <c r="H25" s="596"/>
      <c r="I25" s="418">
        <f>AM20/1000</f>
        <v>250</v>
      </c>
      <c r="J25" s="419" t="s">
        <v>410</v>
      </c>
      <c r="K25" s="420"/>
      <c r="L25" s="593" t="s">
        <v>411</v>
      </c>
      <c r="M25" s="594"/>
      <c r="N25" s="594"/>
      <c r="O25" s="594"/>
      <c r="P25" s="594"/>
      <c r="Q25" s="594"/>
      <c r="R25" s="594"/>
      <c r="S25" s="594"/>
      <c r="T25" s="281">
        <v>1</v>
      </c>
      <c r="U25" s="413" t="s">
        <v>220</v>
      </c>
      <c r="V25" s="645">
        <v>50000</v>
      </c>
      <c r="W25" s="594"/>
      <c r="X25" s="594"/>
      <c r="Y25" s="594"/>
      <c r="Z25" s="414" t="s">
        <v>406</v>
      </c>
      <c r="AA25" s="276">
        <f t="shared" si="4"/>
        <v>50000</v>
      </c>
      <c r="AB25" s="318"/>
      <c r="AC25" s="454"/>
      <c r="AD25" s="454"/>
      <c r="AE25" s="318"/>
      <c r="AF25" s="318"/>
      <c r="AG25" s="318"/>
      <c r="AH25" s="318"/>
      <c r="AI25" s="318"/>
      <c r="AJ25" s="318"/>
      <c r="AK25" s="318"/>
      <c r="AL25" s="318"/>
      <c r="AM25" s="318"/>
      <c r="AN25" s="282" t="s">
        <v>34</v>
      </c>
      <c r="AO25" s="283">
        <f>AU20*5000</f>
        <v>100000</v>
      </c>
      <c r="AP25" s="318"/>
      <c r="AQ25" s="318"/>
      <c r="AR25" s="318"/>
      <c r="AS25" s="318"/>
      <c r="AT25" s="318"/>
      <c r="AU25" s="318"/>
      <c r="AV25" s="318"/>
      <c r="AW25" s="318"/>
    </row>
    <row r="26" spans="1:49" ht="17.25" customHeight="1">
      <c r="A26" s="321"/>
      <c r="B26" s="421"/>
      <c r="C26" s="577"/>
      <c r="D26" s="579"/>
      <c r="E26" s="422" t="s">
        <v>412</v>
      </c>
      <c r="F26" s="423"/>
      <c r="G26" s="423"/>
      <c r="H26" s="423"/>
      <c r="I26" s="424" t="s">
        <v>413</v>
      </c>
      <c r="J26" s="425" t="str">
        <f>HYPERLINK("http://www.arosbb.dk/","www.arosbb.dk")</f>
        <v>www.arosbb.dk</v>
      </c>
      <c r="K26" s="423"/>
      <c r="L26" s="644"/>
      <c r="M26" s="587"/>
      <c r="N26" s="587"/>
      <c r="O26" s="587"/>
      <c r="P26" s="587"/>
      <c r="Q26" s="587"/>
      <c r="R26" s="587"/>
      <c r="S26" s="587"/>
      <c r="T26" s="426"/>
      <c r="U26" s="403"/>
      <c r="V26" s="427"/>
      <c r="W26" s="646" t="s">
        <v>379</v>
      </c>
      <c r="X26" s="587"/>
      <c r="Y26" s="587"/>
      <c r="Z26" s="588"/>
      <c r="AA26" s="270">
        <f>SUM(AA21:AA25)</f>
        <v>310000</v>
      </c>
      <c r="AB26" s="318"/>
      <c r="AC26" s="454"/>
      <c r="AD26" s="454"/>
      <c r="AE26" s="318"/>
      <c r="AF26" s="318"/>
      <c r="AG26" s="318"/>
      <c r="AH26" s="318"/>
      <c r="AI26" s="318"/>
      <c r="AJ26" s="318"/>
      <c r="AK26" s="318"/>
      <c r="AL26" s="318"/>
      <c r="AM26" s="318"/>
      <c r="AN26" s="284" t="s">
        <v>219</v>
      </c>
      <c r="AO26" s="285">
        <f>SUM(AO22:AO25)+1000000</f>
        <v>1435000</v>
      </c>
      <c r="AP26" s="318"/>
      <c r="AQ26" s="318"/>
      <c r="AR26" s="318"/>
      <c r="AS26" s="318"/>
      <c r="AT26" s="318"/>
      <c r="AU26" s="318"/>
      <c r="AV26" s="318"/>
      <c r="AW26" s="318"/>
    </row>
    <row r="27" spans="1:49" ht="17.25" customHeight="1">
      <c r="A27" s="318"/>
      <c r="B27" s="140"/>
      <c r="C27" s="286"/>
      <c r="D27" s="286"/>
      <c r="E27" s="428"/>
      <c r="F27" s="136"/>
      <c r="G27" s="136"/>
      <c r="H27" s="136"/>
      <c r="I27" s="429"/>
      <c r="J27" s="430"/>
      <c r="K27" s="136"/>
      <c r="L27" s="290"/>
      <c r="M27" s="290"/>
      <c r="N27" s="290"/>
      <c r="O27" s="290"/>
      <c r="P27" s="290"/>
      <c r="Q27" s="290"/>
      <c r="R27" s="290"/>
      <c r="S27" s="290"/>
      <c r="T27" s="291"/>
      <c r="U27" s="292"/>
      <c r="V27" s="143"/>
      <c r="W27" s="293"/>
      <c r="X27" s="293"/>
      <c r="Y27" s="293"/>
      <c r="Z27" s="293"/>
      <c r="AA27" s="294"/>
      <c r="AB27" s="318"/>
      <c r="AC27" s="318"/>
      <c r="AD27" s="318"/>
      <c r="AE27" s="318"/>
      <c r="AF27" s="318"/>
      <c r="AG27" s="318"/>
      <c r="AH27" s="318"/>
      <c r="AI27" s="318"/>
      <c r="AJ27" s="318"/>
      <c r="AK27" s="318"/>
      <c r="AL27" s="318"/>
      <c r="AM27" s="318"/>
      <c r="AN27" s="318"/>
      <c r="AO27" s="318"/>
      <c r="AP27" s="318"/>
      <c r="AQ27" s="318"/>
      <c r="AR27" s="318"/>
      <c r="AS27" s="318"/>
      <c r="AT27" s="318"/>
      <c r="AU27" s="318"/>
      <c r="AV27" s="318"/>
      <c r="AW27" s="318"/>
    </row>
    <row r="28" spans="1:49" ht="17.25" hidden="1" customHeight="1">
      <c r="A28" s="431"/>
      <c r="B28" s="296"/>
      <c r="C28" s="432">
        <f>MATCH(I22,'Development-Hidden'!A2:A118,0)</f>
        <v>31</v>
      </c>
      <c r="D28" s="432" t="str">
        <f t="array" ref="D28">IFERROR(IF(INDEX('Development-Hidden'!$A$2:$B$118,$C28,1)=$I$22,INDEX('Development-Hidden'!$A$2:$B$118,$C28,2),""),"")</f>
        <v>Blocker</v>
      </c>
      <c r="E28" s="433"/>
      <c r="F28" s="433"/>
      <c r="G28" s="433"/>
      <c r="H28" s="433"/>
      <c r="I28" s="433"/>
      <c r="J28" s="434"/>
      <c r="K28" s="295"/>
      <c r="L28" s="300"/>
      <c r="M28" s="300"/>
      <c r="N28" s="300"/>
      <c r="O28" s="300"/>
      <c r="P28" s="300"/>
      <c r="Q28" s="300"/>
      <c r="R28" s="300"/>
      <c r="S28" s="300"/>
      <c r="T28" s="301"/>
      <c r="U28" s="302"/>
      <c r="V28" s="301"/>
      <c r="W28" s="303"/>
      <c r="X28" s="303"/>
      <c r="Y28" s="303"/>
      <c r="Z28" s="303"/>
      <c r="AA28" s="433"/>
      <c r="AB28" s="431"/>
      <c r="AC28" s="431"/>
      <c r="AD28" s="431"/>
      <c r="AE28" s="431"/>
      <c r="AF28" s="431"/>
      <c r="AG28" s="431"/>
      <c r="AH28" s="431"/>
      <c r="AI28" s="431"/>
      <c r="AJ28" s="431"/>
      <c r="AK28" s="431"/>
      <c r="AL28" s="431"/>
      <c r="AM28" s="431"/>
      <c r="AN28" s="431"/>
      <c r="AO28" s="431"/>
      <c r="AP28" s="431"/>
      <c r="AQ28" s="431"/>
      <c r="AR28" s="431"/>
      <c r="AS28" s="431"/>
      <c r="AT28" s="431"/>
      <c r="AU28" s="431"/>
      <c r="AV28" s="431"/>
      <c r="AW28" s="431"/>
    </row>
    <row r="29" spans="1:49" ht="17.25" hidden="1" customHeight="1">
      <c r="A29" s="431"/>
      <c r="B29" s="296"/>
      <c r="C29" s="432">
        <f t="shared" ref="C29:C37" si="5">C28+1</f>
        <v>32</v>
      </c>
      <c r="D29" s="432" t="str">
        <f t="array" ref="D29">IFERROR(IF(INDEX('Development-Hidden'!$A$2:$B$118,$C29,1)=$I$22,INDEX('Development-Hidden'!$A$2:$B$118,$C29,2),""),"")</f>
        <v>Runner</v>
      </c>
      <c r="E29" s="433"/>
      <c r="F29" s="433"/>
      <c r="G29" s="433"/>
      <c r="H29" s="433"/>
      <c r="I29" s="433"/>
      <c r="J29" s="434"/>
      <c r="K29" s="295"/>
      <c r="L29" s="300"/>
      <c r="M29" s="300"/>
      <c r="N29" s="300"/>
      <c r="O29" s="300"/>
      <c r="P29" s="300"/>
      <c r="Q29" s="300"/>
      <c r="R29" s="300"/>
      <c r="S29" s="300"/>
      <c r="T29" s="301"/>
      <c r="U29" s="302"/>
      <c r="V29" s="301"/>
      <c r="W29" s="303"/>
      <c r="X29" s="303"/>
      <c r="Y29" s="303"/>
      <c r="Z29" s="303"/>
      <c r="AA29" s="433"/>
      <c r="AB29" s="431"/>
      <c r="AC29" s="431"/>
      <c r="AD29" s="431"/>
      <c r="AE29" s="431"/>
      <c r="AF29" s="431"/>
      <c r="AG29" s="431"/>
      <c r="AH29" s="431"/>
      <c r="AI29" s="431"/>
      <c r="AJ29" s="431"/>
      <c r="AK29" s="431"/>
      <c r="AL29" s="431"/>
      <c r="AM29" s="431"/>
      <c r="AN29" s="431"/>
      <c r="AO29" s="431"/>
      <c r="AP29" s="431"/>
      <c r="AQ29" s="431"/>
      <c r="AR29" s="431"/>
      <c r="AS29" s="431"/>
      <c r="AT29" s="431"/>
      <c r="AU29" s="431"/>
      <c r="AV29" s="431"/>
      <c r="AW29" s="431"/>
    </row>
    <row r="30" spans="1:49" ht="17.25" hidden="1" customHeight="1">
      <c r="A30" s="431"/>
      <c r="B30" s="296"/>
      <c r="C30" s="432">
        <f t="shared" si="5"/>
        <v>33</v>
      </c>
      <c r="D30" s="432" t="str">
        <f t="array" ref="D30">IFERROR(IF(INDEX('Development-Hidden'!$A$2:$B$118,$C30,1)=$I$22,INDEX('Development-Hidden'!$A$2:$B$118,$C30,2),""),"")</f>
        <v>Blitzer</v>
      </c>
      <c r="E30" s="433"/>
      <c r="F30" s="433"/>
      <c r="G30" s="433"/>
      <c r="H30" s="433"/>
      <c r="I30" s="433"/>
      <c r="J30" s="434"/>
      <c r="K30" s="295"/>
      <c r="L30" s="300"/>
      <c r="M30" s="300"/>
      <c r="N30" s="300"/>
      <c r="O30" s="300"/>
      <c r="P30" s="300"/>
      <c r="Q30" s="300"/>
      <c r="R30" s="300"/>
      <c r="S30" s="300"/>
      <c r="T30" s="301"/>
      <c r="U30" s="302"/>
      <c r="V30" s="301"/>
      <c r="W30" s="303"/>
      <c r="X30" s="303"/>
      <c r="Y30" s="303"/>
      <c r="Z30" s="303"/>
      <c r="AA30" s="433"/>
      <c r="AB30" s="431"/>
      <c r="AC30" s="431"/>
      <c r="AD30" s="431"/>
      <c r="AE30" s="431"/>
      <c r="AF30" s="431"/>
      <c r="AG30" s="431"/>
      <c r="AH30" s="431"/>
      <c r="AI30" s="431"/>
      <c r="AJ30" s="431"/>
      <c r="AK30" s="431"/>
      <c r="AL30" s="431"/>
      <c r="AM30" s="431"/>
      <c r="AN30" s="431"/>
      <c r="AO30" s="431"/>
      <c r="AP30" s="431"/>
      <c r="AQ30" s="431"/>
      <c r="AR30" s="431"/>
      <c r="AS30" s="431"/>
      <c r="AT30" s="431"/>
      <c r="AU30" s="431"/>
      <c r="AV30" s="431"/>
      <c r="AW30" s="431"/>
    </row>
    <row r="31" spans="1:49" ht="17.25" hidden="1" customHeight="1">
      <c r="A31" s="431"/>
      <c r="B31" s="296"/>
      <c r="C31" s="432">
        <f t="shared" si="5"/>
        <v>34</v>
      </c>
      <c r="D31" s="432" t="str">
        <f t="array" ref="D31">IFERROR(IF(INDEX('Development-Hidden'!$A$2:$B$118,$C31,1)=$I$22,INDEX('Development-Hidden'!$A$2:$B$118,$C31,2),""),"")</f>
        <v>Troll Slayer</v>
      </c>
      <c r="E31" s="433"/>
      <c r="F31" s="433"/>
      <c r="G31" s="433"/>
      <c r="H31" s="433"/>
      <c r="I31" s="433"/>
      <c r="J31" s="434"/>
      <c r="K31" s="295"/>
      <c r="L31" s="300"/>
      <c r="M31" s="300"/>
      <c r="N31" s="300"/>
      <c r="O31" s="300"/>
      <c r="P31" s="300"/>
      <c r="Q31" s="300"/>
      <c r="R31" s="300"/>
      <c r="S31" s="300"/>
      <c r="T31" s="301"/>
      <c r="U31" s="302"/>
      <c r="V31" s="301"/>
      <c r="W31" s="303"/>
      <c r="X31" s="303"/>
      <c r="Y31" s="303"/>
      <c r="Z31" s="303"/>
      <c r="AA31" s="433"/>
      <c r="AB31" s="431"/>
      <c r="AC31" s="431"/>
      <c r="AD31" s="431"/>
      <c r="AE31" s="431"/>
      <c r="AF31" s="431"/>
      <c r="AG31" s="431"/>
      <c r="AH31" s="431"/>
      <c r="AI31" s="431"/>
      <c r="AJ31" s="431"/>
      <c r="AK31" s="431"/>
      <c r="AL31" s="431"/>
      <c r="AM31" s="431"/>
      <c r="AN31" s="431"/>
      <c r="AO31" s="431"/>
      <c r="AP31" s="431"/>
      <c r="AQ31" s="431"/>
      <c r="AR31" s="431"/>
      <c r="AS31" s="431"/>
      <c r="AT31" s="431"/>
      <c r="AU31" s="431"/>
      <c r="AV31" s="431"/>
      <c r="AW31" s="431"/>
    </row>
    <row r="32" spans="1:49" ht="17.25" hidden="1" customHeight="1">
      <c r="A32" s="431"/>
      <c r="B32" s="296"/>
      <c r="C32" s="432">
        <f t="shared" si="5"/>
        <v>35</v>
      </c>
      <c r="D32" s="432" t="str">
        <f t="array" ref="D32">IFERROR(IF(INDEX('Development-Hidden'!$A$2:$B$118,$C32,1)=$I$22,INDEX('Development-Hidden'!$A$2:$B$118,$C32,2),""),"")</f>
        <v>Deathroller</v>
      </c>
      <c r="E32" s="433"/>
      <c r="F32" s="433"/>
      <c r="G32" s="433"/>
      <c r="H32" s="433"/>
      <c r="I32" s="433"/>
      <c r="J32" s="434"/>
      <c r="K32" s="295"/>
      <c r="L32" s="300"/>
      <c r="M32" s="300"/>
      <c r="N32" s="300"/>
      <c r="O32" s="300"/>
      <c r="P32" s="300"/>
      <c r="Q32" s="300"/>
      <c r="R32" s="300"/>
      <c r="S32" s="300"/>
      <c r="T32" s="301"/>
      <c r="U32" s="302"/>
      <c r="V32" s="301"/>
      <c r="W32" s="303"/>
      <c r="X32" s="303"/>
      <c r="Y32" s="303"/>
      <c r="Z32" s="303"/>
      <c r="AA32" s="433"/>
      <c r="AB32" s="431"/>
      <c r="AC32" s="431"/>
      <c r="AD32" s="431"/>
      <c r="AE32" s="431"/>
      <c r="AF32" s="431"/>
      <c r="AG32" s="431"/>
      <c r="AH32" s="431"/>
      <c r="AI32" s="431"/>
      <c r="AJ32" s="431"/>
      <c r="AK32" s="431"/>
      <c r="AL32" s="431"/>
      <c r="AM32" s="431"/>
      <c r="AN32" s="431"/>
      <c r="AO32" s="431"/>
      <c r="AP32" s="431"/>
      <c r="AQ32" s="431"/>
      <c r="AR32" s="431"/>
      <c r="AS32" s="431"/>
      <c r="AT32" s="431"/>
      <c r="AU32" s="431"/>
      <c r="AV32" s="431"/>
      <c r="AW32" s="431"/>
    </row>
    <row r="33" spans="1:49" ht="17.25" hidden="1" customHeight="1">
      <c r="A33" s="431"/>
      <c r="B33" s="296"/>
      <c r="C33" s="432">
        <f t="shared" si="5"/>
        <v>36</v>
      </c>
      <c r="D33" s="432" t="str">
        <f t="array" ref="D33">IFERROR(IF(INDEX('Development-Hidden'!$A$2:$B$118,$C33,1)=$I$22,INDEX('Development-Hidden'!$A$2:$B$118,$C33,2),""),"")</f>
        <v/>
      </c>
      <c r="E33" s="433"/>
      <c r="F33" s="433"/>
      <c r="G33" s="433"/>
      <c r="H33" s="433"/>
      <c r="I33" s="433"/>
      <c r="J33" s="434"/>
      <c r="K33" s="295"/>
      <c r="L33" s="300"/>
      <c r="M33" s="300"/>
      <c r="N33" s="300"/>
      <c r="O33" s="300"/>
      <c r="P33" s="300"/>
      <c r="Q33" s="300"/>
      <c r="R33" s="300"/>
      <c r="S33" s="300"/>
      <c r="T33" s="301"/>
      <c r="U33" s="302"/>
      <c r="V33" s="301"/>
      <c r="W33" s="303"/>
      <c r="X33" s="303"/>
      <c r="Y33" s="303"/>
      <c r="Z33" s="303"/>
      <c r="AA33" s="433"/>
      <c r="AB33" s="431"/>
      <c r="AC33" s="431"/>
      <c r="AD33" s="431"/>
      <c r="AE33" s="431"/>
      <c r="AF33" s="431"/>
      <c r="AG33" s="431"/>
      <c r="AH33" s="431"/>
      <c r="AI33" s="431"/>
      <c r="AJ33" s="431"/>
      <c r="AK33" s="431"/>
      <c r="AL33" s="431"/>
      <c r="AM33" s="431"/>
      <c r="AN33" s="431"/>
      <c r="AO33" s="431"/>
      <c r="AP33" s="431"/>
      <c r="AQ33" s="431"/>
      <c r="AR33" s="431"/>
      <c r="AS33" s="431"/>
      <c r="AT33" s="431"/>
      <c r="AU33" s="431"/>
      <c r="AV33" s="431"/>
      <c r="AW33" s="431"/>
    </row>
    <row r="34" spans="1:49" ht="17.25" hidden="1" customHeight="1">
      <c r="A34" s="431"/>
      <c r="B34" s="296"/>
      <c r="C34" s="432">
        <f t="shared" si="5"/>
        <v>37</v>
      </c>
      <c r="D34" s="432" t="str">
        <f t="array" ref="D34">IFERROR(IF(INDEX('Development-Hidden'!$A$2:$B$118,$C34,1)=$I$22,INDEX('Development-Hidden'!$A$2:$B$118,$C34,2),""),"")</f>
        <v/>
      </c>
      <c r="E34" s="433"/>
      <c r="F34" s="433"/>
      <c r="G34" s="433"/>
      <c r="H34" s="433"/>
      <c r="I34" s="433"/>
      <c r="J34" s="434"/>
      <c r="K34" s="295"/>
      <c r="L34" s="300"/>
      <c r="M34" s="300"/>
      <c r="N34" s="300"/>
      <c r="O34" s="300"/>
      <c r="P34" s="300"/>
      <c r="Q34" s="300"/>
      <c r="R34" s="300"/>
      <c r="S34" s="300"/>
      <c r="T34" s="301"/>
      <c r="U34" s="302"/>
      <c r="V34" s="301"/>
      <c r="W34" s="303"/>
      <c r="X34" s="303"/>
      <c r="Y34" s="303"/>
      <c r="Z34" s="303"/>
      <c r="AA34" s="433"/>
      <c r="AB34" s="431"/>
      <c r="AC34" s="431"/>
      <c r="AD34" s="431"/>
      <c r="AE34" s="431"/>
      <c r="AF34" s="431"/>
      <c r="AG34" s="431"/>
      <c r="AH34" s="431"/>
      <c r="AI34" s="431"/>
      <c r="AJ34" s="431"/>
      <c r="AK34" s="431"/>
      <c r="AL34" s="431"/>
      <c r="AM34" s="431"/>
      <c r="AN34" s="431"/>
      <c r="AO34" s="431"/>
      <c r="AP34" s="431"/>
      <c r="AQ34" s="431"/>
      <c r="AR34" s="431"/>
      <c r="AS34" s="431"/>
      <c r="AT34" s="431"/>
      <c r="AU34" s="431"/>
      <c r="AV34" s="431"/>
      <c r="AW34" s="431"/>
    </row>
    <row r="35" spans="1:49" ht="17.25" hidden="1" customHeight="1">
      <c r="A35" s="431"/>
      <c r="B35" s="296"/>
      <c r="C35" s="432">
        <f t="shared" si="5"/>
        <v>38</v>
      </c>
      <c r="D35" s="432" t="str">
        <f t="array" ref="D35">IFERROR(IF(INDEX('Development-Hidden'!$A$2:$B$118,$C35,1)=$I$22,INDEX('Development-Hidden'!$A$2:$B$118,$C35,2),""),"")</f>
        <v/>
      </c>
      <c r="E35" s="433"/>
      <c r="F35" s="433"/>
      <c r="G35" s="433"/>
      <c r="H35" s="433"/>
      <c r="I35" s="433"/>
      <c r="J35" s="434"/>
      <c r="K35" s="295"/>
      <c r="L35" s="300"/>
      <c r="M35" s="300"/>
      <c r="N35" s="300"/>
      <c r="O35" s="300"/>
      <c r="P35" s="300"/>
      <c r="Q35" s="300"/>
      <c r="R35" s="300"/>
      <c r="S35" s="300"/>
      <c r="T35" s="301"/>
      <c r="U35" s="302"/>
      <c r="V35" s="301"/>
      <c r="W35" s="303"/>
      <c r="X35" s="303"/>
      <c r="Y35" s="303"/>
      <c r="Z35" s="303"/>
      <c r="AA35" s="433"/>
      <c r="AB35" s="431"/>
      <c r="AC35" s="431"/>
      <c r="AD35" s="431"/>
      <c r="AE35" s="431"/>
      <c r="AF35" s="431"/>
      <c r="AG35" s="431"/>
      <c r="AH35" s="431"/>
      <c r="AI35" s="431"/>
      <c r="AJ35" s="431"/>
      <c r="AK35" s="431"/>
      <c r="AL35" s="431"/>
      <c r="AM35" s="431"/>
      <c r="AN35" s="431"/>
      <c r="AO35" s="431"/>
      <c r="AP35" s="431"/>
      <c r="AQ35" s="431"/>
      <c r="AR35" s="431"/>
      <c r="AS35" s="431"/>
      <c r="AT35" s="431"/>
      <c r="AU35" s="431"/>
      <c r="AV35" s="431"/>
      <c r="AW35" s="431"/>
    </row>
    <row r="36" spans="1:49" ht="17.25" hidden="1" customHeight="1">
      <c r="A36" s="431"/>
      <c r="B36" s="296"/>
      <c r="C36" s="432">
        <f t="shared" si="5"/>
        <v>39</v>
      </c>
      <c r="D36" s="432" t="str">
        <f t="array" ref="D36">IFERROR(IF(INDEX('Development-Hidden'!$A$2:$B$118,$C36,1)=$I$22,INDEX('Development-Hidden'!$A$2:$B$118,$C36,2),""),"")</f>
        <v/>
      </c>
      <c r="E36" s="433"/>
      <c r="F36" s="433"/>
      <c r="G36" s="433"/>
      <c r="H36" s="433"/>
      <c r="I36" s="433"/>
      <c r="J36" s="434"/>
      <c r="K36" s="295"/>
      <c r="L36" s="300"/>
      <c r="M36" s="300"/>
      <c r="N36" s="300"/>
      <c r="O36" s="300"/>
      <c r="P36" s="300"/>
      <c r="Q36" s="300"/>
      <c r="R36" s="300"/>
      <c r="S36" s="300"/>
      <c r="T36" s="301"/>
      <c r="U36" s="302"/>
      <c r="V36" s="301"/>
      <c r="W36" s="303"/>
      <c r="X36" s="303"/>
      <c r="Y36" s="303"/>
      <c r="Z36" s="303"/>
      <c r="AA36" s="433"/>
      <c r="AB36" s="431"/>
      <c r="AC36" s="431"/>
      <c r="AD36" s="431"/>
      <c r="AE36" s="431"/>
      <c r="AF36" s="431"/>
      <c r="AG36" s="431"/>
      <c r="AH36" s="431"/>
      <c r="AI36" s="431"/>
      <c r="AJ36" s="431"/>
      <c r="AK36" s="431"/>
      <c r="AL36" s="431"/>
      <c r="AM36" s="431"/>
      <c r="AN36" s="431"/>
      <c r="AO36" s="431"/>
      <c r="AP36" s="431"/>
      <c r="AQ36" s="431"/>
      <c r="AR36" s="431"/>
      <c r="AS36" s="431"/>
      <c r="AT36" s="431"/>
      <c r="AU36" s="431"/>
      <c r="AV36" s="431"/>
      <c r="AW36" s="431"/>
    </row>
    <row r="37" spans="1:49" ht="17.25" hidden="1" customHeight="1">
      <c r="A37" s="431"/>
      <c r="B37" s="296"/>
      <c r="C37" s="432">
        <f t="shared" si="5"/>
        <v>40</v>
      </c>
      <c r="D37" s="432" t="str">
        <f t="array" ref="D37">IFERROR(IF(INDEX('Development-Hidden'!$A$2:$B$118,$C37,1)=$I$22,INDEX('Development-Hidden'!$A$2:$B$118,$C37,2),""),"")</f>
        <v/>
      </c>
      <c r="E37" s="433"/>
      <c r="F37" s="433"/>
      <c r="G37" s="433"/>
      <c r="H37" s="433"/>
      <c r="I37" s="433"/>
      <c r="J37" s="434"/>
      <c r="K37" s="295"/>
      <c r="L37" s="300"/>
      <c r="M37" s="300"/>
      <c r="N37" s="300"/>
      <c r="O37" s="300"/>
      <c r="P37" s="300"/>
      <c r="Q37" s="300"/>
      <c r="R37" s="300"/>
      <c r="S37" s="300"/>
      <c r="T37" s="301"/>
      <c r="U37" s="302"/>
      <c r="V37" s="301"/>
      <c r="W37" s="303"/>
      <c r="X37" s="303"/>
      <c r="Y37" s="303"/>
      <c r="Z37" s="303"/>
      <c r="AA37" s="433"/>
      <c r="AB37" s="431"/>
      <c r="AC37" s="431"/>
      <c r="AD37" s="431"/>
      <c r="AE37" s="431"/>
      <c r="AF37" s="431"/>
      <c r="AG37" s="431"/>
      <c r="AH37" s="431"/>
      <c r="AI37" s="431"/>
      <c r="AJ37" s="431"/>
      <c r="AK37" s="431"/>
      <c r="AL37" s="431"/>
      <c r="AM37" s="431"/>
      <c r="AN37" s="431"/>
      <c r="AO37" s="431"/>
      <c r="AP37" s="431"/>
      <c r="AQ37" s="431"/>
      <c r="AR37" s="431"/>
      <c r="AS37" s="431"/>
      <c r="AT37" s="431"/>
      <c r="AU37" s="431"/>
      <c r="AV37" s="431"/>
      <c r="AW37" s="431"/>
    </row>
  </sheetData>
  <mergeCells count="29">
    <mergeCell ref="V23:Y23"/>
    <mergeCell ref="L23:S23"/>
    <mergeCell ref="L22:S22"/>
    <mergeCell ref="V24:Y24"/>
    <mergeCell ref="V25:Y25"/>
    <mergeCell ref="W26:Z26"/>
    <mergeCell ref="E24:H24"/>
    <mergeCell ref="E25:H25"/>
    <mergeCell ref="L26:S26"/>
    <mergeCell ref="L25:S25"/>
    <mergeCell ref="L24:S24"/>
    <mergeCell ref="I21:K21"/>
    <mergeCell ref="I22:K22"/>
    <mergeCell ref="I23:K23"/>
    <mergeCell ref="E23:H23"/>
    <mergeCell ref="C20:D26"/>
    <mergeCell ref="E20:F20"/>
    <mergeCell ref="G20:H20"/>
    <mergeCell ref="E21:H21"/>
    <mergeCell ref="E22:H22"/>
    <mergeCell ref="J20:K20"/>
    <mergeCell ref="AM3:AN3"/>
    <mergeCell ref="AR3:AU3"/>
    <mergeCell ref="P2:S2"/>
    <mergeCell ref="Y20:Z20"/>
    <mergeCell ref="V22:Y22"/>
    <mergeCell ref="AN21:AO21"/>
    <mergeCell ref="V21:Y21"/>
    <mergeCell ref="L21:S21"/>
  </mergeCells>
  <conditionalFormatting sqref="AA4:AA19">
    <cfRule type="cellIs" dxfId="372" priority="1" operator="equal">
      <formula>0</formula>
    </cfRule>
  </conditionalFormatting>
  <conditionalFormatting sqref="J4">
    <cfRule type="expression" dxfId="371" priority="2">
      <formula>K4&lt;&gt;SUM(AD4:AI4)</formula>
    </cfRule>
  </conditionalFormatting>
  <conditionalFormatting sqref="I4:I19">
    <cfRule type="cellIs" dxfId="370" priority="3" stopIfTrue="1" operator="equal">
      <formula>"Player type quantity surpassed"</formula>
    </cfRule>
  </conditionalFormatting>
  <conditionalFormatting sqref="J5">
    <cfRule type="expression" dxfId="369" priority="4">
      <formula>K5&lt;&gt;SUM(AD5:AI5)</formula>
    </cfRule>
  </conditionalFormatting>
  <conditionalFormatting sqref="J6">
    <cfRule type="expression" dxfId="368" priority="5">
      <formula>K6&lt;&gt;SUM(AD6:AI6)</formula>
    </cfRule>
  </conditionalFormatting>
  <conditionalFormatting sqref="J7">
    <cfRule type="expression" dxfId="367" priority="6">
      <formula>K7&lt;&gt;SUM(AD7:AI7)</formula>
    </cfRule>
  </conditionalFormatting>
  <conditionalFormatting sqref="J8">
    <cfRule type="expression" dxfId="366" priority="7">
      <formula>K8&lt;&gt;SUM(AD8:AI8)</formula>
    </cfRule>
  </conditionalFormatting>
  <conditionalFormatting sqref="J9">
    <cfRule type="expression" dxfId="365" priority="8">
      <formula>K9&lt;&gt;SUM(AD9:AI9)</formula>
    </cfRule>
  </conditionalFormatting>
  <conditionalFormatting sqref="J10">
    <cfRule type="expression" dxfId="364" priority="9">
      <formula>K10&lt;&gt;SUM(AD10:AI10)</formula>
    </cfRule>
  </conditionalFormatting>
  <conditionalFormatting sqref="J11">
    <cfRule type="expression" dxfId="363" priority="10">
      <formula>K11&lt;&gt;SUM(AD11:AI11)</formula>
    </cfRule>
  </conditionalFormatting>
  <conditionalFormatting sqref="J12">
    <cfRule type="expression" dxfId="362" priority="11">
      <formula>K12&lt;&gt;SUM(AD12:AI12)</formula>
    </cfRule>
  </conditionalFormatting>
  <conditionalFormatting sqref="J13">
    <cfRule type="expression" dxfId="361" priority="12">
      <formula>K13&lt;&gt;SUM(AD13:AI13)</formula>
    </cfRule>
  </conditionalFormatting>
  <conditionalFormatting sqref="J14">
    <cfRule type="expression" dxfId="360" priority="13">
      <formula>K14&lt;&gt;SUM(AD14:AI14)</formula>
    </cfRule>
  </conditionalFormatting>
  <conditionalFormatting sqref="J15">
    <cfRule type="expression" dxfId="359" priority="14">
      <formula>K15&lt;&gt;SUM(AD15:AI15)</formula>
    </cfRule>
  </conditionalFormatting>
  <conditionalFormatting sqref="J16">
    <cfRule type="expression" dxfId="358" priority="15">
      <formula>K16&lt;&gt;SUM(AD16:AI16)</formula>
    </cfRule>
  </conditionalFormatting>
  <conditionalFormatting sqref="J17">
    <cfRule type="expression" dxfId="357" priority="16">
      <formula>K17&lt;&gt;SUM(AD17:AI17)</formula>
    </cfRule>
  </conditionalFormatting>
  <conditionalFormatting sqref="J18">
    <cfRule type="expression" dxfId="356" priority="17">
      <formula>K18&lt;&gt;SUM(AD18:AI18)</formula>
    </cfRule>
  </conditionalFormatting>
  <conditionalFormatting sqref="J19">
    <cfRule type="expression" dxfId="355" priority="18">
      <formula>K19&lt;&gt;SUM(AD19:AI19)</formula>
    </cfRule>
  </conditionalFormatting>
  <conditionalFormatting sqref="E4:H19">
    <cfRule type="expression" dxfId="354" priority="19">
      <formula>AF4&gt;0</formula>
    </cfRule>
  </conditionalFormatting>
  <conditionalFormatting sqref="E4:H19">
    <cfRule type="expression" dxfId="353" priority="20">
      <formula>P4&gt;0</formula>
    </cfRule>
  </conditionalFormatting>
  <conditionalFormatting sqref="I4:I19 T4:T19 U4:U20 V4:W19 Y4:Y19 U26:U37">
    <cfRule type="cellIs" dxfId="352" priority="21" stopIfTrue="1" operator="equal">
      <formula>0</formula>
    </cfRule>
  </conditionalFormatting>
  <conditionalFormatting sqref="Y27:Y37 AA27">
    <cfRule type="cellIs" dxfId="351" priority="22" stopIfTrue="1" operator="equal">
      <formula>"0,0"</formula>
    </cfRule>
  </conditionalFormatting>
  <conditionalFormatting sqref="K4:K19">
    <cfRule type="cellIs" dxfId="350" priority="23" stopIfTrue="1" operator="equal">
      <formula>"n/a"</formula>
    </cfRule>
  </conditionalFormatting>
  <conditionalFormatting sqref="L20:T20">
    <cfRule type="cellIs" dxfId="349" priority="24" stopIfTrue="1" operator="equal">
      <formula>0</formula>
    </cfRule>
  </conditionalFormatting>
  <conditionalFormatting sqref="P4:S19">
    <cfRule type="cellIs" dxfId="348" priority="25" stopIfTrue="1" operator="lessThanOrEqual">
      <formula>-1</formula>
    </cfRule>
  </conditionalFormatting>
  <conditionalFormatting sqref="V25:W25">
    <cfRule type="cellIs" dxfId="347" priority="26" stopIfTrue="1" operator="equal">
      <formula>-500</formula>
    </cfRule>
  </conditionalFormatting>
  <conditionalFormatting sqref="T25">
    <cfRule type="cellIs" dxfId="346" priority="27" stopIfTrue="1" operator="greaterThan">
      <formula>$V$25</formula>
    </cfRule>
  </conditionalFormatting>
  <conditionalFormatting sqref="Z4:Z19">
    <cfRule type="cellIs" dxfId="345" priority="28" stopIfTrue="1" operator="equal">
      <formula>"Star"</formula>
    </cfRule>
  </conditionalFormatting>
  <conditionalFormatting sqref="Z4:Z19">
    <cfRule type="cellIs" dxfId="344" priority="29" stopIfTrue="1" operator="equal">
      <formula>AA4</formula>
    </cfRule>
  </conditionalFormatting>
  <dataValidations count="1">
    <dataValidation type="list" allowBlank="1" showErrorMessage="1" sqref="D4:D19">
      <formula1>'DH1'!$D$28:$D$37</formula1>
    </dataValidation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V37"/>
  <sheetViews>
    <sheetView workbookViewId="0">
      <selection sqref="A1:A1048576"/>
    </sheetView>
  </sheetViews>
  <sheetFormatPr defaultColWidth="14.42578125" defaultRowHeight="15.75" customHeight="1"/>
  <cols>
    <col min="1" max="1" width="1.85546875" style="139" customWidth="1"/>
    <col min="2" max="2" width="3.140625" style="139" customWidth="1"/>
    <col min="3" max="3" width="19.28515625" style="139" customWidth="1"/>
    <col min="4" max="4" width="21.28515625" style="139" customWidth="1"/>
    <col min="5" max="8" width="3" style="139" customWidth="1"/>
    <col min="9" max="9" width="30.85546875" style="139" customWidth="1"/>
    <col min="10" max="10" width="23" style="139" customWidth="1"/>
    <col min="11" max="11" width="1.85546875" style="139" customWidth="1"/>
    <col min="12" max="13" width="2.42578125" style="139" customWidth="1"/>
    <col min="14" max="16" width="2.140625" style="139" customWidth="1"/>
    <col min="17" max="17" width="2" style="139" customWidth="1"/>
    <col min="18" max="18" width="1.85546875" style="139" customWidth="1"/>
    <col min="19" max="19" width="2" style="139" customWidth="1"/>
    <col min="20" max="21" width="3.28515625" style="139" customWidth="1"/>
    <col min="22" max="22" width="2.42578125" style="139" customWidth="1"/>
    <col min="23" max="23" width="3.28515625" style="139" customWidth="1"/>
    <col min="24" max="24" width="2.7109375" style="139" customWidth="1"/>
    <col min="25" max="25" width="3.28515625" style="139" customWidth="1"/>
    <col min="26" max="26" width="4.42578125" style="139" customWidth="1"/>
    <col min="27" max="27" width="10" style="139" customWidth="1"/>
    <col min="28" max="28" width="5.5703125" style="139" customWidth="1"/>
    <col min="29" max="29" width="8.7109375" style="139" customWidth="1"/>
    <col min="30" max="30" width="5.42578125" style="139" customWidth="1"/>
    <col min="31" max="31" width="5.28515625" style="139" customWidth="1"/>
    <col min="32" max="32" width="4.28515625" style="139" customWidth="1"/>
    <col min="33" max="33" width="3.85546875" style="139" customWidth="1"/>
    <col min="34" max="34" width="4.140625" style="139" customWidth="1"/>
    <col min="35" max="35" width="3.85546875" style="139" customWidth="1"/>
    <col min="36" max="36" width="11.140625" style="139" customWidth="1"/>
    <col min="37" max="37" width="6.28515625" style="139" customWidth="1"/>
    <col min="38" max="38" width="14.42578125" style="139" customWidth="1"/>
    <col min="39" max="39" width="11.42578125" style="139" customWidth="1"/>
    <col min="40" max="40" width="10.7109375" style="139" customWidth="1"/>
    <col min="41" max="41" width="14.42578125" style="139" customWidth="1"/>
    <col min="42" max="42" width="5.140625" style="139" customWidth="1"/>
    <col min="43" max="43" width="7.42578125" style="139" customWidth="1"/>
    <col min="44" max="44" width="26.140625" style="139" customWidth="1"/>
    <col min="45" max="48" width="10.7109375" style="139" customWidth="1"/>
    <col min="49" max="16384" width="14.42578125" style="139"/>
  </cols>
  <sheetData>
    <row r="1" spans="1:48" ht="8.25" customHeight="1">
      <c r="A1" s="440"/>
      <c r="B1" s="137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318"/>
      <c r="AA1" s="318"/>
      <c r="AB1" s="318"/>
      <c r="AC1" s="318"/>
      <c r="AD1" s="318"/>
      <c r="AE1" s="318"/>
      <c r="AF1" s="318"/>
      <c r="AG1" s="318"/>
      <c r="AH1" s="318"/>
      <c r="AI1" s="318"/>
      <c r="AJ1" s="318"/>
      <c r="AL1" s="318"/>
      <c r="AM1" s="318"/>
      <c r="AN1" s="318"/>
      <c r="AO1" s="318"/>
      <c r="AP1" s="318"/>
      <c r="AQ1" s="318"/>
      <c r="AR1" s="318"/>
      <c r="AS1" s="318"/>
      <c r="AT1" s="318"/>
      <c r="AU1" s="318"/>
      <c r="AV1" s="318"/>
    </row>
    <row r="2" spans="1:48" ht="8.25" customHeight="1">
      <c r="A2" s="136"/>
      <c r="B2" s="140"/>
      <c r="C2" s="140"/>
      <c r="D2" s="141"/>
      <c r="E2" s="140"/>
      <c r="F2" s="140"/>
      <c r="G2" s="140"/>
      <c r="H2" s="140"/>
      <c r="I2" s="140"/>
      <c r="J2" s="140"/>
      <c r="K2" s="136"/>
      <c r="L2" s="140"/>
      <c r="M2" s="140"/>
      <c r="N2" s="140"/>
      <c r="O2" s="140"/>
      <c r="P2" s="602" t="s">
        <v>218</v>
      </c>
      <c r="Q2" s="572"/>
      <c r="R2" s="572"/>
      <c r="S2" s="573"/>
      <c r="T2" s="142"/>
      <c r="U2" s="142"/>
      <c r="V2" s="142"/>
      <c r="W2" s="142"/>
      <c r="X2" s="143"/>
      <c r="Y2" s="142"/>
      <c r="Z2" s="140"/>
      <c r="AA2" s="140"/>
      <c r="AB2" s="318"/>
      <c r="AC2" s="318"/>
      <c r="AD2" s="318"/>
      <c r="AE2" s="318"/>
      <c r="AF2" s="318"/>
      <c r="AG2" s="318"/>
      <c r="AH2" s="318"/>
      <c r="AI2" s="318"/>
      <c r="AJ2" s="318"/>
      <c r="AL2" s="318"/>
      <c r="AM2" s="318"/>
      <c r="AN2" s="318"/>
      <c r="AO2" s="318"/>
      <c r="AP2" s="318"/>
      <c r="AQ2" s="318"/>
      <c r="AR2" s="318"/>
      <c r="AS2" s="318"/>
      <c r="AT2" s="318"/>
      <c r="AU2" s="318"/>
      <c r="AV2" s="318"/>
    </row>
    <row r="3" spans="1:48" ht="14.25" customHeight="1">
      <c r="A3" s="137"/>
      <c r="B3" s="146" t="s">
        <v>203</v>
      </c>
      <c r="C3" s="147" t="s">
        <v>32</v>
      </c>
      <c r="D3" s="148" t="s">
        <v>229</v>
      </c>
      <c r="E3" s="149" t="s">
        <v>206</v>
      </c>
      <c r="F3" s="150" t="s">
        <v>207</v>
      </c>
      <c r="G3" s="151" t="s">
        <v>208</v>
      </c>
      <c r="H3" s="152" t="s">
        <v>209</v>
      </c>
      <c r="I3" s="153" t="s">
        <v>230</v>
      </c>
      <c r="J3" s="152" t="s">
        <v>231</v>
      </c>
      <c r="K3" s="154" t="s">
        <v>203</v>
      </c>
      <c r="L3" s="155" t="s">
        <v>232</v>
      </c>
      <c r="M3" s="156" t="s">
        <v>233</v>
      </c>
      <c r="N3" s="156" t="s">
        <v>234</v>
      </c>
      <c r="O3" s="157" t="s">
        <v>235</v>
      </c>
      <c r="P3" s="158" t="s">
        <v>206</v>
      </c>
      <c r="Q3" s="159" t="s">
        <v>207</v>
      </c>
      <c r="R3" s="159" t="s">
        <v>208</v>
      </c>
      <c r="S3" s="160" t="s">
        <v>209</v>
      </c>
      <c r="T3" s="161" t="s">
        <v>236</v>
      </c>
      <c r="U3" s="156" t="s">
        <v>237</v>
      </c>
      <c r="V3" s="156" t="s">
        <v>210</v>
      </c>
      <c r="W3" s="156" t="s">
        <v>240</v>
      </c>
      <c r="X3" s="162" t="s">
        <v>35</v>
      </c>
      <c r="Y3" s="157" t="s">
        <v>211</v>
      </c>
      <c r="Z3" s="153" t="s">
        <v>212</v>
      </c>
      <c r="AA3" s="163" t="s">
        <v>241</v>
      </c>
      <c r="AB3" s="136"/>
      <c r="AC3" s="146" t="s">
        <v>242</v>
      </c>
      <c r="AD3" s="153" t="s">
        <v>233</v>
      </c>
      <c r="AE3" s="150" t="s">
        <v>243</v>
      </c>
      <c r="AF3" s="164" t="str">
        <f>"+MA"</f>
        <v>+MA</v>
      </c>
      <c r="AG3" s="150" t="str">
        <f>"+ST"</f>
        <v>+ST</v>
      </c>
      <c r="AH3" s="150" t="str">
        <f>"+AG"</f>
        <v>+AG</v>
      </c>
      <c r="AI3" s="150" t="str">
        <f>"+AV"</f>
        <v>+AV</v>
      </c>
      <c r="AJ3" s="163" t="s">
        <v>244</v>
      </c>
      <c r="AK3" s="454"/>
      <c r="AL3" s="136"/>
      <c r="AM3" s="601" t="s">
        <v>245</v>
      </c>
      <c r="AN3" s="575"/>
      <c r="AO3" s="136"/>
      <c r="AP3" s="136"/>
      <c r="AQ3" s="136"/>
      <c r="AR3" s="601" t="s">
        <v>246</v>
      </c>
      <c r="AS3" s="575"/>
      <c r="AT3" s="136"/>
      <c r="AU3" s="136"/>
      <c r="AV3" s="136"/>
    </row>
    <row r="4" spans="1:48" ht="14.25" customHeight="1">
      <c r="A4" s="321"/>
      <c r="B4" s="322">
        <v>1</v>
      </c>
      <c r="C4" s="323" t="s">
        <v>157</v>
      </c>
      <c r="D4" s="167" t="s">
        <v>58</v>
      </c>
      <c r="E4" s="168">
        <f>IFERROR(VLOOKUP($I$22&amp;$D4,'Development-Hidden'!$C$2:$J$118,4,FALSE)-P4+AF4,"")</f>
        <v>5</v>
      </c>
      <c r="F4" s="169">
        <f>IFERROR(VLOOKUP($I$22&amp;$D4,'Development-Hidden'!$C$2:$J$118,5,FALSE)-Q4+AG4,"")</f>
        <v>3</v>
      </c>
      <c r="G4" s="169">
        <f>IFERROR(VLOOKUP($I$22&amp;$D4,'Development-Hidden'!$C$2:$J$118,6,FALSE)-R4+AH4,"")</f>
        <v>4</v>
      </c>
      <c r="H4" s="170">
        <f>IFERROR(VLOOKUP($I$22&amp;$D4,'Development-Hidden'!$C$2:$J$118,7,FALSE)-S4+AI4,"")</f>
        <v>8</v>
      </c>
      <c r="I4" s="171">
        <f>IFERROR(VLOOKUP($I$22&amp;$D4,'Development-Hidden'!$C$2:$J$118,8,FALSE),"")</f>
        <v>0</v>
      </c>
      <c r="J4" s="172"/>
      <c r="K4" s="326">
        <f t="shared" ref="K4:K19" si="0">IF(Z4&gt;175,6,IF(Z4&gt;75,5,IF(Z4&gt;50,4,IF(Z4&gt;30,3,IF(Z4&gt;15,2,IF(Z4&gt;5,1,0))))))</f>
        <v>0</v>
      </c>
      <c r="L4" s="327"/>
      <c r="M4" s="327"/>
      <c r="N4" s="327"/>
      <c r="O4" s="327"/>
      <c r="P4" s="328">
        <v>1</v>
      </c>
      <c r="Q4" s="329"/>
      <c r="R4" s="330"/>
      <c r="S4" s="331"/>
      <c r="T4" s="332"/>
      <c r="U4" s="271">
        <v>1</v>
      </c>
      <c r="V4" s="332"/>
      <c r="W4" s="271"/>
      <c r="X4" s="333"/>
      <c r="Y4" s="334"/>
      <c r="Z4" s="184">
        <f t="shared" ref="Z4:Z19" si="1">2*T4+U4+3*V4+2*W4+5*Y4</f>
        <v>1</v>
      </c>
      <c r="AA4" s="183">
        <f t="shared" ref="AA4:AA19" si="2">IF(L4=1,0,AC4+(20000*O4)+(20000*AD4)+(30000*AE4)+(30000*AF4)+(50000*AG4)+(40000*AH4)+(50000*AI4)+AJ4)</f>
        <v>70000</v>
      </c>
      <c r="AB4" s="136"/>
      <c r="AC4" s="184">
        <f>IFERROR(VLOOKUP($I$22&amp;D4,'Development-Hidden'!$C$2:$E$118,3,FALSE),"")</f>
        <v>70000</v>
      </c>
      <c r="AD4" s="455"/>
      <c r="AE4" s="455"/>
      <c r="AF4" s="455"/>
      <c r="AG4" s="455"/>
      <c r="AH4" s="455"/>
      <c r="AI4" s="455"/>
      <c r="AJ4" s="455"/>
      <c r="AK4" s="454"/>
      <c r="AL4" s="336" t="s">
        <v>252</v>
      </c>
      <c r="AM4" s="337">
        <v>0</v>
      </c>
      <c r="AN4" s="318"/>
      <c r="AO4" s="318"/>
      <c r="AP4" s="318"/>
      <c r="AQ4" s="338" t="s">
        <v>391</v>
      </c>
      <c r="AR4" s="339">
        <v>0</v>
      </c>
    </row>
    <row r="5" spans="1:48" ht="14.25" customHeight="1">
      <c r="A5" s="321"/>
      <c r="B5" s="340">
        <v>2</v>
      </c>
      <c r="C5" s="456" t="s">
        <v>59</v>
      </c>
      <c r="D5" s="194" t="s">
        <v>58</v>
      </c>
      <c r="E5" s="195">
        <f>IFERROR(VLOOKUP($I$22&amp;$D5,'Development-Hidden'!$C$2:$J$118,4,FALSE)-P5+AF5,"")</f>
        <v>6</v>
      </c>
      <c r="F5" s="196">
        <f>IFERROR(VLOOKUP($I$22&amp;$D5,'Development-Hidden'!$C$2:$J$118,5,FALSE)-Q5+AG5,"")</f>
        <v>3</v>
      </c>
      <c r="G5" s="196">
        <f>IFERROR(VLOOKUP($I$22&amp;$D5,'Development-Hidden'!$C$2:$J$118,6,FALSE)-R5+AH5,"")</f>
        <v>4</v>
      </c>
      <c r="H5" s="197">
        <f>IFERROR(VLOOKUP($I$22&amp;$D5,'Development-Hidden'!$C$2:$J$118,7,FALSE)-S5+AI5,"")</f>
        <v>8</v>
      </c>
      <c r="I5" s="171">
        <f>IFERROR(VLOOKUP($I$22&amp;$D5,'Development-Hidden'!$C$2:$J$118,8,FALSE),"")</f>
        <v>0</v>
      </c>
      <c r="J5" s="199" t="s">
        <v>475</v>
      </c>
      <c r="K5" s="343">
        <f t="shared" si="0"/>
        <v>1</v>
      </c>
      <c r="L5" s="344"/>
      <c r="M5" s="344"/>
      <c r="N5" s="344"/>
      <c r="O5" s="344"/>
      <c r="P5" s="345"/>
      <c r="Q5" s="346"/>
      <c r="R5" s="347"/>
      <c r="S5" s="348"/>
      <c r="T5" s="349"/>
      <c r="U5" s="274">
        <v>1</v>
      </c>
      <c r="V5" s="349">
        <v>1</v>
      </c>
      <c r="W5" s="274"/>
      <c r="X5" s="350"/>
      <c r="Y5" s="351">
        <v>1</v>
      </c>
      <c r="Z5" s="210">
        <f t="shared" si="1"/>
        <v>9</v>
      </c>
      <c r="AA5" s="183">
        <f t="shared" si="2"/>
        <v>90000</v>
      </c>
      <c r="AB5" s="136"/>
      <c r="AC5" s="210">
        <f>IFERROR(VLOOKUP($I$22&amp;D5,'Development-Hidden'!$C$2:$E$118,3,FALSE),"")</f>
        <v>70000</v>
      </c>
      <c r="AD5" s="455">
        <v>1</v>
      </c>
      <c r="AE5" s="455"/>
      <c r="AF5" s="455"/>
      <c r="AG5" s="455"/>
      <c r="AH5" s="455"/>
      <c r="AI5" s="455"/>
      <c r="AJ5" s="455"/>
      <c r="AK5" s="454"/>
      <c r="AL5" s="353"/>
      <c r="AM5" s="353"/>
      <c r="AN5" s="353"/>
      <c r="AO5" s="353"/>
      <c r="AP5" s="353"/>
    </row>
    <row r="6" spans="1:48" ht="14.25" customHeight="1">
      <c r="A6" s="321"/>
      <c r="B6" s="340">
        <v>3</v>
      </c>
      <c r="C6" s="445" t="s">
        <v>57</v>
      </c>
      <c r="D6" s="194" t="s">
        <v>58</v>
      </c>
      <c r="E6" s="195">
        <f>IFERROR(VLOOKUP($I$22&amp;$D6,'Development-Hidden'!$C$2:$J$118,4,FALSE)-P6+AF6,"")</f>
        <v>6</v>
      </c>
      <c r="F6" s="196">
        <f>IFERROR(VLOOKUP($I$22&amp;$D6,'Development-Hidden'!$C$2:$J$118,5,FALSE)-Q6+AG6,"")</f>
        <v>3</v>
      </c>
      <c r="G6" s="196">
        <f>IFERROR(VLOOKUP($I$22&amp;$D6,'Development-Hidden'!$C$2:$J$118,6,FALSE)-R6+AH6,"")</f>
        <v>4</v>
      </c>
      <c r="H6" s="197">
        <f>IFERROR(VLOOKUP($I$22&amp;$D6,'Development-Hidden'!$C$2:$J$118,7,FALSE)-S6+AI6,"")</f>
        <v>8</v>
      </c>
      <c r="I6" s="171">
        <f>IFERROR(VLOOKUP($I$22&amp;$D6,'Development-Hidden'!$C$2:$J$118,8,FALSE),"")</f>
        <v>0</v>
      </c>
      <c r="J6" s="199" t="s">
        <v>291</v>
      </c>
      <c r="K6" s="343">
        <f t="shared" si="0"/>
        <v>1</v>
      </c>
      <c r="L6" s="344"/>
      <c r="M6" s="344"/>
      <c r="N6" s="344"/>
      <c r="O6" s="344"/>
      <c r="P6" s="345"/>
      <c r="Q6" s="346"/>
      <c r="R6" s="347"/>
      <c r="S6" s="348"/>
      <c r="T6" s="349"/>
      <c r="U6" s="274">
        <v>5</v>
      </c>
      <c r="V6" s="349"/>
      <c r="W6" s="274"/>
      <c r="X6" s="350"/>
      <c r="Y6" s="351">
        <v>1</v>
      </c>
      <c r="Z6" s="210">
        <f t="shared" si="1"/>
        <v>10</v>
      </c>
      <c r="AA6" s="183">
        <f t="shared" si="2"/>
        <v>90000</v>
      </c>
      <c r="AB6" s="136"/>
      <c r="AC6" s="210">
        <f>IFERROR(VLOOKUP($I$22&amp;D6,'Development-Hidden'!$C$2:$E$118,3,FALSE),"")</f>
        <v>70000</v>
      </c>
      <c r="AD6" s="455">
        <v>1</v>
      </c>
      <c r="AE6" s="455"/>
      <c r="AF6" s="455"/>
      <c r="AG6" s="455"/>
      <c r="AH6" s="455"/>
      <c r="AI6" s="455"/>
      <c r="AJ6" s="455"/>
      <c r="AK6" s="454"/>
      <c r="AL6" s="212" t="s">
        <v>256</v>
      </c>
      <c r="AM6" s="212" t="s">
        <v>257</v>
      </c>
      <c r="AN6" s="212" t="s">
        <v>258</v>
      </c>
      <c r="AO6" s="354" t="s">
        <v>400</v>
      </c>
      <c r="AP6" s="353"/>
      <c r="AQ6" s="212" t="s">
        <v>256</v>
      </c>
      <c r="AR6" s="212" t="s">
        <v>260</v>
      </c>
      <c r="AS6" s="212" t="s">
        <v>261</v>
      </c>
      <c r="AT6" s="354" t="s">
        <v>401</v>
      </c>
      <c r="AU6" s="354" t="s">
        <v>262</v>
      </c>
      <c r="AV6" s="355" t="s">
        <v>402</v>
      </c>
    </row>
    <row r="7" spans="1:48" ht="14.25" customHeight="1">
      <c r="A7" s="321"/>
      <c r="B7" s="340">
        <v>4</v>
      </c>
      <c r="C7" s="445" t="s">
        <v>85</v>
      </c>
      <c r="D7" s="194" t="s">
        <v>58</v>
      </c>
      <c r="E7" s="195">
        <f>IFERROR(VLOOKUP($I$22&amp;$D7,'Development-Hidden'!$C$2:$J$118,4,FALSE)-P7+AF7,"")</f>
        <v>6</v>
      </c>
      <c r="F7" s="196">
        <f>IFERROR(VLOOKUP($I$22&amp;$D7,'Development-Hidden'!$C$2:$J$118,5,FALSE)-Q7+AG7,"")</f>
        <v>3</v>
      </c>
      <c r="G7" s="196">
        <f>IFERROR(VLOOKUP($I$22&amp;$D7,'Development-Hidden'!$C$2:$J$118,6,FALSE)-R7+AH7,"")</f>
        <v>4</v>
      </c>
      <c r="H7" s="197">
        <f>IFERROR(VLOOKUP($I$22&amp;$D7,'Development-Hidden'!$C$2:$J$118,7,FALSE)-S7+AI7,"")</f>
        <v>8</v>
      </c>
      <c r="I7" s="171">
        <f>IFERROR(VLOOKUP($I$22&amp;$D7,'Development-Hidden'!$C$2:$J$118,8,FALSE),"")</f>
        <v>0</v>
      </c>
      <c r="J7" s="199" t="s">
        <v>291</v>
      </c>
      <c r="K7" s="343">
        <f t="shared" si="0"/>
        <v>1</v>
      </c>
      <c r="L7" s="344"/>
      <c r="M7" s="344"/>
      <c r="N7" s="344"/>
      <c r="O7" s="344"/>
      <c r="P7" s="345"/>
      <c r="Q7" s="346"/>
      <c r="R7" s="347"/>
      <c r="S7" s="348"/>
      <c r="T7" s="349"/>
      <c r="U7" s="274">
        <v>2</v>
      </c>
      <c r="V7" s="349"/>
      <c r="W7" s="274">
        <v>1</v>
      </c>
      <c r="X7" s="350"/>
      <c r="Y7" s="351">
        <v>1</v>
      </c>
      <c r="Z7" s="210">
        <f t="shared" si="1"/>
        <v>9</v>
      </c>
      <c r="AA7" s="183">
        <f t="shared" si="2"/>
        <v>90000</v>
      </c>
      <c r="AB7" s="136"/>
      <c r="AC7" s="210">
        <f>IFERROR(VLOOKUP($I$22&amp;D7,'Development-Hidden'!$C$2:$E$118,3,FALSE),"")</f>
        <v>70000</v>
      </c>
      <c r="AD7" s="455">
        <v>1</v>
      </c>
      <c r="AE7" s="455"/>
      <c r="AF7" s="455"/>
      <c r="AG7" s="455"/>
      <c r="AH7" s="455"/>
      <c r="AI7" s="455"/>
      <c r="AJ7" s="455"/>
      <c r="AK7" s="454"/>
      <c r="AL7" s="357" t="s">
        <v>267</v>
      </c>
      <c r="AM7" s="187">
        <v>70000</v>
      </c>
      <c r="AN7" s="358">
        <v>0</v>
      </c>
      <c r="AO7" s="359">
        <v>0</v>
      </c>
      <c r="AP7" s="318"/>
      <c r="AQ7" s="357" t="s">
        <v>267</v>
      </c>
      <c r="AR7" s="358" t="s">
        <v>476</v>
      </c>
      <c r="AS7" s="358" t="s">
        <v>441</v>
      </c>
      <c r="AT7" s="187">
        <v>2</v>
      </c>
      <c r="AU7" s="359">
        <v>1</v>
      </c>
      <c r="AV7" s="438">
        <v>1</v>
      </c>
    </row>
    <row r="8" spans="1:48" ht="14.25" customHeight="1">
      <c r="A8" s="321"/>
      <c r="B8" s="340">
        <v>5</v>
      </c>
      <c r="C8" s="445" t="s">
        <v>86</v>
      </c>
      <c r="D8" s="194" t="s">
        <v>58</v>
      </c>
      <c r="E8" s="195">
        <f>IFERROR(VLOOKUP($I$22&amp;$D8,'Development-Hidden'!$C$2:$J$118,4,FALSE)-P8+AF8,"")</f>
        <v>6</v>
      </c>
      <c r="F8" s="196">
        <f>IFERROR(VLOOKUP($I$22&amp;$D8,'Development-Hidden'!$C$2:$J$118,5,FALSE)-Q8+AG8,"")</f>
        <v>3</v>
      </c>
      <c r="G8" s="196">
        <f>IFERROR(VLOOKUP($I$22&amp;$D8,'Development-Hidden'!$C$2:$J$118,6,FALSE)-R8+AH8,"")</f>
        <v>4</v>
      </c>
      <c r="H8" s="197">
        <f>IFERROR(VLOOKUP($I$22&amp;$D8,'Development-Hidden'!$C$2:$J$118,7,FALSE)-S8+AI8,"")</f>
        <v>8</v>
      </c>
      <c r="I8" s="171">
        <f>IFERROR(VLOOKUP($I$22&amp;$D8,'Development-Hidden'!$C$2:$J$118,8,FALSE),"")</f>
        <v>0</v>
      </c>
      <c r="J8" s="199" t="s">
        <v>377</v>
      </c>
      <c r="K8" s="343">
        <f t="shared" si="0"/>
        <v>1</v>
      </c>
      <c r="L8" s="344"/>
      <c r="M8" s="344"/>
      <c r="N8" s="344"/>
      <c r="O8" s="344"/>
      <c r="P8" s="345"/>
      <c r="Q8" s="346"/>
      <c r="R8" s="347"/>
      <c r="S8" s="348"/>
      <c r="T8" s="349"/>
      <c r="U8" s="274">
        <v>1</v>
      </c>
      <c r="V8" s="349"/>
      <c r="W8" s="274"/>
      <c r="X8" s="350"/>
      <c r="Y8" s="351">
        <v>1</v>
      </c>
      <c r="Z8" s="210">
        <f t="shared" si="1"/>
        <v>6</v>
      </c>
      <c r="AA8" s="183">
        <f t="shared" si="2"/>
        <v>100000</v>
      </c>
      <c r="AB8" s="136"/>
      <c r="AC8" s="210">
        <f>IFERROR(VLOOKUP($I$22&amp;D8,'Development-Hidden'!$C$2:$E$118,3,FALSE),"")</f>
        <v>70000</v>
      </c>
      <c r="AD8" s="455"/>
      <c r="AE8" s="455">
        <v>1</v>
      </c>
      <c r="AF8" s="455"/>
      <c r="AG8" s="455"/>
      <c r="AH8" s="455"/>
      <c r="AI8" s="455"/>
      <c r="AJ8" s="455"/>
      <c r="AK8" s="454"/>
      <c r="AL8" s="357" t="s">
        <v>278</v>
      </c>
      <c r="AM8" s="187">
        <v>30000</v>
      </c>
      <c r="AN8" s="358">
        <v>50000</v>
      </c>
      <c r="AO8" s="359"/>
      <c r="AP8" s="318"/>
      <c r="AQ8" s="357" t="s">
        <v>278</v>
      </c>
      <c r="AR8" s="358" t="s">
        <v>47</v>
      </c>
      <c r="AS8" s="358" t="s">
        <v>467</v>
      </c>
      <c r="AT8" s="187">
        <v>1</v>
      </c>
      <c r="AU8" s="359">
        <v>0</v>
      </c>
      <c r="AV8" s="438">
        <v>0</v>
      </c>
    </row>
    <row r="9" spans="1:48" ht="14.25" customHeight="1">
      <c r="A9" s="321"/>
      <c r="B9" s="340">
        <v>6</v>
      </c>
      <c r="C9" s="445" t="s">
        <v>477</v>
      </c>
      <c r="D9" s="194" t="s">
        <v>58</v>
      </c>
      <c r="E9" s="195">
        <f>IFERROR(VLOOKUP($I$22&amp;$D9,'Development-Hidden'!$C$2:$J$118,4,FALSE)-P9+AF9,"")</f>
        <v>6</v>
      </c>
      <c r="F9" s="196">
        <f>IFERROR(VLOOKUP($I$22&amp;$D9,'Development-Hidden'!$C$2:$J$118,5,FALSE)-Q9+AG9,"")</f>
        <v>3</v>
      </c>
      <c r="G9" s="196">
        <f>IFERROR(VLOOKUP($I$22&amp;$D9,'Development-Hidden'!$C$2:$J$118,6,FALSE)-R9+AH9,"")</f>
        <v>4</v>
      </c>
      <c r="H9" s="197">
        <f>IFERROR(VLOOKUP($I$22&amp;$D9,'Development-Hidden'!$C$2:$J$118,7,FALSE)-S9+AI9,"")</f>
        <v>8</v>
      </c>
      <c r="I9" s="171">
        <f>IFERROR(VLOOKUP($I$22&amp;$D9,'Development-Hidden'!$C$2:$J$118,8,FALSE),"")</f>
        <v>0</v>
      </c>
      <c r="J9" s="199" t="s">
        <v>399</v>
      </c>
      <c r="K9" s="343">
        <f t="shared" si="0"/>
        <v>1</v>
      </c>
      <c r="L9" s="344"/>
      <c r="M9" s="344"/>
      <c r="N9" s="344"/>
      <c r="O9" s="344"/>
      <c r="P9" s="345"/>
      <c r="Q9" s="346"/>
      <c r="R9" s="347"/>
      <c r="S9" s="348"/>
      <c r="T9" s="349"/>
      <c r="U9" s="274">
        <v>1</v>
      </c>
      <c r="V9" s="349"/>
      <c r="W9" s="274">
        <v>3</v>
      </c>
      <c r="X9" s="350"/>
      <c r="Y9" s="351">
        <v>1</v>
      </c>
      <c r="Z9" s="210">
        <f t="shared" si="1"/>
        <v>12</v>
      </c>
      <c r="AA9" s="183">
        <f t="shared" si="2"/>
        <v>100000</v>
      </c>
      <c r="AB9" s="136"/>
      <c r="AC9" s="210">
        <f>IFERROR(VLOOKUP($I$22&amp;D9,'Development-Hidden'!$C$2:$E$118,3,FALSE),"")</f>
        <v>70000</v>
      </c>
      <c r="AD9" s="455"/>
      <c r="AE9" s="455">
        <v>1</v>
      </c>
      <c r="AF9" s="455"/>
      <c r="AG9" s="455"/>
      <c r="AH9" s="455"/>
      <c r="AI9" s="455"/>
      <c r="AJ9" s="455"/>
      <c r="AK9" s="454"/>
      <c r="AL9" s="357" t="s">
        <v>289</v>
      </c>
      <c r="AM9" s="187">
        <v>20000</v>
      </c>
      <c r="AN9" s="358"/>
      <c r="AO9" s="359"/>
      <c r="AP9" s="318"/>
      <c r="AQ9" s="357" t="s">
        <v>289</v>
      </c>
      <c r="AR9" s="358" t="s">
        <v>15</v>
      </c>
      <c r="AS9" s="358" t="s">
        <v>478</v>
      </c>
      <c r="AT9" s="187">
        <v>2</v>
      </c>
      <c r="AU9" s="359">
        <v>1</v>
      </c>
      <c r="AV9" s="438">
        <v>0</v>
      </c>
    </row>
    <row r="10" spans="1:48" ht="14.25" customHeight="1">
      <c r="A10" s="321"/>
      <c r="B10" s="340">
        <v>7</v>
      </c>
      <c r="C10" s="445" t="s">
        <v>479</v>
      </c>
      <c r="D10" s="194" t="s">
        <v>58</v>
      </c>
      <c r="E10" s="195">
        <f>IFERROR(VLOOKUP($I$22&amp;$D10,'Development-Hidden'!$C$2:$J$118,4,FALSE)-P10+AF10,"")</f>
        <v>6</v>
      </c>
      <c r="F10" s="196">
        <f>IFERROR(VLOOKUP($I$22&amp;$D10,'Development-Hidden'!$C$2:$J$118,5,FALSE)-Q10+AG10,"")</f>
        <v>3</v>
      </c>
      <c r="G10" s="196">
        <f>IFERROR(VLOOKUP($I$22&amp;$D10,'Development-Hidden'!$C$2:$J$118,6,FALSE)-R10+AH10,"")</f>
        <v>4</v>
      </c>
      <c r="H10" s="197">
        <f>IFERROR(VLOOKUP($I$22&amp;$D10,'Development-Hidden'!$C$2:$J$118,7,FALSE)-S10+AI10,"")</f>
        <v>8</v>
      </c>
      <c r="I10" s="171">
        <f>IFERROR(VLOOKUP($I$22&amp;$D10,'Development-Hidden'!$C$2:$J$118,8,FALSE),"")</f>
        <v>0</v>
      </c>
      <c r="J10" s="199" t="s">
        <v>291</v>
      </c>
      <c r="K10" s="343">
        <f t="shared" si="0"/>
        <v>1</v>
      </c>
      <c r="L10" s="344"/>
      <c r="M10" s="344"/>
      <c r="N10" s="344"/>
      <c r="O10" s="344"/>
      <c r="P10" s="345"/>
      <c r="Q10" s="346"/>
      <c r="R10" s="347"/>
      <c r="S10" s="348"/>
      <c r="T10" s="349"/>
      <c r="U10" s="274">
        <v>1</v>
      </c>
      <c r="V10" s="349">
        <v>1</v>
      </c>
      <c r="W10" s="274">
        <v>1</v>
      </c>
      <c r="X10" s="350">
        <v>1</v>
      </c>
      <c r="Y10" s="351">
        <v>1</v>
      </c>
      <c r="Z10" s="210">
        <f t="shared" si="1"/>
        <v>11</v>
      </c>
      <c r="AA10" s="183">
        <f t="shared" si="2"/>
        <v>90000</v>
      </c>
      <c r="AB10" s="136"/>
      <c r="AC10" s="210">
        <f>IFERROR(VLOOKUP($I$22&amp;D10,'Development-Hidden'!$C$2:$E$118,3,FALSE),"")</f>
        <v>70000</v>
      </c>
      <c r="AD10" s="455">
        <v>1</v>
      </c>
      <c r="AE10" s="455"/>
      <c r="AF10" s="455"/>
      <c r="AG10" s="455"/>
      <c r="AH10" s="455"/>
      <c r="AI10" s="455"/>
      <c r="AJ10" s="455"/>
      <c r="AK10" s="454"/>
      <c r="AL10" s="357" t="s">
        <v>296</v>
      </c>
      <c r="AM10" s="187">
        <v>50000</v>
      </c>
      <c r="AN10" s="358">
        <v>100000</v>
      </c>
      <c r="AO10" s="359"/>
      <c r="AP10" s="318"/>
      <c r="AQ10" s="357" t="s">
        <v>296</v>
      </c>
      <c r="AR10" s="358" t="s">
        <v>40</v>
      </c>
      <c r="AS10" s="358" t="s">
        <v>467</v>
      </c>
      <c r="AT10" s="187">
        <v>1</v>
      </c>
      <c r="AU10" s="359">
        <v>0</v>
      </c>
      <c r="AV10" s="438">
        <v>0</v>
      </c>
    </row>
    <row r="11" spans="1:48" ht="14.25" customHeight="1">
      <c r="A11" s="321"/>
      <c r="B11" s="340">
        <v>8</v>
      </c>
      <c r="C11" s="314"/>
      <c r="D11" s="194"/>
      <c r="E11" s="195" t="str">
        <f>IFERROR(VLOOKUP($I$22&amp;$D11,'Development-Hidden'!$C$2:$J$118,4,FALSE)-P11+AF11,"")</f>
        <v/>
      </c>
      <c r="F11" s="196" t="str">
        <f>IFERROR(VLOOKUP($I$22&amp;$D11,'Development-Hidden'!$C$2:$J$118,5,FALSE)-Q11+AG11,"")</f>
        <v/>
      </c>
      <c r="G11" s="196" t="str">
        <f>IFERROR(VLOOKUP($I$22&amp;$D11,'Development-Hidden'!$C$2:$J$118,6,FALSE)-R11+AH11,"")</f>
        <v/>
      </c>
      <c r="H11" s="197" t="str">
        <f>IFERROR(VLOOKUP($I$22&amp;$D11,'Development-Hidden'!$C$2:$J$118,7,FALSE)-S11+AI11,"")</f>
        <v/>
      </c>
      <c r="I11" s="171" t="str">
        <f>IFERROR(VLOOKUP($I$22&amp;$D11,'Development-Hidden'!$C$2:$J$118,8,FALSE),"")</f>
        <v/>
      </c>
      <c r="J11" s="199"/>
      <c r="K11" s="343">
        <f t="shared" si="0"/>
        <v>0</v>
      </c>
      <c r="L11" s="344"/>
      <c r="M11" s="344"/>
      <c r="N11" s="344"/>
      <c r="O11" s="344"/>
      <c r="P11" s="345"/>
      <c r="Q11" s="346"/>
      <c r="R11" s="347"/>
      <c r="S11" s="348"/>
      <c r="T11" s="349"/>
      <c r="U11" s="274"/>
      <c r="V11" s="349"/>
      <c r="W11" s="274"/>
      <c r="X11" s="350"/>
      <c r="Y11" s="351"/>
      <c r="Z11" s="210">
        <f t="shared" si="1"/>
        <v>0</v>
      </c>
      <c r="AA11" s="183">
        <f t="shared" si="2"/>
        <v>0</v>
      </c>
      <c r="AB11" s="136"/>
      <c r="AC11" s="210" t="str">
        <f>IFERROR(VLOOKUP($I$22&amp;D11,'Development-Hidden'!$C$2:$E$118,3,FALSE),"0")</f>
        <v>0</v>
      </c>
      <c r="AD11" s="455"/>
      <c r="AE11" s="455"/>
      <c r="AF11" s="455"/>
      <c r="AG11" s="455"/>
      <c r="AH11" s="455"/>
      <c r="AI11" s="455"/>
      <c r="AJ11" s="455"/>
      <c r="AK11" s="454"/>
      <c r="AL11" s="357" t="s">
        <v>306</v>
      </c>
      <c r="AM11" s="187">
        <v>70000</v>
      </c>
      <c r="AN11" s="358"/>
      <c r="AO11" s="359"/>
      <c r="AP11" s="318"/>
      <c r="AQ11" s="357" t="s">
        <v>306</v>
      </c>
      <c r="AR11" s="358" t="s">
        <v>3</v>
      </c>
      <c r="AS11" s="358" t="s">
        <v>481</v>
      </c>
      <c r="AT11" s="187">
        <v>2</v>
      </c>
      <c r="AU11" s="359">
        <v>1</v>
      </c>
      <c r="AV11" s="438">
        <v>1</v>
      </c>
    </row>
    <row r="12" spans="1:48" ht="14.25" customHeight="1">
      <c r="A12" s="321"/>
      <c r="B12" s="340">
        <v>9</v>
      </c>
      <c r="C12" s="314"/>
      <c r="D12" s="194"/>
      <c r="E12" s="195" t="str">
        <f>IFERROR(VLOOKUP($I$22&amp;$D12,'Development-Hidden'!$C$2:$J$118,4,FALSE)-P12+AF12,"")</f>
        <v/>
      </c>
      <c r="F12" s="196" t="str">
        <f>IFERROR(VLOOKUP($I$22&amp;$D12,'Development-Hidden'!$C$2:$J$118,5,FALSE)-Q12+AG12,"")</f>
        <v/>
      </c>
      <c r="G12" s="196" t="str">
        <f>IFERROR(VLOOKUP($I$22&amp;$D12,'Development-Hidden'!$C$2:$J$118,6,FALSE)-R12+AH12,"")</f>
        <v/>
      </c>
      <c r="H12" s="197" t="str">
        <f>IFERROR(VLOOKUP($I$22&amp;$D12,'Development-Hidden'!$C$2:$J$118,7,FALSE)-S12+AI12,"")</f>
        <v/>
      </c>
      <c r="I12" s="171" t="str">
        <f>IFERROR(VLOOKUP($I$22&amp;$D12,'Development-Hidden'!$C$2:$J$118,8,FALSE),"")</f>
        <v/>
      </c>
      <c r="J12" s="199"/>
      <c r="K12" s="343">
        <f t="shared" si="0"/>
        <v>0</v>
      </c>
      <c r="L12" s="344"/>
      <c r="M12" s="344"/>
      <c r="N12" s="344"/>
      <c r="O12" s="344"/>
      <c r="P12" s="345"/>
      <c r="Q12" s="346"/>
      <c r="R12" s="347"/>
      <c r="S12" s="348"/>
      <c r="T12" s="349"/>
      <c r="U12" s="274"/>
      <c r="V12" s="349"/>
      <c r="W12" s="274"/>
      <c r="X12" s="350"/>
      <c r="Y12" s="351"/>
      <c r="Z12" s="210">
        <f t="shared" si="1"/>
        <v>0</v>
      </c>
      <c r="AA12" s="183">
        <f t="shared" si="2"/>
        <v>0</v>
      </c>
      <c r="AB12" s="136"/>
      <c r="AC12" s="210" t="str">
        <f>IFERROR(VLOOKUP($I$22&amp;D12,'Development-Hidden'!$C$2:$E$118,3,FALSE),"0")</f>
        <v>0</v>
      </c>
      <c r="AD12" s="455"/>
      <c r="AE12" s="455"/>
      <c r="AF12" s="455"/>
      <c r="AG12" s="455"/>
      <c r="AH12" s="455"/>
      <c r="AI12" s="455"/>
      <c r="AJ12" s="455"/>
      <c r="AK12" s="454"/>
      <c r="AL12" s="357" t="s">
        <v>316</v>
      </c>
      <c r="AM12" s="187">
        <v>10000</v>
      </c>
      <c r="AN12" s="358">
        <v>100000</v>
      </c>
      <c r="AO12" s="359"/>
      <c r="AP12" s="318"/>
      <c r="AQ12" s="357" t="s">
        <v>316</v>
      </c>
      <c r="AR12" s="358" t="s">
        <v>6</v>
      </c>
      <c r="AS12" s="358" t="s">
        <v>467</v>
      </c>
      <c r="AT12" s="187">
        <v>1</v>
      </c>
      <c r="AU12" s="359">
        <v>0</v>
      </c>
      <c r="AV12" s="438">
        <v>0</v>
      </c>
    </row>
    <row r="13" spans="1:48" ht="14.25" customHeight="1">
      <c r="A13" s="321"/>
      <c r="B13" s="340">
        <v>10</v>
      </c>
      <c r="C13" s="445" t="s">
        <v>122</v>
      </c>
      <c r="D13" s="446" t="s">
        <v>42</v>
      </c>
      <c r="E13" s="195">
        <f>IFERROR(VLOOKUP($I$22&amp;$D13,'Development-Hidden'!$C$2:$J$118,4,FALSE)-P13+AF13,"")</f>
        <v>8</v>
      </c>
      <c r="F13" s="196">
        <f>IFERROR(VLOOKUP($I$22&amp;$D13,'Development-Hidden'!$C$2:$J$118,5,FALSE)-Q13+AG13,"")</f>
        <v>3</v>
      </c>
      <c r="G13" s="196">
        <f>IFERROR(VLOOKUP($I$22&amp;$D13,'Development-Hidden'!$C$2:$J$118,6,FALSE)-R13+AH13,"")</f>
        <v>4</v>
      </c>
      <c r="H13" s="197">
        <f>IFERROR(VLOOKUP($I$22&amp;$D13,'Development-Hidden'!$C$2:$J$118,7,FALSE)-S13+AI13,"")</f>
        <v>7</v>
      </c>
      <c r="I13" s="171" t="str">
        <f>IFERROR(VLOOKUP($I$22&amp;$D13,'Development-Hidden'!$C$2:$J$118,8,FALSE),"")</f>
        <v>Catch</v>
      </c>
      <c r="J13" s="199" t="s">
        <v>291</v>
      </c>
      <c r="K13" s="343">
        <f t="shared" si="0"/>
        <v>1</v>
      </c>
      <c r="L13" s="344"/>
      <c r="M13" s="344"/>
      <c r="N13" s="344"/>
      <c r="O13" s="344"/>
      <c r="P13" s="345"/>
      <c r="Q13" s="346"/>
      <c r="R13" s="347"/>
      <c r="S13" s="348"/>
      <c r="T13" s="349">
        <v>1</v>
      </c>
      <c r="U13" s="274">
        <v>2</v>
      </c>
      <c r="V13" s="349">
        <v>3</v>
      </c>
      <c r="W13" s="274">
        <v>1</v>
      </c>
      <c r="X13" s="350"/>
      <c r="Y13" s="351"/>
      <c r="Z13" s="210">
        <f t="shared" si="1"/>
        <v>15</v>
      </c>
      <c r="AA13" s="183">
        <f t="shared" si="2"/>
        <v>110000</v>
      </c>
      <c r="AB13" s="136"/>
      <c r="AC13" s="210">
        <f>IFERROR(VLOOKUP($I$22&amp;D13,'Development-Hidden'!$C$2:$E$118,3,FALSE),"")</f>
        <v>90000</v>
      </c>
      <c r="AD13" s="455">
        <v>1</v>
      </c>
      <c r="AE13" s="455"/>
      <c r="AF13" s="455"/>
      <c r="AG13" s="455"/>
      <c r="AH13" s="455"/>
      <c r="AI13" s="455"/>
      <c r="AJ13" s="455"/>
      <c r="AK13" s="454"/>
      <c r="AL13" s="357" t="s">
        <v>330</v>
      </c>
      <c r="AM13" s="187">
        <v>20000</v>
      </c>
      <c r="AN13" s="358"/>
      <c r="AO13" s="359"/>
      <c r="AP13" s="318"/>
      <c r="AQ13" s="357" t="s">
        <v>330</v>
      </c>
      <c r="AR13" s="358" t="s">
        <v>19</v>
      </c>
      <c r="AS13" s="358" t="s">
        <v>441</v>
      </c>
      <c r="AT13" s="187">
        <v>2</v>
      </c>
      <c r="AU13" s="359">
        <v>3</v>
      </c>
      <c r="AV13" s="438">
        <v>1</v>
      </c>
    </row>
    <row r="14" spans="1:48" ht="14.25" customHeight="1">
      <c r="A14" s="321"/>
      <c r="B14" s="340">
        <v>11</v>
      </c>
      <c r="C14" s="445" t="s">
        <v>41</v>
      </c>
      <c r="D14" s="446" t="s">
        <v>42</v>
      </c>
      <c r="E14" s="195">
        <f>IFERROR(VLOOKUP($I$22&amp;$D14,'Development-Hidden'!$C$2:$J$118,4,FALSE)-P14+AF14,"")</f>
        <v>8</v>
      </c>
      <c r="F14" s="196">
        <f>IFERROR(VLOOKUP($I$22&amp;$D14,'Development-Hidden'!$C$2:$J$118,5,FALSE)-Q14+AG14,"")</f>
        <v>4</v>
      </c>
      <c r="G14" s="196">
        <f>IFERROR(VLOOKUP($I$22&amp;$D14,'Development-Hidden'!$C$2:$J$118,6,FALSE)-R14+AH14,"")</f>
        <v>4</v>
      </c>
      <c r="H14" s="197">
        <f>IFERROR(VLOOKUP($I$22&amp;$D14,'Development-Hidden'!$C$2:$J$118,7,FALSE)-S14+AI14,"")</f>
        <v>7</v>
      </c>
      <c r="I14" s="171" t="str">
        <f>IFERROR(VLOOKUP($I$22&amp;$D14,'Development-Hidden'!$C$2:$J$118,8,FALSE),"")</f>
        <v>Catch</v>
      </c>
      <c r="J14" s="199" t="s">
        <v>482</v>
      </c>
      <c r="K14" s="343">
        <f t="shared" si="0"/>
        <v>2</v>
      </c>
      <c r="L14" s="344"/>
      <c r="M14" s="344"/>
      <c r="N14" s="344"/>
      <c r="O14" s="344"/>
      <c r="P14" s="345"/>
      <c r="Q14" s="346"/>
      <c r="R14" s="347"/>
      <c r="S14" s="348"/>
      <c r="T14" s="349"/>
      <c r="U14" s="274">
        <v>5</v>
      </c>
      <c r="V14" s="349">
        <v>6</v>
      </c>
      <c r="W14" s="274">
        <v>2</v>
      </c>
      <c r="X14" s="350"/>
      <c r="Y14" s="351"/>
      <c r="Z14" s="210">
        <f t="shared" si="1"/>
        <v>27</v>
      </c>
      <c r="AA14" s="183">
        <f t="shared" si="2"/>
        <v>160000</v>
      </c>
      <c r="AB14" s="136"/>
      <c r="AC14" s="210">
        <f>IFERROR(VLOOKUP($I$22&amp;D14,'Development-Hidden'!$C$2:$E$118,3,FALSE),"")</f>
        <v>90000</v>
      </c>
      <c r="AD14" s="455">
        <v>1</v>
      </c>
      <c r="AE14" s="455"/>
      <c r="AF14" s="455"/>
      <c r="AG14" s="455">
        <v>1</v>
      </c>
      <c r="AH14" s="455"/>
      <c r="AI14" s="455"/>
      <c r="AJ14" s="455"/>
      <c r="AK14" s="454"/>
      <c r="AL14" s="357" t="s">
        <v>342</v>
      </c>
      <c r="AM14" s="187">
        <v>60000</v>
      </c>
      <c r="AN14" s="358"/>
      <c r="AO14" s="359"/>
      <c r="AP14" s="318"/>
      <c r="AQ14" s="357" t="s">
        <v>342</v>
      </c>
      <c r="AR14" s="358" t="s">
        <v>53</v>
      </c>
      <c r="AS14" s="358" t="s">
        <v>483</v>
      </c>
      <c r="AT14" s="187">
        <v>3</v>
      </c>
      <c r="AU14" s="359">
        <v>2</v>
      </c>
      <c r="AV14" s="438">
        <v>1</v>
      </c>
    </row>
    <row r="15" spans="1:48" ht="14.25" customHeight="1">
      <c r="A15" s="321"/>
      <c r="B15" s="340">
        <v>12</v>
      </c>
      <c r="C15" s="445" t="s">
        <v>64</v>
      </c>
      <c r="D15" s="446" t="s">
        <v>42</v>
      </c>
      <c r="E15" s="195">
        <f>IFERROR(VLOOKUP($I$22&amp;$D15,'Development-Hidden'!$C$2:$J$118,4,FALSE)-P15+AF15,"")</f>
        <v>8</v>
      </c>
      <c r="F15" s="196">
        <f>IFERROR(VLOOKUP($I$22&amp;$D15,'Development-Hidden'!$C$2:$J$118,5,FALSE)-Q15+AG15,"")</f>
        <v>3</v>
      </c>
      <c r="G15" s="196">
        <f>IFERROR(VLOOKUP($I$22&amp;$D15,'Development-Hidden'!$C$2:$J$118,6,FALSE)-R15+AH15,"")</f>
        <v>4</v>
      </c>
      <c r="H15" s="197">
        <f>IFERROR(VLOOKUP($I$22&amp;$D15,'Development-Hidden'!$C$2:$J$118,7,FALSE)-S15+AI15,"")</f>
        <v>7</v>
      </c>
      <c r="I15" s="171" t="str">
        <f>IFERROR(VLOOKUP($I$22&amp;$D15,'Development-Hidden'!$C$2:$J$118,8,FALSE),"")</f>
        <v>Catch</v>
      </c>
      <c r="J15" s="199" t="s">
        <v>291</v>
      </c>
      <c r="K15" s="343">
        <f t="shared" si="0"/>
        <v>1</v>
      </c>
      <c r="L15" s="344"/>
      <c r="M15" s="344"/>
      <c r="N15" s="344"/>
      <c r="O15" s="344"/>
      <c r="P15" s="345"/>
      <c r="Q15" s="346"/>
      <c r="R15" s="347"/>
      <c r="S15" s="348"/>
      <c r="T15" s="349"/>
      <c r="U15" s="274"/>
      <c r="V15" s="349">
        <v>3</v>
      </c>
      <c r="W15" s="274"/>
      <c r="X15" s="350"/>
      <c r="Y15" s="351">
        <v>1</v>
      </c>
      <c r="Z15" s="210">
        <f t="shared" si="1"/>
        <v>14</v>
      </c>
      <c r="AA15" s="183">
        <f t="shared" si="2"/>
        <v>110000</v>
      </c>
      <c r="AB15" s="136"/>
      <c r="AC15" s="210">
        <f>IFERROR(VLOOKUP($I$22&amp;D15,'Development-Hidden'!$C$2:$E$118,3,FALSE),"")</f>
        <v>90000</v>
      </c>
      <c r="AD15" s="455">
        <v>1</v>
      </c>
      <c r="AE15" s="455"/>
      <c r="AF15" s="455"/>
      <c r="AG15" s="455"/>
      <c r="AH15" s="455"/>
      <c r="AI15" s="455"/>
      <c r="AJ15" s="455"/>
      <c r="AK15" s="454"/>
      <c r="AL15" s="357" t="s">
        <v>354</v>
      </c>
      <c r="AM15" s="187">
        <v>0</v>
      </c>
      <c r="AN15" s="358"/>
      <c r="AO15" s="359"/>
      <c r="AP15" s="318"/>
      <c r="AQ15" s="357" t="s">
        <v>354</v>
      </c>
      <c r="AR15" s="358"/>
      <c r="AS15" s="358"/>
      <c r="AT15" s="187"/>
      <c r="AU15" s="359"/>
      <c r="AV15" s="438"/>
    </row>
    <row r="16" spans="1:48" ht="14.25" customHeight="1">
      <c r="A16" s="321"/>
      <c r="B16" s="340">
        <v>13</v>
      </c>
      <c r="C16" s="314"/>
      <c r="D16" s="194"/>
      <c r="E16" s="195" t="str">
        <f>IFERROR(VLOOKUP($I$22&amp;$D16,'Development-Hidden'!$C$2:$J$118,4,FALSE)-P16+AF16,"")</f>
        <v/>
      </c>
      <c r="F16" s="196" t="str">
        <f>IFERROR(VLOOKUP($I$22&amp;$D16,'Development-Hidden'!$C$2:$J$118,5,FALSE)-Q16+AG16,"")</f>
        <v/>
      </c>
      <c r="G16" s="196" t="str">
        <f>IFERROR(VLOOKUP($I$22&amp;$D16,'Development-Hidden'!$C$2:$J$118,6,FALSE)-R16+AH16,"")</f>
        <v/>
      </c>
      <c r="H16" s="197" t="str">
        <f>IFERROR(VLOOKUP($I$22&amp;$D16,'Development-Hidden'!$C$2:$J$118,7,FALSE)-S16+AI16,"")</f>
        <v/>
      </c>
      <c r="I16" s="171" t="str">
        <f>IFERROR(VLOOKUP($I$22&amp;$D16,'Development-Hidden'!$C$2:$J$118,8,FALSE),"")</f>
        <v/>
      </c>
      <c r="J16" s="199"/>
      <c r="K16" s="343">
        <f t="shared" si="0"/>
        <v>0</v>
      </c>
      <c r="L16" s="344"/>
      <c r="M16" s="344"/>
      <c r="N16" s="344"/>
      <c r="O16" s="344"/>
      <c r="P16" s="345"/>
      <c r="Q16" s="346"/>
      <c r="R16" s="347"/>
      <c r="S16" s="348"/>
      <c r="T16" s="349"/>
      <c r="U16" s="274"/>
      <c r="V16" s="349"/>
      <c r="W16" s="274"/>
      <c r="X16" s="350"/>
      <c r="Y16" s="351"/>
      <c r="Z16" s="210">
        <f t="shared" si="1"/>
        <v>0</v>
      </c>
      <c r="AA16" s="183">
        <f t="shared" si="2"/>
        <v>0</v>
      </c>
      <c r="AB16" s="136"/>
      <c r="AC16" s="210" t="str">
        <f>IFERROR(VLOOKUP($I$22&amp;D16,'Development-Hidden'!$C$2:$E$118,3,FALSE),"0")</f>
        <v>0</v>
      </c>
      <c r="AD16" s="455"/>
      <c r="AE16" s="455"/>
      <c r="AF16" s="455"/>
      <c r="AG16" s="455"/>
      <c r="AH16" s="455"/>
      <c r="AI16" s="455"/>
      <c r="AJ16" s="455"/>
      <c r="AK16" s="454"/>
      <c r="AL16" s="357" t="s">
        <v>355</v>
      </c>
      <c r="AM16" s="187"/>
      <c r="AN16" s="358"/>
      <c r="AO16" s="359"/>
      <c r="AP16" s="318"/>
      <c r="AQ16" s="357" t="s">
        <v>355</v>
      </c>
      <c r="AR16" s="358"/>
      <c r="AS16" s="358"/>
      <c r="AT16" s="187"/>
      <c r="AU16" s="359"/>
      <c r="AV16" s="438"/>
    </row>
    <row r="17" spans="1:48" ht="14.25" customHeight="1">
      <c r="A17" s="321"/>
      <c r="B17" s="340">
        <v>14</v>
      </c>
      <c r="C17" s="445" t="s">
        <v>486</v>
      </c>
      <c r="D17" s="194" t="s">
        <v>49</v>
      </c>
      <c r="E17" s="195">
        <f>IFERROR(VLOOKUP($I$22&amp;$D17,'Development-Hidden'!$C$2:$J$118,4,FALSE)-P17+AF17,"")</f>
        <v>7</v>
      </c>
      <c r="F17" s="196">
        <f>IFERROR(VLOOKUP($I$22&amp;$D17,'Development-Hidden'!$C$2:$J$118,5,FALSE)-Q17+AG17,"")</f>
        <v>3</v>
      </c>
      <c r="G17" s="196">
        <f>IFERROR(VLOOKUP($I$22&amp;$D17,'Development-Hidden'!$C$2:$J$118,6,FALSE)-R17+AH17,"")</f>
        <v>4</v>
      </c>
      <c r="H17" s="197">
        <f>IFERROR(VLOOKUP($I$22&amp;$D17,'Development-Hidden'!$C$2:$J$118,7,FALSE)-S17+AI17,"")</f>
        <v>8</v>
      </c>
      <c r="I17" s="171" t="str">
        <f>IFERROR(VLOOKUP($I$22&amp;$D17,'Development-Hidden'!$C$2:$J$118,8,FALSE),"")</f>
        <v>Block</v>
      </c>
      <c r="J17" s="199"/>
      <c r="K17" s="343">
        <f t="shared" si="0"/>
        <v>0</v>
      </c>
      <c r="L17" s="344"/>
      <c r="M17" s="344"/>
      <c r="N17" s="344"/>
      <c r="O17" s="344"/>
      <c r="P17" s="345"/>
      <c r="Q17" s="346"/>
      <c r="R17" s="347"/>
      <c r="S17" s="348"/>
      <c r="T17" s="349"/>
      <c r="U17" s="274"/>
      <c r="V17" s="349"/>
      <c r="W17" s="274"/>
      <c r="X17" s="350"/>
      <c r="Y17" s="351"/>
      <c r="Z17" s="210">
        <f t="shared" si="1"/>
        <v>0</v>
      </c>
      <c r="AA17" s="183">
        <f t="shared" si="2"/>
        <v>100000</v>
      </c>
      <c r="AB17" s="136"/>
      <c r="AC17" s="210">
        <f>IFERROR(VLOOKUP($I$22&amp;D17,'Development-Hidden'!$C$2:$E$118,3,FALSE),"")</f>
        <v>100000</v>
      </c>
      <c r="AD17" s="455"/>
      <c r="AE17" s="455"/>
      <c r="AF17" s="455"/>
      <c r="AG17" s="455"/>
      <c r="AH17" s="455"/>
      <c r="AI17" s="455"/>
      <c r="AJ17" s="455"/>
      <c r="AK17" s="454"/>
      <c r="AL17" s="357" t="s">
        <v>357</v>
      </c>
      <c r="AM17" s="187"/>
      <c r="AN17" s="358"/>
      <c r="AO17" s="359"/>
      <c r="AP17" s="318"/>
      <c r="AQ17" s="357" t="s">
        <v>357</v>
      </c>
      <c r="AR17" s="358"/>
      <c r="AS17" s="358"/>
      <c r="AT17" s="187"/>
      <c r="AU17" s="359"/>
      <c r="AV17" s="438"/>
    </row>
    <row r="18" spans="1:48" ht="14.25" customHeight="1">
      <c r="A18" s="321"/>
      <c r="B18" s="340">
        <v>15</v>
      </c>
      <c r="C18" s="314" t="s">
        <v>491</v>
      </c>
      <c r="D18" s="194" t="s">
        <v>49</v>
      </c>
      <c r="E18" s="195">
        <f>IFERROR(VLOOKUP($I$22&amp;$D18,'Development-Hidden'!$C$2:$J$118,4,FALSE)-P18+AF18,"")</f>
        <v>7</v>
      </c>
      <c r="F18" s="196">
        <f>IFERROR(VLOOKUP($I$22&amp;$D18,'Development-Hidden'!$C$2:$J$118,5,FALSE)-Q18+AG18,"")</f>
        <v>3</v>
      </c>
      <c r="G18" s="196">
        <f>IFERROR(VLOOKUP($I$22&amp;$D18,'Development-Hidden'!$C$2:$J$118,6,FALSE)-R18+AH18,"")</f>
        <v>4</v>
      </c>
      <c r="H18" s="197">
        <f>IFERROR(VLOOKUP($I$22&amp;$D18,'Development-Hidden'!$C$2:$J$118,7,FALSE)-S18+AI18,"")</f>
        <v>8</v>
      </c>
      <c r="I18" s="171" t="str">
        <f>IFERROR(VLOOKUP($I$22&amp;$D18,'Development-Hidden'!$C$2:$J$118,8,FALSE),"")</f>
        <v>Block</v>
      </c>
      <c r="J18" s="199"/>
      <c r="K18" s="343">
        <f t="shared" si="0"/>
        <v>0</v>
      </c>
      <c r="L18" s="344"/>
      <c r="M18" s="344"/>
      <c r="N18" s="344"/>
      <c r="O18" s="344"/>
      <c r="P18" s="345"/>
      <c r="Q18" s="346"/>
      <c r="R18" s="347"/>
      <c r="S18" s="348"/>
      <c r="T18" s="349"/>
      <c r="U18" s="274"/>
      <c r="V18" s="349"/>
      <c r="W18" s="274"/>
      <c r="X18" s="350"/>
      <c r="Y18" s="351"/>
      <c r="Z18" s="210">
        <f t="shared" si="1"/>
        <v>0</v>
      </c>
      <c r="AA18" s="183">
        <f t="shared" si="2"/>
        <v>100000</v>
      </c>
      <c r="AB18" s="136"/>
      <c r="AC18" s="210">
        <f>IFERROR(VLOOKUP($I$22&amp;D18,'Development-Hidden'!$C$2:$E$118,3,FALSE),"")</f>
        <v>100000</v>
      </c>
      <c r="AD18" s="455"/>
      <c r="AE18" s="455"/>
      <c r="AF18" s="455"/>
      <c r="AG18" s="455"/>
      <c r="AH18" s="455"/>
      <c r="AI18" s="455"/>
      <c r="AJ18" s="455"/>
      <c r="AK18" s="454"/>
      <c r="AL18" s="357" t="s">
        <v>359</v>
      </c>
      <c r="AM18" s="187"/>
      <c r="AN18" s="358"/>
      <c r="AO18" s="359"/>
      <c r="AP18" s="318"/>
      <c r="AQ18" s="357" t="s">
        <v>359</v>
      </c>
      <c r="AR18" s="358"/>
      <c r="AS18" s="358"/>
      <c r="AT18" s="187"/>
      <c r="AU18" s="359"/>
      <c r="AV18" s="438"/>
    </row>
    <row r="19" spans="1:48" ht="14.25" customHeight="1">
      <c r="A19" s="321"/>
      <c r="B19" s="384">
        <v>16</v>
      </c>
      <c r="C19" s="457" t="s">
        <v>493</v>
      </c>
      <c r="D19" s="458" t="s">
        <v>83</v>
      </c>
      <c r="E19" s="251">
        <f>IFERROR(VLOOKUP($I$22&amp;$D19,'Development-Hidden'!$C$2:$J$118,4,FALSE)-P19+AF19,"")</f>
        <v>6</v>
      </c>
      <c r="F19" s="252">
        <f>IFERROR(VLOOKUP($I$22&amp;$D19,'Development-Hidden'!$C$2:$J$118,5,FALSE)-Q19+AG19,"")</f>
        <v>3</v>
      </c>
      <c r="G19" s="252">
        <f>IFERROR(VLOOKUP($I$22&amp;$D19,'Development-Hidden'!$C$2:$J$118,6,FALSE)-R19+AH19,"")</f>
        <v>4</v>
      </c>
      <c r="H19" s="253">
        <f>IFERROR(VLOOKUP($I$22&amp;$D19,'Development-Hidden'!$C$2:$J$118,7,FALSE)-S19+AI19,"")</f>
        <v>8</v>
      </c>
      <c r="I19" s="171" t="str">
        <f>IFERROR(VLOOKUP($I$22&amp;$D19,'Development-Hidden'!$C$2:$J$118,8,FALSE),"")</f>
        <v>Pass, Safe Throw</v>
      </c>
      <c r="J19" s="255" t="s">
        <v>392</v>
      </c>
      <c r="K19" s="389">
        <f t="shared" si="0"/>
        <v>1</v>
      </c>
      <c r="L19" s="390"/>
      <c r="M19" s="390"/>
      <c r="N19" s="390"/>
      <c r="O19" s="390"/>
      <c r="P19" s="391"/>
      <c r="Q19" s="392"/>
      <c r="R19" s="393"/>
      <c r="S19" s="394"/>
      <c r="T19" s="395"/>
      <c r="U19" s="281">
        <v>3</v>
      </c>
      <c r="V19" s="395"/>
      <c r="W19" s="281"/>
      <c r="X19" s="396"/>
      <c r="Y19" s="397">
        <v>1</v>
      </c>
      <c r="Z19" s="266">
        <f t="shared" si="1"/>
        <v>8</v>
      </c>
      <c r="AA19" s="183">
        <f t="shared" si="2"/>
        <v>110000</v>
      </c>
      <c r="AB19" s="136"/>
      <c r="AC19" s="266">
        <f>IFERROR(VLOOKUP($I$22&amp;D19,'Development-Hidden'!$C$2:$E$118,3,FALSE),"")</f>
        <v>90000</v>
      </c>
      <c r="AD19" s="455">
        <v>1</v>
      </c>
      <c r="AE19" s="455"/>
      <c r="AF19" s="455"/>
      <c r="AG19" s="455"/>
      <c r="AH19" s="455"/>
      <c r="AI19" s="455"/>
      <c r="AJ19" s="455"/>
      <c r="AL19" s="318"/>
      <c r="AM19" s="318"/>
      <c r="AN19" s="318"/>
      <c r="AO19" s="318"/>
      <c r="AP19" s="318"/>
      <c r="AQ19" s="318"/>
      <c r="AR19" s="318"/>
      <c r="AS19" s="318"/>
      <c r="AT19" s="318"/>
      <c r="AU19" s="318"/>
      <c r="AV19" s="318"/>
    </row>
    <row r="20" spans="1:48" ht="18" customHeight="1">
      <c r="A20" s="321"/>
      <c r="B20" s="399"/>
      <c r="C20" s="653"/>
      <c r="D20" s="573"/>
      <c r="E20" s="641"/>
      <c r="F20" s="587"/>
      <c r="G20" s="642"/>
      <c r="H20" s="588"/>
      <c r="I20" s="441"/>
      <c r="J20" s="652"/>
      <c r="K20" s="587"/>
      <c r="L20" s="401"/>
      <c r="M20" s="402"/>
      <c r="N20" s="402"/>
      <c r="O20" s="402"/>
      <c r="P20" s="402"/>
      <c r="Q20" s="402"/>
      <c r="R20" s="402"/>
      <c r="S20" s="402"/>
      <c r="T20" s="402"/>
      <c r="U20" s="403"/>
      <c r="V20" s="404"/>
      <c r="W20" s="402"/>
      <c r="X20" s="405" t="s">
        <v>364</v>
      </c>
      <c r="Y20" s="651"/>
      <c r="Z20" s="588"/>
      <c r="AA20" s="270">
        <f>SUM(AA4:AA19)</f>
        <v>1320000</v>
      </c>
      <c r="AB20" s="318"/>
      <c r="AC20" s="318"/>
      <c r="AD20" s="318"/>
      <c r="AE20" s="318"/>
      <c r="AF20" s="318"/>
      <c r="AG20" s="318"/>
      <c r="AH20" s="318"/>
      <c r="AI20" s="318"/>
      <c r="AJ20" s="318"/>
      <c r="AK20" s="454"/>
      <c r="AL20" s="406" t="s">
        <v>219</v>
      </c>
      <c r="AM20" s="187">
        <f>AM4+SUM(AM7:AM18)-SUM(AN7:AN18)-SUM(AO7:AO18)</f>
        <v>80000</v>
      </c>
      <c r="AN20" s="318"/>
      <c r="AO20" s="318"/>
      <c r="AP20" s="318"/>
      <c r="AS20" s="406" t="s">
        <v>219</v>
      </c>
      <c r="AT20" s="187">
        <f t="shared" ref="AT20:AU20" si="3">SUM(AT7:AT18)</f>
        <v>14</v>
      </c>
      <c r="AU20" s="407">
        <f t="shared" si="3"/>
        <v>8</v>
      </c>
      <c r="AV20" s="408">
        <f>AR4+SUM(AV7:AV18)</f>
        <v>4</v>
      </c>
    </row>
    <row r="21" spans="1:48" ht="17.25" customHeight="1">
      <c r="A21" s="321"/>
      <c r="B21" s="409"/>
      <c r="C21" s="574"/>
      <c r="D21" s="576"/>
      <c r="E21" s="643" t="s">
        <v>365</v>
      </c>
      <c r="F21" s="581"/>
      <c r="G21" s="581"/>
      <c r="H21" s="581"/>
      <c r="I21" s="609" t="s">
        <v>17</v>
      </c>
      <c r="J21" s="636"/>
      <c r="K21" s="637"/>
      <c r="L21" s="649" t="s">
        <v>366</v>
      </c>
      <c r="M21" s="636"/>
      <c r="N21" s="636"/>
      <c r="O21" s="636"/>
      <c r="P21" s="636"/>
      <c r="Q21" s="636"/>
      <c r="R21" s="636"/>
      <c r="S21" s="650"/>
      <c r="T21" s="410">
        <v>3</v>
      </c>
      <c r="U21" s="411" t="s">
        <v>220</v>
      </c>
      <c r="V21" s="648">
        <v>50000</v>
      </c>
      <c r="W21" s="636"/>
      <c r="X21" s="636"/>
      <c r="Y21" s="636"/>
      <c r="Z21" s="412" t="s">
        <v>406</v>
      </c>
      <c r="AA21" s="273">
        <f t="shared" ref="AA21:AA25" si="4">T21*V21</f>
        <v>150000</v>
      </c>
      <c r="AB21" s="318"/>
      <c r="AC21" s="318"/>
      <c r="AD21" s="318"/>
      <c r="AE21" s="318"/>
      <c r="AF21" s="318"/>
      <c r="AG21" s="318"/>
      <c r="AH21" s="318"/>
      <c r="AI21" s="318"/>
      <c r="AJ21" s="318"/>
      <c r="AL21" s="318"/>
      <c r="AM21" s="318"/>
      <c r="AN21" s="604" t="s">
        <v>367</v>
      </c>
      <c r="AO21" s="588"/>
      <c r="AP21" s="318"/>
      <c r="AQ21" s="318"/>
      <c r="AR21" s="318"/>
      <c r="AS21" s="318"/>
      <c r="AT21" s="318"/>
      <c r="AU21" s="318"/>
      <c r="AV21" s="318"/>
    </row>
    <row r="22" spans="1:48" ht="17.25" customHeight="1">
      <c r="A22" s="321"/>
      <c r="B22" s="409"/>
      <c r="C22" s="574"/>
      <c r="D22" s="576"/>
      <c r="E22" s="621" t="s">
        <v>368</v>
      </c>
      <c r="F22" s="583"/>
      <c r="G22" s="583"/>
      <c r="H22" s="583"/>
      <c r="I22" s="638" t="s">
        <v>494</v>
      </c>
      <c r="J22" s="583"/>
      <c r="K22" s="597"/>
      <c r="L22" s="591" t="s">
        <v>369</v>
      </c>
      <c r="M22" s="583"/>
      <c r="N22" s="583"/>
      <c r="O22" s="583"/>
      <c r="P22" s="583"/>
      <c r="Q22" s="583"/>
      <c r="R22" s="583"/>
      <c r="S22" s="592"/>
      <c r="T22" s="274">
        <f>AV20</f>
        <v>4</v>
      </c>
      <c r="U22" s="413" t="s">
        <v>220</v>
      </c>
      <c r="V22" s="647">
        <v>10000</v>
      </c>
      <c r="W22" s="583"/>
      <c r="X22" s="583"/>
      <c r="Y22" s="583"/>
      <c r="Z22" s="414" t="s">
        <v>406</v>
      </c>
      <c r="AA22" s="276">
        <f t="shared" si="4"/>
        <v>40000</v>
      </c>
      <c r="AB22" s="318"/>
      <c r="AC22" s="318"/>
      <c r="AD22" s="318"/>
      <c r="AE22" s="318"/>
      <c r="AF22" s="318"/>
      <c r="AG22" s="318"/>
      <c r="AH22" s="318"/>
      <c r="AI22" s="318"/>
      <c r="AJ22" s="318"/>
      <c r="AL22" s="318"/>
      <c r="AM22" s="318"/>
      <c r="AN22" s="277" t="s">
        <v>370</v>
      </c>
      <c r="AO22" s="278">
        <f>AM20</f>
        <v>80000</v>
      </c>
      <c r="AP22" s="318"/>
      <c r="AQ22" s="318"/>
      <c r="AR22" s="318"/>
      <c r="AS22" s="318"/>
      <c r="AT22" s="318"/>
      <c r="AU22" s="318"/>
      <c r="AV22" s="318"/>
    </row>
    <row r="23" spans="1:48" ht="17.25" customHeight="1">
      <c r="A23" s="321"/>
      <c r="B23" s="409"/>
      <c r="C23" s="574"/>
      <c r="D23" s="576"/>
      <c r="E23" s="621" t="s">
        <v>408</v>
      </c>
      <c r="F23" s="583"/>
      <c r="G23" s="583"/>
      <c r="H23" s="583"/>
      <c r="I23" s="639" t="s">
        <v>473</v>
      </c>
      <c r="J23" s="583"/>
      <c r="K23" s="597"/>
      <c r="L23" s="591" t="s">
        <v>409</v>
      </c>
      <c r="M23" s="583"/>
      <c r="N23" s="583"/>
      <c r="O23" s="583"/>
      <c r="P23" s="583"/>
      <c r="Q23" s="583"/>
      <c r="R23" s="583"/>
      <c r="S23" s="592"/>
      <c r="T23" s="274">
        <v>0</v>
      </c>
      <c r="U23" s="413" t="s">
        <v>220</v>
      </c>
      <c r="V23" s="647">
        <v>10000</v>
      </c>
      <c r="W23" s="583"/>
      <c r="X23" s="583"/>
      <c r="Y23" s="583"/>
      <c r="Z23" s="414" t="s">
        <v>406</v>
      </c>
      <c r="AA23" s="276">
        <f t="shared" si="4"/>
        <v>0</v>
      </c>
      <c r="AB23" s="318"/>
      <c r="AC23" s="318"/>
      <c r="AD23" s="318"/>
      <c r="AE23" s="318"/>
      <c r="AF23" s="318"/>
      <c r="AG23" s="318"/>
      <c r="AH23" s="318"/>
      <c r="AI23" s="318"/>
      <c r="AJ23" s="318"/>
      <c r="AL23" s="318"/>
      <c r="AM23" s="318"/>
      <c r="AN23" s="279" t="s">
        <v>372</v>
      </c>
      <c r="AO23" s="280">
        <f>COUNTA(AM7:AM18)*10000</f>
        <v>90000</v>
      </c>
      <c r="AP23" s="318"/>
      <c r="AQ23" s="318"/>
      <c r="AR23" s="318"/>
      <c r="AS23" s="318"/>
      <c r="AT23" s="318"/>
      <c r="AU23" s="318"/>
      <c r="AV23" s="318"/>
    </row>
    <row r="24" spans="1:48" ht="17.25" customHeight="1">
      <c r="A24" s="321"/>
      <c r="B24" s="409"/>
      <c r="C24" s="574"/>
      <c r="D24" s="576"/>
      <c r="E24" s="621" t="s">
        <v>373</v>
      </c>
      <c r="F24" s="583"/>
      <c r="G24" s="583"/>
      <c r="H24" s="583"/>
      <c r="I24" s="415">
        <f>(AA20+AA26)/1000</f>
        <v>1560</v>
      </c>
      <c r="J24" s="416" t="s">
        <v>410</v>
      </c>
      <c r="K24" s="417"/>
      <c r="L24" s="591" t="s">
        <v>375</v>
      </c>
      <c r="M24" s="583"/>
      <c r="N24" s="583"/>
      <c r="O24" s="583"/>
      <c r="P24" s="583"/>
      <c r="Q24" s="583"/>
      <c r="R24" s="583"/>
      <c r="S24" s="592"/>
      <c r="T24" s="274">
        <v>0</v>
      </c>
      <c r="U24" s="413" t="s">
        <v>220</v>
      </c>
      <c r="V24" s="647">
        <v>10000</v>
      </c>
      <c r="W24" s="583"/>
      <c r="X24" s="583"/>
      <c r="Y24" s="583"/>
      <c r="Z24" s="414" t="s">
        <v>406</v>
      </c>
      <c r="AA24" s="276">
        <f t="shared" si="4"/>
        <v>0</v>
      </c>
      <c r="AB24" s="318"/>
      <c r="AC24" s="318"/>
      <c r="AD24" s="318"/>
      <c r="AE24" s="318"/>
      <c r="AF24" s="318"/>
      <c r="AG24" s="318"/>
      <c r="AH24" s="318"/>
      <c r="AI24" s="318"/>
      <c r="AJ24" s="318"/>
      <c r="AL24" s="318"/>
      <c r="AM24" s="318"/>
      <c r="AN24" s="279" t="s">
        <v>33</v>
      </c>
      <c r="AO24" s="280">
        <f>AT20*5000</f>
        <v>70000</v>
      </c>
      <c r="AP24" s="318"/>
      <c r="AQ24" s="318"/>
      <c r="AR24" s="318"/>
      <c r="AS24" s="318"/>
      <c r="AT24" s="318"/>
      <c r="AU24" s="318"/>
      <c r="AV24" s="318"/>
    </row>
    <row r="25" spans="1:48" ht="17.25" customHeight="1">
      <c r="A25" s="321"/>
      <c r="B25" s="409"/>
      <c r="C25" s="574"/>
      <c r="D25" s="576"/>
      <c r="E25" s="623" t="s">
        <v>376</v>
      </c>
      <c r="F25" s="594"/>
      <c r="G25" s="594"/>
      <c r="H25" s="596"/>
      <c r="I25" s="418">
        <f>AM20/1000</f>
        <v>80</v>
      </c>
      <c r="J25" s="419" t="s">
        <v>410</v>
      </c>
      <c r="K25" s="420"/>
      <c r="L25" s="593" t="s">
        <v>411</v>
      </c>
      <c r="M25" s="594"/>
      <c r="N25" s="594"/>
      <c r="O25" s="594"/>
      <c r="P25" s="594"/>
      <c r="Q25" s="594"/>
      <c r="R25" s="594"/>
      <c r="S25" s="594"/>
      <c r="T25" s="281">
        <v>1</v>
      </c>
      <c r="U25" s="413" t="s">
        <v>220</v>
      </c>
      <c r="V25" s="645">
        <v>50000</v>
      </c>
      <c r="W25" s="594"/>
      <c r="X25" s="594"/>
      <c r="Y25" s="594"/>
      <c r="Z25" s="414" t="s">
        <v>406</v>
      </c>
      <c r="AA25" s="276">
        <f t="shared" si="4"/>
        <v>50000</v>
      </c>
      <c r="AB25" s="318"/>
      <c r="AC25" s="318"/>
      <c r="AD25" s="318"/>
      <c r="AE25" s="318"/>
      <c r="AF25" s="318"/>
      <c r="AG25" s="318"/>
      <c r="AH25" s="318"/>
      <c r="AI25" s="318"/>
      <c r="AJ25" s="318"/>
      <c r="AL25" s="318"/>
      <c r="AM25" s="318"/>
      <c r="AN25" s="282" t="s">
        <v>34</v>
      </c>
      <c r="AO25" s="283">
        <f>AU20*5000</f>
        <v>40000</v>
      </c>
      <c r="AP25" s="318"/>
      <c r="AQ25" s="318"/>
      <c r="AR25" s="318"/>
      <c r="AS25" s="318"/>
      <c r="AT25" s="318"/>
      <c r="AU25" s="318"/>
      <c r="AV25" s="318"/>
    </row>
    <row r="26" spans="1:48" ht="17.25" customHeight="1">
      <c r="A26" s="321"/>
      <c r="B26" s="421"/>
      <c r="C26" s="577"/>
      <c r="D26" s="579"/>
      <c r="E26" s="422" t="s">
        <v>412</v>
      </c>
      <c r="F26" s="423"/>
      <c r="G26" s="423"/>
      <c r="H26" s="423"/>
      <c r="I26" s="424" t="s">
        <v>413</v>
      </c>
      <c r="J26" s="425" t="str">
        <f>HYPERLINK("http://www.arosbb.dk/","www.arosbb.dk")</f>
        <v>www.arosbb.dk</v>
      </c>
      <c r="K26" s="423"/>
      <c r="L26" s="644"/>
      <c r="M26" s="587"/>
      <c r="N26" s="587"/>
      <c r="O26" s="587"/>
      <c r="P26" s="587"/>
      <c r="Q26" s="587"/>
      <c r="R26" s="587"/>
      <c r="S26" s="587"/>
      <c r="T26" s="426"/>
      <c r="U26" s="403"/>
      <c r="V26" s="427"/>
      <c r="W26" s="646" t="s">
        <v>379</v>
      </c>
      <c r="X26" s="587"/>
      <c r="Y26" s="587"/>
      <c r="Z26" s="588"/>
      <c r="AA26" s="270">
        <f>SUM(AA21:AA25)</f>
        <v>240000</v>
      </c>
      <c r="AB26" s="318"/>
      <c r="AC26" s="318"/>
      <c r="AD26" s="318"/>
      <c r="AE26" s="318"/>
      <c r="AF26" s="318"/>
      <c r="AG26" s="318"/>
      <c r="AH26" s="318"/>
      <c r="AI26" s="318"/>
      <c r="AJ26" s="318"/>
      <c r="AL26" s="318"/>
      <c r="AM26" s="318"/>
      <c r="AN26" s="284" t="s">
        <v>219</v>
      </c>
      <c r="AO26" s="285">
        <f>SUM(AO22:AO25)+1000000</f>
        <v>1280000</v>
      </c>
      <c r="AP26" s="318"/>
      <c r="AQ26" s="318"/>
      <c r="AR26" s="318"/>
      <c r="AS26" s="318"/>
      <c r="AT26" s="318"/>
      <c r="AU26" s="318"/>
      <c r="AV26" s="318"/>
    </row>
    <row r="27" spans="1:48" ht="17.25" customHeight="1">
      <c r="A27" s="318"/>
      <c r="B27" s="140"/>
      <c r="C27" s="286"/>
      <c r="D27" s="286"/>
      <c r="E27" s="428"/>
      <c r="F27" s="136"/>
      <c r="G27" s="136"/>
      <c r="H27" s="136"/>
      <c r="I27" s="429"/>
      <c r="J27" s="430"/>
      <c r="K27" s="136"/>
      <c r="L27" s="290"/>
      <c r="M27" s="290"/>
      <c r="N27" s="290"/>
      <c r="O27" s="290"/>
      <c r="P27" s="290"/>
      <c r="Q27" s="290"/>
      <c r="R27" s="290"/>
      <c r="S27" s="290"/>
      <c r="T27" s="291"/>
      <c r="U27" s="292"/>
      <c r="V27" s="143"/>
      <c r="W27" s="293"/>
      <c r="X27" s="293"/>
      <c r="Y27" s="293"/>
      <c r="Z27" s="293"/>
      <c r="AA27" s="294"/>
      <c r="AB27" s="318"/>
      <c r="AC27" s="318"/>
      <c r="AD27" s="318"/>
      <c r="AE27" s="318"/>
      <c r="AF27" s="318"/>
      <c r="AG27" s="318"/>
      <c r="AH27" s="318"/>
      <c r="AI27" s="318"/>
      <c r="AJ27" s="318"/>
      <c r="AL27" s="318"/>
      <c r="AM27" s="318"/>
      <c r="AN27" s="318"/>
      <c r="AO27" s="318"/>
      <c r="AP27" s="318"/>
      <c r="AQ27" s="318"/>
      <c r="AR27" s="318"/>
      <c r="AS27" s="318"/>
      <c r="AT27" s="318"/>
      <c r="AU27" s="318"/>
      <c r="AV27" s="318"/>
    </row>
    <row r="28" spans="1:48" ht="17.25" hidden="1" customHeight="1">
      <c r="A28" s="431"/>
      <c r="B28" s="296"/>
      <c r="C28" s="432">
        <f>MATCH(I22,'Development-Hidden'!A2:A118,0)</f>
        <v>48</v>
      </c>
      <c r="D28" s="432" t="str">
        <f t="array" ref="D28">IFERROR(IF(INDEX('Development-Hidden'!$A$2:$B$118,$C28,1)=$I$22,INDEX('Development-Hidden'!$A$2:$B$118,$C28,2),""),"")</f>
        <v>Lineman</v>
      </c>
      <c r="E28" s="433"/>
      <c r="F28" s="433"/>
      <c r="G28" s="433"/>
      <c r="H28" s="433"/>
      <c r="I28" s="433"/>
      <c r="J28" s="434"/>
      <c r="K28" s="295"/>
      <c r="L28" s="300"/>
      <c r="M28" s="300"/>
      <c r="N28" s="300"/>
      <c r="O28" s="300"/>
      <c r="P28" s="300"/>
      <c r="Q28" s="300"/>
      <c r="R28" s="300"/>
      <c r="S28" s="300"/>
      <c r="T28" s="301"/>
      <c r="U28" s="302"/>
      <c r="V28" s="301"/>
      <c r="W28" s="303"/>
      <c r="X28" s="303"/>
      <c r="Y28" s="303"/>
      <c r="Z28" s="303"/>
      <c r="AA28" s="433"/>
      <c r="AB28" s="431"/>
      <c r="AC28" s="431"/>
      <c r="AD28" s="431"/>
      <c r="AE28" s="431"/>
      <c r="AF28" s="431"/>
      <c r="AG28" s="431"/>
      <c r="AH28" s="431"/>
      <c r="AI28" s="431"/>
      <c r="AJ28" s="431"/>
      <c r="AL28" s="431"/>
      <c r="AM28" s="431"/>
      <c r="AN28" s="431"/>
      <c r="AO28" s="431"/>
      <c r="AP28" s="431"/>
      <c r="AQ28" s="431"/>
      <c r="AR28" s="431"/>
      <c r="AS28" s="431"/>
      <c r="AT28" s="431"/>
      <c r="AU28" s="431"/>
      <c r="AV28" s="431"/>
    </row>
    <row r="29" spans="1:48" ht="17.25" hidden="1" customHeight="1">
      <c r="A29" s="431"/>
      <c r="B29" s="296"/>
      <c r="C29" s="432">
        <f t="shared" ref="C29:C37" si="5">C28+1</f>
        <v>49</v>
      </c>
      <c r="D29" s="432" t="str">
        <f t="array" ref="D29">IFERROR(IF(INDEX('Development-Hidden'!$A$2:$B$118,$C29,1)=$I$22,INDEX('Development-Hidden'!$A$2:$B$118,$C29,2),""),"")</f>
        <v>Thrower</v>
      </c>
      <c r="E29" s="433"/>
      <c r="F29" s="433"/>
      <c r="G29" s="433"/>
      <c r="H29" s="433"/>
      <c r="I29" s="433"/>
      <c r="J29" s="434"/>
      <c r="K29" s="295"/>
      <c r="L29" s="300"/>
      <c r="M29" s="300"/>
      <c r="N29" s="300"/>
      <c r="O29" s="300"/>
      <c r="P29" s="300"/>
      <c r="Q29" s="300"/>
      <c r="R29" s="300"/>
      <c r="S29" s="300"/>
      <c r="T29" s="301"/>
      <c r="U29" s="302"/>
      <c r="V29" s="301"/>
      <c r="W29" s="303"/>
      <c r="X29" s="303"/>
      <c r="Y29" s="303"/>
      <c r="Z29" s="303"/>
      <c r="AA29" s="433"/>
      <c r="AB29" s="431"/>
      <c r="AC29" s="431"/>
      <c r="AD29" s="431"/>
      <c r="AE29" s="431"/>
      <c r="AF29" s="431"/>
      <c r="AG29" s="431"/>
      <c r="AH29" s="431"/>
      <c r="AI29" s="431"/>
      <c r="AJ29" s="431"/>
      <c r="AL29" s="431"/>
      <c r="AM29" s="431"/>
      <c r="AN29" s="431"/>
      <c r="AO29" s="431"/>
      <c r="AP29" s="431"/>
      <c r="AQ29" s="431"/>
      <c r="AR29" s="431"/>
      <c r="AS29" s="431"/>
      <c r="AT29" s="431"/>
      <c r="AU29" s="431"/>
      <c r="AV29" s="431"/>
    </row>
    <row r="30" spans="1:48" ht="17.25" hidden="1" customHeight="1">
      <c r="A30" s="431"/>
      <c r="B30" s="296"/>
      <c r="C30" s="432">
        <f t="shared" si="5"/>
        <v>50</v>
      </c>
      <c r="D30" s="432" t="str">
        <f t="array" ref="D30">IFERROR(IF(INDEX('Development-Hidden'!$A$2:$B$118,$C30,1)=$I$22,INDEX('Development-Hidden'!$A$2:$B$118,$C30,2),""),"")</f>
        <v>Catcher</v>
      </c>
      <c r="E30" s="433"/>
      <c r="F30" s="433"/>
      <c r="G30" s="433"/>
      <c r="H30" s="433"/>
      <c r="I30" s="433"/>
      <c r="J30" s="434"/>
      <c r="K30" s="295"/>
      <c r="L30" s="300"/>
      <c r="M30" s="300"/>
      <c r="N30" s="300"/>
      <c r="O30" s="300"/>
      <c r="P30" s="300"/>
      <c r="Q30" s="300"/>
      <c r="R30" s="300"/>
      <c r="S30" s="300"/>
      <c r="T30" s="301"/>
      <c r="U30" s="302"/>
      <c r="V30" s="301"/>
      <c r="W30" s="303"/>
      <c r="X30" s="303"/>
      <c r="Y30" s="303"/>
      <c r="Z30" s="303"/>
      <c r="AA30" s="433"/>
      <c r="AB30" s="431"/>
      <c r="AC30" s="431"/>
      <c r="AD30" s="431"/>
      <c r="AE30" s="431"/>
      <c r="AF30" s="431"/>
      <c r="AG30" s="431"/>
      <c r="AH30" s="431"/>
      <c r="AI30" s="431"/>
      <c r="AJ30" s="431"/>
      <c r="AL30" s="431"/>
      <c r="AM30" s="431"/>
      <c r="AN30" s="431"/>
      <c r="AO30" s="431"/>
      <c r="AP30" s="431"/>
      <c r="AQ30" s="431"/>
      <c r="AR30" s="431"/>
      <c r="AS30" s="431"/>
      <c r="AT30" s="431"/>
      <c r="AU30" s="431"/>
      <c r="AV30" s="431"/>
    </row>
    <row r="31" spans="1:48" ht="17.25" hidden="1" customHeight="1">
      <c r="A31" s="431"/>
      <c r="B31" s="296"/>
      <c r="C31" s="432">
        <f t="shared" si="5"/>
        <v>51</v>
      </c>
      <c r="D31" s="432" t="str">
        <f t="array" ref="D31">IFERROR(IF(INDEX('Development-Hidden'!$A$2:$B$118,$C31,1)=$I$22,INDEX('Development-Hidden'!$A$2:$B$118,$C31,2),""),"")</f>
        <v>Blitzer</v>
      </c>
      <c r="E31" s="433"/>
      <c r="F31" s="433"/>
      <c r="G31" s="433"/>
      <c r="H31" s="433"/>
      <c r="I31" s="433"/>
      <c r="J31" s="434"/>
      <c r="K31" s="295"/>
      <c r="L31" s="300"/>
      <c r="M31" s="300"/>
      <c r="N31" s="300"/>
      <c r="O31" s="300"/>
      <c r="P31" s="300"/>
      <c r="Q31" s="300"/>
      <c r="R31" s="300"/>
      <c r="S31" s="300"/>
      <c r="T31" s="301"/>
      <c r="U31" s="302"/>
      <c r="V31" s="301"/>
      <c r="W31" s="303"/>
      <c r="X31" s="303"/>
      <c r="Y31" s="303"/>
      <c r="Z31" s="303"/>
      <c r="AA31" s="433"/>
      <c r="AB31" s="431"/>
      <c r="AC31" s="431"/>
      <c r="AD31" s="431"/>
      <c r="AE31" s="431"/>
      <c r="AF31" s="431"/>
      <c r="AG31" s="431"/>
      <c r="AH31" s="431"/>
      <c r="AI31" s="431"/>
      <c r="AJ31" s="431"/>
      <c r="AL31" s="431"/>
      <c r="AM31" s="431"/>
      <c r="AN31" s="431"/>
      <c r="AO31" s="431"/>
      <c r="AP31" s="431"/>
      <c r="AQ31" s="431"/>
      <c r="AR31" s="431"/>
      <c r="AS31" s="431"/>
      <c r="AT31" s="431"/>
      <c r="AU31" s="431"/>
      <c r="AV31" s="431"/>
    </row>
    <row r="32" spans="1:48" ht="17.25" hidden="1" customHeight="1">
      <c r="A32" s="431"/>
      <c r="B32" s="296"/>
      <c r="C32" s="432">
        <f t="shared" si="5"/>
        <v>52</v>
      </c>
      <c r="D32" s="432" t="str">
        <f t="array" ref="D32">IFERROR(IF(INDEX('Development-Hidden'!$A$2:$B$118,$C32,1)=$I$22,INDEX('Development-Hidden'!$A$2:$B$118,$C32,2),""),"")</f>
        <v/>
      </c>
      <c r="E32" s="433"/>
      <c r="F32" s="433"/>
      <c r="G32" s="433"/>
      <c r="H32" s="433"/>
      <c r="I32" s="433"/>
      <c r="J32" s="434"/>
      <c r="K32" s="295"/>
      <c r="L32" s="300"/>
      <c r="M32" s="300"/>
      <c r="N32" s="300"/>
      <c r="O32" s="300"/>
      <c r="P32" s="300"/>
      <c r="Q32" s="300"/>
      <c r="R32" s="300"/>
      <c r="S32" s="300"/>
      <c r="T32" s="301"/>
      <c r="U32" s="302"/>
      <c r="V32" s="301"/>
      <c r="W32" s="303"/>
      <c r="X32" s="303"/>
      <c r="Y32" s="303"/>
      <c r="Z32" s="303"/>
      <c r="AA32" s="433"/>
      <c r="AB32" s="431"/>
      <c r="AC32" s="431"/>
      <c r="AD32" s="431"/>
      <c r="AE32" s="431"/>
      <c r="AF32" s="431"/>
      <c r="AG32" s="431"/>
      <c r="AH32" s="431"/>
      <c r="AI32" s="431"/>
      <c r="AJ32" s="431"/>
      <c r="AL32" s="431"/>
      <c r="AM32" s="431"/>
      <c r="AN32" s="431"/>
      <c r="AO32" s="431"/>
      <c r="AP32" s="431"/>
      <c r="AQ32" s="431"/>
      <c r="AR32" s="431"/>
      <c r="AS32" s="431"/>
      <c r="AT32" s="431"/>
      <c r="AU32" s="431"/>
      <c r="AV32" s="431"/>
    </row>
    <row r="33" spans="1:48" ht="17.25" hidden="1" customHeight="1">
      <c r="A33" s="431"/>
      <c r="B33" s="296"/>
      <c r="C33" s="432">
        <f t="shared" si="5"/>
        <v>53</v>
      </c>
      <c r="D33" s="432" t="str">
        <f t="array" ref="D33">IFERROR(IF(INDEX('Development-Hidden'!$A$2:$B$118,$C33,1)=$I$22,INDEX('Development-Hidden'!$A$2:$B$118,$C33,2),""),"")</f>
        <v/>
      </c>
      <c r="E33" s="433"/>
      <c r="F33" s="433"/>
      <c r="G33" s="433"/>
      <c r="H33" s="433"/>
      <c r="I33" s="433"/>
      <c r="J33" s="434"/>
      <c r="K33" s="295"/>
      <c r="L33" s="300"/>
      <c r="M33" s="300"/>
      <c r="N33" s="300"/>
      <c r="O33" s="300"/>
      <c r="P33" s="300"/>
      <c r="Q33" s="300"/>
      <c r="R33" s="300"/>
      <c r="S33" s="300"/>
      <c r="T33" s="301"/>
      <c r="U33" s="302"/>
      <c r="V33" s="301"/>
      <c r="W33" s="303"/>
      <c r="X33" s="303"/>
      <c r="Y33" s="303"/>
      <c r="Z33" s="303"/>
      <c r="AA33" s="433"/>
      <c r="AB33" s="431"/>
      <c r="AC33" s="431"/>
      <c r="AD33" s="431"/>
      <c r="AE33" s="431"/>
      <c r="AF33" s="431"/>
      <c r="AG33" s="431"/>
      <c r="AH33" s="431"/>
      <c r="AI33" s="431"/>
      <c r="AJ33" s="431"/>
      <c r="AL33" s="431"/>
      <c r="AM33" s="431"/>
      <c r="AN33" s="431"/>
      <c r="AO33" s="431"/>
      <c r="AP33" s="431"/>
      <c r="AQ33" s="431"/>
      <c r="AR33" s="431"/>
      <c r="AS33" s="431"/>
      <c r="AT33" s="431"/>
      <c r="AU33" s="431"/>
      <c r="AV33" s="431"/>
    </row>
    <row r="34" spans="1:48" ht="17.25" hidden="1" customHeight="1">
      <c r="A34" s="431"/>
      <c r="B34" s="296"/>
      <c r="C34" s="432">
        <f t="shared" si="5"/>
        <v>54</v>
      </c>
      <c r="D34" s="432" t="str">
        <f t="array" ref="D34">IFERROR(IF(INDEX('Development-Hidden'!$A$2:$B$118,$C34,1)=$I$22,INDEX('Development-Hidden'!$A$2:$B$118,$C34,2),""),"")</f>
        <v/>
      </c>
      <c r="E34" s="433"/>
      <c r="F34" s="433"/>
      <c r="G34" s="433"/>
      <c r="H34" s="433"/>
      <c r="I34" s="433"/>
      <c r="J34" s="434"/>
      <c r="K34" s="295"/>
      <c r="L34" s="300"/>
      <c r="M34" s="300"/>
      <c r="N34" s="300"/>
      <c r="O34" s="300"/>
      <c r="P34" s="300"/>
      <c r="Q34" s="300"/>
      <c r="R34" s="300"/>
      <c r="S34" s="300"/>
      <c r="T34" s="301"/>
      <c r="U34" s="302"/>
      <c r="V34" s="301"/>
      <c r="W34" s="303"/>
      <c r="X34" s="303"/>
      <c r="Y34" s="303"/>
      <c r="Z34" s="303"/>
      <c r="AA34" s="433"/>
      <c r="AB34" s="431"/>
      <c r="AC34" s="431"/>
      <c r="AD34" s="431"/>
      <c r="AE34" s="431"/>
      <c r="AF34" s="431"/>
      <c r="AG34" s="431"/>
      <c r="AH34" s="431"/>
      <c r="AI34" s="431"/>
      <c r="AJ34" s="431"/>
      <c r="AL34" s="431"/>
      <c r="AM34" s="431"/>
      <c r="AN34" s="431"/>
      <c r="AO34" s="431"/>
      <c r="AP34" s="431"/>
      <c r="AQ34" s="431"/>
      <c r="AR34" s="431"/>
      <c r="AS34" s="431"/>
      <c r="AT34" s="431"/>
      <c r="AU34" s="431"/>
      <c r="AV34" s="431"/>
    </row>
    <row r="35" spans="1:48" ht="17.25" hidden="1" customHeight="1">
      <c r="A35" s="431"/>
      <c r="B35" s="296"/>
      <c r="C35" s="432">
        <f t="shared" si="5"/>
        <v>55</v>
      </c>
      <c r="D35" s="432" t="str">
        <f t="array" ref="D35">IFERROR(IF(INDEX('Development-Hidden'!$A$2:$B$118,$C35,1)=$I$22,INDEX('Development-Hidden'!$A$2:$B$118,$C35,2),""),"")</f>
        <v/>
      </c>
      <c r="E35" s="433"/>
      <c r="F35" s="433"/>
      <c r="G35" s="433"/>
      <c r="H35" s="433"/>
      <c r="I35" s="433"/>
      <c r="J35" s="434"/>
      <c r="K35" s="295"/>
      <c r="L35" s="300"/>
      <c r="M35" s="300"/>
      <c r="N35" s="300"/>
      <c r="O35" s="300"/>
      <c r="P35" s="300"/>
      <c r="Q35" s="300"/>
      <c r="R35" s="300"/>
      <c r="S35" s="300"/>
      <c r="T35" s="301"/>
      <c r="U35" s="302"/>
      <c r="V35" s="301"/>
      <c r="W35" s="303"/>
      <c r="X35" s="303"/>
      <c r="Y35" s="303"/>
      <c r="Z35" s="303"/>
      <c r="AA35" s="433"/>
      <c r="AB35" s="431"/>
      <c r="AC35" s="431"/>
      <c r="AD35" s="431"/>
      <c r="AE35" s="431"/>
      <c r="AF35" s="431"/>
      <c r="AG35" s="431"/>
      <c r="AH35" s="431"/>
      <c r="AI35" s="431"/>
      <c r="AJ35" s="431"/>
      <c r="AL35" s="431"/>
      <c r="AM35" s="431"/>
      <c r="AN35" s="431"/>
      <c r="AO35" s="431"/>
      <c r="AP35" s="431"/>
      <c r="AQ35" s="431"/>
      <c r="AR35" s="431"/>
      <c r="AS35" s="431"/>
      <c r="AT35" s="431"/>
      <c r="AU35" s="431"/>
      <c r="AV35" s="431"/>
    </row>
    <row r="36" spans="1:48" ht="17.25" hidden="1" customHeight="1">
      <c r="A36" s="431"/>
      <c r="B36" s="296"/>
      <c r="C36" s="432">
        <f t="shared" si="5"/>
        <v>56</v>
      </c>
      <c r="D36" s="432" t="str">
        <f t="array" ref="D36">IFERROR(IF(INDEX('Development-Hidden'!$A$2:$B$118,$C36,1)=$I$22,INDEX('Development-Hidden'!$A$2:$B$118,$C36,2),""),"")</f>
        <v/>
      </c>
      <c r="E36" s="433"/>
      <c r="F36" s="433"/>
      <c r="G36" s="433"/>
      <c r="H36" s="433"/>
      <c r="I36" s="433"/>
      <c r="J36" s="434"/>
      <c r="K36" s="295"/>
      <c r="L36" s="300"/>
      <c r="M36" s="300"/>
      <c r="N36" s="300"/>
      <c r="O36" s="300"/>
      <c r="P36" s="300"/>
      <c r="Q36" s="300"/>
      <c r="R36" s="300"/>
      <c r="S36" s="300"/>
      <c r="T36" s="301"/>
      <c r="U36" s="302"/>
      <c r="V36" s="301"/>
      <c r="W36" s="303"/>
      <c r="X36" s="303"/>
      <c r="Y36" s="303"/>
      <c r="Z36" s="303"/>
      <c r="AA36" s="433"/>
      <c r="AB36" s="431"/>
      <c r="AC36" s="431"/>
      <c r="AD36" s="431"/>
      <c r="AE36" s="431"/>
      <c r="AF36" s="431"/>
      <c r="AG36" s="431"/>
      <c r="AH36" s="431"/>
      <c r="AI36" s="431"/>
      <c r="AJ36" s="431"/>
      <c r="AL36" s="431"/>
      <c r="AM36" s="431"/>
      <c r="AN36" s="431"/>
      <c r="AO36" s="431"/>
      <c r="AP36" s="431"/>
      <c r="AQ36" s="431"/>
      <c r="AR36" s="431"/>
      <c r="AS36" s="431"/>
      <c r="AT36" s="431"/>
      <c r="AU36" s="431"/>
      <c r="AV36" s="431"/>
    </row>
    <row r="37" spans="1:48" ht="17.25" hidden="1" customHeight="1">
      <c r="A37" s="431"/>
      <c r="B37" s="296"/>
      <c r="C37" s="432">
        <f t="shared" si="5"/>
        <v>57</v>
      </c>
      <c r="D37" s="432" t="str">
        <f t="array" ref="D37">IFERROR(IF(INDEX('Development-Hidden'!$A$2:$B$118,$C37,1)=$I$22,INDEX('Development-Hidden'!$A$2:$B$118,$C37,2),""),"")</f>
        <v/>
      </c>
      <c r="E37" s="433"/>
      <c r="F37" s="433"/>
      <c r="G37" s="433"/>
      <c r="H37" s="433"/>
      <c r="I37" s="433"/>
      <c r="J37" s="434"/>
      <c r="K37" s="295"/>
      <c r="L37" s="300"/>
      <c r="M37" s="300"/>
      <c r="N37" s="300"/>
      <c r="O37" s="300"/>
      <c r="P37" s="300"/>
      <c r="Q37" s="300"/>
      <c r="R37" s="300"/>
      <c r="S37" s="300"/>
      <c r="T37" s="301"/>
      <c r="U37" s="302"/>
      <c r="V37" s="301"/>
      <c r="W37" s="303"/>
      <c r="X37" s="303"/>
      <c r="Y37" s="303"/>
      <c r="Z37" s="303"/>
      <c r="AA37" s="433"/>
      <c r="AB37" s="431"/>
      <c r="AC37" s="431"/>
      <c r="AD37" s="431"/>
      <c r="AE37" s="431"/>
      <c r="AF37" s="431"/>
      <c r="AG37" s="431"/>
      <c r="AH37" s="431"/>
      <c r="AI37" s="431"/>
      <c r="AJ37" s="431"/>
      <c r="AL37" s="431"/>
      <c r="AM37" s="431"/>
      <c r="AN37" s="431"/>
      <c r="AO37" s="431"/>
      <c r="AP37" s="431"/>
      <c r="AQ37" s="431"/>
      <c r="AR37" s="431"/>
      <c r="AS37" s="431"/>
      <c r="AT37" s="431"/>
      <c r="AU37" s="431"/>
      <c r="AV37" s="431"/>
    </row>
  </sheetData>
  <mergeCells count="29">
    <mergeCell ref="L23:S23"/>
    <mergeCell ref="L24:S24"/>
    <mergeCell ref="Y20:Z20"/>
    <mergeCell ref="V22:Y22"/>
    <mergeCell ref="E24:H24"/>
    <mergeCell ref="E23:H23"/>
    <mergeCell ref="I23:K23"/>
    <mergeCell ref="C20:D26"/>
    <mergeCell ref="L26:S26"/>
    <mergeCell ref="W26:Z26"/>
    <mergeCell ref="E22:H22"/>
    <mergeCell ref="E25:H25"/>
    <mergeCell ref="L25:S25"/>
    <mergeCell ref="V23:Y23"/>
    <mergeCell ref="V25:Y25"/>
    <mergeCell ref="V24:Y24"/>
    <mergeCell ref="I21:K21"/>
    <mergeCell ref="J20:K20"/>
    <mergeCell ref="G20:H20"/>
    <mergeCell ref="E21:H21"/>
    <mergeCell ref="E20:F20"/>
    <mergeCell ref="L22:S22"/>
    <mergeCell ref="I22:K22"/>
    <mergeCell ref="P2:S2"/>
    <mergeCell ref="AM3:AN3"/>
    <mergeCell ref="AN21:AO21"/>
    <mergeCell ref="AR3:AS3"/>
    <mergeCell ref="V21:Y21"/>
    <mergeCell ref="L21:S21"/>
  </mergeCells>
  <conditionalFormatting sqref="AA4:AA19">
    <cfRule type="cellIs" dxfId="343" priority="1" operator="equal">
      <formula>0</formula>
    </cfRule>
  </conditionalFormatting>
  <conditionalFormatting sqref="J4">
    <cfRule type="expression" dxfId="342" priority="2">
      <formula>K4&lt;&gt;SUM(AD4:AI4)</formula>
    </cfRule>
  </conditionalFormatting>
  <conditionalFormatting sqref="I4:I19">
    <cfRule type="cellIs" dxfId="341" priority="3" stopIfTrue="1" operator="equal">
      <formula>"Player type quantity surpassed"</formula>
    </cfRule>
  </conditionalFormatting>
  <conditionalFormatting sqref="J5">
    <cfRule type="expression" dxfId="340" priority="4">
      <formula>K5&lt;&gt;SUM(AD5:AI5)</formula>
    </cfRule>
  </conditionalFormatting>
  <conditionalFormatting sqref="J6">
    <cfRule type="expression" dxfId="339" priority="5">
      <formula>K6&lt;&gt;SUM(AD6:AI6)</formula>
    </cfRule>
  </conditionalFormatting>
  <conditionalFormatting sqref="J7">
    <cfRule type="expression" dxfId="338" priority="6">
      <formula>K7&lt;&gt;SUM(AD7:AI7)</formula>
    </cfRule>
  </conditionalFormatting>
  <conditionalFormatting sqref="J8">
    <cfRule type="expression" dxfId="337" priority="7">
      <formula>K8&lt;&gt;SUM(AD8:AI8)</formula>
    </cfRule>
  </conditionalFormatting>
  <conditionalFormatting sqref="J9">
    <cfRule type="expression" dxfId="336" priority="8">
      <formula>K9&lt;&gt;SUM(AD9:AI9)</formula>
    </cfRule>
  </conditionalFormatting>
  <conditionalFormatting sqref="J10">
    <cfRule type="expression" dxfId="335" priority="9">
      <formula>K10&lt;&gt;SUM(AD10:AI10)</formula>
    </cfRule>
  </conditionalFormatting>
  <conditionalFormatting sqref="J11">
    <cfRule type="expression" dxfId="334" priority="10">
      <formula>K11&lt;&gt;SUM(AD11:AI11)</formula>
    </cfRule>
  </conditionalFormatting>
  <conditionalFormatting sqref="J12">
    <cfRule type="expression" dxfId="333" priority="11">
      <formula>K12&lt;&gt;SUM(AD12:AI12)</formula>
    </cfRule>
  </conditionalFormatting>
  <conditionalFormatting sqref="J13">
    <cfRule type="expression" dxfId="332" priority="12">
      <formula>K13&lt;&gt;SUM(AD13:AI13)</formula>
    </cfRule>
  </conditionalFormatting>
  <conditionalFormatting sqref="J14">
    <cfRule type="expression" dxfId="331" priority="13">
      <formula>K14&lt;&gt;SUM(AD14:AI14)</formula>
    </cfRule>
  </conditionalFormatting>
  <conditionalFormatting sqref="J15">
    <cfRule type="expression" dxfId="330" priority="14">
      <formula>K15&lt;&gt;SUM(AD15:AI15)</formula>
    </cfRule>
  </conditionalFormatting>
  <conditionalFormatting sqref="J16">
    <cfRule type="expression" dxfId="329" priority="15">
      <formula>K16&lt;&gt;SUM(AD16:AI16)</formula>
    </cfRule>
  </conditionalFormatting>
  <conditionalFormatting sqref="J17">
    <cfRule type="expression" dxfId="328" priority="16">
      <formula>K17&lt;&gt;SUM(AD17:AI17)</formula>
    </cfRule>
  </conditionalFormatting>
  <conditionalFormatting sqref="J18">
    <cfRule type="expression" dxfId="327" priority="17">
      <formula>K18&lt;&gt;SUM(AD18:AI18)</formula>
    </cfRule>
  </conditionalFormatting>
  <conditionalFormatting sqref="J19">
    <cfRule type="expression" dxfId="326" priority="18">
      <formula>K19&lt;&gt;SUM(AD19:AI19)</formula>
    </cfRule>
  </conditionalFormatting>
  <conditionalFormatting sqref="E4:H19">
    <cfRule type="expression" dxfId="325" priority="19">
      <formula>AF4&gt;0</formula>
    </cfRule>
  </conditionalFormatting>
  <conditionalFormatting sqref="E4:H19">
    <cfRule type="expression" dxfId="324" priority="20">
      <formula>P4&gt;0</formula>
    </cfRule>
  </conditionalFormatting>
  <conditionalFormatting sqref="I4:I19 T4:T19 U4:U20 V4:W19 Y4:Y19 U26:U37">
    <cfRule type="cellIs" dxfId="323" priority="21" stopIfTrue="1" operator="equal">
      <formula>0</formula>
    </cfRule>
  </conditionalFormatting>
  <conditionalFormatting sqref="Y27:Y37 AA27">
    <cfRule type="cellIs" dxfId="322" priority="22" stopIfTrue="1" operator="equal">
      <formula>"0,0"</formula>
    </cfRule>
  </conditionalFormatting>
  <conditionalFormatting sqref="K4:K19">
    <cfRule type="cellIs" dxfId="321" priority="23" stopIfTrue="1" operator="equal">
      <formula>"n/a"</formula>
    </cfRule>
  </conditionalFormatting>
  <conditionalFormatting sqref="L20:T20">
    <cfRule type="cellIs" dxfId="320" priority="24" stopIfTrue="1" operator="equal">
      <formula>0</formula>
    </cfRule>
  </conditionalFormatting>
  <conditionalFormatting sqref="P4:S19">
    <cfRule type="cellIs" dxfId="319" priority="25" stopIfTrue="1" operator="lessThanOrEqual">
      <formula>-1</formula>
    </cfRule>
  </conditionalFormatting>
  <conditionalFormatting sqref="V25:W25">
    <cfRule type="cellIs" dxfId="318" priority="26" stopIfTrue="1" operator="equal">
      <formula>-500</formula>
    </cfRule>
  </conditionalFormatting>
  <conditionalFormatting sqref="T25">
    <cfRule type="cellIs" dxfId="317" priority="27" stopIfTrue="1" operator="greaterThan">
      <formula>$V$25</formula>
    </cfRule>
  </conditionalFormatting>
  <conditionalFormatting sqref="Z4:Z19">
    <cfRule type="cellIs" dxfId="316" priority="28" stopIfTrue="1" operator="equal">
      <formula>"Star"</formula>
    </cfRule>
  </conditionalFormatting>
  <conditionalFormatting sqref="Z4:Z19">
    <cfRule type="cellIs" dxfId="315" priority="29" stopIfTrue="1" operator="equal">
      <formula>AA4</formula>
    </cfRule>
  </conditionalFormatting>
  <dataValidations count="1">
    <dataValidation type="list" allowBlank="1" showErrorMessage="1" sqref="D4:D19">
      <formula1>'DH2'!$D$28:$D$37</formula1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W37"/>
  <sheetViews>
    <sheetView workbookViewId="0">
      <selection sqref="A1:A1048576"/>
    </sheetView>
  </sheetViews>
  <sheetFormatPr defaultColWidth="14.42578125" defaultRowHeight="15.75" customHeight="1"/>
  <cols>
    <col min="1" max="1" width="1.85546875" style="139" customWidth="1"/>
    <col min="2" max="2" width="3.140625" style="139" customWidth="1"/>
    <col min="3" max="3" width="19.28515625" style="139" customWidth="1"/>
    <col min="4" max="4" width="21.28515625" style="139" customWidth="1"/>
    <col min="5" max="8" width="3" style="139" customWidth="1"/>
    <col min="9" max="9" width="30.85546875" style="139" customWidth="1"/>
    <col min="10" max="10" width="23" style="139" customWidth="1"/>
    <col min="11" max="11" width="1.85546875" style="139" customWidth="1"/>
    <col min="12" max="13" width="2.42578125" style="139" customWidth="1"/>
    <col min="14" max="16" width="2.140625" style="139" customWidth="1"/>
    <col min="17" max="17" width="2" style="139" customWidth="1"/>
    <col min="18" max="18" width="1.85546875" style="139" customWidth="1"/>
    <col min="19" max="19" width="2" style="139" customWidth="1"/>
    <col min="20" max="21" width="3.28515625" style="139" customWidth="1"/>
    <col min="22" max="22" width="2.42578125" style="139" customWidth="1"/>
    <col min="23" max="23" width="3.28515625" style="139" customWidth="1"/>
    <col min="24" max="24" width="2.7109375" style="139" customWidth="1"/>
    <col min="25" max="25" width="3.28515625" style="139" customWidth="1"/>
    <col min="26" max="26" width="4.42578125" style="139" customWidth="1"/>
    <col min="27" max="27" width="10" style="139" customWidth="1"/>
    <col min="28" max="28" width="5.5703125" style="139" customWidth="1"/>
    <col min="29" max="29" width="8.5703125" style="139" customWidth="1"/>
    <col min="30" max="30" width="5.42578125" style="139" customWidth="1"/>
    <col min="31" max="31" width="5.28515625" style="139" customWidth="1"/>
    <col min="32" max="32" width="4.28515625" style="139" customWidth="1"/>
    <col min="33" max="33" width="3.85546875" style="139" customWidth="1"/>
    <col min="34" max="34" width="4.140625" style="139" customWidth="1"/>
    <col min="35" max="35" width="3.85546875" style="139" customWidth="1"/>
    <col min="36" max="36" width="13.28515625" style="139" customWidth="1"/>
    <col min="37" max="37" width="7.140625" style="139" customWidth="1"/>
    <col min="38" max="38" width="14.42578125" style="139" customWidth="1"/>
    <col min="39" max="39" width="11.42578125" style="139" customWidth="1"/>
    <col min="40" max="41" width="10.7109375" style="139" customWidth="1"/>
    <col min="42" max="42" width="5.140625" style="139" customWidth="1"/>
    <col min="43" max="43" width="8.140625" style="139" customWidth="1"/>
    <col min="44" max="44" width="26.140625" style="139" customWidth="1"/>
    <col min="45" max="49" width="10.7109375" style="139" customWidth="1"/>
    <col min="50" max="16384" width="14.42578125" style="139"/>
  </cols>
  <sheetData>
    <row r="1" spans="1:49" ht="8.25" customHeight="1">
      <c r="A1" s="440"/>
      <c r="B1" s="137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318"/>
      <c r="AA1" s="318"/>
      <c r="AB1" s="318"/>
      <c r="AC1" s="318"/>
      <c r="AD1" s="318"/>
      <c r="AE1" s="318"/>
      <c r="AF1" s="318"/>
      <c r="AG1" s="318"/>
      <c r="AH1" s="318"/>
      <c r="AI1" s="318"/>
      <c r="AJ1" s="318"/>
      <c r="AL1" s="318"/>
      <c r="AM1" s="318"/>
      <c r="AN1" s="318"/>
      <c r="AO1" s="318"/>
      <c r="AP1" s="318"/>
      <c r="AQ1" s="318"/>
      <c r="AR1" s="318"/>
      <c r="AS1" s="318"/>
      <c r="AT1" s="318"/>
      <c r="AU1" s="318"/>
      <c r="AV1" s="318"/>
      <c r="AW1" s="318"/>
    </row>
    <row r="2" spans="1:49" ht="8.25" customHeight="1">
      <c r="A2" s="136"/>
      <c r="B2" s="140"/>
      <c r="C2" s="140"/>
      <c r="D2" s="141"/>
      <c r="E2" s="140"/>
      <c r="F2" s="140"/>
      <c r="G2" s="140"/>
      <c r="H2" s="140"/>
      <c r="I2" s="140"/>
      <c r="J2" s="140"/>
      <c r="K2" s="136"/>
      <c r="L2" s="140"/>
      <c r="M2" s="140"/>
      <c r="N2" s="140"/>
      <c r="O2" s="140"/>
      <c r="P2" s="602" t="s">
        <v>218</v>
      </c>
      <c r="Q2" s="572"/>
      <c r="R2" s="572"/>
      <c r="S2" s="573"/>
      <c r="T2" s="142"/>
      <c r="U2" s="142"/>
      <c r="V2" s="142"/>
      <c r="W2" s="142"/>
      <c r="X2" s="143"/>
      <c r="Y2" s="142"/>
      <c r="Z2" s="140"/>
      <c r="AA2" s="140"/>
      <c r="AB2" s="318"/>
      <c r="AC2" s="318"/>
      <c r="AD2" s="318"/>
      <c r="AE2" s="318"/>
      <c r="AF2" s="318"/>
      <c r="AG2" s="318"/>
      <c r="AH2" s="318"/>
      <c r="AI2" s="318"/>
      <c r="AJ2" s="318"/>
      <c r="AL2" s="318"/>
      <c r="AM2" s="318"/>
      <c r="AN2" s="318"/>
      <c r="AO2" s="318"/>
      <c r="AP2" s="318"/>
      <c r="AQ2" s="318"/>
      <c r="AR2" s="318"/>
      <c r="AS2" s="318"/>
      <c r="AT2" s="318"/>
      <c r="AU2" s="318"/>
      <c r="AV2" s="318"/>
      <c r="AW2" s="318"/>
    </row>
    <row r="3" spans="1:49" ht="21.75" customHeight="1">
      <c r="A3" s="137"/>
      <c r="B3" s="146" t="s">
        <v>203</v>
      </c>
      <c r="C3" s="147" t="s">
        <v>32</v>
      </c>
      <c r="D3" s="148" t="s">
        <v>229</v>
      </c>
      <c r="E3" s="149" t="s">
        <v>206</v>
      </c>
      <c r="F3" s="150" t="s">
        <v>207</v>
      </c>
      <c r="G3" s="151" t="s">
        <v>208</v>
      </c>
      <c r="H3" s="152" t="s">
        <v>209</v>
      </c>
      <c r="I3" s="153" t="s">
        <v>230</v>
      </c>
      <c r="J3" s="152" t="s">
        <v>231</v>
      </c>
      <c r="K3" s="154" t="s">
        <v>203</v>
      </c>
      <c r="L3" s="155" t="s">
        <v>232</v>
      </c>
      <c r="M3" s="156" t="s">
        <v>233</v>
      </c>
      <c r="N3" s="156" t="s">
        <v>234</v>
      </c>
      <c r="O3" s="157" t="s">
        <v>235</v>
      </c>
      <c r="P3" s="158" t="s">
        <v>206</v>
      </c>
      <c r="Q3" s="159" t="s">
        <v>207</v>
      </c>
      <c r="R3" s="159" t="s">
        <v>208</v>
      </c>
      <c r="S3" s="160" t="s">
        <v>209</v>
      </c>
      <c r="T3" s="161" t="s">
        <v>236</v>
      </c>
      <c r="U3" s="156" t="s">
        <v>237</v>
      </c>
      <c r="V3" s="156" t="s">
        <v>210</v>
      </c>
      <c r="W3" s="156" t="s">
        <v>240</v>
      </c>
      <c r="X3" s="162" t="s">
        <v>35</v>
      </c>
      <c r="Y3" s="157" t="s">
        <v>211</v>
      </c>
      <c r="Z3" s="153" t="s">
        <v>212</v>
      </c>
      <c r="AA3" s="163" t="s">
        <v>241</v>
      </c>
      <c r="AB3" s="136"/>
      <c r="AC3" s="146" t="s">
        <v>242</v>
      </c>
      <c r="AD3" s="153" t="s">
        <v>233</v>
      </c>
      <c r="AE3" s="150" t="s">
        <v>243</v>
      </c>
      <c r="AF3" s="164" t="str">
        <f>"+MA"</f>
        <v>+MA</v>
      </c>
      <c r="AG3" s="150" t="str">
        <f>"+ST"</f>
        <v>+ST</v>
      </c>
      <c r="AH3" s="150" t="str">
        <f>"+AG"</f>
        <v>+AG</v>
      </c>
      <c r="AI3" s="150" t="str">
        <f>"+AV"</f>
        <v>+AV</v>
      </c>
      <c r="AJ3" s="163" t="s">
        <v>244</v>
      </c>
      <c r="AK3" s="454"/>
      <c r="AL3" s="136"/>
      <c r="AM3" s="601" t="s">
        <v>245</v>
      </c>
      <c r="AN3" s="575"/>
      <c r="AO3" s="136"/>
      <c r="AP3" s="136"/>
      <c r="AQ3" s="136"/>
      <c r="AR3" s="601" t="s">
        <v>246</v>
      </c>
      <c r="AS3" s="575"/>
      <c r="AT3" s="575"/>
      <c r="AU3" s="575"/>
      <c r="AV3" s="136"/>
      <c r="AW3" s="136"/>
    </row>
    <row r="4" spans="1:49" ht="18" customHeight="1">
      <c r="A4" s="321"/>
      <c r="B4" s="322">
        <v>1</v>
      </c>
      <c r="C4" s="323" t="s">
        <v>119</v>
      </c>
      <c r="D4" s="167" t="s">
        <v>49</v>
      </c>
      <c r="E4" s="168">
        <f>IFERROR(VLOOKUP($I$22&amp;$D4,'Development-Hidden'!$C$2:$J$118,4,FALSE)-P4+AF4,"")</f>
        <v>7</v>
      </c>
      <c r="F4" s="169">
        <f>IFERROR(VLOOKUP($I$22&amp;$D4,'Development-Hidden'!$C$2:$J$118,5,FALSE)-Q4+AG4,"")</f>
        <v>3</v>
      </c>
      <c r="G4" s="169">
        <f>IFERROR(VLOOKUP($I$22&amp;$D4,'Development-Hidden'!$C$2:$J$118,6,FALSE)-R4+AH4,"")</f>
        <v>4</v>
      </c>
      <c r="H4" s="170">
        <f>IFERROR(VLOOKUP($I$22&amp;$D4,'Development-Hidden'!$C$2:$J$118,7,FALSE)-S4+AI4,"")</f>
        <v>8</v>
      </c>
      <c r="I4" s="171" t="s">
        <v>484</v>
      </c>
      <c r="J4" s="172" t="s">
        <v>485</v>
      </c>
      <c r="K4" s="343">
        <f t="shared" ref="K4:K19" si="0">IF(Z4&gt;175,6,IF(Z4&gt;75,5,IF(Z4&gt;50,4,IF(Z4&gt;30,3,IF(Z4&gt;15,2,IF(Z4&gt;5,1,0))))))</f>
        <v>4</v>
      </c>
      <c r="L4" s="327"/>
      <c r="M4" s="327"/>
      <c r="N4" s="327">
        <v>1</v>
      </c>
      <c r="O4" s="327"/>
      <c r="P4" s="328"/>
      <c r="Q4" s="329"/>
      <c r="R4" s="330"/>
      <c r="S4" s="331"/>
      <c r="T4" s="332"/>
      <c r="U4" s="271">
        <v>7</v>
      </c>
      <c r="V4" s="332">
        <v>10</v>
      </c>
      <c r="W4" s="271">
        <v>2</v>
      </c>
      <c r="X4" s="333">
        <v>1</v>
      </c>
      <c r="Y4" s="334">
        <v>2</v>
      </c>
      <c r="Z4" s="184">
        <f t="shared" ref="Z4:Z13" si="1">2*T4+U4+3*V4+2*W4+5*Y4</f>
        <v>51</v>
      </c>
      <c r="AA4" s="183">
        <f t="shared" ref="AA4:AA19" si="2">IF(L4=1,0,AC4+(20000*O4)+(20000*AD4)+(30000*AE4)+(30000*AF4)+(50000*AG4)+(40000*AH4)+(50000*AI4)+AJ4)</f>
        <v>190000</v>
      </c>
      <c r="AB4" s="136"/>
      <c r="AC4" s="184">
        <f>IFERROR(VLOOKUP($I$22&amp;D4,'Development-Hidden'!$C$2:$E$118,3,FALSE),"")</f>
        <v>110000</v>
      </c>
      <c r="AD4" s="335">
        <v>2</v>
      </c>
      <c r="AE4" s="335"/>
      <c r="AF4" s="335"/>
      <c r="AG4" s="335"/>
      <c r="AH4" s="335">
        <v>1</v>
      </c>
      <c r="AI4" s="335"/>
      <c r="AJ4" s="335"/>
      <c r="AK4" s="454"/>
      <c r="AL4" s="336" t="s">
        <v>252</v>
      </c>
      <c r="AM4" s="337"/>
      <c r="AN4" s="318"/>
      <c r="AO4" s="318"/>
      <c r="AP4" s="318"/>
      <c r="AQ4" s="338" t="s">
        <v>391</v>
      </c>
      <c r="AR4" s="339">
        <v>4</v>
      </c>
    </row>
    <row r="5" spans="1:49" ht="18" customHeight="1">
      <c r="A5" s="321"/>
      <c r="B5" s="340">
        <v>2</v>
      </c>
      <c r="C5" s="314" t="s">
        <v>48</v>
      </c>
      <c r="D5" s="194" t="s">
        <v>49</v>
      </c>
      <c r="E5" s="195">
        <f>IFERROR(VLOOKUP($I$22&amp;$D5,'Development-Hidden'!$C$2:$J$118,4,FALSE)-P5+AF5,"")</f>
        <v>7</v>
      </c>
      <c r="F5" s="196">
        <f>IFERROR(VLOOKUP($I$22&amp;$D5,'Development-Hidden'!$C$2:$J$118,5,FALSE)-Q5+AG5,"")</f>
        <v>3</v>
      </c>
      <c r="G5" s="196">
        <f>IFERROR(VLOOKUP($I$22&amp;$D5,'Development-Hidden'!$C$2:$J$118,6,FALSE)-R5+AH5,"")</f>
        <v>4</v>
      </c>
      <c r="H5" s="197">
        <f>IFERROR(VLOOKUP($I$22&amp;$D5,'Development-Hidden'!$C$2:$J$118,7,FALSE)-S5+AI5,"")</f>
        <v>8</v>
      </c>
      <c r="I5" s="198" t="s">
        <v>484</v>
      </c>
      <c r="J5" s="199" t="s">
        <v>487</v>
      </c>
      <c r="K5" s="343">
        <f t="shared" si="0"/>
        <v>4</v>
      </c>
      <c r="L5" s="344"/>
      <c r="M5" s="344"/>
      <c r="N5" s="344">
        <v>1</v>
      </c>
      <c r="O5" s="344"/>
      <c r="P5" s="345"/>
      <c r="Q5" s="346"/>
      <c r="R5" s="347"/>
      <c r="S5" s="348"/>
      <c r="T5" s="349"/>
      <c r="U5" s="274">
        <v>9</v>
      </c>
      <c r="V5" s="349">
        <v>11</v>
      </c>
      <c r="W5" s="274">
        <v>3</v>
      </c>
      <c r="X5" s="350">
        <v>1</v>
      </c>
      <c r="Y5" s="351">
        <v>3</v>
      </c>
      <c r="Z5" s="210">
        <f t="shared" si="1"/>
        <v>63</v>
      </c>
      <c r="AA5" s="183">
        <f t="shared" si="2"/>
        <v>210000</v>
      </c>
      <c r="AB5" s="136"/>
      <c r="AC5" s="210">
        <f>IFERROR(VLOOKUP($I$22&amp;D5,'Development-Hidden'!$C$2:$E$118,3,FALSE),"")</f>
        <v>110000</v>
      </c>
      <c r="AD5" s="352">
        <v>3</v>
      </c>
      <c r="AE5" s="352"/>
      <c r="AF5" s="352"/>
      <c r="AG5" s="352"/>
      <c r="AH5" s="352">
        <v>1</v>
      </c>
      <c r="AI5" s="352"/>
      <c r="AJ5" s="352"/>
      <c r="AK5" s="454"/>
      <c r="AL5" s="353"/>
      <c r="AM5" s="353"/>
      <c r="AN5" s="353"/>
      <c r="AO5" s="353"/>
      <c r="AP5" s="353"/>
    </row>
    <row r="6" spans="1:49" ht="18" customHeight="1">
      <c r="A6" s="321"/>
      <c r="B6" s="340">
        <v>3</v>
      </c>
      <c r="C6" s="314" t="s">
        <v>488</v>
      </c>
      <c r="D6" s="194" t="s">
        <v>106</v>
      </c>
      <c r="E6" s="195">
        <f>IFERROR(VLOOKUP($I$22&amp;$D6,'Development-Hidden'!$C$2:$J$118,4,FALSE)-P6+AF6,"")</f>
        <v>6</v>
      </c>
      <c r="F6" s="196">
        <f>IFERROR(VLOOKUP($I$22&amp;$D6,'Development-Hidden'!$C$2:$J$118,5,FALSE)-Q6+AG6,"")</f>
        <v>3</v>
      </c>
      <c r="G6" s="196">
        <f>IFERROR(VLOOKUP($I$22&amp;$D6,'Development-Hidden'!$C$2:$J$118,6,FALSE)-R6+AH6,"")</f>
        <v>3</v>
      </c>
      <c r="H6" s="197">
        <f>IFERROR(VLOOKUP($I$22&amp;$D6,'Development-Hidden'!$C$2:$J$118,7,FALSE)-S6+AI6,"")</f>
        <v>8</v>
      </c>
      <c r="I6" s="198" t="s">
        <v>435</v>
      </c>
      <c r="J6" s="199" t="s">
        <v>490</v>
      </c>
      <c r="K6" s="343">
        <f t="shared" si="0"/>
        <v>2</v>
      </c>
      <c r="L6" s="344"/>
      <c r="M6" s="344"/>
      <c r="N6" s="344">
        <v>1</v>
      </c>
      <c r="O6" s="344"/>
      <c r="P6" s="345"/>
      <c r="Q6" s="346"/>
      <c r="R6" s="347"/>
      <c r="S6" s="348"/>
      <c r="T6" s="349"/>
      <c r="U6" s="274">
        <v>1</v>
      </c>
      <c r="V6" s="349">
        <v>1</v>
      </c>
      <c r="W6" s="274">
        <v>6</v>
      </c>
      <c r="X6" s="350">
        <v>2</v>
      </c>
      <c r="Y6" s="351">
        <v>1</v>
      </c>
      <c r="Z6" s="210">
        <f t="shared" si="1"/>
        <v>21</v>
      </c>
      <c r="AA6" s="183">
        <f t="shared" si="2"/>
        <v>110000</v>
      </c>
      <c r="AB6" s="136"/>
      <c r="AC6" s="210">
        <f>IFERROR(VLOOKUP($I$22&amp;D6,'Development-Hidden'!$C$2:$E$118,3,FALSE),"")</f>
        <v>70000</v>
      </c>
      <c r="AD6" s="352">
        <v>2</v>
      </c>
      <c r="AE6" s="352"/>
      <c r="AF6" s="352"/>
      <c r="AG6" s="352"/>
      <c r="AH6" s="352"/>
      <c r="AI6" s="352"/>
      <c r="AJ6" s="352"/>
      <c r="AK6" s="459" t="s">
        <v>492</v>
      </c>
      <c r="AL6" s="212" t="s">
        <v>256</v>
      </c>
      <c r="AM6" s="212" t="s">
        <v>257</v>
      </c>
      <c r="AN6" s="212" t="s">
        <v>258</v>
      </c>
      <c r="AO6" s="354" t="s">
        <v>400</v>
      </c>
      <c r="AP6" s="353"/>
      <c r="AQ6" s="212" t="s">
        <v>256</v>
      </c>
      <c r="AR6" s="212" t="s">
        <v>260</v>
      </c>
      <c r="AS6" s="212" t="s">
        <v>261</v>
      </c>
      <c r="AT6" s="354" t="s">
        <v>401</v>
      </c>
      <c r="AU6" s="354" t="s">
        <v>262</v>
      </c>
      <c r="AV6" s="355" t="s">
        <v>402</v>
      </c>
      <c r="AW6" s="356"/>
    </row>
    <row r="7" spans="1:49" ht="18" customHeight="1">
      <c r="A7" s="321"/>
      <c r="B7" s="340">
        <v>4</v>
      </c>
      <c r="C7" s="314" t="s">
        <v>196</v>
      </c>
      <c r="D7" s="194" t="s">
        <v>58</v>
      </c>
      <c r="E7" s="195">
        <f>IFERROR(VLOOKUP($I$22&amp;$D7,'Development-Hidden'!$C$2:$J$118,4,FALSE)-P7+AF7,"")</f>
        <v>6</v>
      </c>
      <c r="F7" s="196">
        <f>IFERROR(VLOOKUP($I$22&amp;$D7,'Development-Hidden'!$C$2:$J$118,5,FALSE)-Q7+AG7,"")</f>
        <v>3</v>
      </c>
      <c r="G7" s="196">
        <f>IFERROR(VLOOKUP($I$22&amp;$D7,'Development-Hidden'!$C$2:$J$118,6,FALSE)-R7+AH7,"")</f>
        <v>2</v>
      </c>
      <c r="H7" s="197">
        <f>IFERROR(VLOOKUP($I$22&amp;$D7,'Development-Hidden'!$C$2:$J$118,7,FALSE)-S7+AI7,"")</f>
        <v>7</v>
      </c>
      <c r="I7" s="198" t="s">
        <v>423</v>
      </c>
      <c r="J7" s="199" t="s">
        <v>363</v>
      </c>
      <c r="K7" s="343">
        <f t="shared" si="0"/>
        <v>1</v>
      </c>
      <c r="L7" s="344"/>
      <c r="M7" s="344"/>
      <c r="N7" s="344">
        <v>1</v>
      </c>
      <c r="O7" s="344"/>
      <c r="P7" s="345"/>
      <c r="Q7" s="346"/>
      <c r="R7" s="347"/>
      <c r="S7" s="348"/>
      <c r="T7" s="349"/>
      <c r="U7" s="274"/>
      <c r="V7" s="349"/>
      <c r="W7" s="274">
        <v>4</v>
      </c>
      <c r="X7" s="350"/>
      <c r="Y7" s="351"/>
      <c r="Z7" s="210">
        <f t="shared" si="1"/>
        <v>8</v>
      </c>
      <c r="AA7" s="183">
        <f t="shared" si="2"/>
        <v>60000</v>
      </c>
      <c r="AB7" s="136"/>
      <c r="AC7" s="210">
        <f>IFERROR(VLOOKUP($I$22&amp;D7,'Development-Hidden'!$C$2:$E$118,3,FALSE),"")</f>
        <v>40000</v>
      </c>
      <c r="AD7" s="352">
        <v>1</v>
      </c>
      <c r="AE7" s="352"/>
      <c r="AF7" s="352"/>
      <c r="AG7" s="352"/>
      <c r="AH7" s="352"/>
      <c r="AI7" s="352"/>
      <c r="AJ7" s="352"/>
      <c r="AK7" s="459">
        <v>12</v>
      </c>
      <c r="AL7" s="357" t="s">
        <v>267</v>
      </c>
      <c r="AM7" s="187">
        <v>70000</v>
      </c>
      <c r="AN7" s="358">
        <v>70000</v>
      </c>
      <c r="AO7" s="359"/>
      <c r="AP7" s="318"/>
      <c r="AQ7" s="357" t="s">
        <v>267</v>
      </c>
      <c r="AR7" s="358" t="s">
        <v>26</v>
      </c>
      <c r="AS7" s="358" t="s">
        <v>407</v>
      </c>
      <c r="AT7" s="187">
        <v>2</v>
      </c>
      <c r="AU7" s="359">
        <v>2</v>
      </c>
      <c r="AV7" s="360">
        <v>1</v>
      </c>
      <c r="AW7" s="353"/>
    </row>
    <row r="8" spans="1:49" ht="18" customHeight="1">
      <c r="A8" s="321"/>
      <c r="B8" s="340">
        <v>5</v>
      </c>
      <c r="C8" s="314" t="s">
        <v>266</v>
      </c>
      <c r="D8" s="194" t="s">
        <v>58</v>
      </c>
      <c r="E8" s="195">
        <f>IFERROR(VLOOKUP($I$22&amp;$D8,'Development-Hidden'!$C$2:$J$118,4,FALSE)-P8+AF8,"")</f>
        <v>6</v>
      </c>
      <c r="F8" s="196">
        <f>IFERROR(VLOOKUP($I$22&amp;$D8,'Development-Hidden'!$C$2:$J$118,5,FALSE)-Q8+AG8,"")</f>
        <v>3</v>
      </c>
      <c r="G8" s="196">
        <f>IFERROR(VLOOKUP($I$22&amp;$D8,'Development-Hidden'!$C$2:$J$118,6,FALSE)-R8+AH8,"")</f>
        <v>2</v>
      </c>
      <c r="H8" s="197">
        <f>IFERROR(VLOOKUP($I$22&amp;$D8,'Development-Hidden'!$C$2:$J$118,7,FALSE)-S8+AI8,"")</f>
        <v>7</v>
      </c>
      <c r="I8" s="198" t="s">
        <v>423</v>
      </c>
      <c r="J8" s="199" t="s">
        <v>363</v>
      </c>
      <c r="K8" s="343">
        <f t="shared" si="0"/>
        <v>1</v>
      </c>
      <c r="L8" s="344"/>
      <c r="M8" s="344"/>
      <c r="N8" s="344">
        <v>1</v>
      </c>
      <c r="O8" s="344"/>
      <c r="P8" s="345"/>
      <c r="Q8" s="346"/>
      <c r="R8" s="347"/>
      <c r="S8" s="348"/>
      <c r="T8" s="349"/>
      <c r="U8" s="274"/>
      <c r="V8" s="349"/>
      <c r="W8" s="274">
        <v>1</v>
      </c>
      <c r="X8" s="350"/>
      <c r="Y8" s="351">
        <v>1</v>
      </c>
      <c r="Z8" s="210">
        <f t="shared" si="1"/>
        <v>7</v>
      </c>
      <c r="AA8" s="183">
        <f t="shared" si="2"/>
        <v>60000</v>
      </c>
      <c r="AB8" s="136"/>
      <c r="AC8" s="210">
        <f>IFERROR(VLOOKUP($I$22&amp;D8,'Development-Hidden'!$C$2:$E$118,3,FALSE),"")</f>
        <v>40000</v>
      </c>
      <c r="AD8" s="352">
        <v>1</v>
      </c>
      <c r="AE8" s="352"/>
      <c r="AF8" s="352"/>
      <c r="AG8" s="352"/>
      <c r="AH8" s="352"/>
      <c r="AI8" s="352"/>
      <c r="AJ8" s="352"/>
      <c r="AK8" s="459">
        <v>16</v>
      </c>
      <c r="AL8" s="357" t="s">
        <v>278</v>
      </c>
      <c r="AM8" s="187">
        <v>40000</v>
      </c>
      <c r="AN8" s="358"/>
      <c r="AO8" s="359"/>
      <c r="AP8" s="318"/>
      <c r="AQ8" s="357" t="s">
        <v>278</v>
      </c>
      <c r="AR8" s="358" t="s">
        <v>15</v>
      </c>
      <c r="AS8" s="358" t="s">
        <v>407</v>
      </c>
      <c r="AT8" s="187">
        <v>2</v>
      </c>
      <c r="AU8" s="359">
        <v>1</v>
      </c>
      <c r="AV8" s="360">
        <v>1</v>
      </c>
      <c r="AW8" s="353"/>
    </row>
    <row r="9" spans="1:49" ht="18" customHeight="1">
      <c r="A9" s="321"/>
      <c r="B9" s="340">
        <v>6</v>
      </c>
      <c r="C9" s="314" t="s">
        <v>150</v>
      </c>
      <c r="D9" s="194" t="s">
        <v>58</v>
      </c>
      <c r="E9" s="195">
        <f>IFERROR(VLOOKUP($I$22&amp;$D9,'Development-Hidden'!$C$2:$J$118,4,FALSE)-P9+AF9,"")</f>
        <v>6</v>
      </c>
      <c r="F9" s="196">
        <f>IFERROR(VLOOKUP($I$22&amp;$D9,'Development-Hidden'!$C$2:$J$118,5,FALSE)-Q9+AG9,"")</f>
        <v>3</v>
      </c>
      <c r="G9" s="196">
        <f>IFERROR(VLOOKUP($I$22&amp;$D9,'Development-Hidden'!$C$2:$J$118,6,FALSE)-R9+AH9,"")</f>
        <v>2</v>
      </c>
      <c r="H9" s="197">
        <f>IFERROR(VLOOKUP($I$22&amp;$D9,'Development-Hidden'!$C$2:$J$118,7,FALSE)-S9+AI9,"")</f>
        <v>7</v>
      </c>
      <c r="I9" s="198" t="s">
        <v>423</v>
      </c>
      <c r="J9" s="199" t="s">
        <v>475</v>
      </c>
      <c r="K9" s="343">
        <f t="shared" si="0"/>
        <v>1</v>
      </c>
      <c r="L9" s="344"/>
      <c r="M9" s="344"/>
      <c r="N9" s="344"/>
      <c r="O9" s="344"/>
      <c r="P9" s="345"/>
      <c r="Q9" s="346"/>
      <c r="R9" s="347"/>
      <c r="S9" s="348"/>
      <c r="T9" s="349"/>
      <c r="U9" s="274"/>
      <c r="V9" s="349"/>
      <c r="W9" s="274">
        <v>1</v>
      </c>
      <c r="X9" s="350"/>
      <c r="Y9" s="351">
        <v>1</v>
      </c>
      <c r="Z9" s="210">
        <f t="shared" si="1"/>
        <v>7</v>
      </c>
      <c r="AA9" s="183">
        <f t="shared" si="2"/>
        <v>60000</v>
      </c>
      <c r="AB9" s="136"/>
      <c r="AC9" s="210">
        <f>IFERROR(VLOOKUP($I$22&amp;D9,'Development-Hidden'!$C$2:$E$118,3,FALSE),"")</f>
        <v>40000</v>
      </c>
      <c r="AD9" s="352">
        <v>1</v>
      </c>
      <c r="AE9" s="352"/>
      <c r="AF9" s="352"/>
      <c r="AG9" s="352"/>
      <c r="AH9" s="352"/>
      <c r="AI9" s="352"/>
      <c r="AJ9" s="352"/>
      <c r="AK9" s="459">
        <v>25</v>
      </c>
      <c r="AL9" s="357" t="s">
        <v>289</v>
      </c>
      <c r="AM9" s="187">
        <v>50000</v>
      </c>
      <c r="AN9" s="358"/>
      <c r="AO9" s="359"/>
      <c r="AP9" s="318"/>
      <c r="AQ9" s="357" t="s">
        <v>289</v>
      </c>
      <c r="AR9" s="358" t="s">
        <v>1</v>
      </c>
      <c r="AS9" s="358" t="s">
        <v>361</v>
      </c>
      <c r="AT9" s="187">
        <v>1</v>
      </c>
      <c r="AU9" s="359">
        <v>3</v>
      </c>
      <c r="AV9" s="360">
        <v>-1</v>
      </c>
      <c r="AW9" s="353"/>
    </row>
    <row r="10" spans="1:49" ht="18" customHeight="1">
      <c r="A10" s="321"/>
      <c r="B10" s="340">
        <v>7</v>
      </c>
      <c r="C10" s="314" t="s">
        <v>105</v>
      </c>
      <c r="D10" s="194" t="s">
        <v>106</v>
      </c>
      <c r="E10" s="195">
        <f>IFERROR(VLOOKUP($I$22&amp;$D10,'Development-Hidden'!$C$2:$J$118,4,FALSE)-P10+AF10,"")</f>
        <v>6</v>
      </c>
      <c r="F10" s="196">
        <f>IFERROR(VLOOKUP($I$22&amp;$D10,'Development-Hidden'!$C$2:$J$118,5,FALSE)-Q10+AG10,"")</f>
        <v>3</v>
      </c>
      <c r="G10" s="196">
        <f>IFERROR(VLOOKUP($I$22&amp;$D10,'Development-Hidden'!$C$2:$J$118,6,FALSE)-R10+AH10,"")</f>
        <v>3</v>
      </c>
      <c r="H10" s="197">
        <f>IFERROR(VLOOKUP($I$22&amp;$D10,'Development-Hidden'!$C$2:$J$118,7,FALSE)-S10+AI10,"")</f>
        <v>8</v>
      </c>
      <c r="I10" s="198" t="s">
        <v>435</v>
      </c>
      <c r="J10" s="199" t="s">
        <v>377</v>
      </c>
      <c r="K10" s="343">
        <f t="shared" si="0"/>
        <v>1</v>
      </c>
      <c r="L10" s="344"/>
      <c r="M10" s="344"/>
      <c r="N10" s="344">
        <v>1</v>
      </c>
      <c r="O10" s="344"/>
      <c r="P10" s="345"/>
      <c r="Q10" s="346"/>
      <c r="R10" s="347"/>
      <c r="S10" s="348"/>
      <c r="T10" s="349"/>
      <c r="U10" s="274"/>
      <c r="V10" s="349"/>
      <c r="W10" s="274"/>
      <c r="X10" s="350"/>
      <c r="Y10" s="351">
        <v>2</v>
      </c>
      <c r="Z10" s="210">
        <f t="shared" si="1"/>
        <v>10</v>
      </c>
      <c r="AA10" s="183">
        <f t="shared" si="2"/>
        <v>90000</v>
      </c>
      <c r="AB10" s="136"/>
      <c r="AC10" s="210">
        <f>IFERROR(VLOOKUP($I$22&amp;D10,'Development-Hidden'!$C$2:$E$118,3,FALSE),"")</f>
        <v>70000</v>
      </c>
      <c r="AD10" s="352">
        <v>1</v>
      </c>
      <c r="AE10" s="352"/>
      <c r="AF10" s="352"/>
      <c r="AG10" s="352"/>
      <c r="AH10" s="352"/>
      <c r="AI10" s="352"/>
      <c r="AJ10" s="352"/>
      <c r="AK10" s="459">
        <v>30</v>
      </c>
      <c r="AL10" s="357" t="s">
        <v>296</v>
      </c>
      <c r="AM10" s="187">
        <v>60000</v>
      </c>
      <c r="AN10" s="358"/>
      <c r="AO10" s="359"/>
      <c r="AP10" s="318"/>
      <c r="AQ10" s="357" t="s">
        <v>296</v>
      </c>
      <c r="AR10" s="358" t="s">
        <v>3</v>
      </c>
      <c r="AS10" s="358" t="s">
        <v>361</v>
      </c>
      <c r="AT10" s="187">
        <v>1</v>
      </c>
      <c r="AU10" s="359"/>
      <c r="AV10" s="360">
        <v>0</v>
      </c>
      <c r="AW10" s="353"/>
    </row>
    <row r="11" spans="1:49" ht="18" customHeight="1">
      <c r="A11" s="321"/>
      <c r="B11" s="340">
        <v>8</v>
      </c>
      <c r="C11" s="314" t="s">
        <v>107</v>
      </c>
      <c r="D11" s="194" t="s">
        <v>49</v>
      </c>
      <c r="E11" s="195">
        <f>IFERROR(VLOOKUP($I$22&amp;$D11,'Development-Hidden'!$C$2:$J$118,4,FALSE)-P11+AF11,"")</f>
        <v>7</v>
      </c>
      <c r="F11" s="196">
        <f>IFERROR(VLOOKUP($I$22&amp;$D11,'Development-Hidden'!$C$2:$J$118,5,FALSE)-Q11+AG11,"")</f>
        <v>3</v>
      </c>
      <c r="G11" s="196">
        <f>IFERROR(VLOOKUP($I$22&amp;$D11,'Development-Hidden'!$C$2:$J$118,6,FALSE)-R11+AH11,"")</f>
        <v>3</v>
      </c>
      <c r="H11" s="197">
        <f>IFERROR(VLOOKUP($I$22&amp;$D11,'Development-Hidden'!$C$2:$J$118,7,FALSE)-S11+AI11,"")</f>
        <v>8</v>
      </c>
      <c r="I11" s="198" t="s">
        <v>484</v>
      </c>
      <c r="J11" s="199" t="s">
        <v>377</v>
      </c>
      <c r="K11" s="343">
        <f t="shared" si="0"/>
        <v>1</v>
      </c>
      <c r="L11" s="344"/>
      <c r="M11" s="344"/>
      <c r="N11" s="344">
        <v>1</v>
      </c>
      <c r="O11" s="344"/>
      <c r="P11" s="345"/>
      <c r="Q11" s="346"/>
      <c r="R11" s="347"/>
      <c r="S11" s="348"/>
      <c r="T11" s="349"/>
      <c r="U11" s="274"/>
      <c r="V11" s="349"/>
      <c r="W11" s="274">
        <v>1</v>
      </c>
      <c r="X11" s="350"/>
      <c r="Y11" s="351">
        <v>2</v>
      </c>
      <c r="Z11" s="210">
        <f t="shared" si="1"/>
        <v>12</v>
      </c>
      <c r="AA11" s="183">
        <f t="shared" si="2"/>
        <v>140000</v>
      </c>
      <c r="AB11" s="136"/>
      <c r="AC11" s="210">
        <f>IFERROR(VLOOKUP($I$22&amp;D11,'Development-Hidden'!$C$2:$E$118,3,FALSE),"")</f>
        <v>110000</v>
      </c>
      <c r="AD11" s="352"/>
      <c r="AE11" s="352">
        <v>1</v>
      </c>
      <c r="AF11" s="352"/>
      <c r="AG11" s="352"/>
      <c r="AH11" s="352"/>
      <c r="AI11" s="352"/>
      <c r="AJ11" s="352"/>
      <c r="AK11" s="459">
        <v>37</v>
      </c>
      <c r="AL11" s="357" t="s">
        <v>306</v>
      </c>
      <c r="AM11" s="187">
        <v>60000</v>
      </c>
      <c r="AN11" s="358">
        <v>70000</v>
      </c>
      <c r="AO11" s="359"/>
      <c r="AP11" s="318"/>
      <c r="AQ11" s="357" t="s">
        <v>306</v>
      </c>
      <c r="AR11" s="358" t="s">
        <v>20</v>
      </c>
      <c r="AS11" s="358" t="s">
        <v>361</v>
      </c>
      <c r="AT11" s="187">
        <v>1</v>
      </c>
      <c r="AU11" s="359">
        <v>2</v>
      </c>
      <c r="AV11" s="360">
        <v>0</v>
      </c>
      <c r="AW11" s="353"/>
    </row>
    <row r="12" spans="1:49" ht="18" customHeight="1">
      <c r="A12" s="321"/>
      <c r="B12" s="340">
        <v>9</v>
      </c>
      <c r="C12" s="314" t="s">
        <v>249</v>
      </c>
      <c r="D12" s="194" t="s">
        <v>58</v>
      </c>
      <c r="E12" s="195">
        <f>IFERROR(VLOOKUP($I$22&amp;$D12,'Development-Hidden'!$C$2:$J$118,4,FALSE)-P12+AF12,"")</f>
        <v>6</v>
      </c>
      <c r="F12" s="196">
        <f>IFERROR(VLOOKUP($I$22&amp;$D12,'Development-Hidden'!$C$2:$J$118,5,FALSE)-Q12+AG12,"")</f>
        <v>3</v>
      </c>
      <c r="G12" s="196">
        <f>IFERROR(VLOOKUP($I$22&amp;$D12,'Development-Hidden'!$C$2:$J$118,6,FALSE)-R12+AH12,"")</f>
        <v>2</v>
      </c>
      <c r="H12" s="197">
        <f>IFERROR(VLOOKUP($I$22&amp;$D12,'Development-Hidden'!$C$2:$J$118,7,FALSE)-S12+AI12,"")</f>
        <v>7</v>
      </c>
      <c r="I12" s="198" t="s">
        <v>423</v>
      </c>
      <c r="J12" s="199"/>
      <c r="K12" s="343">
        <f t="shared" si="0"/>
        <v>0</v>
      </c>
      <c r="L12" s="344">
        <v>1</v>
      </c>
      <c r="M12" s="344"/>
      <c r="N12" s="344">
        <v>1</v>
      </c>
      <c r="O12" s="344"/>
      <c r="P12" s="345"/>
      <c r="Q12" s="346"/>
      <c r="R12" s="347"/>
      <c r="S12" s="348"/>
      <c r="T12" s="349"/>
      <c r="U12" s="274"/>
      <c r="V12" s="349"/>
      <c r="W12" s="274">
        <v>2</v>
      </c>
      <c r="X12" s="350"/>
      <c r="Y12" s="351"/>
      <c r="Z12" s="210">
        <f t="shared" si="1"/>
        <v>4</v>
      </c>
      <c r="AA12" s="183">
        <f t="shared" si="2"/>
        <v>0</v>
      </c>
      <c r="AB12" s="136"/>
      <c r="AC12" s="210">
        <f>IFERROR(VLOOKUP($I$22&amp;D12,'Development-Hidden'!$C$2:$E$118,3,FALSE),"")</f>
        <v>40000</v>
      </c>
      <c r="AD12" s="352"/>
      <c r="AE12" s="352"/>
      <c r="AF12" s="352"/>
      <c r="AG12" s="352"/>
      <c r="AH12" s="352"/>
      <c r="AI12" s="352"/>
      <c r="AJ12" s="352"/>
      <c r="AK12" s="459">
        <v>42</v>
      </c>
      <c r="AL12" s="357" t="s">
        <v>316</v>
      </c>
      <c r="AM12" s="187">
        <v>60000</v>
      </c>
      <c r="AN12" s="358"/>
      <c r="AO12" s="359"/>
      <c r="AP12" s="318"/>
      <c r="AQ12" s="357" t="s">
        <v>316</v>
      </c>
      <c r="AR12" s="358" t="s">
        <v>495</v>
      </c>
      <c r="AS12" s="358" t="s">
        <v>407</v>
      </c>
      <c r="AT12" s="187">
        <v>1</v>
      </c>
      <c r="AU12" s="359">
        <v>1</v>
      </c>
      <c r="AV12" s="360">
        <v>1</v>
      </c>
      <c r="AW12" s="353"/>
    </row>
    <row r="13" spans="1:49" ht="18" customHeight="1">
      <c r="A13" s="321"/>
      <c r="B13" s="340">
        <v>10</v>
      </c>
      <c r="C13" s="314" t="s">
        <v>314</v>
      </c>
      <c r="D13" s="194" t="s">
        <v>58</v>
      </c>
      <c r="E13" s="195">
        <f>IFERROR(VLOOKUP($I$22&amp;$D13,'Development-Hidden'!$C$2:$J$118,4,FALSE)-P13+AF13,"")</f>
        <v>6</v>
      </c>
      <c r="F13" s="196">
        <f>IFERROR(VLOOKUP($I$22&amp;$D13,'Development-Hidden'!$C$2:$J$118,5,FALSE)-Q13+AG13,"")</f>
        <v>3</v>
      </c>
      <c r="G13" s="196">
        <f>IFERROR(VLOOKUP($I$22&amp;$D13,'Development-Hidden'!$C$2:$J$118,6,FALSE)-R13+AH13,"")</f>
        <v>2</v>
      </c>
      <c r="H13" s="197">
        <f>IFERROR(VLOOKUP($I$22&amp;$D13,'Development-Hidden'!$C$2:$J$118,7,FALSE)-S13+AI13,"")</f>
        <v>7</v>
      </c>
      <c r="I13" s="198" t="s">
        <v>423</v>
      </c>
      <c r="J13" s="199"/>
      <c r="K13" s="343">
        <f t="shared" si="0"/>
        <v>0</v>
      </c>
      <c r="L13" s="344"/>
      <c r="M13" s="344"/>
      <c r="N13" s="344"/>
      <c r="O13" s="344"/>
      <c r="P13" s="345"/>
      <c r="Q13" s="346"/>
      <c r="R13" s="347"/>
      <c r="S13" s="348"/>
      <c r="T13" s="349"/>
      <c r="U13" s="274"/>
      <c r="V13" s="349"/>
      <c r="W13" s="274"/>
      <c r="X13" s="350"/>
      <c r="Y13" s="351"/>
      <c r="Z13" s="210">
        <f t="shared" si="1"/>
        <v>0</v>
      </c>
      <c r="AA13" s="183">
        <f t="shared" si="2"/>
        <v>40000</v>
      </c>
      <c r="AB13" s="136"/>
      <c r="AC13" s="210">
        <f>IFERROR(VLOOKUP($I$22&amp;D13,'Development-Hidden'!$C$2:$E$118,3,FALSE),"")</f>
        <v>40000</v>
      </c>
      <c r="AD13" s="352"/>
      <c r="AE13" s="352"/>
      <c r="AF13" s="352"/>
      <c r="AG13" s="352"/>
      <c r="AH13" s="352"/>
      <c r="AI13" s="352"/>
      <c r="AJ13" s="352"/>
      <c r="AK13" s="459">
        <v>46</v>
      </c>
      <c r="AL13" s="357" t="s">
        <v>330</v>
      </c>
      <c r="AM13" s="187">
        <v>50000</v>
      </c>
      <c r="AN13" s="358"/>
      <c r="AO13" s="359"/>
      <c r="AP13" s="318"/>
      <c r="AQ13" s="357" t="s">
        <v>330</v>
      </c>
      <c r="AR13" s="358" t="s">
        <v>11</v>
      </c>
      <c r="AS13" s="358" t="s">
        <v>407</v>
      </c>
      <c r="AT13" s="187">
        <v>2</v>
      </c>
      <c r="AU13" s="359">
        <v>2</v>
      </c>
      <c r="AV13" s="360">
        <v>1</v>
      </c>
      <c r="AW13" s="353"/>
    </row>
    <row r="14" spans="1:49" ht="18" customHeight="1">
      <c r="A14" s="321"/>
      <c r="B14" s="340">
        <v>11</v>
      </c>
      <c r="C14" s="314" t="s">
        <v>163</v>
      </c>
      <c r="D14" s="194" t="s">
        <v>58</v>
      </c>
      <c r="E14" s="195">
        <f>IFERROR(VLOOKUP($I$22&amp;$D14,'Development-Hidden'!$C$2:$J$118,4,FALSE)-P14+AF14,"")</f>
        <v>6</v>
      </c>
      <c r="F14" s="196">
        <f>IFERROR(VLOOKUP($I$22&amp;$D14,'Development-Hidden'!$C$2:$J$118,5,FALSE)-Q14+AG14,"")</f>
        <v>3</v>
      </c>
      <c r="G14" s="196">
        <f>IFERROR(VLOOKUP($I$22&amp;$D14,'Development-Hidden'!$C$2:$J$118,6,FALSE)-R14+AH14,"")</f>
        <v>2</v>
      </c>
      <c r="H14" s="197">
        <f>IFERROR(VLOOKUP($I$22&amp;$D14,'Development-Hidden'!$C$2:$J$118,7,FALSE)-S14+AI14,"")</f>
        <v>7</v>
      </c>
      <c r="I14" s="198" t="s">
        <v>423</v>
      </c>
      <c r="J14" s="199"/>
      <c r="K14" s="343">
        <f t="shared" si="0"/>
        <v>0</v>
      </c>
      <c r="L14" s="344"/>
      <c r="M14" s="344"/>
      <c r="N14" s="344"/>
      <c r="O14" s="344"/>
      <c r="P14" s="345"/>
      <c r="Q14" s="346"/>
      <c r="R14" s="347"/>
      <c r="S14" s="348"/>
      <c r="T14" s="349"/>
      <c r="U14" s="274"/>
      <c r="V14" s="349"/>
      <c r="W14" s="274"/>
      <c r="X14" s="350">
        <v>1</v>
      </c>
      <c r="Y14" s="351"/>
      <c r="Z14" s="210">
        <v>0</v>
      </c>
      <c r="AA14" s="183">
        <f t="shared" si="2"/>
        <v>40000</v>
      </c>
      <c r="AB14" s="136"/>
      <c r="AC14" s="210">
        <f>IFERROR(VLOOKUP($I$22&amp;D14,'Development-Hidden'!$C$2:$E$118,3,FALSE),"")</f>
        <v>40000</v>
      </c>
      <c r="AD14" s="352"/>
      <c r="AE14" s="352"/>
      <c r="AF14" s="352"/>
      <c r="AG14" s="352"/>
      <c r="AH14" s="352"/>
      <c r="AI14" s="352"/>
      <c r="AJ14" s="352"/>
      <c r="AK14" s="454"/>
      <c r="AL14" s="357" t="s">
        <v>342</v>
      </c>
      <c r="AM14" s="187"/>
      <c r="AN14" s="358"/>
      <c r="AO14" s="359"/>
      <c r="AP14" s="318"/>
      <c r="AQ14" s="357" t="s">
        <v>342</v>
      </c>
      <c r="AR14" s="358"/>
      <c r="AS14" s="358"/>
      <c r="AT14" s="187"/>
      <c r="AU14" s="359"/>
      <c r="AV14" s="360"/>
      <c r="AW14" s="353"/>
    </row>
    <row r="15" spans="1:49" ht="18" customHeight="1">
      <c r="A15" s="321"/>
      <c r="B15" s="340">
        <v>12</v>
      </c>
      <c r="C15" s="314" t="s">
        <v>315</v>
      </c>
      <c r="D15" s="194" t="s">
        <v>58</v>
      </c>
      <c r="E15" s="195">
        <f>IFERROR(VLOOKUP($I$22&amp;$D15,'Development-Hidden'!$C$2:$J$118,4,FALSE)-P15+AF15,"")</f>
        <v>6</v>
      </c>
      <c r="F15" s="196">
        <f>IFERROR(VLOOKUP($I$22&amp;$D15,'Development-Hidden'!$C$2:$J$118,5,FALSE)-Q15+AG15,"")</f>
        <v>3</v>
      </c>
      <c r="G15" s="196">
        <f>IFERROR(VLOOKUP($I$22&amp;$D15,'Development-Hidden'!$C$2:$J$118,6,FALSE)-R15+AH15,"")</f>
        <v>2</v>
      </c>
      <c r="H15" s="197">
        <f>IFERROR(VLOOKUP($I$22&amp;$D15,'Development-Hidden'!$C$2:$J$118,7,FALSE)-S15+AI15,"")</f>
        <v>7</v>
      </c>
      <c r="I15" s="198" t="s">
        <v>423</v>
      </c>
      <c r="J15" s="199"/>
      <c r="K15" s="343">
        <f t="shared" si="0"/>
        <v>0</v>
      </c>
      <c r="L15" s="344"/>
      <c r="M15" s="344"/>
      <c r="N15" s="344"/>
      <c r="O15" s="344"/>
      <c r="P15" s="345"/>
      <c r="Q15" s="346"/>
      <c r="R15" s="347"/>
      <c r="S15" s="348"/>
      <c r="T15" s="349"/>
      <c r="U15" s="274"/>
      <c r="V15" s="349"/>
      <c r="W15" s="274"/>
      <c r="X15" s="350"/>
      <c r="Y15" s="351"/>
      <c r="Z15" s="210">
        <f t="shared" ref="Z15:Z19" si="3">2*T15+U15+3*V15+2*W15+5*Y15</f>
        <v>0</v>
      </c>
      <c r="AA15" s="183">
        <f t="shared" si="2"/>
        <v>40000</v>
      </c>
      <c r="AB15" s="136"/>
      <c r="AC15" s="210">
        <f>IFERROR(VLOOKUP($I$22&amp;D15,'Development-Hidden'!$C$2:$E$118,3,FALSE),"")</f>
        <v>40000</v>
      </c>
      <c r="AD15" s="352"/>
      <c r="AE15" s="352"/>
      <c r="AF15" s="352"/>
      <c r="AG15" s="352"/>
      <c r="AH15" s="352"/>
      <c r="AI15" s="352"/>
      <c r="AJ15" s="352"/>
      <c r="AK15" s="454"/>
      <c r="AL15" s="357" t="s">
        <v>354</v>
      </c>
      <c r="AM15" s="187"/>
      <c r="AN15" s="358"/>
      <c r="AO15" s="359"/>
      <c r="AP15" s="318"/>
      <c r="AQ15" s="357" t="s">
        <v>354</v>
      </c>
      <c r="AR15" s="358"/>
      <c r="AS15" s="358"/>
      <c r="AT15" s="187"/>
      <c r="AU15" s="359"/>
      <c r="AV15" s="360"/>
      <c r="AW15" s="353"/>
    </row>
    <row r="16" spans="1:49" ht="18" customHeight="1">
      <c r="A16" s="321"/>
      <c r="B16" s="340">
        <v>13</v>
      </c>
      <c r="C16" s="314" t="s">
        <v>200</v>
      </c>
      <c r="D16" s="194" t="s">
        <v>106</v>
      </c>
      <c r="E16" s="195">
        <v>6</v>
      </c>
      <c r="F16" s="196">
        <f>IFERROR(VLOOKUP($I$22&amp;$D16,'Development-Hidden'!$C$2:$J$118,5,FALSE)-Q16+AG16,"")</f>
        <v>3</v>
      </c>
      <c r="G16" s="196">
        <f>IFERROR(VLOOKUP($I$22&amp;$D16,'Development-Hidden'!$C$2:$J$118,6,FALSE)-R16+AH16,"")</f>
        <v>3</v>
      </c>
      <c r="H16" s="197">
        <f>IFERROR(VLOOKUP($I$22&amp;$D16,'Development-Hidden'!$C$2:$J$118,7,FALSE)-S16+AI16,"")</f>
        <v>8</v>
      </c>
      <c r="I16" s="198" t="s">
        <v>435</v>
      </c>
      <c r="J16" s="199" t="s">
        <v>399</v>
      </c>
      <c r="K16" s="343">
        <f t="shared" si="0"/>
        <v>1</v>
      </c>
      <c r="L16" s="344"/>
      <c r="M16" s="344"/>
      <c r="N16" s="344"/>
      <c r="O16" s="344"/>
      <c r="P16" s="345"/>
      <c r="Q16" s="346"/>
      <c r="R16" s="347"/>
      <c r="S16" s="348"/>
      <c r="T16" s="349"/>
      <c r="U16" s="274"/>
      <c r="V16" s="349"/>
      <c r="W16" s="274">
        <v>1</v>
      </c>
      <c r="X16" s="350"/>
      <c r="Y16" s="351">
        <v>1</v>
      </c>
      <c r="Z16" s="210">
        <f t="shared" si="3"/>
        <v>7</v>
      </c>
      <c r="AA16" s="183">
        <f t="shared" si="2"/>
        <v>90000</v>
      </c>
      <c r="AB16" s="136"/>
      <c r="AC16" s="210">
        <f>IFERROR(VLOOKUP($I$22&amp;D16,'Development-Hidden'!$C$2:$E$118,3,FALSE),"")</f>
        <v>70000</v>
      </c>
      <c r="AD16" s="352">
        <v>1</v>
      </c>
      <c r="AE16" s="352"/>
      <c r="AF16" s="352"/>
      <c r="AG16" s="352"/>
      <c r="AH16" s="352"/>
      <c r="AI16" s="352"/>
      <c r="AJ16" s="352"/>
      <c r="AK16" s="454"/>
      <c r="AL16" s="357" t="s">
        <v>355</v>
      </c>
      <c r="AM16" s="187"/>
      <c r="AN16" s="358"/>
      <c r="AO16" s="359"/>
      <c r="AP16" s="318"/>
      <c r="AQ16" s="357" t="s">
        <v>355</v>
      </c>
      <c r="AR16" s="358"/>
      <c r="AS16" s="358"/>
      <c r="AT16" s="187"/>
      <c r="AU16" s="359"/>
      <c r="AV16" s="360"/>
      <c r="AW16" s="353"/>
    </row>
    <row r="17" spans="1:49" ht="18" customHeight="1">
      <c r="A17" s="321"/>
      <c r="B17" s="340">
        <v>14</v>
      </c>
      <c r="C17" s="314" t="s">
        <v>175</v>
      </c>
      <c r="D17" s="194" t="s">
        <v>49</v>
      </c>
      <c r="E17" s="195">
        <f>IFERROR(VLOOKUP($I$22&amp;$D17,'Development-Hidden'!$C$2:$J$118,4,FALSE)-P17+AF17,"")</f>
        <v>7</v>
      </c>
      <c r="F17" s="196">
        <f>IFERROR(VLOOKUP($I$22&amp;$D17,'Development-Hidden'!$C$2:$J$118,5,FALSE)-Q17+AG17,"")</f>
        <v>3</v>
      </c>
      <c r="G17" s="196">
        <f>IFERROR(VLOOKUP($I$22&amp;$D17,'Development-Hidden'!$C$2:$J$118,6,FALSE)-R17+AH17,"")</f>
        <v>3</v>
      </c>
      <c r="H17" s="197">
        <f>IFERROR(VLOOKUP($I$22&amp;$D17,'Development-Hidden'!$C$2:$J$118,7,FALSE)-S17+AI17,"")</f>
        <v>8</v>
      </c>
      <c r="I17" s="198" t="s">
        <v>484</v>
      </c>
      <c r="J17" s="199" t="s">
        <v>497</v>
      </c>
      <c r="K17" s="343">
        <f t="shared" si="0"/>
        <v>2</v>
      </c>
      <c r="L17" s="344"/>
      <c r="M17" s="344"/>
      <c r="N17" s="344"/>
      <c r="O17" s="344"/>
      <c r="P17" s="345"/>
      <c r="Q17" s="346"/>
      <c r="R17" s="347"/>
      <c r="S17" s="348"/>
      <c r="T17" s="349"/>
      <c r="U17" s="274"/>
      <c r="V17" s="349">
        <v>1</v>
      </c>
      <c r="W17" s="274"/>
      <c r="X17" s="350"/>
      <c r="Y17" s="351">
        <v>3</v>
      </c>
      <c r="Z17" s="210">
        <f t="shared" si="3"/>
        <v>18</v>
      </c>
      <c r="AA17" s="183">
        <f t="shared" si="2"/>
        <v>150000</v>
      </c>
      <c r="AB17" s="136"/>
      <c r="AC17" s="210">
        <f>IFERROR(VLOOKUP($I$22&amp;D17,'Development-Hidden'!$C$2:$E$118,3,FALSE),"")</f>
        <v>110000</v>
      </c>
      <c r="AD17" s="352">
        <v>2</v>
      </c>
      <c r="AE17" s="352"/>
      <c r="AF17" s="352"/>
      <c r="AG17" s="352"/>
      <c r="AH17" s="352"/>
      <c r="AI17" s="352"/>
      <c r="AJ17" s="352"/>
      <c r="AK17" s="454"/>
      <c r="AL17" s="357" t="s">
        <v>357</v>
      </c>
      <c r="AM17" s="187"/>
      <c r="AN17" s="358"/>
      <c r="AO17" s="359"/>
      <c r="AP17" s="318"/>
      <c r="AQ17" s="357" t="s">
        <v>357</v>
      </c>
      <c r="AR17" s="358"/>
      <c r="AS17" s="358"/>
      <c r="AT17" s="187"/>
      <c r="AU17" s="359"/>
      <c r="AV17" s="360"/>
      <c r="AW17" s="353"/>
    </row>
    <row r="18" spans="1:49" ht="18" customHeight="1">
      <c r="A18" s="321"/>
      <c r="B18" s="340">
        <v>15</v>
      </c>
      <c r="C18" s="314" t="s">
        <v>181</v>
      </c>
      <c r="D18" s="194" t="s">
        <v>106</v>
      </c>
      <c r="E18" s="195">
        <f>IFERROR(VLOOKUP($I$22&amp;$D18,'Development-Hidden'!$C$2:$J$118,4,FALSE)-P18+AF18,"")</f>
        <v>5</v>
      </c>
      <c r="F18" s="196">
        <f>IFERROR(VLOOKUP($I$22&amp;$D18,'Development-Hidden'!$C$2:$J$118,5,FALSE)-Q18+AG18,"")</f>
        <v>3</v>
      </c>
      <c r="G18" s="196">
        <f>IFERROR(VLOOKUP($I$22&amp;$D18,'Development-Hidden'!$C$2:$J$118,6,FALSE)-R18+AH18,"")</f>
        <v>3</v>
      </c>
      <c r="H18" s="197">
        <f>IFERROR(VLOOKUP($I$22&amp;$D18,'Development-Hidden'!$C$2:$J$118,7,FALSE)-S18+AI18,"")</f>
        <v>8</v>
      </c>
      <c r="I18" s="198" t="s">
        <v>435</v>
      </c>
      <c r="J18" s="199"/>
      <c r="K18" s="343">
        <f t="shared" si="0"/>
        <v>0</v>
      </c>
      <c r="L18" s="344">
        <v>1</v>
      </c>
      <c r="M18" s="344"/>
      <c r="N18" s="344"/>
      <c r="O18" s="344"/>
      <c r="P18" s="345">
        <v>1</v>
      </c>
      <c r="Q18" s="346"/>
      <c r="R18" s="347"/>
      <c r="S18" s="348"/>
      <c r="T18" s="349"/>
      <c r="U18" s="274">
        <v>1</v>
      </c>
      <c r="V18" s="349"/>
      <c r="W18" s="274"/>
      <c r="X18" s="350"/>
      <c r="Y18" s="351"/>
      <c r="Z18" s="210">
        <f t="shared" si="3"/>
        <v>1</v>
      </c>
      <c r="AA18" s="183">
        <f t="shared" si="2"/>
        <v>0</v>
      </c>
      <c r="AB18" s="136"/>
      <c r="AC18" s="210">
        <f>IFERROR(VLOOKUP($I$22&amp;D18,'Development-Hidden'!$C$2:$E$118,3,FALSE),"")</f>
        <v>70000</v>
      </c>
      <c r="AD18" s="352"/>
      <c r="AE18" s="352"/>
      <c r="AF18" s="352"/>
      <c r="AG18" s="352"/>
      <c r="AH18" s="352"/>
      <c r="AI18" s="352"/>
      <c r="AJ18" s="352"/>
      <c r="AK18" s="454"/>
      <c r="AL18" s="357" t="s">
        <v>359</v>
      </c>
      <c r="AM18" s="187"/>
      <c r="AN18" s="358"/>
      <c r="AO18" s="359"/>
      <c r="AP18" s="318"/>
      <c r="AQ18" s="357" t="s">
        <v>359</v>
      </c>
      <c r="AR18" s="358"/>
      <c r="AS18" s="358"/>
      <c r="AT18" s="187"/>
      <c r="AU18" s="359"/>
      <c r="AV18" s="360"/>
      <c r="AW18" s="353"/>
    </row>
    <row r="19" spans="1:49" ht="18" customHeight="1">
      <c r="A19" s="321"/>
      <c r="B19" s="384">
        <v>16</v>
      </c>
      <c r="C19" s="315"/>
      <c r="D19" s="385"/>
      <c r="E19" s="251" t="str">
        <f>IFERROR(VLOOKUP($I$22&amp;$D19,'Development-Hidden'!$C$2:$J$118,4,FALSE)-P19+AF19,"")</f>
        <v/>
      </c>
      <c r="F19" s="252" t="str">
        <f>IFERROR(VLOOKUP($I$22&amp;$D19,'Development-Hidden'!$C$2:$J$118,5,FALSE)-Q19+AG19,"")</f>
        <v/>
      </c>
      <c r="G19" s="252" t="str">
        <f>IFERROR(VLOOKUP($I$22&amp;$D19,'Development-Hidden'!$C$2:$J$118,6,FALSE)-R19+AH19,"")</f>
        <v/>
      </c>
      <c r="H19" s="253" t="str">
        <f>IFERROR(VLOOKUP($I$22&amp;$D19,'Development-Hidden'!$C$2:$J$118,7,FALSE)-S19+AI19,"")</f>
        <v/>
      </c>
      <c r="I19" s="254"/>
      <c r="J19" s="255"/>
      <c r="K19" s="389">
        <f t="shared" si="0"/>
        <v>0</v>
      </c>
      <c r="L19" s="390"/>
      <c r="M19" s="390"/>
      <c r="N19" s="390"/>
      <c r="O19" s="390"/>
      <c r="P19" s="391"/>
      <c r="Q19" s="392"/>
      <c r="R19" s="393"/>
      <c r="S19" s="394"/>
      <c r="T19" s="395"/>
      <c r="U19" s="281"/>
      <c r="V19" s="395"/>
      <c r="W19" s="281"/>
      <c r="X19" s="396"/>
      <c r="Y19" s="397"/>
      <c r="Z19" s="266">
        <f t="shared" si="3"/>
        <v>0</v>
      </c>
      <c r="AA19" s="183">
        <f t="shared" si="2"/>
        <v>0</v>
      </c>
      <c r="AB19" s="136"/>
      <c r="AC19" s="210" t="str">
        <f>IFERROR(VLOOKUP($I$22&amp;D19,'Development-Hidden'!$C$2:$E$118,3,FALSE),"0")</f>
        <v>0</v>
      </c>
      <c r="AD19" s="398"/>
      <c r="AE19" s="398"/>
      <c r="AF19" s="398"/>
      <c r="AG19" s="398"/>
      <c r="AH19" s="398"/>
      <c r="AI19" s="398"/>
      <c r="AJ19" s="398"/>
      <c r="AL19" s="318"/>
      <c r="AM19" s="318"/>
      <c r="AN19" s="318"/>
      <c r="AO19" s="318"/>
      <c r="AP19" s="318"/>
      <c r="AQ19" s="318"/>
      <c r="AR19" s="318"/>
      <c r="AS19" s="318"/>
      <c r="AT19" s="318"/>
      <c r="AU19" s="318"/>
      <c r="AV19" s="318"/>
      <c r="AW19" s="318"/>
    </row>
    <row r="20" spans="1:49" ht="18" customHeight="1">
      <c r="A20" s="321"/>
      <c r="B20" s="399"/>
      <c r="C20" s="653"/>
      <c r="D20" s="573"/>
      <c r="E20" s="641"/>
      <c r="F20" s="587"/>
      <c r="G20" s="642"/>
      <c r="H20" s="588"/>
      <c r="I20" s="441"/>
      <c r="J20" s="652"/>
      <c r="K20" s="587"/>
      <c r="L20" s="401"/>
      <c r="M20" s="402"/>
      <c r="N20" s="402"/>
      <c r="O20" s="402"/>
      <c r="P20" s="402"/>
      <c r="Q20" s="402"/>
      <c r="R20" s="402"/>
      <c r="S20" s="402"/>
      <c r="T20" s="402"/>
      <c r="U20" s="403"/>
      <c r="V20" s="404"/>
      <c r="W20" s="402"/>
      <c r="X20" s="405" t="s">
        <v>364</v>
      </c>
      <c r="Y20" s="651"/>
      <c r="Z20" s="588"/>
      <c r="AA20" s="270">
        <f>SUM(AA4:AA19)</f>
        <v>1280000</v>
      </c>
      <c r="AB20" s="318"/>
      <c r="AC20" s="318"/>
      <c r="AD20" s="318"/>
      <c r="AE20" s="318"/>
      <c r="AF20" s="318"/>
      <c r="AG20" s="318"/>
      <c r="AH20" s="318"/>
      <c r="AI20" s="318"/>
      <c r="AJ20" s="318"/>
      <c r="AK20" s="454"/>
      <c r="AL20" s="406" t="s">
        <v>219</v>
      </c>
      <c r="AM20" s="187">
        <f>AM4+SUM(AM7:AM18)-SUM(AN7:AN18)-SUM(AO7:AO18)</f>
        <v>250000</v>
      </c>
      <c r="AN20" s="318"/>
      <c r="AO20" s="318"/>
      <c r="AP20" s="318"/>
      <c r="AS20" s="406" t="s">
        <v>219</v>
      </c>
      <c r="AT20" s="187">
        <f t="shared" ref="AT20:AU20" si="4">SUM(AT7:AT18)</f>
        <v>10</v>
      </c>
      <c r="AU20" s="407">
        <f t="shared" si="4"/>
        <v>11</v>
      </c>
      <c r="AV20" s="408">
        <f>AR4+SUM(AV7:AV18)</f>
        <v>7</v>
      </c>
      <c r="AW20" s="140"/>
    </row>
    <row r="21" spans="1:49" ht="17.25" customHeight="1">
      <c r="A21" s="321"/>
      <c r="B21" s="409"/>
      <c r="C21" s="574"/>
      <c r="D21" s="576"/>
      <c r="E21" s="643" t="s">
        <v>365</v>
      </c>
      <c r="F21" s="581"/>
      <c r="G21" s="581"/>
      <c r="H21" s="581"/>
      <c r="I21" s="609" t="s">
        <v>8</v>
      </c>
      <c r="J21" s="636"/>
      <c r="K21" s="637"/>
      <c r="L21" s="649" t="s">
        <v>500</v>
      </c>
      <c r="M21" s="636"/>
      <c r="N21" s="636"/>
      <c r="O21" s="636"/>
      <c r="P21" s="636"/>
      <c r="Q21" s="636"/>
      <c r="R21" s="636"/>
      <c r="S21" s="650"/>
      <c r="T21" s="410">
        <v>3</v>
      </c>
      <c r="U21" s="411" t="s">
        <v>220</v>
      </c>
      <c r="V21" s="648">
        <v>70000</v>
      </c>
      <c r="W21" s="636"/>
      <c r="X21" s="636"/>
      <c r="Y21" s="636"/>
      <c r="Z21" s="412" t="s">
        <v>406</v>
      </c>
      <c r="AA21" s="273">
        <f t="shared" ref="AA21:AA25" si="5">T21*V21</f>
        <v>210000</v>
      </c>
      <c r="AB21" s="318"/>
      <c r="AC21" s="318"/>
      <c r="AD21" s="318"/>
      <c r="AE21" s="318"/>
      <c r="AF21" s="318"/>
      <c r="AG21" s="318"/>
      <c r="AH21" s="318"/>
      <c r="AI21" s="318"/>
      <c r="AJ21" s="318"/>
      <c r="AL21" s="318"/>
      <c r="AM21" s="318"/>
      <c r="AN21" s="318"/>
      <c r="AO21" s="318"/>
      <c r="AP21" s="318"/>
      <c r="AQ21" s="318"/>
      <c r="AR21" s="318"/>
      <c r="AS21" s="318"/>
      <c r="AT21" s="318"/>
      <c r="AU21" s="318"/>
      <c r="AV21" s="318"/>
      <c r="AW21" s="318"/>
    </row>
    <row r="22" spans="1:49" ht="17.25" customHeight="1">
      <c r="A22" s="321"/>
      <c r="B22" s="409"/>
      <c r="C22" s="574"/>
      <c r="D22" s="576"/>
      <c r="E22" s="621" t="s">
        <v>368</v>
      </c>
      <c r="F22" s="583"/>
      <c r="G22" s="583"/>
      <c r="H22" s="583"/>
      <c r="I22" s="638" t="s">
        <v>9</v>
      </c>
      <c r="J22" s="583"/>
      <c r="K22" s="597"/>
      <c r="L22" s="591" t="s">
        <v>369</v>
      </c>
      <c r="M22" s="583"/>
      <c r="N22" s="583"/>
      <c r="O22" s="583"/>
      <c r="P22" s="583"/>
      <c r="Q22" s="583"/>
      <c r="R22" s="583"/>
      <c r="S22" s="592"/>
      <c r="T22" s="460">
        <v>6</v>
      </c>
      <c r="U22" s="413" t="s">
        <v>220</v>
      </c>
      <c r="V22" s="647">
        <v>10000</v>
      </c>
      <c r="W22" s="583"/>
      <c r="X22" s="583"/>
      <c r="Y22" s="583"/>
      <c r="Z22" s="414" t="s">
        <v>406</v>
      </c>
      <c r="AA22" s="276">
        <f t="shared" si="5"/>
        <v>60000</v>
      </c>
      <c r="AB22" s="318"/>
      <c r="AC22" s="318"/>
      <c r="AD22" s="318"/>
      <c r="AE22" s="318"/>
      <c r="AF22" s="318"/>
      <c r="AG22" s="318"/>
      <c r="AH22" s="318"/>
      <c r="AI22" s="318"/>
      <c r="AJ22" s="318"/>
      <c r="AL22" s="318"/>
      <c r="AM22" s="318"/>
      <c r="AN22" s="318"/>
      <c r="AO22" s="318"/>
      <c r="AP22" s="318"/>
      <c r="AQ22" s="318"/>
      <c r="AR22" s="318"/>
      <c r="AS22" s="318"/>
      <c r="AT22" s="318"/>
      <c r="AU22" s="318"/>
      <c r="AV22" s="318"/>
      <c r="AW22" s="318"/>
    </row>
    <row r="23" spans="1:49" ht="17.25" customHeight="1">
      <c r="A23" s="321"/>
      <c r="B23" s="409"/>
      <c r="C23" s="574"/>
      <c r="D23" s="576"/>
      <c r="E23" s="621" t="s">
        <v>408</v>
      </c>
      <c r="F23" s="583"/>
      <c r="G23" s="583"/>
      <c r="H23" s="583"/>
      <c r="I23" s="639" t="s">
        <v>502</v>
      </c>
      <c r="J23" s="583"/>
      <c r="K23" s="597"/>
      <c r="L23" s="591" t="s">
        <v>409</v>
      </c>
      <c r="M23" s="583"/>
      <c r="N23" s="583"/>
      <c r="O23" s="583"/>
      <c r="P23" s="583"/>
      <c r="Q23" s="583"/>
      <c r="R23" s="583"/>
      <c r="S23" s="592"/>
      <c r="T23" s="274">
        <v>0</v>
      </c>
      <c r="U23" s="413" t="s">
        <v>220</v>
      </c>
      <c r="V23" s="647">
        <v>10000</v>
      </c>
      <c r="W23" s="583"/>
      <c r="X23" s="583"/>
      <c r="Y23" s="583"/>
      <c r="Z23" s="414" t="s">
        <v>406</v>
      </c>
      <c r="AA23" s="276">
        <f t="shared" si="5"/>
        <v>0</v>
      </c>
      <c r="AB23" s="318"/>
      <c r="AC23" s="318"/>
      <c r="AD23" s="318"/>
      <c r="AE23" s="318"/>
      <c r="AF23" s="318"/>
      <c r="AG23" s="318"/>
      <c r="AH23" s="318"/>
      <c r="AI23" s="318"/>
      <c r="AJ23" s="318"/>
      <c r="AL23" s="318"/>
      <c r="AM23" s="318"/>
      <c r="AN23" s="318"/>
      <c r="AO23" s="318"/>
      <c r="AP23" s="318"/>
      <c r="AQ23" s="318"/>
      <c r="AR23" s="318"/>
      <c r="AS23" s="318"/>
      <c r="AT23" s="318"/>
      <c r="AU23" s="318"/>
      <c r="AV23" s="318"/>
      <c r="AW23" s="318"/>
    </row>
    <row r="24" spans="1:49" ht="17.25" customHeight="1">
      <c r="A24" s="321"/>
      <c r="B24" s="409"/>
      <c r="C24" s="574"/>
      <c r="D24" s="576"/>
      <c r="E24" s="621" t="s">
        <v>373</v>
      </c>
      <c r="F24" s="583"/>
      <c r="G24" s="583"/>
      <c r="H24" s="583"/>
      <c r="I24" s="415">
        <f>(AA20+AA26)/1000</f>
        <v>1600</v>
      </c>
      <c r="J24" s="416" t="s">
        <v>410</v>
      </c>
      <c r="K24" s="417"/>
      <c r="L24" s="591" t="s">
        <v>375</v>
      </c>
      <c r="M24" s="583"/>
      <c r="N24" s="583"/>
      <c r="O24" s="583"/>
      <c r="P24" s="583"/>
      <c r="Q24" s="583"/>
      <c r="R24" s="583"/>
      <c r="S24" s="592"/>
      <c r="T24" s="274">
        <v>0</v>
      </c>
      <c r="U24" s="413" t="s">
        <v>220</v>
      </c>
      <c r="V24" s="647">
        <v>10000</v>
      </c>
      <c r="W24" s="583"/>
      <c r="X24" s="583"/>
      <c r="Y24" s="583"/>
      <c r="Z24" s="414" t="s">
        <v>406</v>
      </c>
      <c r="AA24" s="276">
        <f t="shared" si="5"/>
        <v>0</v>
      </c>
      <c r="AB24" s="318"/>
      <c r="AC24" s="318"/>
      <c r="AD24" s="318"/>
      <c r="AE24" s="318"/>
      <c r="AF24" s="318"/>
      <c r="AG24" s="318"/>
      <c r="AH24" s="318"/>
      <c r="AI24" s="318"/>
      <c r="AJ24" s="318"/>
      <c r="AL24" s="318"/>
      <c r="AM24" s="318"/>
      <c r="AN24" s="318"/>
      <c r="AO24" s="318"/>
      <c r="AP24" s="318"/>
      <c r="AQ24" s="318"/>
      <c r="AR24" s="318"/>
      <c r="AS24" s="318"/>
      <c r="AT24" s="318"/>
      <c r="AU24" s="318"/>
      <c r="AV24" s="318"/>
      <c r="AW24" s="318"/>
    </row>
    <row r="25" spans="1:49" ht="17.25" customHeight="1">
      <c r="A25" s="321"/>
      <c r="B25" s="409"/>
      <c r="C25" s="574"/>
      <c r="D25" s="576"/>
      <c r="E25" s="623" t="s">
        <v>376</v>
      </c>
      <c r="F25" s="594"/>
      <c r="G25" s="594"/>
      <c r="H25" s="596"/>
      <c r="I25" s="418">
        <v>110</v>
      </c>
      <c r="J25" s="419" t="s">
        <v>410</v>
      </c>
      <c r="K25" s="420"/>
      <c r="L25" s="593" t="s">
        <v>411</v>
      </c>
      <c r="M25" s="594"/>
      <c r="N25" s="594"/>
      <c r="O25" s="594"/>
      <c r="P25" s="594"/>
      <c r="Q25" s="594"/>
      <c r="R25" s="594"/>
      <c r="S25" s="594"/>
      <c r="T25" s="281">
        <v>1</v>
      </c>
      <c r="U25" s="413" t="s">
        <v>220</v>
      </c>
      <c r="V25" s="645">
        <v>50000</v>
      </c>
      <c r="W25" s="594"/>
      <c r="X25" s="594"/>
      <c r="Y25" s="594"/>
      <c r="Z25" s="414" t="s">
        <v>406</v>
      </c>
      <c r="AA25" s="276">
        <f t="shared" si="5"/>
        <v>50000</v>
      </c>
      <c r="AB25" s="318"/>
      <c r="AC25" s="318"/>
      <c r="AD25" s="318"/>
      <c r="AE25" s="318"/>
      <c r="AF25" s="318"/>
      <c r="AG25" s="318"/>
      <c r="AH25" s="318"/>
      <c r="AI25" s="318"/>
      <c r="AJ25" s="318"/>
      <c r="AL25" s="318"/>
      <c r="AM25" s="318"/>
      <c r="AN25" s="318"/>
      <c r="AO25" s="318"/>
      <c r="AP25" s="318"/>
      <c r="AQ25" s="318"/>
      <c r="AR25" s="318"/>
      <c r="AS25" s="318"/>
      <c r="AT25" s="318"/>
      <c r="AU25" s="318"/>
      <c r="AV25" s="318"/>
      <c r="AW25" s="318"/>
    </row>
    <row r="26" spans="1:49" ht="17.25" customHeight="1">
      <c r="A26" s="321"/>
      <c r="B26" s="421"/>
      <c r="C26" s="577"/>
      <c r="D26" s="579"/>
      <c r="E26" s="422" t="s">
        <v>412</v>
      </c>
      <c r="F26" s="423"/>
      <c r="G26" s="423"/>
      <c r="H26" s="423"/>
      <c r="I26" s="424" t="s">
        <v>413</v>
      </c>
      <c r="J26" s="425" t="str">
        <f>HYPERLINK("http://www.arosbb.dk/","www.arosbb.dk")</f>
        <v>www.arosbb.dk</v>
      </c>
      <c r="K26" s="423"/>
      <c r="L26" s="644"/>
      <c r="M26" s="587"/>
      <c r="N26" s="587"/>
      <c r="O26" s="587"/>
      <c r="P26" s="587"/>
      <c r="Q26" s="587"/>
      <c r="R26" s="587"/>
      <c r="S26" s="587"/>
      <c r="T26" s="426"/>
      <c r="U26" s="403"/>
      <c r="V26" s="427"/>
      <c r="W26" s="646" t="s">
        <v>379</v>
      </c>
      <c r="X26" s="587"/>
      <c r="Y26" s="587"/>
      <c r="Z26" s="588"/>
      <c r="AA26" s="270">
        <f>SUM(AA21:AA25)</f>
        <v>320000</v>
      </c>
      <c r="AB26" s="318"/>
      <c r="AC26" s="318"/>
      <c r="AD26" s="318"/>
      <c r="AE26" s="318"/>
      <c r="AF26" s="318"/>
      <c r="AG26" s="318"/>
      <c r="AH26" s="318"/>
      <c r="AI26" s="318"/>
      <c r="AJ26" s="318"/>
      <c r="AL26" s="318"/>
      <c r="AM26" s="318"/>
      <c r="AN26" s="318"/>
      <c r="AO26" s="318"/>
      <c r="AP26" s="318"/>
      <c r="AQ26" s="318"/>
      <c r="AR26" s="318"/>
      <c r="AS26" s="318"/>
      <c r="AT26" s="318"/>
      <c r="AU26" s="318"/>
      <c r="AV26" s="318"/>
      <c r="AW26" s="318"/>
    </row>
    <row r="27" spans="1:49" ht="17.25" customHeight="1">
      <c r="A27" s="318"/>
      <c r="B27" s="140"/>
      <c r="C27" s="286"/>
      <c r="D27" s="286"/>
      <c r="E27" s="428"/>
      <c r="F27" s="136"/>
      <c r="G27" s="136"/>
      <c r="H27" s="136"/>
      <c r="I27" s="429"/>
      <c r="J27" s="430"/>
      <c r="K27" s="136"/>
      <c r="L27" s="290"/>
      <c r="M27" s="290"/>
      <c r="N27" s="290"/>
      <c r="O27" s="290"/>
      <c r="P27" s="290"/>
      <c r="Q27" s="290"/>
      <c r="R27" s="290"/>
      <c r="S27" s="290"/>
      <c r="T27" s="291"/>
      <c r="U27" s="292"/>
      <c r="V27" s="143"/>
      <c r="W27" s="293"/>
      <c r="X27" s="293"/>
      <c r="Y27" s="293"/>
      <c r="Z27" s="293"/>
      <c r="AA27" s="294"/>
      <c r="AB27" s="318"/>
      <c r="AC27" s="318"/>
      <c r="AD27" s="318"/>
      <c r="AE27" s="318"/>
      <c r="AF27" s="318"/>
      <c r="AG27" s="318"/>
      <c r="AH27" s="318"/>
      <c r="AI27" s="318"/>
      <c r="AJ27" s="318"/>
      <c r="AL27" s="318"/>
      <c r="AM27" s="318"/>
      <c r="AN27" s="318"/>
      <c r="AO27" s="318"/>
      <c r="AP27" s="318"/>
      <c r="AQ27" s="318"/>
      <c r="AR27" s="318"/>
      <c r="AS27" s="318"/>
      <c r="AT27" s="318"/>
      <c r="AU27" s="318"/>
      <c r="AV27" s="318"/>
      <c r="AW27" s="318"/>
    </row>
    <row r="28" spans="1:49" ht="17.25" hidden="1" customHeight="1">
      <c r="A28" s="431"/>
      <c r="B28" s="296"/>
      <c r="C28" s="432">
        <f>MATCH(I22,'Development-Hidden'!A2:A118,0)</f>
        <v>5</v>
      </c>
      <c r="D28" s="432" t="str">
        <f t="array" ref="D28">IFERROR(IF(INDEX('Development-Hidden'!$A$2:$B$118,$C28,1)=$I$22,INDEX('Development-Hidden'!$A$2:$B$118,$C28,2),""),"")</f>
        <v>Lineman</v>
      </c>
      <c r="E28" s="433"/>
      <c r="F28" s="433"/>
      <c r="G28" s="433"/>
      <c r="H28" s="433"/>
      <c r="I28" s="433"/>
      <c r="J28" s="434"/>
      <c r="K28" s="295"/>
      <c r="L28" s="300"/>
      <c r="M28" s="300"/>
      <c r="N28" s="300"/>
      <c r="O28" s="300"/>
      <c r="P28" s="300"/>
      <c r="Q28" s="300"/>
      <c r="R28" s="300"/>
      <c r="S28" s="300"/>
      <c r="T28" s="301"/>
      <c r="U28" s="302"/>
      <c r="V28" s="301"/>
      <c r="W28" s="303"/>
      <c r="X28" s="303"/>
      <c r="Y28" s="303"/>
      <c r="Z28" s="303"/>
      <c r="AA28" s="433"/>
      <c r="AB28" s="431"/>
      <c r="AC28" s="431"/>
      <c r="AD28" s="431"/>
      <c r="AE28" s="431"/>
      <c r="AF28" s="431"/>
      <c r="AG28" s="431"/>
      <c r="AH28" s="431"/>
      <c r="AI28" s="431"/>
      <c r="AJ28" s="431"/>
      <c r="AL28" s="431"/>
      <c r="AM28" s="431"/>
      <c r="AN28" s="431"/>
      <c r="AO28" s="431"/>
      <c r="AP28" s="431"/>
      <c r="AQ28" s="431"/>
      <c r="AR28" s="431"/>
      <c r="AS28" s="431"/>
      <c r="AT28" s="431"/>
      <c r="AU28" s="431"/>
      <c r="AV28" s="431"/>
      <c r="AW28" s="431"/>
    </row>
    <row r="29" spans="1:49" ht="17.25" hidden="1" customHeight="1">
      <c r="A29" s="431"/>
      <c r="B29" s="296"/>
      <c r="C29" s="432">
        <f t="shared" ref="C29:C37" si="6">C28+1</f>
        <v>6</v>
      </c>
      <c r="D29" s="432" t="str">
        <f t="array" ref="D29">IFERROR(IF(INDEX('Development-Hidden'!$A$2:$B$118,$C29,1)=$I$22,INDEX('Development-Hidden'!$A$2:$B$118,$C29,2),""),"")</f>
        <v>Yeoman</v>
      </c>
      <c r="E29" s="433"/>
      <c r="F29" s="433"/>
      <c r="G29" s="433"/>
      <c r="H29" s="433"/>
      <c r="I29" s="433"/>
      <c r="J29" s="434"/>
      <c r="K29" s="295"/>
      <c r="L29" s="300"/>
      <c r="M29" s="300"/>
      <c r="N29" s="300"/>
      <c r="O29" s="300"/>
      <c r="P29" s="300"/>
      <c r="Q29" s="300"/>
      <c r="R29" s="300"/>
      <c r="S29" s="300"/>
      <c r="T29" s="301"/>
      <c r="U29" s="302"/>
      <c r="V29" s="301"/>
      <c r="W29" s="303"/>
      <c r="X29" s="303"/>
      <c r="Y29" s="303"/>
      <c r="Z29" s="303"/>
      <c r="AA29" s="433"/>
      <c r="AB29" s="431"/>
      <c r="AC29" s="431"/>
      <c r="AD29" s="431"/>
      <c r="AE29" s="431"/>
      <c r="AF29" s="431"/>
      <c r="AG29" s="431"/>
      <c r="AH29" s="431"/>
      <c r="AI29" s="431"/>
      <c r="AJ29" s="431"/>
      <c r="AL29" s="431"/>
      <c r="AM29" s="431"/>
      <c r="AN29" s="431"/>
      <c r="AO29" s="431"/>
      <c r="AP29" s="431"/>
      <c r="AQ29" s="431"/>
      <c r="AR29" s="431"/>
      <c r="AS29" s="431"/>
      <c r="AT29" s="431"/>
      <c r="AU29" s="431"/>
      <c r="AV29" s="431"/>
      <c r="AW29" s="431"/>
    </row>
    <row r="30" spans="1:49" ht="17.25" hidden="1" customHeight="1">
      <c r="A30" s="431"/>
      <c r="B30" s="296"/>
      <c r="C30" s="432">
        <f t="shared" si="6"/>
        <v>7</v>
      </c>
      <c r="D30" s="432" t="str">
        <f t="array" ref="D30">IFERROR(IF(INDEX('Development-Hidden'!$A$2:$B$118,$C30,1)=$I$22,INDEX('Development-Hidden'!$A$2:$B$118,$C30,2),""),"")</f>
        <v>Blitzer</v>
      </c>
      <c r="E30" s="433"/>
      <c r="F30" s="433"/>
      <c r="G30" s="433"/>
      <c r="H30" s="433"/>
      <c r="I30" s="433"/>
      <c r="J30" s="434"/>
      <c r="K30" s="295"/>
      <c r="L30" s="300"/>
      <c r="M30" s="300"/>
      <c r="N30" s="300"/>
      <c r="O30" s="300"/>
      <c r="P30" s="300"/>
      <c r="Q30" s="300"/>
      <c r="R30" s="300"/>
      <c r="S30" s="300"/>
      <c r="T30" s="301"/>
      <c r="U30" s="302"/>
      <c r="V30" s="301"/>
      <c r="W30" s="303"/>
      <c r="X30" s="303"/>
      <c r="Y30" s="303"/>
      <c r="Z30" s="303"/>
      <c r="AA30" s="433"/>
      <c r="AB30" s="431"/>
      <c r="AC30" s="431"/>
      <c r="AD30" s="431"/>
      <c r="AE30" s="431"/>
      <c r="AF30" s="431"/>
      <c r="AG30" s="431"/>
      <c r="AH30" s="431"/>
      <c r="AI30" s="431"/>
      <c r="AJ30" s="431"/>
      <c r="AL30" s="431"/>
      <c r="AM30" s="431"/>
      <c r="AN30" s="431"/>
      <c r="AO30" s="431"/>
      <c r="AP30" s="431"/>
      <c r="AQ30" s="431"/>
      <c r="AR30" s="431"/>
      <c r="AS30" s="431"/>
      <c r="AT30" s="431"/>
      <c r="AU30" s="431"/>
      <c r="AV30" s="431"/>
      <c r="AW30" s="431"/>
    </row>
    <row r="31" spans="1:49" ht="17.25" hidden="1" customHeight="1">
      <c r="A31" s="431"/>
      <c r="B31" s="296"/>
      <c r="C31" s="432">
        <f t="shared" si="6"/>
        <v>8</v>
      </c>
      <c r="D31" s="432" t="str">
        <f t="array" ref="D31">IFERROR(IF(INDEX('Development-Hidden'!$A$2:$B$118,$C31,1)=$I$22,INDEX('Development-Hidden'!$A$2:$B$118,$C31,2),""),"")</f>
        <v/>
      </c>
      <c r="E31" s="433"/>
      <c r="F31" s="433"/>
      <c r="G31" s="433"/>
      <c r="H31" s="433"/>
      <c r="I31" s="433"/>
      <c r="J31" s="434"/>
      <c r="K31" s="295"/>
      <c r="L31" s="300"/>
      <c r="M31" s="300"/>
      <c r="N31" s="300"/>
      <c r="O31" s="300"/>
      <c r="P31" s="300"/>
      <c r="Q31" s="300"/>
      <c r="R31" s="300"/>
      <c r="S31" s="300"/>
      <c r="T31" s="301"/>
      <c r="U31" s="302"/>
      <c r="V31" s="301"/>
      <c r="W31" s="303"/>
      <c r="X31" s="303"/>
      <c r="Y31" s="303"/>
      <c r="Z31" s="303"/>
      <c r="AA31" s="433"/>
      <c r="AB31" s="431"/>
      <c r="AC31" s="431"/>
      <c r="AD31" s="431"/>
      <c r="AE31" s="431"/>
      <c r="AF31" s="431"/>
      <c r="AG31" s="431"/>
      <c r="AH31" s="431"/>
      <c r="AI31" s="431"/>
      <c r="AJ31" s="431"/>
      <c r="AL31" s="431"/>
      <c r="AM31" s="431"/>
      <c r="AN31" s="431"/>
      <c r="AO31" s="431"/>
      <c r="AP31" s="431"/>
      <c r="AQ31" s="431"/>
      <c r="AR31" s="431"/>
      <c r="AS31" s="431"/>
      <c r="AT31" s="431"/>
      <c r="AU31" s="431"/>
      <c r="AV31" s="431"/>
      <c r="AW31" s="431"/>
    </row>
    <row r="32" spans="1:49" ht="17.25" hidden="1" customHeight="1">
      <c r="A32" s="431"/>
      <c r="B32" s="296"/>
      <c r="C32" s="432">
        <f t="shared" si="6"/>
        <v>9</v>
      </c>
      <c r="D32" s="432" t="str">
        <f t="array" ref="D32">IFERROR(IF(INDEX('Development-Hidden'!$A$2:$B$118,$C32,1)=$I$22,INDEX('Development-Hidden'!$A$2:$B$118,$C32,2),""),"")</f>
        <v/>
      </c>
      <c r="E32" s="433"/>
      <c r="F32" s="433"/>
      <c r="G32" s="433"/>
      <c r="H32" s="433"/>
      <c r="I32" s="433"/>
      <c r="J32" s="434"/>
      <c r="K32" s="295"/>
      <c r="L32" s="300"/>
      <c r="M32" s="300"/>
      <c r="N32" s="300"/>
      <c r="O32" s="300"/>
      <c r="P32" s="300"/>
      <c r="Q32" s="300"/>
      <c r="R32" s="300"/>
      <c r="S32" s="300"/>
      <c r="T32" s="301"/>
      <c r="U32" s="302"/>
      <c r="V32" s="301"/>
      <c r="W32" s="303"/>
      <c r="X32" s="303"/>
      <c r="Y32" s="303"/>
      <c r="Z32" s="303"/>
      <c r="AA32" s="433"/>
      <c r="AB32" s="431"/>
      <c r="AC32" s="431"/>
      <c r="AD32" s="431"/>
      <c r="AE32" s="431"/>
      <c r="AF32" s="431"/>
      <c r="AG32" s="431"/>
      <c r="AH32" s="431"/>
      <c r="AI32" s="431"/>
      <c r="AJ32" s="431"/>
      <c r="AL32" s="431"/>
      <c r="AM32" s="431"/>
      <c r="AN32" s="431"/>
      <c r="AO32" s="431"/>
      <c r="AP32" s="431"/>
      <c r="AQ32" s="431"/>
      <c r="AR32" s="431"/>
      <c r="AS32" s="431"/>
      <c r="AT32" s="431"/>
      <c r="AU32" s="431"/>
      <c r="AV32" s="431"/>
      <c r="AW32" s="431"/>
    </row>
    <row r="33" spans="1:49" ht="17.25" hidden="1" customHeight="1">
      <c r="A33" s="431"/>
      <c r="B33" s="296"/>
      <c r="C33" s="432">
        <f t="shared" si="6"/>
        <v>10</v>
      </c>
      <c r="D33" s="432" t="str">
        <f t="array" ref="D33">IFERROR(IF(INDEX('Development-Hidden'!$A$2:$B$118,$C33,1)=$I$22,INDEX('Development-Hidden'!$A$2:$B$118,$C33,2),""),"")</f>
        <v/>
      </c>
      <c r="E33" s="433"/>
      <c r="F33" s="433"/>
      <c r="G33" s="433"/>
      <c r="H33" s="433"/>
      <c r="I33" s="433"/>
      <c r="J33" s="434"/>
      <c r="K33" s="295"/>
      <c r="L33" s="300"/>
      <c r="M33" s="300"/>
      <c r="N33" s="300"/>
      <c r="O33" s="300"/>
      <c r="P33" s="300"/>
      <c r="Q33" s="300"/>
      <c r="R33" s="300"/>
      <c r="S33" s="300"/>
      <c r="T33" s="301"/>
      <c r="U33" s="302"/>
      <c r="V33" s="301"/>
      <c r="W33" s="303"/>
      <c r="X33" s="303"/>
      <c r="Y33" s="303"/>
      <c r="Z33" s="303"/>
      <c r="AA33" s="433"/>
      <c r="AB33" s="431"/>
      <c r="AC33" s="431"/>
      <c r="AD33" s="431"/>
      <c r="AE33" s="431"/>
      <c r="AF33" s="431"/>
      <c r="AG33" s="431"/>
      <c r="AH33" s="431"/>
      <c r="AI33" s="431"/>
      <c r="AJ33" s="431"/>
      <c r="AL33" s="431"/>
      <c r="AM33" s="431"/>
      <c r="AN33" s="431"/>
      <c r="AO33" s="431"/>
      <c r="AP33" s="431"/>
      <c r="AQ33" s="431"/>
      <c r="AR33" s="431"/>
      <c r="AS33" s="431"/>
      <c r="AT33" s="431"/>
      <c r="AU33" s="431"/>
      <c r="AV33" s="431"/>
      <c r="AW33" s="431"/>
    </row>
    <row r="34" spans="1:49" ht="17.25" hidden="1" customHeight="1">
      <c r="A34" s="431"/>
      <c r="B34" s="296"/>
      <c r="C34" s="432">
        <f t="shared" si="6"/>
        <v>11</v>
      </c>
      <c r="D34" s="432" t="str">
        <f t="array" ref="D34">IFERROR(IF(INDEX('Development-Hidden'!$A$2:$B$118,$C34,1)=$I$22,INDEX('Development-Hidden'!$A$2:$B$118,$C34,2),""),"")</f>
        <v/>
      </c>
      <c r="E34" s="433"/>
      <c r="F34" s="433"/>
      <c r="G34" s="433"/>
      <c r="H34" s="433"/>
      <c r="I34" s="433"/>
      <c r="J34" s="434"/>
      <c r="K34" s="295"/>
      <c r="L34" s="300"/>
      <c r="M34" s="300"/>
      <c r="N34" s="300"/>
      <c r="O34" s="300"/>
      <c r="P34" s="300"/>
      <c r="Q34" s="300"/>
      <c r="R34" s="300"/>
      <c r="S34" s="300"/>
      <c r="T34" s="301"/>
      <c r="U34" s="302"/>
      <c r="V34" s="301"/>
      <c r="W34" s="303"/>
      <c r="X34" s="303"/>
      <c r="Y34" s="303"/>
      <c r="Z34" s="303"/>
      <c r="AA34" s="433"/>
      <c r="AB34" s="431"/>
      <c r="AC34" s="431"/>
      <c r="AD34" s="431"/>
      <c r="AE34" s="431"/>
      <c r="AF34" s="431"/>
      <c r="AG34" s="431"/>
      <c r="AH34" s="431"/>
      <c r="AI34" s="431"/>
      <c r="AJ34" s="431"/>
      <c r="AL34" s="431"/>
      <c r="AM34" s="431"/>
      <c r="AN34" s="431"/>
      <c r="AO34" s="431"/>
      <c r="AP34" s="431"/>
      <c r="AQ34" s="431"/>
      <c r="AR34" s="431"/>
      <c r="AS34" s="431"/>
      <c r="AT34" s="431"/>
      <c r="AU34" s="431"/>
      <c r="AV34" s="431"/>
      <c r="AW34" s="431"/>
    </row>
    <row r="35" spans="1:49" ht="17.25" hidden="1" customHeight="1">
      <c r="A35" s="431"/>
      <c r="B35" s="296"/>
      <c r="C35" s="432">
        <f t="shared" si="6"/>
        <v>12</v>
      </c>
      <c r="D35" s="432" t="str">
        <f t="array" ref="D35">IFERROR(IF(INDEX('Development-Hidden'!$A$2:$B$118,$C35,1)=$I$22,INDEX('Development-Hidden'!$A$2:$B$118,$C35,2),""),"")</f>
        <v/>
      </c>
      <c r="E35" s="433"/>
      <c r="F35" s="433"/>
      <c r="G35" s="433"/>
      <c r="H35" s="433"/>
      <c r="I35" s="433"/>
      <c r="J35" s="434"/>
      <c r="K35" s="295"/>
      <c r="L35" s="300"/>
      <c r="M35" s="300"/>
      <c r="N35" s="300"/>
      <c r="O35" s="300"/>
      <c r="P35" s="300"/>
      <c r="Q35" s="300"/>
      <c r="R35" s="300"/>
      <c r="S35" s="300"/>
      <c r="T35" s="301"/>
      <c r="U35" s="302"/>
      <c r="V35" s="301"/>
      <c r="W35" s="303"/>
      <c r="X35" s="303"/>
      <c r="Y35" s="303"/>
      <c r="Z35" s="303"/>
      <c r="AA35" s="433"/>
      <c r="AB35" s="431"/>
      <c r="AC35" s="431"/>
      <c r="AD35" s="431"/>
      <c r="AE35" s="431"/>
      <c r="AF35" s="431"/>
      <c r="AG35" s="431"/>
      <c r="AH35" s="431"/>
      <c r="AI35" s="431"/>
      <c r="AJ35" s="431"/>
      <c r="AL35" s="431"/>
      <c r="AM35" s="431"/>
      <c r="AN35" s="431"/>
      <c r="AO35" s="431"/>
      <c r="AP35" s="431"/>
      <c r="AQ35" s="431"/>
      <c r="AR35" s="431"/>
      <c r="AS35" s="431"/>
      <c r="AT35" s="431"/>
      <c r="AU35" s="431"/>
      <c r="AV35" s="431"/>
      <c r="AW35" s="431"/>
    </row>
    <row r="36" spans="1:49" ht="17.25" hidden="1" customHeight="1">
      <c r="A36" s="431"/>
      <c r="B36" s="296"/>
      <c r="C36" s="432">
        <f t="shared" si="6"/>
        <v>13</v>
      </c>
      <c r="D36" s="432" t="str">
        <f t="array" ref="D36">IFERROR(IF(INDEX('Development-Hidden'!$A$2:$B$118,$C36,1)=$I$22,INDEX('Development-Hidden'!$A$2:$B$118,$C36,2),""),"")</f>
        <v/>
      </c>
      <c r="E36" s="433"/>
      <c r="F36" s="433"/>
      <c r="G36" s="433"/>
      <c r="H36" s="433"/>
      <c r="I36" s="433"/>
      <c r="J36" s="434"/>
      <c r="K36" s="295"/>
      <c r="L36" s="300"/>
      <c r="M36" s="300"/>
      <c r="N36" s="300"/>
      <c r="O36" s="300"/>
      <c r="P36" s="300"/>
      <c r="Q36" s="300"/>
      <c r="R36" s="300"/>
      <c r="S36" s="300"/>
      <c r="T36" s="301"/>
      <c r="U36" s="302"/>
      <c r="V36" s="301"/>
      <c r="W36" s="303"/>
      <c r="X36" s="303"/>
      <c r="Y36" s="303"/>
      <c r="Z36" s="303"/>
      <c r="AA36" s="433"/>
      <c r="AB36" s="431"/>
      <c r="AC36" s="431"/>
      <c r="AD36" s="431"/>
      <c r="AE36" s="431"/>
      <c r="AF36" s="431"/>
      <c r="AG36" s="431"/>
      <c r="AH36" s="431"/>
      <c r="AI36" s="431"/>
      <c r="AJ36" s="431"/>
      <c r="AL36" s="431"/>
      <c r="AM36" s="431"/>
      <c r="AN36" s="431"/>
      <c r="AO36" s="431"/>
      <c r="AP36" s="431"/>
      <c r="AQ36" s="431"/>
      <c r="AR36" s="431"/>
      <c r="AS36" s="431"/>
      <c r="AT36" s="431"/>
      <c r="AU36" s="431"/>
      <c r="AV36" s="431"/>
      <c r="AW36" s="431"/>
    </row>
    <row r="37" spans="1:49" ht="17.25" hidden="1" customHeight="1">
      <c r="A37" s="431"/>
      <c r="B37" s="296"/>
      <c r="C37" s="432">
        <f t="shared" si="6"/>
        <v>14</v>
      </c>
      <c r="D37" s="432" t="str">
        <f t="array" ref="D37">IFERROR(IF(INDEX('Development-Hidden'!$A$2:$B$118,$C37,1)=$I$22,INDEX('Development-Hidden'!$A$2:$B$118,$C37,2),""),"")</f>
        <v/>
      </c>
      <c r="E37" s="433"/>
      <c r="F37" s="433"/>
      <c r="G37" s="433"/>
      <c r="H37" s="433"/>
      <c r="I37" s="433"/>
      <c r="J37" s="434"/>
      <c r="K37" s="295"/>
      <c r="L37" s="300"/>
      <c r="M37" s="300"/>
      <c r="N37" s="300"/>
      <c r="O37" s="300"/>
      <c r="P37" s="300"/>
      <c r="Q37" s="300"/>
      <c r="R37" s="300"/>
      <c r="S37" s="300"/>
      <c r="T37" s="301"/>
      <c r="U37" s="302"/>
      <c r="V37" s="301"/>
      <c r="W37" s="303"/>
      <c r="X37" s="303"/>
      <c r="Y37" s="303"/>
      <c r="Z37" s="303"/>
      <c r="AA37" s="433"/>
      <c r="AB37" s="431"/>
      <c r="AC37" s="431"/>
      <c r="AD37" s="431"/>
      <c r="AE37" s="431"/>
      <c r="AF37" s="431"/>
      <c r="AG37" s="431"/>
      <c r="AH37" s="431"/>
      <c r="AI37" s="431"/>
      <c r="AJ37" s="431"/>
      <c r="AL37" s="431"/>
      <c r="AM37" s="431"/>
      <c r="AN37" s="431"/>
      <c r="AO37" s="431"/>
      <c r="AP37" s="431"/>
      <c r="AQ37" s="431"/>
      <c r="AR37" s="431"/>
      <c r="AS37" s="431"/>
      <c r="AT37" s="431"/>
      <c r="AU37" s="431"/>
      <c r="AV37" s="431"/>
      <c r="AW37" s="431"/>
    </row>
  </sheetData>
  <mergeCells count="28">
    <mergeCell ref="AM3:AN3"/>
    <mergeCell ref="AR3:AU3"/>
    <mergeCell ref="P2:S2"/>
    <mergeCell ref="V21:Y21"/>
    <mergeCell ref="Y20:Z20"/>
    <mergeCell ref="W26:Z26"/>
    <mergeCell ref="L26:S26"/>
    <mergeCell ref="L21:S21"/>
    <mergeCell ref="L22:S22"/>
    <mergeCell ref="I21:K21"/>
    <mergeCell ref="V22:Y22"/>
    <mergeCell ref="L25:S25"/>
    <mergeCell ref="I22:K22"/>
    <mergeCell ref="V24:Y24"/>
    <mergeCell ref="L24:S24"/>
    <mergeCell ref="V23:Y23"/>
    <mergeCell ref="L23:S23"/>
    <mergeCell ref="I23:K23"/>
    <mergeCell ref="V25:Y25"/>
    <mergeCell ref="E21:H21"/>
    <mergeCell ref="J20:K20"/>
    <mergeCell ref="E20:F20"/>
    <mergeCell ref="C20:D26"/>
    <mergeCell ref="G20:H20"/>
    <mergeCell ref="E25:H25"/>
    <mergeCell ref="E24:H24"/>
    <mergeCell ref="E22:H22"/>
    <mergeCell ref="E23:H23"/>
  </mergeCells>
  <conditionalFormatting sqref="AA4:AA19">
    <cfRule type="cellIs" dxfId="314" priority="1" operator="equal">
      <formula>0</formula>
    </cfRule>
  </conditionalFormatting>
  <conditionalFormatting sqref="J4">
    <cfRule type="expression" dxfId="313" priority="2">
      <formula>K4&lt;&gt;SUM(AD4:AI4)</formula>
    </cfRule>
  </conditionalFormatting>
  <conditionalFormatting sqref="I4:I19">
    <cfRule type="cellIs" dxfId="312" priority="3" stopIfTrue="1" operator="equal">
      <formula>"Player type quantity surpassed"</formula>
    </cfRule>
  </conditionalFormatting>
  <conditionalFormatting sqref="J5">
    <cfRule type="expression" dxfId="311" priority="4">
      <formula>K5&lt;&gt;SUM(AD5:AI5)</formula>
    </cfRule>
  </conditionalFormatting>
  <conditionalFormatting sqref="J6">
    <cfRule type="expression" dxfId="310" priority="5">
      <formula>K6&lt;&gt;SUM(AD6:AI6)</formula>
    </cfRule>
  </conditionalFormatting>
  <conditionalFormatting sqref="J7">
    <cfRule type="expression" dxfId="309" priority="6">
      <formula>K7&lt;&gt;SUM(AD7:AI7)</formula>
    </cfRule>
  </conditionalFormatting>
  <conditionalFormatting sqref="J8">
    <cfRule type="expression" dxfId="308" priority="7">
      <formula>K8&lt;&gt;SUM(AD8:AI8)</formula>
    </cfRule>
  </conditionalFormatting>
  <conditionalFormatting sqref="J9">
    <cfRule type="expression" dxfId="307" priority="8">
      <formula>K9&lt;&gt;SUM(AD9:AI9)</formula>
    </cfRule>
  </conditionalFormatting>
  <conditionalFormatting sqref="J10">
    <cfRule type="expression" dxfId="306" priority="9">
      <formula>K10&lt;&gt;SUM(AD10:AI10)</formula>
    </cfRule>
  </conditionalFormatting>
  <conditionalFormatting sqref="J11">
    <cfRule type="expression" dxfId="305" priority="10">
      <formula>K11&lt;&gt;SUM(AD11:AI11)</formula>
    </cfRule>
  </conditionalFormatting>
  <conditionalFormatting sqref="J12">
    <cfRule type="expression" dxfId="304" priority="11">
      <formula>K12&lt;&gt;SUM(AD12:AI12)</formula>
    </cfRule>
  </conditionalFormatting>
  <conditionalFormatting sqref="J13">
    <cfRule type="expression" dxfId="303" priority="12">
      <formula>K13&lt;&gt;SUM(AD13:AI13)</formula>
    </cfRule>
  </conditionalFormatting>
  <conditionalFormatting sqref="J14">
    <cfRule type="expression" dxfId="302" priority="13">
      <formula>K14&lt;&gt;SUM(AD14:AI14)</formula>
    </cfRule>
  </conditionalFormatting>
  <conditionalFormatting sqref="J15">
    <cfRule type="expression" dxfId="301" priority="14">
      <formula>K15&lt;&gt;SUM(AD15:AI15)</formula>
    </cfRule>
  </conditionalFormatting>
  <conditionalFormatting sqref="J16">
    <cfRule type="expression" dxfId="300" priority="15">
      <formula>K16&lt;&gt;SUM(AD16:AI16)</formula>
    </cfRule>
  </conditionalFormatting>
  <conditionalFormatting sqref="J17">
    <cfRule type="expression" dxfId="299" priority="16">
      <formula>K17&lt;&gt;SUM(AD17:AI17)</formula>
    </cfRule>
  </conditionalFormatting>
  <conditionalFormatting sqref="J18">
    <cfRule type="expression" dxfId="298" priority="17">
      <formula>K18&lt;&gt;SUM(AD18:AI18)</formula>
    </cfRule>
  </conditionalFormatting>
  <conditionalFormatting sqref="J19">
    <cfRule type="expression" dxfId="297" priority="18">
      <formula>K19&lt;&gt;SUM(AD19:AI19)</formula>
    </cfRule>
  </conditionalFormatting>
  <conditionalFormatting sqref="E4:H19">
    <cfRule type="expression" dxfId="296" priority="19">
      <formula>AF4&gt;0</formula>
    </cfRule>
  </conditionalFormatting>
  <conditionalFormatting sqref="E4:H19">
    <cfRule type="expression" dxfId="295" priority="20">
      <formula>P4&gt;0</formula>
    </cfRule>
  </conditionalFormatting>
  <conditionalFormatting sqref="I4:I19 T4:T19 U4:U20 V4:W19 Y4:Y19 U26:U37">
    <cfRule type="cellIs" dxfId="294" priority="21" stopIfTrue="1" operator="equal">
      <formula>0</formula>
    </cfRule>
  </conditionalFormatting>
  <conditionalFormatting sqref="Y27:Y37 AA27">
    <cfRule type="cellIs" dxfId="293" priority="22" stopIfTrue="1" operator="equal">
      <formula>"0,0"</formula>
    </cfRule>
  </conditionalFormatting>
  <conditionalFormatting sqref="K4:K19">
    <cfRule type="cellIs" dxfId="292" priority="23" stopIfTrue="1" operator="equal">
      <formula>"n/a"</formula>
    </cfRule>
  </conditionalFormatting>
  <conditionalFormatting sqref="L20:T20">
    <cfRule type="cellIs" dxfId="291" priority="24" stopIfTrue="1" operator="equal">
      <formula>0</formula>
    </cfRule>
  </conditionalFormatting>
  <conditionalFormatting sqref="P4:S19">
    <cfRule type="cellIs" dxfId="290" priority="25" stopIfTrue="1" operator="lessThanOrEqual">
      <formula>-1</formula>
    </cfRule>
  </conditionalFormatting>
  <conditionalFormatting sqref="V25:W25">
    <cfRule type="cellIs" dxfId="289" priority="26" stopIfTrue="1" operator="equal">
      <formula>-500</formula>
    </cfRule>
  </conditionalFormatting>
  <conditionalFormatting sqref="T25">
    <cfRule type="cellIs" dxfId="288" priority="27" stopIfTrue="1" operator="greaterThan">
      <formula>$V$25</formula>
    </cfRule>
  </conditionalFormatting>
  <conditionalFormatting sqref="Z4:Z19">
    <cfRule type="cellIs" dxfId="287" priority="28" stopIfTrue="1" operator="equal">
      <formula>"Star"</formula>
    </cfRule>
  </conditionalFormatting>
  <conditionalFormatting sqref="Z4:Z19">
    <cfRule type="cellIs" dxfId="286" priority="29" stopIfTrue="1" operator="equal">
      <formula>AA4</formula>
    </cfRule>
  </conditionalFormatting>
  <dataValidations count="1">
    <dataValidation type="list" allowBlank="1" showErrorMessage="1" sqref="D4:D19">
      <formula1>'MQ1'!$D$28:$D$37</formula1>
    </dataValidation>
  </dataValidation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U37"/>
  <sheetViews>
    <sheetView showGridLines="0" workbookViewId="0">
      <selection activeCell="D10" sqref="D10"/>
    </sheetView>
  </sheetViews>
  <sheetFormatPr defaultColWidth="14.42578125" defaultRowHeight="15.75" customHeight="1"/>
  <cols>
    <col min="1" max="1" width="2.42578125" style="139" customWidth="1"/>
    <col min="2" max="2" width="3.140625" style="139" customWidth="1"/>
    <col min="3" max="3" width="19.28515625" style="139" customWidth="1"/>
    <col min="4" max="4" width="21.28515625" style="139" customWidth="1"/>
    <col min="5" max="8" width="3.42578125" style="139" customWidth="1"/>
    <col min="9" max="9" width="30.85546875" style="139" customWidth="1"/>
    <col min="10" max="10" width="23" style="139" customWidth="1"/>
    <col min="11" max="11" width="1.85546875" style="139" customWidth="1"/>
    <col min="12" max="15" width="2.42578125" style="139" customWidth="1"/>
    <col min="16" max="19" width="2.7109375" style="139" customWidth="1"/>
    <col min="20" max="21" width="3.28515625" style="139" customWidth="1"/>
    <col min="22" max="22" width="2.42578125" style="139" customWidth="1"/>
    <col min="23" max="23" width="3.28515625" style="139" customWidth="1"/>
    <col min="24" max="24" width="2.7109375" style="139" customWidth="1"/>
    <col min="25" max="25" width="3.28515625" style="139" customWidth="1"/>
    <col min="26" max="26" width="4.42578125" style="139" customWidth="1"/>
    <col min="27" max="27" width="10.28515625" style="139" customWidth="1"/>
    <col min="28" max="28" width="5.5703125" style="139" customWidth="1"/>
    <col min="29" max="29" width="8.85546875" style="139" customWidth="1"/>
    <col min="30" max="35" width="4.140625" style="139" customWidth="1"/>
    <col min="36" max="36" width="12.28515625" style="139" customWidth="1"/>
    <col min="37" max="37" width="6.42578125" style="139" customWidth="1"/>
    <col min="38" max="38" width="12.7109375" style="139" customWidth="1"/>
    <col min="39" max="39" width="11.42578125" style="139" customWidth="1"/>
    <col min="40" max="41" width="10.7109375" style="139" customWidth="1"/>
    <col min="42" max="42" width="26.140625" style="139" customWidth="1"/>
    <col min="43" max="44" width="10.7109375" style="139" customWidth="1"/>
    <col min="45" max="45" width="12.28515625" style="139" customWidth="1"/>
    <col min="46" max="46" width="10.7109375" style="139" customWidth="1"/>
    <col min="47" max="47" width="2.28515625" style="139" customWidth="1"/>
    <col min="48" max="16384" width="14.42578125" style="139"/>
  </cols>
  <sheetData>
    <row r="1" spans="1:47" ht="9" customHeight="1">
      <c r="A1" s="461"/>
      <c r="B1" s="137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</row>
    <row r="2" spans="1:47" ht="9.75" customHeight="1">
      <c r="A2" s="461"/>
      <c r="B2" s="140"/>
      <c r="C2" s="140"/>
      <c r="D2" s="141"/>
      <c r="E2" s="140"/>
      <c r="F2" s="140"/>
      <c r="G2" s="140"/>
      <c r="H2" s="140"/>
      <c r="I2" s="140"/>
      <c r="J2" s="140"/>
      <c r="K2" s="136"/>
      <c r="L2" s="140"/>
      <c r="M2" s="140"/>
      <c r="N2" s="140"/>
      <c r="O2" s="140"/>
      <c r="P2" s="602" t="s">
        <v>218</v>
      </c>
      <c r="Q2" s="572"/>
      <c r="R2" s="572"/>
      <c r="S2" s="573"/>
      <c r="T2" s="142"/>
      <c r="U2" s="142"/>
      <c r="V2" s="142"/>
      <c r="W2" s="142"/>
      <c r="X2" s="143"/>
      <c r="Y2" s="142"/>
      <c r="Z2" s="140"/>
      <c r="AA2" s="140"/>
      <c r="AB2" s="136"/>
      <c r="AC2" s="140"/>
      <c r="AD2" s="140"/>
      <c r="AE2" s="140"/>
      <c r="AF2" s="144"/>
      <c r="AG2" s="140"/>
      <c r="AH2" s="140"/>
      <c r="AI2" s="140"/>
      <c r="AJ2" s="140"/>
      <c r="AK2" s="136"/>
      <c r="AL2" s="145"/>
      <c r="AM2" s="145"/>
      <c r="AN2" s="145"/>
      <c r="AO2" s="145"/>
      <c r="AP2" s="145"/>
      <c r="AQ2" s="145"/>
      <c r="AR2" s="145"/>
      <c r="AS2" s="145"/>
      <c r="AT2" s="145"/>
      <c r="AU2" s="145"/>
    </row>
    <row r="3" spans="1:47" ht="8.25" customHeight="1">
      <c r="A3" s="462"/>
      <c r="B3" s="146" t="s">
        <v>203</v>
      </c>
      <c r="C3" s="147" t="s">
        <v>32</v>
      </c>
      <c r="D3" s="148" t="s">
        <v>229</v>
      </c>
      <c r="E3" s="149" t="s">
        <v>206</v>
      </c>
      <c r="F3" s="150" t="s">
        <v>207</v>
      </c>
      <c r="G3" s="151" t="s">
        <v>208</v>
      </c>
      <c r="H3" s="152" t="s">
        <v>209</v>
      </c>
      <c r="I3" s="153" t="s">
        <v>230</v>
      </c>
      <c r="J3" s="152" t="s">
        <v>231</v>
      </c>
      <c r="K3" s="154" t="s">
        <v>203</v>
      </c>
      <c r="L3" s="155" t="s">
        <v>232</v>
      </c>
      <c r="M3" s="156" t="s">
        <v>233</v>
      </c>
      <c r="N3" s="156" t="s">
        <v>234</v>
      </c>
      <c r="O3" s="157" t="s">
        <v>235</v>
      </c>
      <c r="P3" s="158" t="s">
        <v>206</v>
      </c>
      <c r="Q3" s="159" t="s">
        <v>207</v>
      </c>
      <c r="R3" s="159" t="s">
        <v>208</v>
      </c>
      <c r="S3" s="160" t="s">
        <v>209</v>
      </c>
      <c r="T3" s="161" t="s">
        <v>236</v>
      </c>
      <c r="U3" s="156" t="s">
        <v>237</v>
      </c>
      <c r="V3" s="156" t="s">
        <v>210</v>
      </c>
      <c r="W3" s="156" t="s">
        <v>240</v>
      </c>
      <c r="X3" s="162" t="s">
        <v>35</v>
      </c>
      <c r="Y3" s="157" t="s">
        <v>211</v>
      </c>
      <c r="Z3" s="153" t="s">
        <v>212</v>
      </c>
      <c r="AA3" s="163" t="s">
        <v>241</v>
      </c>
      <c r="AB3" s="136"/>
      <c r="AC3" s="146" t="s">
        <v>242</v>
      </c>
      <c r="AD3" s="153" t="s">
        <v>233</v>
      </c>
      <c r="AE3" s="150" t="s">
        <v>243</v>
      </c>
      <c r="AF3" s="164" t="str">
        <f>"+MA"</f>
        <v>+MA</v>
      </c>
      <c r="AG3" s="150" t="str">
        <f>"+ST"</f>
        <v>+ST</v>
      </c>
      <c r="AH3" s="150" t="str">
        <f>"+AG"</f>
        <v>+AG</v>
      </c>
      <c r="AI3" s="150" t="str">
        <f>"+AV"</f>
        <v>+AV</v>
      </c>
      <c r="AJ3" s="163" t="s">
        <v>244</v>
      </c>
      <c r="AK3" s="136"/>
      <c r="AL3" s="601" t="s">
        <v>245</v>
      </c>
      <c r="AM3" s="575"/>
      <c r="AN3" s="575"/>
      <c r="AO3" s="575"/>
      <c r="AP3" s="603" t="s">
        <v>246</v>
      </c>
      <c r="AQ3" s="575"/>
      <c r="AR3" s="575"/>
      <c r="AS3" s="575"/>
      <c r="AT3" s="575"/>
      <c r="AU3" s="145"/>
    </row>
    <row r="4" spans="1:47" ht="15.75" customHeight="1">
      <c r="A4" s="462"/>
      <c r="B4" s="165">
        <v>1</v>
      </c>
      <c r="C4" s="166" t="s">
        <v>193</v>
      </c>
      <c r="D4" s="167" t="s">
        <v>58</v>
      </c>
      <c r="E4" s="168">
        <f>IFERROR(VLOOKUP($I$22&amp;$D4,'Development-Hidden'!$C$2:$J$118,4,FALSE)-P4+AF4,"")</f>
        <v>5</v>
      </c>
      <c r="F4" s="169">
        <f>IFERROR(VLOOKUP($I$22&amp;$D4,'Development-Hidden'!$C$2:$J$118,5,FALSE)-Q4+AG4,"")</f>
        <v>3</v>
      </c>
      <c r="G4" s="169">
        <f>IFERROR(VLOOKUP($I$22&amp;$D4,'Development-Hidden'!$C$2:$J$118,6,FALSE)-R4+AH4,"")</f>
        <v>3</v>
      </c>
      <c r="H4" s="170">
        <f>IFERROR(VLOOKUP($I$22&amp;$D4,'Development-Hidden'!$C$2:$J$118,7,FALSE)-S4+AI4,"")</f>
        <v>9</v>
      </c>
      <c r="I4" s="171">
        <f>IFERROR(VLOOKUP($I$22&amp;$D4,'Development-Hidden'!$C$2:$J$118,8,FALSE),"")</f>
        <v>0</v>
      </c>
      <c r="J4" s="172" t="s">
        <v>496</v>
      </c>
      <c r="K4" s="173">
        <f t="shared" ref="K4:K19" si="0">IF(Z4&gt;175,6,IF(Z4&gt;75,5,IF(Z4&gt;50,4,IF(Z4&gt;30,3,IF(Z4&gt;15,2,IF(Z4&gt;5,1,0))))))</f>
        <v>2</v>
      </c>
      <c r="L4" s="174"/>
      <c r="M4" s="174"/>
      <c r="N4" s="174">
        <v>3</v>
      </c>
      <c r="O4" s="175"/>
      <c r="P4" s="176"/>
      <c r="Q4" s="177"/>
      <c r="R4" s="177"/>
      <c r="S4" s="178"/>
      <c r="T4" s="179"/>
      <c r="U4" s="180"/>
      <c r="V4" s="180"/>
      <c r="W4" s="180">
        <v>3</v>
      </c>
      <c r="X4" s="177"/>
      <c r="Y4" s="181">
        <v>2</v>
      </c>
      <c r="Z4" s="182">
        <f t="shared" ref="Z4:Z19" si="1">2*T4+U4+3*V4+2*W4+5*Y4</f>
        <v>16</v>
      </c>
      <c r="AA4" s="183">
        <f t="shared" ref="AA4:AA19" si="2">IF(L4=1,0,AC4+(20000*O4)+(20000*AD4)+(30000*AE4)+(30000*AF4)+(50000*AG4)+(40000*AH4)+(50000*AI4)+AJ4)</f>
        <v>90000</v>
      </c>
      <c r="AB4" s="136"/>
      <c r="AC4" s="184">
        <f>IFERROR(VLOOKUP($I$22&amp;D4,'Development-Hidden'!$C$2:$E$118,3,FALSE),"")</f>
        <v>50000</v>
      </c>
      <c r="AD4" s="179">
        <v>2</v>
      </c>
      <c r="AE4" s="180"/>
      <c r="AF4" s="180"/>
      <c r="AG4" s="180"/>
      <c r="AH4" s="180"/>
      <c r="AI4" s="180"/>
      <c r="AJ4" s="185"/>
      <c r="AK4" s="136"/>
      <c r="AL4" s="186" t="s">
        <v>252</v>
      </c>
      <c r="AM4" s="187">
        <v>20000</v>
      </c>
      <c r="AN4" s="136"/>
      <c r="AO4" s="136"/>
      <c r="AP4" s="188"/>
      <c r="AQ4" s="189"/>
      <c r="AR4" s="189"/>
      <c r="AS4" s="186" t="s">
        <v>253</v>
      </c>
      <c r="AT4" s="304">
        <v>5</v>
      </c>
      <c r="AU4" s="191"/>
    </row>
    <row r="5" spans="1:47" ht="15.75" customHeight="1">
      <c r="A5" s="462"/>
      <c r="B5" s="192">
        <v>2</v>
      </c>
      <c r="C5" s="193" t="s">
        <v>108</v>
      </c>
      <c r="D5" s="194" t="s">
        <v>58</v>
      </c>
      <c r="E5" s="195">
        <f>IFERROR(VLOOKUP($I$22&amp;$D5,'Development-Hidden'!$C$2:$J$118,4,FALSE)-P5+AF5,"")</f>
        <v>5</v>
      </c>
      <c r="F5" s="196">
        <f>IFERROR(VLOOKUP($I$22&amp;$D5,'Development-Hidden'!$C$2:$J$118,5,FALSE)-Q5+AG5,"")</f>
        <v>3</v>
      </c>
      <c r="G5" s="196">
        <f>IFERROR(VLOOKUP($I$22&amp;$D5,'Development-Hidden'!$C$2:$J$118,6,FALSE)-R5+AH5,"")</f>
        <v>3</v>
      </c>
      <c r="H5" s="197">
        <f>IFERROR(VLOOKUP($I$22&amp;$D5,'Development-Hidden'!$C$2:$J$118,7,FALSE)-S5+AI5,"")</f>
        <v>9</v>
      </c>
      <c r="I5" s="198">
        <f>IFERROR(VLOOKUP($I$22&amp;$D5,'Development-Hidden'!$C$2:$J$118,8,FALSE),"")</f>
        <v>0</v>
      </c>
      <c r="J5" s="199" t="s">
        <v>498</v>
      </c>
      <c r="K5" s="200">
        <f t="shared" si="0"/>
        <v>2</v>
      </c>
      <c r="L5" s="201"/>
      <c r="M5" s="201"/>
      <c r="N5" s="201">
        <v>2</v>
      </c>
      <c r="O5" s="202"/>
      <c r="P5" s="203"/>
      <c r="Q5" s="204"/>
      <c r="R5" s="204"/>
      <c r="S5" s="205"/>
      <c r="T5" s="206"/>
      <c r="U5" s="207"/>
      <c r="V5" s="207"/>
      <c r="W5" s="207">
        <v>1</v>
      </c>
      <c r="X5" s="204"/>
      <c r="Y5" s="208">
        <v>3</v>
      </c>
      <c r="Z5" s="209">
        <f t="shared" si="1"/>
        <v>17</v>
      </c>
      <c r="AA5" s="183">
        <f t="shared" si="2"/>
        <v>100000</v>
      </c>
      <c r="AB5" s="136"/>
      <c r="AC5" s="210">
        <f>IFERROR(VLOOKUP($I$22&amp;D5,'Development-Hidden'!$C$2:$E$118,3,FALSE),"")</f>
        <v>50000</v>
      </c>
      <c r="AD5" s="206">
        <v>1</v>
      </c>
      <c r="AE5" s="207">
        <v>1</v>
      </c>
      <c r="AF5" s="207"/>
      <c r="AG5" s="207"/>
      <c r="AH5" s="207"/>
      <c r="AI5" s="207"/>
      <c r="AJ5" s="211"/>
      <c r="AK5" s="136"/>
      <c r="AL5" s="212" t="s">
        <v>256</v>
      </c>
      <c r="AM5" s="213" t="s">
        <v>257</v>
      </c>
      <c r="AN5" s="214" t="s">
        <v>258</v>
      </c>
      <c r="AO5" s="215" t="s">
        <v>259</v>
      </c>
      <c r="AP5" s="216" t="s">
        <v>260</v>
      </c>
      <c r="AQ5" s="214" t="s">
        <v>261</v>
      </c>
      <c r="AR5" s="217" t="s">
        <v>33</v>
      </c>
      <c r="AS5" s="217" t="s">
        <v>262</v>
      </c>
      <c r="AT5" s="218" t="s">
        <v>221</v>
      </c>
      <c r="AU5" s="144"/>
    </row>
    <row r="6" spans="1:47" ht="15.75" customHeight="1">
      <c r="A6" s="462"/>
      <c r="B6" s="192">
        <v>3</v>
      </c>
      <c r="C6" s="193" t="s">
        <v>96</v>
      </c>
      <c r="D6" s="194" t="s">
        <v>46</v>
      </c>
      <c r="E6" s="195">
        <f>IFERROR(VLOOKUP($I$22&amp;$D6,'Development-Hidden'!$C$2:$J$118,4,FALSE)-P6+AF6,"")</f>
        <v>6</v>
      </c>
      <c r="F6" s="196">
        <f>IFERROR(VLOOKUP($I$22&amp;$D6,'Development-Hidden'!$C$2:$J$118,5,FALSE)-Q6+AG6,"")</f>
        <v>2</v>
      </c>
      <c r="G6" s="196">
        <f>IFERROR(VLOOKUP($I$22&amp;$D6,'Development-Hidden'!$C$2:$J$118,6,FALSE)-R6+AH6,"")</f>
        <v>3</v>
      </c>
      <c r="H6" s="197">
        <f>IFERROR(VLOOKUP($I$22&amp;$D6,'Development-Hidden'!$C$2:$J$118,7,FALSE)-S6+AI6,"")</f>
        <v>7</v>
      </c>
      <c r="I6" s="198" t="str">
        <f>IFERROR(VLOOKUP($I$22&amp;$D6,'Development-Hidden'!$C$2:$J$118,8,FALSE),"")</f>
        <v>Right Stuff, Dodge, Stunty</v>
      </c>
      <c r="J6" s="199" t="s">
        <v>499</v>
      </c>
      <c r="K6" s="200">
        <f t="shared" si="0"/>
        <v>2</v>
      </c>
      <c r="L6" s="201"/>
      <c r="M6" s="201"/>
      <c r="N6" s="201"/>
      <c r="O6" s="202"/>
      <c r="P6" s="203"/>
      <c r="Q6" s="204"/>
      <c r="R6" s="204"/>
      <c r="S6" s="205"/>
      <c r="T6" s="206"/>
      <c r="U6" s="207"/>
      <c r="V6" s="207">
        <v>4</v>
      </c>
      <c r="W6" s="207"/>
      <c r="X6" s="204"/>
      <c r="Y6" s="208">
        <v>1</v>
      </c>
      <c r="Z6" s="209">
        <f t="shared" si="1"/>
        <v>17</v>
      </c>
      <c r="AA6" s="183">
        <f t="shared" si="2"/>
        <v>80000</v>
      </c>
      <c r="AB6" s="136"/>
      <c r="AC6" s="210">
        <f>IFERROR(VLOOKUP($I$22&amp;D6,'Development-Hidden'!$C$2:$E$118,3,FALSE),"")</f>
        <v>40000</v>
      </c>
      <c r="AD6" s="206">
        <v>2</v>
      </c>
      <c r="AE6" s="207"/>
      <c r="AF6" s="207"/>
      <c r="AG6" s="207"/>
      <c r="AH6" s="207"/>
      <c r="AI6" s="207"/>
      <c r="AJ6" s="211"/>
      <c r="AK6" s="136"/>
      <c r="AL6" s="219" t="s">
        <v>267</v>
      </c>
      <c r="AM6" s="220">
        <v>70000</v>
      </c>
      <c r="AN6" s="221"/>
      <c r="AO6" s="222"/>
      <c r="AP6" s="223" t="s">
        <v>53</v>
      </c>
      <c r="AQ6" s="221" t="s">
        <v>361</v>
      </c>
      <c r="AR6" s="224">
        <v>0</v>
      </c>
      <c r="AS6" s="225">
        <v>0</v>
      </c>
      <c r="AT6" s="463">
        <v>0</v>
      </c>
      <c r="AU6" s="136"/>
    </row>
    <row r="7" spans="1:47" ht="15.75" customHeight="1">
      <c r="A7" s="462"/>
      <c r="B7" s="192">
        <v>4</v>
      </c>
      <c r="C7" s="193" t="s">
        <v>222</v>
      </c>
      <c r="D7" s="194" t="s">
        <v>132</v>
      </c>
      <c r="E7" s="195">
        <f>IFERROR(VLOOKUP($I$22&amp;$D7,'Development-Hidden'!$C$2:$J$118,4,FALSE)-P7+AF7,"")</f>
        <v>4</v>
      </c>
      <c r="F7" s="196">
        <f>IFERROR(VLOOKUP($I$22&amp;$D7,'Development-Hidden'!$C$2:$J$118,5,FALSE)-Q7+AG7,"")</f>
        <v>5</v>
      </c>
      <c r="G7" s="196">
        <f>IFERROR(VLOOKUP($I$22&amp;$D7,'Development-Hidden'!$C$2:$J$118,6,FALSE)-R7+AH7,"")</f>
        <v>1</v>
      </c>
      <c r="H7" s="197">
        <f>IFERROR(VLOOKUP($I$22&amp;$D7,'Development-Hidden'!$C$2:$J$118,7,FALSE)-S7+AI7,"")</f>
        <v>9</v>
      </c>
      <c r="I7" s="198" t="str">
        <f>IFERROR(VLOOKUP($I$22&amp;$D7,'Development-Hidden'!$C$2:$J$118,8,FALSE),"")</f>
        <v>Loner, Always Hungry, Mighty Blow, Really Stupid, Regeneration, Throw Team-mate</v>
      </c>
      <c r="J7" s="199" t="s">
        <v>501</v>
      </c>
      <c r="K7" s="200">
        <f t="shared" si="0"/>
        <v>2</v>
      </c>
      <c r="L7" s="201"/>
      <c r="M7" s="201"/>
      <c r="N7" s="201">
        <v>2</v>
      </c>
      <c r="O7" s="202"/>
      <c r="P7" s="203"/>
      <c r="Q7" s="204"/>
      <c r="R7" s="204"/>
      <c r="S7" s="205"/>
      <c r="T7" s="206"/>
      <c r="U7" s="207"/>
      <c r="V7" s="207"/>
      <c r="W7" s="207">
        <v>4</v>
      </c>
      <c r="X7" s="204"/>
      <c r="Y7" s="208">
        <v>2</v>
      </c>
      <c r="Z7" s="209">
        <f t="shared" si="1"/>
        <v>18</v>
      </c>
      <c r="AA7" s="183">
        <f t="shared" si="2"/>
        <v>150000</v>
      </c>
      <c r="AB7" s="136"/>
      <c r="AC7" s="210">
        <f>IFERROR(VLOOKUP($I$22&amp;D7,'Development-Hidden'!$C$2:$E$118,3,FALSE),"")</f>
        <v>110000</v>
      </c>
      <c r="AD7" s="206">
        <v>2</v>
      </c>
      <c r="AE7" s="207"/>
      <c r="AF7" s="207"/>
      <c r="AG7" s="207"/>
      <c r="AH7" s="207"/>
      <c r="AI7" s="207"/>
      <c r="AJ7" s="211"/>
      <c r="AK7" s="136"/>
      <c r="AL7" s="227" t="s">
        <v>278</v>
      </c>
      <c r="AM7" s="228">
        <v>20000</v>
      </c>
      <c r="AN7" s="229">
        <v>40000</v>
      </c>
      <c r="AO7" s="230"/>
      <c r="AP7" s="231" t="s">
        <v>10</v>
      </c>
      <c r="AQ7" s="229" t="s">
        <v>434</v>
      </c>
      <c r="AR7" s="232">
        <v>1</v>
      </c>
      <c r="AS7" s="233">
        <v>2</v>
      </c>
      <c r="AT7" s="464">
        <v>1</v>
      </c>
      <c r="AU7" s="136"/>
    </row>
    <row r="8" spans="1:47" ht="15.75" customHeight="1">
      <c r="A8" s="462"/>
      <c r="B8" s="192">
        <v>5</v>
      </c>
      <c r="C8" s="193"/>
      <c r="D8" s="194"/>
      <c r="E8" s="195" t="str">
        <f>IFERROR(VLOOKUP($I$22&amp;$D8,'Development-Hidden'!$C$2:$J$118,4,FALSE)-P8+AF8,"")</f>
        <v/>
      </c>
      <c r="F8" s="196" t="str">
        <f>IFERROR(VLOOKUP($I$22&amp;$D8,'Development-Hidden'!$C$2:$J$118,5,FALSE)-Q8+AG8,"")</f>
        <v/>
      </c>
      <c r="G8" s="196" t="str">
        <f>IFERROR(VLOOKUP($I$22&amp;$D8,'Development-Hidden'!$C$2:$J$118,6,FALSE)-R8+AH8,"")</f>
        <v/>
      </c>
      <c r="H8" s="197" t="str">
        <f>IFERROR(VLOOKUP($I$22&amp;$D8,'Development-Hidden'!$C$2:$J$118,7,FALSE)-S8+AI8,"")</f>
        <v/>
      </c>
      <c r="I8" s="198" t="str">
        <f>IFERROR(VLOOKUP($I$22&amp;$D8,'Development-Hidden'!$C$2:$J$118,8,FALSE),"")</f>
        <v/>
      </c>
      <c r="J8" s="199"/>
      <c r="K8" s="200">
        <f t="shared" si="0"/>
        <v>0</v>
      </c>
      <c r="L8" s="201"/>
      <c r="M8" s="201"/>
      <c r="N8" s="201"/>
      <c r="O8" s="202"/>
      <c r="P8" s="203"/>
      <c r="Q8" s="204"/>
      <c r="R8" s="204"/>
      <c r="S8" s="205"/>
      <c r="T8" s="206"/>
      <c r="U8" s="207"/>
      <c r="V8" s="207"/>
      <c r="W8" s="207"/>
      <c r="X8" s="204"/>
      <c r="Y8" s="208"/>
      <c r="Z8" s="209">
        <f t="shared" si="1"/>
        <v>0</v>
      </c>
      <c r="AA8" s="183">
        <f t="shared" si="2"/>
        <v>0</v>
      </c>
      <c r="AB8" s="136"/>
      <c r="AC8" s="210" t="str">
        <f>IFERROR(VLOOKUP($I$22&amp;D8,'Development-Hidden'!$C$2:$E$118,3,FALSE),"0")</f>
        <v>0</v>
      </c>
      <c r="AD8" s="206"/>
      <c r="AE8" s="207"/>
      <c r="AF8" s="207"/>
      <c r="AG8" s="207"/>
      <c r="AH8" s="207"/>
      <c r="AI8" s="207"/>
      <c r="AJ8" s="211"/>
      <c r="AK8" s="136"/>
      <c r="AL8" s="227" t="s">
        <v>289</v>
      </c>
      <c r="AM8" s="228">
        <v>40000</v>
      </c>
      <c r="AN8" s="229">
        <v>20000</v>
      </c>
      <c r="AO8" s="230"/>
      <c r="AP8" s="231" t="s">
        <v>17</v>
      </c>
      <c r="AQ8" s="229" t="s">
        <v>434</v>
      </c>
      <c r="AR8" s="232">
        <v>2</v>
      </c>
      <c r="AS8" s="233">
        <v>4</v>
      </c>
      <c r="AT8" s="464">
        <v>-1</v>
      </c>
      <c r="AU8" s="136"/>
    </row>
    <row r="9" spans="1:47" ht="15.75" customHeight="1">
      <c r="A9" s="462"/>
      <c r="B9" s="192">
        <v>6</v>
      </c>
      <c r="C9" s="193"/>
      <c r="D9" s="194"/>
      <c r="E9" s="195" t="str">
        <f>IFERROR(VLOOKUP($I$22&amp;$D9,'Development-Hidden'!$C$2:$J$118,4,FALSE)-P9+AF9,"")</f>
        <v/>
      </c>
      <c r="F9" s="196" t="str">
        <f>IFERROR(VLOOKUP($I$22&amp;$D9,'Development-Hidden'!$C$2:$J$118,5,FALSE)-Q9+AG9,"")</f>
        <v/>
      </c>
      <c r="G9" s="196" t="str">
        <f>IFERROR(VLOOKUP($I$22&amp;$D9,'Development-Hidden'!$C$2:$J$118,6,FALSE)-R9+AH9,"")</f>
        <v/>
      </c>
      <c r="H9" s="197" t="str">
        <f>IFERROR(VLOOKUP($I$22&amp;$D9,'Development-Hidden'!$C$2:$J$118,7,FALSE)-S9+AI9,"")</f>
        <v/>
      </c>
      <c r="I9" s="198" t="str">
        <f>IFERROR(VLOOKUP($I$22&amp;$D9,'Development-Hidden'!$C$2:$J$118,8,FALSE),"")</f>
        <v/>
      </c>
      <c r="J9" s="199"/>
      <c r="K9" s="200">
        <f t="shared" si="0"/>
        <v>0</v>
      </c>
      <c r="L9" s="201"/>
      <c r="M9" s="201"/>
      <c r="N9" s="201"/>
      <c r="O9" s="202"/>
      <c r="P9" s="203"/>
      <c r="Q9" s="204"/>
      <c r="R9" s="204"/>
      <c r="S9" s="205"/>
      <c r="T9" s="206"/>
      <c r="U9" s="207"/>
      <c r="V9" s="207"/>
      <c r="W9" s="207"/>
      <c r="X9" s="204"/>
      <c r="Y9" s="208"/>
      <c r="Z9" s="209">
        <f t="shared" si="1"/>
        <v>0</v>
      </c>
      <c r="AA9" s="183">
        <f t="shared" si="2"/>
        <v>0</v>
      </c>
      <c r="AB9" s="136"/>
      <c r="AC9" s="210" t="str">
        <f>IFERROR(VLOOKUP($I$22&amp;D9,'Development-Hidden'!$C$2:$E$118,3,FALSE),"0")</f>
        <v>0</v>
      </c>
      <c r="AD9" s="206"/>
      <c r="AE9" s="207"/>
      <c r="AF9" s="207"/>
      <c r="AG9" s="207"/>
      <c r="AH9" s="207"/>
      <c r="AI9" s="207"/>
      <c r="AJ9" s="211"/>
      <c r="AK9" s="136"/>
      <c r="AL9" s="227" t="s">
        <v>296</v>
      </c>
      <c r="AM9" s="228">
        <v>80000</v>
      </c>
      <c r="AN9" s="229"/>
      <c r="AO9" s="230"/>
      <c r="AP9" s="231" t="s">
        <v>8</v>
      </c>
      <c r="AQ9" s="229" t="s">
        <v>407</v>
      </c>
      <c r="AR9" s="232">
        <v>2</v>
      </c>
      <c r="AS9" s="233">
        <v>0</v>
      </c>
      <c r="AT9" s="464">
        <v>1</v>
      </c>
      <c r="AU9" s="136"/>
    </row>
    <row r="10" spans="1:47" ht="15.75" customHeight="1">
      <c r="A10" s="462"/>
      <c r="B10" s="192">
        <v>7</v>
      </c>
      <c r="C10" s="193" t="s">
        <v>318</v>
      </c>
      <c r="D10" s="194" t="s">
        <v>788</v>
      </c>
      <c r="E10" s="195">
        <f>IFERROR(VLOOKUP($I$22&amp;$D10,'Development-Hidden'!$C$2:$J$118,4,FALSE)-P10+AF10,"")</f>
        <v>4</v>
      </c>
      <c r="F10" s="196">
        <f>IFERROR(VLOOKUP($I$22&amp;$D10,'Development-Hidden'!$C$2:$J$118,5,FALSE)-Q10+AG10,"")</f>
        <v>4</v>
      </c>
      <c r="G10" s="196">
        <f>IFERROR(VLOOKUP($I$22&amp;$D10,'Development-Hidden'!$C$2:$J$118,6,FALSE)-R10+AH10,"")</f>
        <v>2</v>
      </c>
      <c r="H10" s="197">
        <f>IFERROR(VLOOKUP($I$22&amp;$D10,'Development-Hidden'!$C$2:$J$118,7,FALSE)-S10+AI10,"")</f>
        <v>9</v>
      </c>
      <c r="I10" s="198">
        <f>IFERROR(VLOOKUP($I$22&amp;$D10,'Development-Hidden'!$C$2:$J$118,8,FALSE),"")</f>
        <v>0</v>
      </c>
      <c r="J10" s="199"/>
      <c r="K10" s="200">
        <f t="shared" si="0"/>
        <v>0</v>
      </c>
      <c r="L10" s="201"/>
      <c r="M10" s="201"/>
      <c r="N10" s="201"/>
      <c r="O10" s="202"/>
      <c r="P10" s="203"/>
      <c r="Q10" s="204"/>
      <c r="R10" s="204"/>
      <c r="S10" s="205"/>
      <c r="T10" s="206"/>
      <c r="U10" s="207"/>
      <c r="V10" s="207"/>
      <c r="W10" s="207"/>
      <c r="X10" s="204"/>
      <c r="Y10" s="208"/>
      <c r="Z10" s="209">
        <f t="shared" si="1"/>
        <v>0</v>
      </c>
      <c r="AA10" s="183">
        <f t="shared" si="2"/>
        <v>80000</v>
      </c>
      <c r="AB10" s="136"/>
      <c r="AC10" s="210">
        <f>IFERROR(VLOOKUP($I$22&amp;D10,'Development-Hidden'!$C$2:$E$118,3,FALSE),"")</f>
        <v>80000</v>
      </c>
      <c r="AD10" s="206"/>
      <c r="AE10" s="207"/>
      <c r="AF10" s="207"/>
      <c r="AG10" s="207"/>
      <c r="AH10" s="207"/>
      <c r="AI10" s="207"/>
      <c r="AJ10" s="211"/>
      <c r="AK10" s="136"/>
      <c r="AL10" s="227" t="s">
        <v>306</v>
      </c>
      <c r="AM10" s="228">
        <v>70000</v>
      </c>
      <c r="AN10" s="229"/>
      <c r="AO10" s="230">
        <v>30000</v>
      </c>
      <c r="AP10" s="231" t="s">
        <v>503</v>
      </c>
      <c r="AQ10" s="229" t="s">
        <v>407</v>
      </c>
      <c r="AR10" s="232">
        <v>2</v>
      </c>
      <c r="AS10" s="233">
        <v>3</v>
      </c>
      <c r="AT10" s="464">
        <v>1</v>
      </c>
      <c r="AU10" s="136"/>
    </row>
    <row r="11" spans="1:47" ht="15.75" customHeight="1">
      <c r="A11" s="462"/>
      <c r="B11" s="192">
        <v>8</v>
      </c>
      <c r="C11" s="193" t="s">
        <v>194</v>
      </c>
      <c r="D11" s="194" t="s">
        <v>49</v>
      </c>
      <c r="E11" s="195">
        <f>IFERROR(VLOOKUP($I$22&amp;$D11,'Development-Hidden'!$C$2:$J$118,4,FALSE)-P11+AF11,"")</f>
        <v>6</v>
      </c>
      <c r="F11" s="196">
        <f>IFERROR(VLOOKUP($I$22&amp;$D11,'Development-Hidden'!$C$2:$J$118,5,FALSE)-Q11+AG11,"")</f>
        <v>3</v>
      </c>
      <c r="G11" s="196">
        <f>IFERROR(VLOOKUP($I$22&amp;$D11,'Development-Hidden'!$C$2:$J$118,6,FALSE)-R11+AH11,"")</f>
        <v>3</v>
      </c>
      <c r="H11" s="197">
        <f>IFERROR(VLOOKUP($I$22&amp;$D11,'Development-Hidden'!$C$2:$J$118,7,FALSE)-S11+AI11,"")</f>
        <v>9</v>
      </c>
      <c r="I11" s="198" t="str">
        <f>IFERROR(VLOOKUP($I$22&amp;$D11,'Development-Hidden'!$C$2:$J$118,8,FALSE),"")</f>
        <v>Block</v>
      </c>
      <c r="J11" s="199"/>
      <c r="K11" s="200">
        <f t="shared" si="0"/>
        <v>0</v>
      </c>
      <c r="L11" s="201"/>
      <c r="M11" s="201"/>
      <c r="N11" s="201"/>
      <c r="O11" s="202"/>
      <c r="P11" s="203"/>
      <c r="Q11" s="204"/>
      <c r="R11" s="204"/>
      <c r="S11" s="205"/>
      <c r="T11" s="206"/>
      <c r="U11" s="207"/>
      <c r="V11" s="207"/>
      <c r="W11" s="207">
        <v>1</v>
      </c>
      <c r="X11" s="204"/>
      <c r="Y11" s="208"/>
      <c r="Z11" s="209">
        <f t="shared" si="1"/>
        <v>2</v>
      </c>
      <c r="AA11" s="183">
        <f t="shared" si="2"/>
        <v>80000</v>
      </c>
      <c r="AB11" s="136"/>
      <c r="AC11" s="210">
        <f>IFERROR(VLOOKUP($I$22&amp;D11,'Development-Hidden'!$C$2:$E$118,3,FALSE),"")</f>
        <v>80000</v>
      </c>
      <c r="AD11" s="206"/>
      <c r="AE11" s="207"/>
      <c r="AF11" s="207"/>
      <c r="AG11" s="207"/>
      <c r="AH11" s="207"/>
      <c r="AI11" s="207"/>
      <c r="AJ11" s="211"/>
      <c r="AK11" s="136"/>
      <c r="AL11" s="227" t="s">
        <v>316</v>
      </c>
      <c r="AM11" s="228">
        <v>40000</v>
      </c>
      <c r="AN11" s="229">
        <v>160000</v>
      </c>
      <c r="AO11" s="230"/>
      <c r="AP11" s="231" t="s">
        <v>22</v>
      </c>
      <c r="AQ11" s="229" t="s">
        <v>407</v>
      </c>
      <c r="AR11" s="232">
        <v>1</v>
      </c>
      <c r="AS11" s="233">
        <v>0</v>
      </c>
      <c r="AT11" s="464">
        <v>1</v>
      </c>
      <c r="AU11" s="136"/>
    </row>
    <row r="12" spans="1:47" ht="15.75" customHeight="1">
      <c r="A12" s="462"/>
      <c r="B12" s="465">
        <v>9</v>
      </c>
      <c r="C12" s="466" t="s">
        <v>504</v>
      </c>
      <c r="D12" s="361" t="s">
        <v>49</v>
      </c>
      <c r="E12" s="362">
        <f>IFERROR(VLOOKUP($I$22&amp;$D12,'Development-Hidden'!$C$2:$J$118,4,FALSE)-P12+AF12,"")</f>
        <v>6</v>
      </c>
      <c r="F12" s="363">
        <f>IFERROR(VLOOKUP($I$22&amp;$D12,'Development-Hidden'!$C$2:$J$118,5,FALSE)-Q12+AG12,"")</f>
        <v>2</v>
      </c>
      <c r="G12" s="363">
        <f>IFERROR(VLOOKUP($I$22&amp;$D12,'Development-Hidden'!$C$2:$J$118,6,FALSE)-R12+AH12,"")</f>
        <v>3</v>
      </c>
      <c r="H12" s="451">
        <f>IFERROR(VLOOKUP($I$22&amp;$D12,'Development-Hidden'!$C$2:$J$118,7,FALSE)-S12+AI12,"")</f>
        <v>9</v>
      </c>
      <c r="I12" s="467" t="str">
        <f>IFERROR(VLOOKUP($I$22&amp;$D12,'Development-Hidden'!$C$2:$J$118,8,FALSE),"")</f>
        <v>Block</v>
      </c>
      <c r="J12" s="366" t="s">
        <v>505</v>
      </c>
      <c r="K12" s="468">
        <f t="shared" si="0"/>
        <v>2</v>
      </c>
      <c r="L12" s="469">
        <v>1</v>
      </c>
      <c r="M12" s="469"/>
      <c r="N12" s="469"/>
      <c r="O12" s="470"/>
      <c r="P12" s="471"/>
      <c r="Q12" s="472">
        <v>1</v>
      </c>
      <c r="R12" s="472"/>
      <c r="S12" s="473"/>
      <c r="T12" s="474"/>
      <c r="U12" s="475">
        <v>1</v>
      </c>
      <c r="V12" s="475">
        <v>2</v>
      </c>
      <c r="W12" s="475">
        <v>2</v>
      </c>
      <c r="X12" s="472"/>
      <c r="Y12" s="476">
        <v>1</v>
      </c>
      <c r="Z12" s="477">
        <f t="shared" si="1"/>
        <v>16</v>
      </c>
      <c r="AA12" s="378">
        <f t="shared" si="2"/>
        <v>0</v>
      </c>
      <c r="AB12" s="136"/>
      <c r="AC12" s="210">
        <f>IFERROR(VLOOKUP($I$22&amp;D12,'Development-Hidden'!$C$2:$E$118,3,FALSE),"")</f>
        <v>80000</v>
      </c>
      <c r="AD12" s="206">
        <v>1</v>
      </c>
      <c r="AE12" s="207">
        <v>1</v>
      </c>
      <c r="AF12" s="207"/>
      <c r="AG12" s="207"/>
      <c r="AH12" s="207"/>
      <c r="AI12" s="207"/>
      <c r="AJ12" s="211"/>
      <c r="AK12" s="136"/>
      <c r="AL12" s="227" t="s">
        <v>330</v>
      </c>
      <c r="AM12" s="228">
        <v>70000</v>
      </c>
      <c r="AN12" s="229"/>
      <c r="AO12" s="230"/>
      <c r="AP12" s="231" t="s">
        <v>11</v>
      </c>
      <c r="AQ12" s="229" t="s">
        <v>407</v>
      </c>
      <c r="AR12" s="232">
        <v>2</v>
      </c>
      <c r="AS12" s="233">
        <v>3</v>
      </c>
      <c r="AT12" s="464">
        <v>1</v>
      </c>
      <c r="AU12" s="136"/>
    </row>
    <row r="13" spans="1:47" ht="15.75" customHeight="1">
      <c r="A13" s="462"/>
      <c r="B13" s="192">
        <v>10</v>
      </c>
      <c r="C13" s="193" t="s">
        <v>84</v>
      </c>
      <c r="D13" s="194" t="s">
        <v>49</v>
      </c>
      <c r="E13" s="195">
        <f>IFERROR(VLOOKUP($I$22&amp;$D13,'Development-Hidden'!$C$2:$J$118,4,FALSE)-P13+AF13,"")</f>
        <v>6</v>
      </c>
      <c r="F13" s="196">
        <f>IFERROR(VLOOKUP($I$22&amp;$D13,'Development-Hidden'!$C$2:$J$118,5,FALSE)-Q13+AG13,"")</f>
        <v>3</v>
      </c>
      <c r="G13" s="196">
        <f>IFERROR(VLOOKUP($I$22&amp;$D13,'Development-Hidden'!$C$2:$J$118,6,FALSE)-R13+AH13,"")</f>
        <v>3</v>
      </c>
      <c r="H13" s="197">
        <f>IFERROR(VLOOKUP($I$22&amp;$D13,'Development-Hidden'!$C$2:$J$118,7,FALSE)-S13+AI13,"")</f>
        <v>9</v>
      </c>
      <c r="I13" s="198" t="str">
        <f>IFERROR(VLOOKUP($I$22&amp;$D13,'Development-Hidden'!$C$2:$J$118,8,FALSE),"")</f>
        <v>Block</v>
      </c>
      <c r="J13" s="199" t="s">
        <v>506</v>
      </c>
      <c r="K13" s="200">
        <f t="shared" si="0"/>
        <v>3</v>
      </c>
      <c r="L13" s="201"/>
      <c r="M13" s="201"/>
      <c r="N13" s="201">
        <v>2</v>
      </c>
      <c r="O13" s="202"/>
      <c r="P13" s="203"/>
      <c r="Q13" s="204"/>
      <c r="R13" s="204"/>
      <c r="S13" s="205"/>
      <c r="T13" s="206"/>
      <c r="U13" s="207">
        <v>1</v>
      </c>
      <c r="V13" s="207">
        <v>9</v>
      </c>
      <c r="W13" s="207">
        <v>4</v>
      </c>
      <c r="X13" s="204"/>
      <c r="Y13" s="208">
        <v>1</v>
      </c>
      <c r="Z13" s="209">
        <f t="shared" si="1"/>
        <v>41</v>
      </c>
      <c r="AA13" s="183">
        <f t="shared" si="2"/>
        <v>160000</v>
      </c>
      <c r="AB13" s="136"/>
      <c r="AC13" s="210">
        <f>IFERROR(VLOOKUP($I$22&amp;D13,'Development-Hidden'!$C$2:$E$118,3,FALSE),"")</f>
        <v>80000</v>
      </c>
      <c r="AD13" s="206">
        <v>1</v>
      </c>
      <c r="AE13" s="207">
        <v>2</v>
      </c>
      <c r="AF13" s="207"/>
      <c r="AG13" s="207"/>
      <c r="AH13" s="207"/>
      <c r="AI13" s="207"/>
      <c r="AJ13" s="211"/>
      <c r="AK13" s="136"/>
      <c r="AL13" s="227" t="s">
        <v>342</v>
      </c>
      <c r="AM13" s="228">
        <v>70000</v>
      </c>
      <c r="AN13" s="229"/>
      <c r="AO13" s="230"/>
      <c r="AP13" s="231" t="s">
        <v>47</v>
      </c>
      <c r="AQ13" s="229" t="s">
        <v>434</v>
      </c>
      <c r="AR13" s="232">
        <v>1</v>
      </c>
      <c r="AS13" s="233">
        <v>1</v>
      </c>
      <c r="AT13" s="464">
        <v>-1</v>
      </c>
      <c r="AU13" s="136"/>
    </row>
    <row r="14" spans="1:47" ht="15.75" customHeight="1">
      <c r="A14" s="462"/>
      <c r="B14" s="192">
        <v>11</v>
      </c>
      <c r="C14" s="193" t="s">
        <v>110</v>
      </c>
      <c r="D14" s="194" t="s">
        <v>49</v>
      </c>
      <c r="E14" s="195">
        <f>IFERROR(VLOOKUP($I$22&amp;$D14,'Development-Hidden'!$C$2:$J$118,4,FALSE)-P14+AF14,"")</f>
        <v>6</v>
      </c>
      <c r="F14" s="196">
        <f>IFERROR(VLOOKUP($I$22&amp;$D14,'Development-Hidden'!$C$2:$J$118,5,FALSE)-Q14+AG14,"")</f>
        <v>3</v>
      </c>
      <c r="G14" s="196">
        <f>IFERROR(VLOOKUP($I$22&amp;$D14,'Development-Hidden'!$C$2:$J$118,6,FALSE)-R14+AH14,"")</f>
        <v>3</v>
      </c>
      <c r="H14" s="197">
        <f>IFERROR(VLOOKUP($I$22&amp;$D14,'Development-Hidden'!$C$2:$J$118,7,FALSE)-S14+AI14,"")</f>
        <v>9</v>
      </c>
      <c r="I14" s="198" t="str">
        <f>IFERROR(VLOOKUP($I$22&amp;$D14,'Development-Hidden'!$C$2:$J$118,8,FALSE),"")</f>
        <v>Block</v>
      </c>
      <c r="J14" s="199" t="s">
        <v>507</v>
      </c>
      <c r="K14" s="200">
        <f t="shared" si="0"/>
        <v>2</v>
      </c>
      <c r="L14" s="201"/>
      <c r="M14" s="201"/>
      <c r="N14" s="201">
        <v>3</v>
      </c>
      <c r="O14" s="202"/>
      <c r="P14" s="203"/>
      <c r="Q14" s="204"/>
      <c r="R14" s="204"/>
      <c r="S14" s="205"/>
      <c r="T14" s="206"/>
      <c r="U14" s="207"/>
      <c r="V14" s="207"/>
      <c r="W14" s="207">
        <v>2</v>
      </c>
      <c r="X14" s="204"/>
      <c r="Y14" s="208">
        <v>3</v>
      </c>
      <c r="Z14" s="209">
        <f t="shared" si="1"/>
        <v>19</v>
      </c>
      <c r="AA14" s="183">
        <f t="shared" si="2"/>
        <v>120000</v>
      </c>
      <c r="AB14" s="136"/>
      <c r="AC14" s="210">
        <f>IFERROR(VLOOKUP($I$22&amp;D14,'Development-Hidden'!$C$2:$E$118,3,FALSE),"")</f>
        <v>80000</v>
      </c>
      <c r="AD14" s="206">
        <v>2</v>
      </c>
      <c r="AE14" s="207"/>
      <c r="AF14" s="207"/>
      <c r="AG14" s="207"/>
      <c r="AH14" s="207"/>
      <c r="AI14" s="207"/>
      <c r="AJ14" s="211"/>
      <c r="AK14" s="136"/>
      <c r="AL14" s="227" t="s">
        <v>354</v>
      </c>
      <c r="AM14" s="228"/>
      <c r="AN14" s="229"/>
      <c r="AO14" s="230"/>
      <c r="AP14" s="231"/>
      <c r="AQ14" s="229"/>
      <c r="AR14" s="232"/>
      <c r="AS14" s="233"/>
      <c r="AT14" s="464"/>
      <c r="AU14" s="136"/>
    </row>
    <row r="15" spans="1:47" ht="15.75" customHeight="1">
      <c r="A15" s="462"/>
      <c r="B15" s="192">
        <v>12</v>
      </c>
      <c r="C15" s="193" t="s">
        <v>201</v>
      </c>
      <c r="D15" s="194" t="s">
        <v>49</v>
      </c>
      <c r="E15" s="195">
        <f>IFERROR(VLOOKUP($I$22&amp;$D15,'Development-Hidden'!$C$2:$J$118,4,FALSE)-P15+AF15,"")</f>
        <v>6</v>
      </c>
      <c r="F15" s="196">
        <f>IFERROR(VLOOKUP($I$22&amp;$D15,'Development-Hidden'!$C$2:$J$118,5,FALSE)-Q15+AG15,"")</f>
        <v>3</v>
      </c>
      <c r="G15" s="196">
        <f>IFERROR(VLOOKUP($I$22&amp;$D15,'Development-Hidden'!$C$2:$J$118,6,FALSE)-R15+AH15,"")</f>
        <v>3</v>
      </c>
      <c r="H15" s="197">
        <f>IFERROR(VLOOKUP($I$22&amp;$D15,'Development-Hidden'!$C$2:$J$118,7,FALSE)-S15+AI15,"")</f>
        <v>9</v>
      </c>
      <c r="I15" s="198" t="str">
        <f>IFERROR(VLOOKUP($I$22&amp;$D15,'Development-Hidden'!$C$2:$J$118,8,FALSE),"")</f>
        <v>Block</v>
      </c>
      <c r="J15" s="199" t="s">
        <v>507</v>
      </c>
      <c r="K15" s="200">
        <f t="shared" si="0"/>
        <v>2</v>
      </c>
      <c r="L15" s="201"/>
      <c r="M15" s="201"/>
      <c r="N15" s="201">
        <v>3</v>
      </c>
      <c r="O15" s="202"/>
      <c r="P15" s="203"/>
      <c r="Q15" s="204"/>
      <c r="R15" s="204"/>
      <c r="S15" s="205"/>
      <c r="T15" s="206"/>
      <c r="U15" s="207">
        <v>1</v>
      </c>
      <c r="V15" s="207">
        <v>4</v>
      </c>
      <c r="W15" s="207">
        <v>1</v>
      </c>
      <c r="X15" s="204"/>
      <c r="Y15" s="208">
        <v>1</v>
      </c>
      <c r="Z15" s="209">
        <f t="shared" si="1"/>
        <v>20</v>
      </c>
      <c r="AA15" s="183">
        <f t="shared" si="2"/>
        <v>120000</v>
      </c>
      <c r="AB15" s="136"/>
      <c r="AC15" s="210">
        <f>IFERROR(VLOOKUP($I$22&amp;D15,'Development-Hidden'!$C$2:$E$118,3,FALSE),"")</f>
        <v>80000</v>
      </c>
      <c r="AD15" s="206">
        <v>2</v>
      </c>
      <c r="AE15" s="207"/>
      <c r="AF15" s="207"/>
      <c r="AG15" s="207"/>
      <c r="AH15" s="207"/>
      <c r="AI15" s="207"/>
      <c r="AJ15" s="211"/>
      <c r="AK15" s="136"/>
      <c r="AL15" s="227" t="s">
        <v>355</v>
      </c>
      <c r="AM15" s="228"/>
      <c r="AN15" s="229"/>
      <c r="AO15" s="230"/>
      <c r="AP15" s="231"/>
      <c r="AQ15" s="229"/>
      <c r="AR15" s="232"/>
      <c r="AS15" s="233"/>
      <c r="AT15" s="464"/>
      <c r="AU15" s="136"/>
    </row>
    <row r="16" spans="1:47" ht="15.75" customHeight="1">
      <c r="A16" s="462"/>
      <c r="B16" s="192">
        <v>13</v>
      </c>
      <c r="C16" s="193" t="s">
        <v>195</v>
      </c>
      <c r="D16" s="194" t="s">
        <v>788</v>
      </c>
      <c r="E16" s="195">
        <f>IFERROR(VLOOKUP($I$22&amp;$D16,'Development-Hidden'!$C$2:$J$118,4,FALSE)-P16+AF16,"")</f>
        <v>4</v>
      </c>
      <c r="F16" s="196">
        <f>IFERROR(VLOOKUP($I$22&amp;$D16,'Development-Hidden'!$C$2:$J$118,5,FALSE)-Q16+AG16,"")</f>
        <v>4</v>
      </c>
      <c r="G16" s="196">
        <f>IFERROR(VLOOKUP($I$22&amp;$D16,'Development-Hidden'!$C$2:$J$118,6,FALSE)-R16+AH16,"")</f>
        <v>2</v>
      </c>
      <c r="H16" s="197">
        <f>IFERROR(VLOOKUP($I$22&amp;$D16,'Development-Hidden'!$C$2:$J$118,7,FALSE)-S16+AI16,"")</f>
        <v>9</v>
      </c>
      <c r="I16" s="198">
        <f>IFERROR(VLOOKUP($I$22&amp;$D16,'Development-Hidden'!$C$2:$J$118,8,FALSE),"")</f>
        <v>0</v>
      </c>
      <c r="J16" s="199" t="s">
        <v>498</v>
      </c>
      <c r="K16" s="200">
        <f t="shared" si="0"/>
        <v>2</v>
      </c>
      <c r="L16" s="201"/>
      <c r="M16" s="201"/>
      <c r="N16" s="201">
        <v>3</v>
      </c>
      <c r="O16" s="202"/>
      <c r="P16" s="203"/>
      <c r="Q16" s="204"/>
      <c r="R16" s="204"/>
      <c r="S16" s="205"/>
      <c r="T16" s="206"/>
      <c r="U16" s="207"/>
      <c r="V16" s="207"/>
      <c r="W16" s="207">
        <v>3</v>
      </c>
      <c r="X16" s="204"/>
      <c r="Y16" s="208">
        <v>3</v>
      </c>
      <c r="Z16" s="209">
        <f t="shared" si="1"/>
        <v>21</v>
      </c>
      <c r="AA16" s="183">
        <f t="shared" si="2"/>
        <v>120000</v>
      </c>
      <c r="AB16" s="136"/>
      <c r="AC16" s="210">
        <f>IFERROR(VLOOKUP($I$22&amp;D16,'Development-Hidden'!$C$2:$E$118,3,FALSE),"")</f>
        <v>80000</v>
      </c>
      <c r="AD16" s="206">
        <v>2</v>
      </c>
      <c r="AE16" s="207"/>
      <c r="AF16" s="207"/>
      <c r="AG16" s="207"/>
      <c r="AH16" s="207"/>
      <c r="AI16" s="207"/>
      <c r="AJ16" s="211"/>
      <c r="AK16" s="136"/>
      <c r="AL16" s="227" t="s">
        <v>357</v>
      </c>
      <c r="AM16" s="228"/>
      <c r="AN16" s="229"/>
      <c r="AO16" s="230"/>
      <c r="AP16" s="231"/>
      <c r="AQ16" s="229"/>
      <c r="AR16" s="232"/>
      <c r="AS16" s="233"/>
      <c r="AT16" s="464"/>
      <c r="AU16" s="136"/>
    </row>
    <row r="17" spans="1:47" ht="15.75" customHeight="1">
      <c r="A17" s="462"/>
      <c r="B17" s="192">
        <v>14</v>
      </c>
      <c r="C17" s="193" t="s">
        <v>154</v>
      </c>
      <c r="D17" s="194" t="s">
        <v>788</v>
      </c>
      <c r="E17" s="195">
        <f>IFERROR(VLOOKUP($I$22&amp;$D17,'Development-Hidden'!$C$2:$J$118,4,FALSE)-P17+AF17,"")</f>
        <v>4</v>
      </c>
      <c r="F17" s="196">
        <f>IFERROR(VLOOKUP($I$22&amp;$D17,'Development-Hidden'!$C$2:$J$118,5,FALSE)-Q17+AG17,"")</f>
        <v>4</v>
      </c>
      <c r="G17" s="196">
        <f>IFERROR(VLOOKUP($I$22&amp;$D17,'Development-Hidden'!$C$2:$J$118,6,FALSE)-R17+AH17,"")</f>
        <v>2</v>
      </c>
      <c r="H17" s="197">
        <f>IFERROR(VLOOKUP($I$22&amp;$D17,'Development-Hidden'!$C$2:$J$118,7,FALSE)-S17+AI17,"")</f>
        <v>9</v>
      </c>
      <c r="I17" s="198">
        <f>IFERROR(VLOOKUP($I$22&amp;$D17,'Development-Hidden'!$C$2:$J$118,8,FALSE),"")</f>
        <v>0</v>
      </c>
      <c r="J17" s="199" t="s">
        <v>498</v>
      </c>
      <c r="K17" s="200">
        <f t="shared" si="0"/>
        <v>2</v>
      </c>
      <c r="L17" s="201"/>
      <c r="M17" s="201"/>
      <c r="N17" s="201">
        <v>3</v>
      </c>
      <c r="O17" s="202"/>
      <c r="P17" s="203"/>
      <c r="Q17" s="204"/>
      <c r="R17" s="204"/>
      <c r="S17" s="205"/>
      <c r="T17" s="206"/>
      <c r="U17" s="207"/>
      <c r="V17" s="207"/>
      <c r="W17" s="207">
        <v>2</v>
      </c>
      <c r="X17" s="204"/>
      <c r="Y17" s="208">
        <v>3</v>
      </c>
      <c r="Z17" s="209">
        <f t="shared" si="1"/>
        <v>19</v>
      </c>
      <c r="AA17" s="183">
        <f t="shared" si="2"/>
        <v>120000</v>
      </c>
      <c r="AB17" s="136"/>
      <c r="AC17" s="210">
        <f>IFERROR(VLOOKUP($I$22&amp;D17,'Development-Hidden'!$C$2:$E$118,3,FALSE),"")</f>
        <v>80000</v>
      </c>
      <c r="AD17" s="206">
        <v>2</v>
      </c>
      <c r="AE17" s="207"/>
      <c r="AF17" s="207"/>
      <c r="AG17" s="207"/>
      <c r="AH17" s="207"/>
      <c r="AI17" s="207"/>
      <c r="AJ17" s="211"/>
      <c r="AK17" s="136"/>
      <c r="AL17" s="235" t="s">
        <v>359</v>
      </c>
      <c r="AM17" s="236"/>
      <c r="AN17" s="237"/>
      <c r="AO17" s="238"/>
      <c r="AP17" s="239"/>
      <c r="AQ17" s="237"/>
      <c r="AR17" s="240"/>
      <c r="AS17" s="241"/>
      <c r="AT17" s="478"/>
      <c r="AU17" s="136"/>
    </row>
    <row r="18" spans="1:47" ht="15.75" customHeight="1">
      <c r="A18" s="462"/>
      <c r="B18" s="192">
        <v>15</v>
      </c>
      <c r="C18" s="193" t="s">
        <v>185</v>
      </c>
      <c r="D18" s="194" t="s">
        <v>788</v>
      </c>
      <c r="E18" s="195">
        <f>IFERROR(VLOOKUP($I$22&amp;$D18,'Development-Hidden'!$C$2:$J$118,4,FALSE)-P18+AF18,"")</f>
        <v>4</v>
      </c>
      <c r="F18" s="196">
        <f>IFERROR(VLOOKUP($I$22&amp;$D18,'Development-Hidden'!$C$2:$J$118,5,FALSE)-Q18+AG18,"")</f>
        <v>4</v>
      </c>
      <c r="G18" s="196">
        <f>IFERROR(VLOOKUP($I$22&amp;$D18,'Development-Hidden'!$C$2:$J$118,6,FALSE)-R18+AH18,"")</f>
        <v>2</v>
      </c>
      <c r="H18" s="197">
        <f>IFERROR(VLOOKUP($I$22&amp;$D18,'Development-Hidden'!$C$2:$J$118,7,FALSE)-S18+AI18,"")</f>
        <v>9</v>
      </c>
      <c r="I18" s="198">
        <f>IFERROR(VLOOKUP($I$22&amp;$D18,'Development-Hidden'!$C$2:$J$118,8,FALSE),"")</f>
        <v>0</v>
      </c>
      <c r="J18" s="199" t="s">
        <v>421</v>
      </c>
      <c r="K18" s="200">
        <f t="shared" si="0"/>
        <v>2</v>
      </c>
      <c r="L18" s="201"/>
      <c r="M18" s="201"/>
      <c r="N18" s="201">
        <v>3</v>
      </c>
      <c r="O18" s="202"/>
      <c r="P18" s="203"/>
      <c r="Q18" s="204"/>
      <c r="R18" s="204"/>
      <c r="S18" s="205"/>
      <c r="T18" s="206"/>
      <c r="U18" s="207"/>
      <c r="V18" s="207"/>
      <c r="W18" s="207">
        <v>3</v>
      </c>
      <c r="X18" s="204">
        <v>1</v>
      </c>
      <c r="Y18" s="208">
        <v>3</v>
      </c>
      <c r="Z18" s="209">
        <f t="shared" si="1"/>
        <v>21</v>
      </c>
      <c r="AA18" s="183">
        <f t="shared" si="2"/>
        <v>130000</v>
      </c>
      <c r="AB18" s="136"/>
      <c r="AC18" s="210">
        <f>IFERROR(VLOOKUP($I$22&amp;D18,'Development-Hidden'!$C$2:$E$118,3,FALSE),"")</f>
        <v>80000</v>
      </c>
      <c r="AD18" s="206">
        <v>1</v>
      </c>
      <c r="AE18" s="207">
        <v>1</v>
      </c>
      <c r="AF18" s="207"/>
      <c r="AG18" s="207"/>
      <c r="AH18" s="207"/>
      <c r="AI18" s="207"/>
      <c r="AJ18" s="211"/>
      <c r="AK18" s="136"/>
      <c r="AL18" s="243" t="s">
        <v>219</v>
      </c>
      <c r="AM18" s="244">
        <f>AM4+SUM(AM6:AM17)-SUM(AN6:AN17)-SUM(AO6:AO17)</f>
        <v>230000</v>
      </c>
      <c r="AN18" s="136"/>
      <c r="AO18" s="136"/>
      <c r="AP18" s="189"/>
      <c r="AQ18" s="243" t="s">
        <v>219</v>
      </c>
      <c r="AR18" s="245">
        <f t="shared" ref="AR18:AS18" si="3">SUM(AR6:AR17)</f>
        <v>11</v>
      </c>
      <c r="AS18" s="246">
        <f t="shared" si="3"/>
        <v>13</v>
      </c>
      <c r="AT18" s="247">
        <f>AT4+SUM(AT6:AT17)</f>
        <v>8</v>
      </c>
      <c r="AU18" s="140"/>
    </row>
    <row r="19" spans="1:47" ht="15.75" customHeight="1">
      <c r="A19" s="462"/>
      <c r="B19" s="479">
        <v>16</v>
      </c>
      <c r="C19" s="480" t="s">
        <v>508</v>
      </c>
      <c r="D19" s="361" t="s">
        <v>788</v>
      </c>
      <c r="E19" s="481">
        <f>IFERROR(VLOOKUP($I$22&amp;$D19,'Development-Hidden'!$C$2:$J$118,4,FALSE)-P19+AF19,"")</f>
        <v>4</v>
      </c>
      <c r="F19" s="482">
        <f>IFERROR(VLOOKUP($I$22&amp;$D19,'Development-Hidden'!$C$2:$J$118,5,FALSE)-Q19+AG19,"")</f>
        <v>4</v>
      </c>
      <c r="G19" s="482">
        <f>IFERROR(VLOOKUP($I$22&amp;$D19,'Development-Hidden'!$C$2:$J$118,6,FALSE)-R19+AH19,"")</f>
        <v>1</v>
      </c>
      <c r="H19" s="483">
        <f>IFERROR(VLOOKUP($I$22&amp;$D19,'Development-Hidden'!$C$2:$J$118,7,FALSE)-S19+AI19,"")</f>
        <v>9</v>
      </c>
      <c r="I19" s="484">
        <f>IFERROR(VLOOKUP($I$22&amp;$D19,'Development-Hidden'!$C$2:$J$118,8,FALSE),"")</f>
        <v>0</v>
      </c>
      <c r="J19" s="485" t="s">
        <v>498</v>
      </c>
      <c r="K19" s="486">
        <f t="shared" si="0"/>
        <v>2</v>
      </c>
      <c r="L19" s="487">
        <v>1</v>
      </c>
      <c r="M19" s="487"/>
      <c r="N19" s="487">
        <v>3</v>
      </c>
      <c r="O19" s="488"/>
      <c r="P19" s="489"/>
      <c r="Q19" s="490"/>
      <c r="R19" s="490">
        <v>1</v>
      </c>
      <c r="S19" s="491"/>
      <c r="T19" s="492"/>
      <c r="U19" s="493"/>
      <c r="V19" s="493"/>
      <c r="W19" s="493">
        <v>9</v>
      </c>
      <c r="X19" s="490"/>
      <c r="Y19" s="494">
        <v>1</v>
      </c>
      <c r="Z19" s="495">
        <f t="shared" si="1"/>
        <v>23</v>
      </c>
      <c r="AA19" s="378">
        <f t="shared" si="2"/>
        <v>0</v>
      </c>
      <c r="AB19" s="136"/>
      <c r="AC19" s="266">
        <f>IFERROR(VLOOKUP($I$22&amp;D19,'Development-Hidden'!$C$2:$E$118,3,FALSE),"")</f>
        <v>80000</v>
      </c>
      <c r="AD19" s="267">
        <v>2</v>
      </c>
      <c r="AE19" s="268"/>
      <c r="AF19" s="268"/>
      <c r="AG19" s="268"/>
      <c r="AH19" s="268"/>
      <c r="AI19" s="268"/>
      <c r="AJ19" s="269"/>
      <c r="AK19" s="136"/>
    </row>
    <row r="20" spans="1:47" ht="15.75" customHeight="1">
      <c r="A20" s="462"/>
      <c r="B20" s="654"/>
      <c r="C20" s="572"/>
      <c r="D20" s="573"/>
      <c r="E20" s="586" t="s">
        <v>364</v>
      </c>
      <c r="F20" s="587"/>
      <c r="G20" s="587"/>
      <c r="H20" s="587"/>
      <c r="I20" s="587"/>
      <c r="J20" s="587"/>
      <c r="K20" s="587"/>
      <c r="L20" s="587"/>
      <c r="M20" s="587"/>
      <c r="N20" s="587"/>
      <c r="O20" s="587"/>
      <c r="P20" s="587"/>
      <c r="Q20" s="587"/>
      <c r="R20" s="587"/>
      <c r="S20" s="587"/>
      <c r="T20" s="587"/>
      <c r="U20" s="587"/>
      <c r="V20" s="587"/>
      <c r="W20" s="587"/>
      <c r="X20" s="587"/>
      <c r="Y20" s="587"/>
      <c r="Z20" s="588"/>
      <c r="AA20" s="270">
        <f>SUM(AA4:AA19)</f>
        <v>1350000</v>
      </c>
      <c r="AB20" s="136"/>
      <c r="AC20" s="136"/>
      <c r="AD20" s="136"/>
      <c r="AE20" s="136"/>
      <c r="AF20" s="136"/>
      <c r="AG20" s="136"/>
      <c r="AH20" s="136"/>
      <c r="AI20" s="136"/>
      <c r="AJ20" s="136"/>
      <c r="AK20" s="136"/>
      <c r="AL20" s="189"/>
      <c r="AM20" s="189"/>
      <c r="AN20" s="189"/>
      <c r="AO20" s="189"/>
      <c r="AP20" s="189"/>
      <c r="AQ20" s="189"/>
      <c r="AR20" s="189"/>
      <c r="AS20" s="189"/>
      <c r="AT20" s="189"/>
      <c r="AU20" s="189"/>
    </row>
    <row r="21" spans="1:47" ht="15.75" customHeight="1">
      <c r="A21" s="462"/>
      <c r="B21" s="574"/>
      <c r="C21" s="575"/>
      <c r="D21" s="576"/>
      <c r="E21" s="580" t="s">
        <v>365</v>
      </c>
      <c r="F21" s="581"/>
      <c r="G21" s="581"/>
      <c r="H21" s="581"/>
      <c r="I21" s="609" t="s">
        <v>3</v>
      </c>
      <c r="J21" s="636"/>
      <c r="K21" s="637"/>
      <c r="L21" s="584" t="s">
        <v>366</v>
      </c>
      <c r="M21" s="581"/>
      <c r="N21" s="581"/>
      <c r="O21" s="581"/>
      <c r="P21" s="581"/>
      <c r="Q21" s="581"/>
      <c r="R21" s="581"/>
      <c r="S21" s="585"/>
      <c r="T21" s="271">
        <v>3</v>
      </c>
      <c r="U21" s="272" t="s">
        <v>220</v>
      </c>
      <c r="V21" s="580">
        <f>IFERROR(VLOOKUP(I22,'Development-Hidden'!N2:O28,2,FALSE),"")</f>
        <v>60000</v>
      </c>
      <c r="W21" s="581"/>
      <c r="X21" s="581"/>
      <c r="Y21" s="581"/>
      <c r="Z21" s="590"/>
      <c r="AA21" s="273">
        <f t="shared" ref="AA21:AA25" si="4">T21*V21</f>
        <v>180000</v>
      </c>
      <c r="AB21" s="136"/>
      <c r="AC21" s="136"/>
      <c r="AD21" s="136"/>
      <c r="AE21" s="136"/>
      <c r="AF21" s="136"/>
      <c r="AG21" s="136"/>
      <c r="AH21" s="136"/>
      <c r="AI21" s="136"/>
      <c r="AJ21" s="136"/>
      <c r="AK21" s="136"/>
      <c r="AL21" s="604" t="s">
        <v>367</v>
      </c>
      <c r="AM21" s="588"/>
      <c r="AN21" s="136"/>
      <c r="AO21" s="136"/>
      <c r="AP21" s="136"/>
      <c r="AQ21" s="136"/>
      <c r="AR21" s="136"/>
      <c r="AS21" s="136"/>
      <c r="AT21" s="136"/>
      <c r="AU21" s="136"/>
    </row>
    <row r="22" spans="1:47" ht="15.75" customHeight="1">
      <c r="A22" s="462"/>
      <c r="B22" s="574"/>
      <c r="C22" s="575"/>
      <c r="D22" s="576"/>
      <c r="E22" s="582" t="s">
        <v>368</v>
      </c>
      <c r="F22" s="583"/>
      <c r="G22" s="583"/>
      <c r="H22" s="583"/>
      <c r="I22" s="598" t="s">
        <v>5</v>
      </c>
      <c r="J22" s="583"/>
      <c r="K22" s="597"/>
      <c r="L22" s="591" t="s">
        <v>369</v>
      </c>
      <c r="M22" s="583"/>
      <c r="N22" s="583"/>
      <c r="O22" s="583"/>
      <c r="P22" s="583"/>
      <c r="Q22" s="583"/>
      <c r="R22" s="583"/>
      <c r="S22" s="592"/>
      <c r="T22" s="496">
        <f>AT18</f>
        <v>8</v>
      </c>
      <c r="U22" s="275" t="s">
        <v>220</v>
      </c>
      <c r="V22" s="582">
        <v>10000</v>
      </c>
      <c r="W22" s="583"/>
      <c r="X22" s="583"/>
      <c r="Y22" s="583"/>
      <c r="Z22" s="597"/>
      <c r="AA22" s="276">
        <f t="shared" si="4"/>
        <v>80000</v>
      </c>
      <c r="AB22" s="136"/>
      <c r="AC22" s="136"/>
      <c r="AD22" s="136"/>
      <c r="AE22" s="136"/>
      <c r="AF22" s="136"/>
      <c r="AG22" s="136"/>
      <c r="AH22" s="136"/>
      <c r="AI22" s="136"/>
      <c r="AJ22" s="136"/>
      <c r="AK22" s="136"/>
      <c r="AL22" s="277" t="s">
        <v>370</v>
      </c>
      <c r="AM22" s="278">
        <f>AM18</f>
        <v>230000</v>
      </c>
      <c r="AN22" s="136"/>
      <c r="AO22" s="136"/>
      <c r="AP22" s="136"/>
      <c r="AQ22" s="136"/>
      <c r="AR22" s="136"/>
      <c r="AS22" s="136"/>
      <c r="AT22" s="136"/>
      <c r="AU22" s="136"/>
    </row>
    <row r="23" spans="1:47" ht="15.75" customHeight="1">
      <c r="A23" s="497"/>
      <c r="B23" s="574"/>
      <c r="C23" s="575"/>
      <c r="D23" s="576"/>
      <c r="E23" s="582" t="str">
        <f>IFERROR(IF(VLOOKUP(I22,'Development-Hidden'!X2:Y28,2,FALSE)="Yes","NECROMANCER","HEAD COACH"),"HEAD COACH")</f>
        <v>HEAD COACH</v>
      </c>
      <c r="F23" s="583"/>
      <c r="G23" s="583"/>
      <c r="H23" s="583"/>
      <c r="I23" s="598" t="s">
        <v>4</v>
      </c>
      <c r="J23" s="583"/>
      <c r="K23" s="597"/>
      <c r="L23" s="591" t="s">
        <v>371</v>
      </c>
      <c r="M23" s="583"/>
      <c r="N23" s="583"/>
      <c r="O23" s="583"/>
      <c r="P23" s="583"/>
      <c r="Q23" s="583"/>
      <c r="R23" s="583"/>
      <c r="S23" s="592"/>
      <c r="T23" s="274">
        <v>1</v>
      </c>
      <c r="U23" s="275" t="s">
        <v>220</v>
      </c>
      <c r="V23" s="582">
        <v>10000</v>
      </c>
      <c r="W23" s="583"/>
      <c r="X23" s="583"/>
      <c r="Y23" s="583"/>
      <c r="Z23" s="597"/>
      <c r="AA23" s="276">
        <f t="shared" si="4"/>
        <v>10000</v>
      </c>
      <c r="AB23" s="136"/>
      <c r="AC23" s="136"/>
      <c r="AD23" s="136"/>
      <c r="AE23" s="136"/>
      <c r="AF23" s="136"/>
      <c r="AG23" s="136"/>
      <c r="AH23" s="136"/>
      <c r="AI23" s="136"/>
      <c r="AJ23" s="136"/>
      <c r="AK23" s="136"/>
      <c r="AL23" s="279" t="s">
        <v>372</v>
      </c>
      <c r="AM23" s="280">
        <f>COUNTA(AP6:AP17)*10000</f>
        <v>80000</v>
      </c>
      <c r="AN23" s="136"/>
      <c r="AO23" s="136"/>
      <c r="AP23" s="136"/>
      <c r="AQ23" s="136"/>
      <c r="AR23" s="136"/>
      <c r="AS23" s="136"/>
      <c r="AT23" s="136"/>
      <c r="AU23" s="136"/>
    </row>
    <row r="24" spans="1:47" ht="15.75" customHeight="1">
      <c r="A24" s="462"/>
      <c r="B24" s="574"/>
      <c r="C24" s="575"/>
      <c r="D24" s="576"/>
      <c r="E24" s="582" t="s">
        <v>373</v>
      </c>
      <c r="F24" s="583"/>
      <c r="G24" s="583"/>
      <c r="H24" s="583"/>
      <c r="I24" s="599">
        <f>AA20+AA26</f>
        <v>1680000</v>
      </c>
      <c r="J24" s="583"/>
      <c r="K24" s="597"/>
      <c r="L24" s="591" t="s">
        <v>375</v>
      </c>
      <c r="M24" s="583"/>
      <c r="N24" s="583"/>
      <c r="O24" s="583"/>
      <c r="P24" s="583"/>
      <c r="Q24" s="583"/>
      <c r="R24" s="583"/>
      <c r="S24" s="592"/>
      <c r="T24" s="274">
        <v>1</v>
      </c>
      <c r="U24" s="275" t="s">
        <v>220</v>
      </c>
      <c r="V24" s="582">
        <v>10000</v>
      </c>
      <c r="W24" s="583"/>
      <c r="X24" s="583"/>
      <c r="Y24" s="583"/>
      <c r="Z24" s="597"/>
      <c r="AA24" s="276">
        <f t="shared" si="4"/>
        <v>10000</v>
      </c>
      <c r="AB24" s="136"/>
      <c r="AC24" s="136"/>
      <c r="AD24" s="136"/>
      <c r="AE24" s="136"/>
      <c r="AF24" s="136"/>
      <c r="AG24" s="136"/>
      <c r="AH24" s="136"/>
      <c r="AI24" s="136"/>
      <c r="AJ24" s="136"/>
      <c r="AK24" s="136"/>
      <c r="AL24" s="279" t="s">
        <v>33</v>
      </c>
      <c r="AM24" s="280">
        <f>AR18*5000</f>
        <v>55000</v>
      </c>
      <c r="AN24" s="136"/>
      <c r="AO24" s="136"/>
      <c r="AP24" s="136"/>
      <c r="AQ24" s="136"/>
      <c r="AR24" s="136"/>
      <c r="AS24" s="136"/>
      <c r="AT24" s="136"/>
      <c r="AU24" s="136"/>
    </row>
    <row r="25" spans="1:47" ht="15.75" customHeight="1">
      <c r="A25" s="462"/>
      <c r="B25" s="574"/>
      <c r="C25" s="575"/>
      <c r="D25" s="576"/>
      <c r="E25" s="595" t="s">
        <v>376</v>
      </c>
      <c r="F25" s="594"/>
      <c r="G25" s="594"/>
      <c r="H25" s="596"/>
      <c r="I25" s="600">
        <f>AM18</f>
        <v>230000</v>
      </c>
      <c r="J25" s="594"/>
      <c r="K25" s="596"/>
      <c r="L25" s="593" t="str">
        <f>IFERROR(IF(VLOOKUP(I22,'Development-Hidden'!X2:Y28,1,FALSE)&lt;&gt;"","",""),"APOTHECARY")</f>
        <v>APOTHECARY</v>
      </c>
      <c r="M25" s="594"/>
      <c r="N25" s="594"/>
      <c r="O25" s="594"/>
      <c r="P25" s="594"/>
      <c r="Q25" s="594"/>
      <c r="R25" s="594"/>
      <c r="S25" s="594"/>
      <c r="T25" s="281">
        <v>1</v>
      </c>
      <c r="U25" s="275" t="str">
        <f>IF(L25&lt;&gt;"","x","")</f>
        <v>x</v>
      </c>
      <c r="V25" s="595">
        <f>IF(L25&lt;&gt;"",50000,"")</f>
        <v>50000</v>
      </c>
      <c r="W25" s="594"/>
      <c r="X25" s="594"/>
      <c r="Y25" s="594"/>
      <c r="Z25" s="596"/>
      <c r="AA25" s="276">
        <f t="shared" si="4"/>
        <v>50000</v>
      </c>
      <c r="AB25" s="136"/>
      <c r="AC25" s="136"/>
      <c r="AD25" s="136"/>
      <c r="AE25" s="136"/>
      <c r="AF25" s="136"/>
      <c r="AG25" s="136"/>
      <c r="AH25" s="136"/>
      <c r="AI25" s="136"/>
      <c r="AJ25" s="136"/>
      <c r="AK25" s="136"/>
      <c r="AL25" s="282" t="s">
        <v>34</v>
      </c>
      <c r="AM25" s="283">
        <f>AS18*5000</f>
        <v>65000</v>
      </c>
      <c r="AN25" s="136"/>
      <c r="AO25" s="136"/>
      <c r="AP25" s="136"/>
      <c r="AQ25" s="136"/>
      <c r="AR25" s="136"/>
      <c r="AS25" s="136"/>
      <c r="AT25" s="136"/>
      <c r="AU25" s="136"/>
    </row>
    <row r="26" spans="1:47" ht="15.75" customHeight="1">
      <c r="A26" s="462"/>
      <c r="B26" s="577"/>
      <c r="C26" s="578"/>
      <c r="D26" s="579"/>
      <c r="E26" s="586" t="s">
        <v>379</v>
      </c>
      <c r="F26" s="587"/>
      <c r="G26" s="587"/>
      <c r="H26" s="587"/>
      <c r="I26" s="587"/>
      <c r="J26" s="587"/>
      <c r="K26" s="587"/>
      <c r="L26" s="587"/>
      <c r="M26" s="587"/>
      <c r="N26" s="587"/>
      <c r="O26" s="587"/>
      <c r="P26" s="587"/>
      <c r="Q26" s="587"/>
      <c r="R26" s="587"/>
      <c r="S26" s="587"/>
      <c r="T26" s="587"/>
      <c r="U26" s="587"/>
      <c r="V26" s="587"/>
      <c r="W26" s="587"/>
      <c r="X26" s="587"/>
      <c r="Y26" s="587"/>
      <c r="Z26" s="588"/>
      <c r="AA26" s="270">
        <f>SUM(AA21:AA25)</f>
        <v>330000</v>
      </c>
      <c r="AB26" s="136"/>
      <c r="AC26" s="136"/>
      <c r="AD26" s="136"/>
      <c r="AE26" s="136"/>
      <c r="AF26" s="136"/>
      <c r="AG26" s="136"/>
      <c r="AH26" s="136"/>
      <c r="AI26" s="136"/>
      <c r="AJ26" s="136"/>
      <c r="AK26" s="136"/>
      <c r="AL26" s="284" t="s">
        <v>219</v>
      </c>
      <c r="AM26" s="285">
        <v>430000</v>
      </c>
      <c r="AN26" s="136"/>
      <c r="AO26" s="136"/>
      <c r="AP26" s="136"/>
      <c r="AQ26" s="136"/>
      <c r="AR26" s="136"/>
      <c r="AS26" s="136"/>
      <c r="AT26" s="136"/>
      <c r="AU26" s="136"/>
    </row>
    <row r="27" spans="1:47" ht="8.25" customHeight="1">
      <c r="A27" s="461"/>
      <c r="B27" s="140"/>
      <c r="C27" s="286"/>
      <c r="D27" s="286"/>
      <c r="E27" s="287"/>
      <c r="F27" s="136"/>
      <c r="G27" s="136"/>
      <c r="H27" s="136"/>
      <c r="I27" s="288"/>
      <c r="J27" s="289"/>
      <c r="K27" s="136"/>
      <c r="L27" s="290"/>
      <c r="M27" s="290"/>
      <c r="N27" s="290"/>
      <c r="O27" s="290"/>
      <c r="P27" s="290"/>
      <c r="Q27" s="290"/>
      <c r="R27" s="290"/>
      <c r="S27" s="290"/>
      <c r="T27" s="291"/>
      <c r="U27" s="292"/>
      <c r="V27" s="143"/>
      <c r="W27" s="293"/>
      <c r="X27" s="293"/>
      <c r="Y27" s="293"/>
      <c r="Z27" s="293"/>
      <c r="AA27" s="294"/>
      <c r="AB27" s="136"/>
      <c r="AC27" s="136"/>
      <c r="AD27" s="136"/>
      <c r="AE27" s="136"/>
      <c r="AF27" s="136"/>
      <c r="AG27" s="136"/>
      <c r="AH27" s="136"/>
      <c r="AI27" s="136"/>
      <c r="AJ27" s="136"/>
      <c r="AK27" s="136"/>
      <c r="AL27" s="136"/>
      <c r="AM27" s="136"/>
      <c r="AN27" s="136"/>
      <c r="AO27" s="136"/>
      <c r="AP27" s="136"/>
      <c r="AQ27" s="136"/>
      <c r="AR27" s="136"/>
      <c r="AS27" s="136"/>
      <c r="AT27" s="136"/>
      <c r="AU27" s="136"/>
    </row>
    <row r="28" spans="1:47" ht="17.25" hidden="1" customHeight="1">
      <c r="A28" s="461"/>
      <c r="B28" s="296"/>
      <c r="C28" s="297">
        <f>MATCH(I22,'Development-Hidden'!A2:A118,0)</f>
        <v>81</v>
      </c>
      <c r="D28" s="297" t="str">
        <f t="array" ref="D28">IFERROR(IF(INDEX('Development-Hidden'!$A$2:$B$118,$C28,1)=$I$22,INDEX('Development-Hidden'!$A$2:$B$118,$C28,2),""),"")</f>
        <v>Lineman</v>
      </c>
      <c r="E28" s="298"/>
      <c r="F28" s="298"/>
      <c r="G28" s="298"/>
      <c r="H28" s="298"/>
      <c r="I28" s="298"/>
      <c r="J28" s="299"/>
      <c r="K28" s="295"/>
      <c r="L28" s="300"/>
      <c r="M28" s="300"/>
      <c r="N28" s="300"/>
      <c r="O28" s="300"/>
      <c r="P28" s="300"/>
      <c r="Q28" s="300"/>
      <c r="R28" s="300"/>
      <c r="S28" s="300"/>
      <c r="T28" s="301"/>
      <c r="U28" s="302"/>
      <c r="V28" s="301"/>
      <c r="W28" s="303"/>
      <c r="X28" s="303"/>
      <c r="Y28" s="303"/>
      <c r="Z28" s="303"/>
      <c r="AA28" s="298"/>
      <c r="AB28" s="295"/>
      <c r="AC28" s="295"/>
      <c r="AD28" s="295"/>
      <c r="AE28" s="295"/>
      <c r="AF28" s="295"/>
      <c r="AG28" s="295"/>
      <c r="AH28" s="295"/>
      <c r="AI28" s="295"/>
      <c r="AJ28" s="295"/>
      <c r="AK28" s="295"/>
      <c r="AL28" s="295"/>
      <c r="AM28" s="295"/>
      <c r="AN28" s="295"/>
      <c r="AO28" s="295"/>
      <c r="AP28" s="295"/>
      <c r="AQ28" s="295"/>
      <c r="AR28" s="295"/>
      <c r="AS28" s="295"/>
      <c r="AT28" s="295"/>
      <c r="AU28" s="295"/>
    </row>
    <row r="29" spans="1:47" ht="17.25" hidden="1" customHeight="1">
      <c r="A29" s="461"/>
      <c r="B29" s="296"/>
      <c r="C29" s="297">
        <f t="shared" ref="C29:C37" si="5">C28+1</f>
        <v>82</v>
      </c>
      <c r="D29" s="297" t="str">
        <f t="array" ref="D29">IFERROR(IF(INDEX('Development-Hidden'!$A$2:$B$118,$C29,1)=$I$22,INDEX('Development-Hidden'!$A$2:$B$118,$C29,2),""),"")</f>
        <v>Goblin</v>
      </c>
      <c r="E29" s="298"/>
      <c r="F29" s="298"/>
      <c r="G29" s="298"/>
      <c r="H29" s="298"/>
      <c r="I29" s="298"/>
      <c r="J29" s="299"/>
      <c r="K29" s="295"/>
      <c r="L29" s="300"/>
      <c r="M29" s="300"/>
      <c r="N29" s="300"/>
      <c r="O29" s="300"/>
      <c r="P29" s="300"/>
      <c r="Q29" s="300"/>
      <c r="R29" s="300"/>
      <c r="S29" s="300"/>
      <c r="T29" s="301"/>
      <c r="U29" s="302"/>
      <c r="V29" s="301"/>
      <c r="W29" s="303"/>
      <c r="X29" s="303"/>
      <c r="Y29" s="303"/>
      <c r="Z29" s="303"/>
      <c r="AA29" s="298"/>
      <c r="AB29" s="295"/>
      <c r="AC29" s="295"/>
      <c r="AD29" s="295"/>
      <c r="AE29" s="295"/>
      <c r="AF29" s="295"/>
      <c r="AG29" s="295"/>
      <c r="AH29" s="295"/>
      <c r="AI29" s="295"/>
      <c r="AJ29" s="295"/>
      <c r="AK29" s="295"/>
      <c r="AL29" s="295"/>
      <c r="AM29" s="295"/>
      <c r="AN29" s="295"/>
      <c r="AO29" s="295"/>
      <c r="AP29" s="295"/>
      <c r="AQ29" s="295"/>
      <c r="AR29" s="295"/>
      <c r="AS29" s="295"/>
      <c r="AT29" s="295"/>
      <c r="AU29" s="295"/>
    </row>
    <row r="30" spans="1:47" ht="17.25" hidden="1" customHeight="1">
      <c r="A30" s="461"/>
      <c r="B30" s="296"/>
      <c r="C30" s="297">
        <f t="shared" si="5"/>
        <v>83</v>
      </c>
      <c r="D30" s="297" t="str">
        <f t="array" ref="D30">IFERROR(IF(INDEX('Development-Hidden'!$A$2:$B$118,$C30,1)=$I$22,INDEX('Development-Hidden'!$A$2:$B$118,$C30,2),""),"")</f>
        <v>Thrower</v>
      </c>
      <c r="E30" s="298"/>
      <c r="F30" s="298"/>
      <c r="G30" s="298"/>
      <c r="H30" s="298"/>
      <c r="I30" s="298"/>
      <c r="J30" s="299"/>
      <c r="K30" s="295"/>
      <c r="L30" s="300"/>
      <c r="M30" s="300"/>
      <c r="N30" s="300"/>
      <c r="O30" s="300"/>
      <c r="P30" s="300"/>
      <c r="Q30" s="300"/>
      <c r="R30" s="300"/>
      <c r="S30" s="300"/>
      <c r="T30" s="301"/>
      <c r="U30" s="302"/>
      <c r="V30" s="301"/>
      <c r="W30" s="303"/>
      <c r="X30" s="303"/>
      <c r="Y30" s="303"/>
      <c r="Z30" s="303"/>
      <c r="AA30" s="298"/>
      <c r="AB30" s="295"/>
      <c r="AC30" s="295"/>
      <c r="AD30" s="295"/>
      <c r="AE30" s="295"/>
      <c r="AF30" s="295"/>
      <c r="AG30" s="295"/>
      <c r="AH30" s="295"/>
      <c r="AI30" s="295"/>
      <c r="AJ30" s="295"/>
      <c r="AK30" s="295"/>
      <c r="AL30" s="295"/>
      <c r="AM30" s="295"/>
      <c r="AN30" s="295"/>
      <c r="AO30" s="295"/>
      <c r="AP30" s="295"/>
      <c r="AQ30" s="295"/>
      <c r="AR30" s="295"/>
      <c r="AS30" s="295"/>
      <c r="AT30" s="295"/>
      <c r="AU30" s="295"/>
    </row>
    <row r="31" spans="1:47" ht="17.25" hidden="1" customHeight="1">
      <c r="A31" s="461"/>
      <c r="B31" s="296"/>
      <c r="C31" s="297">
        <f t="shared" si="5"/>
        <v>84</v>
      </c>
      <c r="D31" s="297" t="str">
        <f t="array" ref="D31">IFERROR(IF(INDEX('Development-Hidden'!$A$2:$B$118,$C31,1)=$I$22,INDEX('Development-Hidden'!$A$2:$B$118,$C31,2),""),"")</f>
        <v>Black Orc Blocker</v>
      </c>
      <c r="E31" s="298"/>
      <c r="F31" s="298"/>
      <c r="G31" s="298"/>
      <c r="H31" s="298"/>
      <c r="I31" s="298"/>
      <c r="J31" s="299"/>
      <c r="K31" s="295"/>
      <c r="L31" s="300"/>
      <c r="M31" s="300"/>
      <c r="N31" s="300"/>
      <c r="O31" s="300"/>
      <c r="P31" s="300"/>
      <c r="Q31" s="300"/>
      <c r="R31" s="300"/>
      <c r="S31" s="300"/>
      <c r="T31" s="301"/>
      <c r="U31" s="302"/>
      <c r="V31" s="301"/>
      <c r="W31" s="303"/>
      <c r="X31" s="303"/>
      <c r="Y31" s="303"/>
      <c r="Z31" s="303"/>
      <c r="AA31" s="298"/>
      <c r="AB31" s="295"/>
      <c r="AC31" s="295"/>
      <c r="AD31" s="295"/>
      <c r="AE31" s="295"/>
      <c r="AF31" s="295"/>
      <c r="AG31" s="295"/>
      <c r="AH31" s="295"/>
      <c r="AI31" s="295"/>
      <c r="AJ31" s="295"/>
      <c r="AK31" s="295"/>
      <c r="AL31" s="295"/>
      <c r="AM31" s="295"/>
      <c r="AN31" s="295"/>
      <c r="AO31" s="295"/>
      <c r="AP31" s="295"/>
      <c r="AQ31" s="295"/>
      <c r="AR31" s="295"/>
      <c r="AS31" s="295"/>
      <c r="AT31" s="295"/>
      <c r="AU31" s="295"/>
    </row>
    <row r="32" spans="1:47" ht="17.25" hidden="1" customHeight="1">
      <c r="A32" s="461"/>
      <c r="B32" s="296"/>
      <c r="C32" s="297">
        <f t="shared" si="5"/>
        <v>85</v>
      </c>
      <c r="D32" s="297" t="str">
        <f t="array" ref="D32">IFERROR(IF(INDEX('Development-Hidden'!$A$2:$B$118,$C32,1)=$I$22,INDEX('Development-Hidden'!$A$2:$B$118,$C32,2),""),"")</f>
        <v>Blitzer</v>
      </c>
      <c r="E32" s="298"/>
      <c r="F32" s="298"/>
      <c r="G32" s="298"/>
      <c r="H32" s="298"/>
      <c r="I32" s="298"/>
      <c r="J32" s="299"/>
      <c r="K32" s="295"/>
      <c r="L32" s="300"/>
      <c r="M32" s="300"/>
      <c r="N32" s="300"/>
      <c r="O32" s="300"/>
      <c r="P32" s="300"/>
      <c r="Q32" s="300"/>
      <c r="R32" s="300"/>
      <c r="S32" s="300"/>
      <c r="T32" s="301"/>
      <c r="U32" s="302"/>
      <c r="V32" s="301"/>
      <c r="W32" s="303"/>
      <c r="X32" s="303"/>
      <c r="Y32" s="303"/>
      <c r="Z32" s="303"/>
      <c r="AA32" s="298"/>
      <c r="AB32" s="295"/>
      <c r="AC32" s="295"/>
      <c r="AD32" s="295"/>
      <c r="AE32" s="295"/>
      <c r="AF32" s="295"/>
      <c r="AG32" s="295"/>
      <c r="AH32" s="295"/>
      <c r="AI32" s="295"/>
      <c r="AJ32" s="295"/>
      <c r="AK32" s="295"/>
      <c r="AL32" s="295"/>
      <c r="AM32" s="295"/>
      <c r="AN32" s="295"/>
      <c r="AO32" s="295"/>
      <c r="AP32" s="295"/>
      <c r="AQ32" s="295"/>
      <c r="AR32" s="295"/>
      <c r="AS32" s="295"/>
      <c r="AT32" s="295"/>
      <c r="AU32" s="295"/>
    </row>
    <row r="33" spans="1:47" ht="17.25" hidden="1" customHeight="1">
      <c r="A33" s="461"/>
      <c r="B33" s="296"/>
      <c r="C33" s="297">
        <f t="shared" si="5"/>
        <v>86</v>
      </c>
      <c r="D33" s="297" t="str">
        <f t="array" ref="D33">IFERROR(IF(INDEX('Development-Hidden'!$A$2:$B$118,$C33,1)=$I$22,INDEX('Development-Hidden'!$A$2:$B$118,$C33,2),""),"")</f>
        <v>Troll</v>
      </c>
      <c r="E33" s="298"/>
      <c r="F33" s="298"/>
      <c r="G33" s="298"/>
      <c r="H33" s="298"/>
      <c r="I33" s="298"/>
      <c r="J33" s="299"/>
      <c r="K33" s="295"/>
      <c r="L33" s="300"/>
      <c r="M33" s="300"/>
      <c r="N33" s="300"/>
      <c r="O33" s="300"/>
      <c r="P33" s="300"/>
      <c r="Q33" s="300"/>
      <c r="R33" s="300"/>
      <c r="S33" s="300"/>
      <c r="T33" s="301"/>
      <c r="U33" s="302"/>
      <c r="V33" s="301"/>
      <c r="W33" s="303"/>
      <c r="X33" s="303"/>
      <c r="Y33" s="303"/>
      <c r="Z33" s="303"/>
      <c r="AA33" s="298"/>
      <c r="AB33" s="295"/>
      <c r="AC33" s="295"/>
      <c r="AD33" s="295"/>
      <c r="AE33" s="295"/>
      <c r="AF33" s="295"/>
      <c r="AG33" s="295"/>
      <c r="AH33" s="295"/>
      <c r="AI33" s="295"/>
      <c r="AJ33" s="295"/>
      <c r="AK33" s="295"/>
      <c r="AL33" s="295"/>
      <c r="AM33" s="295"/>
      <c r="AN33" s="295"/>
      <c r="AO33" s="295"/>
      <c r="AP33" s="295"/>
      <c r="AQ33" s="295"/>
      <c r="AR33" s="295"/>
      <c r="AS33" s="295"/>
      <c r="AT33" s="295"/>
      <c r="AU33" s="295"/>
    </row>
    <row r="34" spans="1:47" ht="17.25" hidden="1" customHeight="1">
      <c r="A34" s="461"/>
      <c r="B34" s="296"/>
      <c r="C34" s="297">
        <f t="shared" si="5"/>
        <v>87</v>
      </c>
      <c r="D34" s="297" t="str">
        <f t="array" ref="D34">IFERROR(IF(INDEX('Development-Hidden'!$A$2:$B$118,$C34,1)=$I$22,INDEX('Development-Hidden'!$A$2:$B$118,$C34,2),""),"")</f>
        <v/>
      </c>
      <c r="E34" s="298"/>
      <c r="F34" s="298"/>
      <c r="G34" s="298"/>
      <c r="H34" s="298"/>
      <c r="I34" s="298"/>
      <c r="J34" s="299"/>
      <c r="K34" s="295"/>
      <c r="L34" s="300"/>
      <c r="M34" s="300"/>
      <c r="N34" s="300"/>
      <c r="O34" s="300"/>
      <c r="P34" s="300"/>
      <c r="Q34" s="300"/>
      <c r="R34" s="300"/>
      <c r="S34" s="300"/>
      <c r="T34" s="301"/>
      <c r="U34" s="302"/>
      <c r="V34" s="301"/>
      <c r="W34" s="303"/>
      <c r="X34" s="303"/>
      <c r="Y34" s="303"/>
      <c r="Z34" s="303"/>
      <c r="AA34" s="298"/>
      <c r="AB34" s="295"/>
      <c r="AC34" s="295"/>
      <c r="AD34" s="295"/>
      <c r="AE34" s="295"/>
      <c r="AF34" s="295"/>
      <c r="AG34" s="295"/>
      <c r="AH34" s="295"/>
      <c r="AI34" s="295"/>
      <c r="AJ34" s="295"/>
      <c r="AK34" s="295"/>
      <c r="AL34" s="295"/>
      <c r="AM34" s="295"/>
      <c r="AN34" s="295"/>
      <c r="AO34" s="295"/>
      <c r="AP34" s="295"/>
      <c r="AQ34" s="295"/>
      <c r="AR34" s="295"/>
      <c r="AS34" s="295"/>
      <c r="AT34" s="295"/>
      <c r="AU34" s="295"/>
    </row>
    <row r="35" spans="1:47" ht="17.25" hidden="1" customHeight="1">
      <c r="A35" s="461"/>
      <c r="B35" s="296"/>
      <c r="C35" s="297">
        <f t="shared" si="5"/>
        <v>88</v>
      </c>
      <c r="D35" s="297" t="str">
        <f t="array" ref="D35">IFERROR(IF(INDEX('Development-Hidden'!$A$2:$B$118,$C35,1)=$I$22,INDEX('Development-Hidden'!$A$2:$B$118,$C35,2),""),"")</f>
        <v/>
      </c>
      <c r="E35" s="298"/>
      <c r="F35" s="298"/>
      <c r="G35" s="298"/>
      <c r="H35" s="298"/>
      <c r="I35" s="298"/>
      <c r="J35" s="299"/>
      <c r="K35" s="295"/>
      <c r="L35" s="300"/>
      <c r="M35" s="300"/>
      <c r="N35" s="300"/>
      <c r="O35" s="300"/>
      <c r="P35" s="300"/>
      <c r="Q35" s="300"/>
      <c r="R35" s="300"/>
      <c r="S35" s="300"/>
      <c r="T35" s="301"/>
      <c r="U35" s="302"/>
      <c r="V35" s="301"/>
      <c r="W35" s="303"/>
      <c r="X35" s="303"/>
      <c r="Y35" s="303"/>
      <c r="Z35" s="303"/>
      <c r="AA35" s="298"/>
      <c r="AB35" s="295"/>
      <c r="AC35" s="295"/>
      <c r="AD35" s="295"/>
      <c r="AE35" s="295"/>
      <c r="AF35" s="295"/>
      <c r="AG35" s="295"/>
      <c r="AH35" s="295"/>
      <c r="AI35" s="295"/>
      <c r="AJ35" s="295"/>
      <c r="AK35" s="295"/>
      <c r="AL35" s="295"/>
      <c r="AM35" s="295"/>
      <c r="AN35" s="295"/>
      <c r="AO35" s="295"/>
      <c r="AP35" s="295"/>
      <c r="AQ35" s="295"/>
      <c r="AR35" s="295"/>
      <c r="AS35" s="295"/>
      <c r="AT35" s="295"/>
      <c r="AU35" s="295"/>
    </row>
    <row r="36" spans="1:47" ht="17.25" hidden="1" customHeight="1">
      <c r="A36" s="461"/>
      <c r="B36" s="296"/>
      <c r="C36" s="297">
        <f t="shared" si="5"/>
        <v>89</v>
      </c>
      <c r="D36" s="297" t="str">
        <f t="array" ref="D36">IFERROR(IF(INDEX('Development-Hidden'!$A$2:$B$118,$C36,1)=$I$22,INDEX('Development-Hidden'!$A$2:$B$118,$C36,2),""),"")</f>
        <v/>
      </c>
      <c r="E36" s="298"/>
      <c r="F36" s="298"/>
      <c r="G36" s="298"/>
      <c r="H36" s="298"/>
      <c r="I36" s="298"/>
      <c r="J36" s="299"/>
      <c r="K36" s="295"/>
      <c r="L36" s="300"/>
      <c r="M36" s="300"/>
      <c r="N36" s="300"/>
      <c r="O36" s="300"/>
      <c r="P36" s="300"/>
      <c r="Q36" s="300"/>
      <c r="R36" s="300"/>
      <c r="S36" s="300"/>
      <c r="T36" s="301"/>
      <c r="U36" s="302"/>
      <c r="V36" s="301"/>
      <c r="W36" s="303"/>
      <c r="X36" s="303"/>
      <c r="Y36" s="303"/>
      <c r="Z36" s="303"/>
      <c r="AA36" s="298"/>
      <c r="AB36" s="295"/>
      <c r="AC36" s="295"/>
      <c r="AD36" s="295"/>
      <c r="AE36" s="295"/>
      <c r="AF36" s="295"/>
      <c r="AG36" s="295"/>
      <c r="AH36" s="295"/>
      <c r="AI36" s="295"/>
      <c r="AJ36" s="295"/>
      <c r="AK36" s="295"/>
      <c r="AL36" s="295"/>
      <c r="AM36" s="295"/>
      <c r="AN36" s="295"/>
      <c r="AO36" s="295"/>
      <c r="AP36" s="295"/>
      <c r="AQ36" s="295"/>
      <c r="AR36" s="295"/>
      <c r="AS36" s="295"/>
      <c r="AT36" s="295"/>
      <c r="AU36" s="295"/>
    </row>
    <row r="37" spans="1:47" ht="17.25" hidden="1" customHeight="1">
      <c r="A37" s="461"/>
      <c r="B37" s="296"/>
      <c r="C37" s="297">
        <f t="shared" si="5"/>
        <v>90</v>
      </c>
      <c r="D37" s="297" t="str">
        <f t="array" ref="D37">IFERROR(IF(INDEX('Development-Hidden'!$A$2:$B$118,$C37,1)=$I$22,INDEX('Development-Hidden'!$A$2:$B$118,$C37,2),""),"")</f>
        <v/>
      </c>
      <c r="E37" s="298"/>
      <c r="F37" s="298"/>
      <c r="G37" s="298"/>
      <c r="H37" s="298"/>
      <c r="I37" s="298"/>
      <c r="J37" s="299"/>
      <c r="K37" s="295"/>
      <c r="L37" s="300"/>
      <c r="M37" s="300"/>
      <c r="N37" s="300"/>
      <c r="O37" s="300"/>
      <c r="P37" s="300"/>
      <c r="Q37" s="300"/>
      <c r="R37" s="300"/>
      <c r="S37" s="300"/>
      <c r="T37" s="301"/>
      <c r="U37" s="302"/>
      <c r="V37" s="301"/>
      <c r="W37" s="303"/>
      <c r="X37" s="303"/>
      <c r="Y37" s="303"/>
      <c r="Z37" s="303"/>
      <c r="AA37" s="298"/>
      <c r="AB37" s="295"/>
      <c r="AC37" s="295"/>
      <c r="AD37" s="295"/>
      <c r="AE37" s="295"/>
      <c r="AF37" s="295"/>
      <c r="AG37" s="295"/>
      <c r="AH37" s="295"/>
      <c r="AI37" s="295"/>
      <c r="AJ37" s="295"/>
      <c r="AK37" s="295"/>
      <c r="AL37" s="295"/>
      <c r="AM37" s="295"/>
      <c r="AN37" s="295"/>
      <c r="AO37" s="295"/>
      <c r="AP37" s="295"/>
      <c r="AQ37" s="295"/>
      <c r="AR37" s="295"/>
      <c r="AS37" s="295"/>
      <c r="AT37" s="295"/>
      <c r="AU37" s="295"/>
    </row>
  </sheetData>
  <mergeCells count="27">
    <mergeCell ref="I23:K23"/>
    <mergeCell ref="I24:K24"/>
    <mergeCell ref="AL3:AO3"/>
    <mergeCell ref="P2:S2"/>
    <mergeCell ref="AP3:AT3"/>
    <mergeCell ref="V22:Z22"/>
    <mergeCell ref="I21:K21"/>
    <mergeCell ref="L21:S21"/>
    <mergeCell ref="V21:Z21"/>
    <mergeCell ref="L22:S22"/>
    <mergeCell ref="I22:K22"/>
    <mergeCell ref="B20:D26"/>
    <mergeCell ref="L24:S24"/>
    <mergeCell ref="E20:Z20"/>
    <mergeCell ref="E26:Z26"/>
    <mergeCell ref="AL21:AM21"/>
    <mergeCell ref="E22:H22"/>
    <mergeCell ref="E21:H21"/>
    <mergeCell ref="V25:Z25"/>
    <mergeCell ref="L25:S25"/>
    <mergeCell ref="E24:H24"/>
    <mergeCell ref="I25:K25"/>
    <mergeCell ref="E25:H25"/>
    <mergeCell ref="V24:Z24"/>
    <mergeCell ref="V23:Z23"/>
    <mergeCell ref="E23:H23"/>
    <mergeCell ref="L23:S23"/>
  </mergeCells>
  <conditionalFormatting sqref="AA4:AA19">
    <cfRule type="cellIs" dxfId="285" priority="1" operator="equal">
      <formula>0</formula>
    </cfRule>
  </conditionalFormatting>
  <conditionalFormatting sqref="J4">
    <cfRule type="expression" dxfId="284" priority="2">
      <formula>K4&lt;&gt;SUM(AD4:AI4)</formula>
    </cfRule>
  </conditionalFormatting>
  <conditionalFormatting sqref="I4:I19">
    <cfRule type="cellIs" dxfId="283" priority="3" stopIfTrue="1" operator="equal">
      <formula>"Player type quantity surpassed"</formula>
    </cfRule>
  </conditionalFormatting>
  <conditionalFormatting sqref="J5">
    <cfRule type="expression" dxfId="282" priority="4">
      <formula>K5&lt;&gt;SUM(AD5:AI5)</formula>
    </cfRule>
  </conditionalFormatting>
  <conditionalFormatting sqref="J6">
    <cfRule type="expression" dxfId="281" priority="5">
      <formula>K6&lt;&gt;SUM(AD6:AI6)</formula>
    </cfRule>
  </conditionalFormatting>
  <conditionalFormatting sqref="J7">
    <cfRule type="expression" dxfId="280" priority="6">
      <formula>K7&lt;&gt;SUM(AD7:AI7)</formula>
    </cfRule>
  </conditionalFormatting>
  <conditionalFormatting sqref="J8">
    <cfRule type="expression" dxfId="279" priority="7">
      <formula>K8&lt;&gt;SUM(AD8:AI8)</formula>
    </cfRule>
  </conditionalFormatting>
  <conditionalFormatting sqref="J9">
    <cfRule type="expression" dxfId="278" priority="8">
      <formula>K9&lt;&gt;SUM(AD9:AI9)</formula>
    </cfRule>
  </conditionalFormatting>
  <conditionalFormatting sqref="J10">
    <cfRule type="expression" dxfId="277" priority="9">
      <formula>K10&lt;&gt;SUM(AD10:AI10)</formula>
    </cfRule>
  </conditionalFormatting>
  <conditionalFormatting sqref="J11">
    <cfRule type="expression" dxfId="276" priority="10">
      <formula>K11&lt;&gt;SUM(AD11:AI11)</formula>
    </cfRule>
  </conditionalFormatting>
  <conditionalFormatting sqref="J12">
    <cfRule type="expression" dxfId="275" priority="11">
      <formula>K12&lt;&gt;SUM(AD12:AI12)</formula>
    </cfRule>
  </conditionalFormatting>
  <conditionalFormatting sqref="J13">
    <cfRule type="expression" dxfId="274" priority="12">
      <formula>K13&lt;&gt;SUM(AD13:AI13)</formula>
    </cfRule>
  </conditionalFormatting>
  <conditionalFormatting sqref="J14">
    <cfRule type="expression" dxfId="273" priority="13">
      <formula>K14&lt;&gt;SUM(AD14:AI14)</formula>
    </cfRule>
  </conditionalFormatting>
  <conditionalFormatting sqref="J15">
    <cfRule type="expression" dxfId="272" priority="14">
      <formula>K15&lt;&gt;SUM(AD15:AI15)</formula>
    </cfRule>
  </conditionalFormatting>
  <conditionalFormatting sqref="J16">
    <cfRule type="expression" dxfId="271" priority="15">
      <formula>K16&lt;&gt;SUM(AD16:AI16)</formula>
    </cfRule>
  </conditionalFormatting>
  <conditionalFormatting sqref="J17">
    <cfRule type="expression" dxfId="270" priority="16">
      <formula>K17&lt;&gt;SUM(AD17:AI17)</formula>
    </cfRule>
  </conditionalFormatting>
  <conditionalFormatting sqref="J18">
    <cfRule type="expression" dxfId="269" priority="17">
      <formula>K18&lt;&gt;SUM(AD18:AI18)</formula>
    </cfRule>
  </conditionalFormatting>
  <conditionalFormatting sqref="J19">
    <cfRule type="expression" dxfId="268" priority="18">
      <formula>K19&lt;&gt;SUM(AD19:AI19)</formula>
    </cfRule>
  </conditionalFormatting>
  <conditionalFormatting sqref="E4:H19">
    <cfRule type="expression" dxfId="267" priority="19">
      <formula>AF4&gt;0</formula>
    </cfRule>
  </conditionalFormatting>
  <conditionalFormatting sqref="E4:H19">
    <cfRule type="expression" dxfId="266" priority="20">
      <formula>P4&gt;0</formula>
    </cfRule>
  </conditionalFormatting>
  <conditionalFormatting sqref="I4:I19 T4:W19 Y4:Y19 U27:U37">
    <cfRule type="cellIs" dxfId="265" priority="21" stopIfTrue="1" operator="equal">
      <formula>0</formula>
    </cfRule>
  </conditionalFormatting>
  <conditionalFormatting sqref="AA27">
    <cfRule type="cellIs" dxfId="264" priority="22" stopIfTrue="1" operator="equal">
      <formula>"0,0"</formula>
    </cfRule>
  </conditionalFormatting>
  <conditionalFormatting sqref="K4:K19">
    <cfRule type="cellIs" dxfId="263" priority="23" operator="equal">
      <formula>0</formula>
    </cfRule>
  </conditionalFormatting>
  <conditionalFormatting sqref="P4:S19">
    <cfRule type="cellIs" dxfId="262" priority="24" stopIfTrue="1" operator="lessThanOrEqual">
      <formula>-1</formula>
    </cfRule>
  </conditionalFormatting>
  <conditionalFormatting sqref="V25:W25">
    <cfRule type="cellIs" dxfId="261" priority="25" stopIfTrue="1" operator="equal">
      <formula>-500</formula>
    </cfRule>
  </conditionalFormatting>
  <conditionalFormatting sqref="T25">
    <cfRule type="cellIs" dxfId="260" priority="26" stopIfTrue="1" operator="greaterThan">
      <formula>$V$25</formula>
    </cfRule>
  </conditionalFormatting>
  <conditionalFormatting sqref="Z4:Z19">
    <cfRule type="cellIs" dxfId="259" priority="27" stopIfTrue="1" operator="equal">
      <formula>"Star"</formula>
    </cfRule>
  </conditionalFormatting>
  <conditionalFormatting sqref="Z4:Z19">
    <cfRule type="cellIs" dxfId="258" priority="28" stopIfTrue="1" operator="equal">
      <formula>AA4</formula>
    </cfRule>
  </conditionalFormatting>
  <dataValidations count="2">
    <dataValidation type="list" allowBlank="1" showErrorMessage="1" sqref="I22">
      <formula1>'Development-Hidden'!$N$2:$N$28</formula1>
    </dataValidation>
    <dataValidation type="list" allowBlank="1" showErrorMessage="1" sqref="D4:D19">
      <formula1>'PP1'!$D$28:$D$37</formula1>
    </dataValidation>
  </dataValidations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U37"/>
  <sheetViews>
    <sheetView showGridLines="0" workbookViewId="0">
      <selection activeCell="E26" sqref="E26:Z26"/>
    </sheetView>
  </sheetViews>
  <sheetFormatPr defaultColWidth="14.42578125" defaultRowHeight="15.75" customHeight="1"/>
  <cols>
    <col min="1" max="1" width="1.85546875" style="139" customWidth="1"/>
    <col min="2" max="2" width="3.140625" style="139" customWidth="1"/>
    <col min="3" max="3" width="19.28515625" style="139" customWidth="1"/>
    <col min="4" max="4" width="21.28515625" style="139" customWidth="1"/>
    <col min="5" max="8" width="3.42578125" style="139" customWidth="1"/>
    <col min="9" max="9" width="30.85546875" style="139" customWidth="1"/>
    <col min="10" max="10" width="23" style="139" customWidth="1"/>
    <col min="11" max="11" width="1.85546875" style="139" customWidth="1"/>
    <col min="12" max="15" width="2.42578125" style="139" customWidth="1"/>
    <col min="16" max="19" width="2.7109375" style="139" customWidth="1"/>
    <col min="20" max="21" width="3.28515625" style="139" customWidth="1"/>
    <col min="22" max="22" width="2.42578125" style="139" customWidth="1"/>
    <col min="23" max="23" width="3.28515625" style="139" customWidth="1"/>
    <col min="24" max="24" width="2.7109375" style="139" customWidth="1"/>
    <col min="25" max="25" width="3.28515625" style="139" customWidth="1"/>
    <col min="26" max="26" width="4.42578125" style="139" customWidth="1"/>
    <col min="27" max="27" width="10.28515625" style="139" customWidth="1"/>
    <col min="28" max="28" width="5.5703125" style="139" customWidth="1"/>
    <col min="29" max="29" width="8.85546875" style="139" customWidth="1"/>
    <col min="30" max="35" width="4.140625" style="139" customWidth="1"/>
    <col min="36" max="36" width="12.28515625" style="139" customWidth="1"/>
    <col min="37" max="37" width="6.42578125" style="139" customWidth="1"/>
    <col min="38" max="38" width="12.7109375" style="139" customWidth="1"/>
    <col min="39" max="39" width="11.42578125" style="139" customWidth="1"/>
    <col min="40" max="41" width="10.7109375" style="139" customWidth="1"/>
    <col min="42" max="42" width="26.140625" style="139" customWidth="1"/>
    <col min="43" max="44" width="10.7109375" style="139" customWidth="1"/>
    <col min="45" max="45" width="12.28515625" style="139" customWidth="1"/>
    <col min="46" max="46" width="10.7109375" style="139" customWidth="1"/>
    <col min="47" max="47" width="2.28515625" style="139" customWidth="1"/>
    <col min="48" max="16384" width="14.42578125" style="139"/>
  </cols>
  <sheetData>
    <row r="1" spans="1:47" ht="9" customHeight="1">
      <c r="A1" s="136"/>
      <c r="B1" s="137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</row>
    <row r="2" spans="1:47" ht="9.75" customHeight="1">
      <c r="A2" s="136"/>
      <c r="B2" s="140"/>
      <c r="C2" s="140"/>
      <c r="D2" s="141"/>
      <c r="E2" s="140"/>
      <c r="F2" s="140"/>
      <c r="G2" s="140"/>
      <c r="H2" s="140"/>
      <c r="I2" s="140"/>
      <c r="J2" s="140"/>
      <c r="K2" s="136"/>
      <c r="L2" s="140"/>
      <c r="M2" s="140"/>
      <c r="N2" s="140"/>
      <c r="O2" s="140"/>
      <c r="P2" s="602" t="s">
        <v>218</v>
      </c>
      <c r="Q2" s="572"/>
      <c r="R2" s="572"/>
      <c r="S2" s="573"/>
      <c r="T2" s="142"/>
      <c r="U2" s="142"/>
      <c r="V2" s="142"/>
      <c r="W2" s="142"/>
      <c r="X2" s="143"/>
      <c r="Y2" s="142"/>
      <c r="Z2" s="140"/>
      <c r="AA2" s="140"/>
      <c r="AB2" s="136"/>
      <c r="AC2" s="140"/>
      <c r="AD2" s="140"/>
      <c r="AE2" s="140"/>
      <c r="AF2" s="144"/>
      <c r="AG2" s="140"/>
      <c r="AH2" s="140"/>
      <c r="AI2" s="140"/>
      <c r="AJ2" s="140"/>
      <c r="AK2" s="136"/>
      <c r="AL2" s="145"/>
      <c r="AM2" s="145"/>
      <c r="AN2" s="145"/>
      <c r="AO2" s="145"/>
      <c r="AP2" s="145"/>
      <c r="AQ2" s="145"/>
      <c r="AR2" s="145"/>
      <c r="AS2" s="145"/>
      <c r="AT2" s="145"/>
      <c r="AU2" s="145"/>
    </row>
    <row r="3" spans="1:47" ht="8.25" customHeight="1">
      <c r="A3" s="137"/>
      <c r="B3" s="146" t="s">
        <v>203</v>
      </c>
      <c r="C3" s="147" t="s">
        <v>32</v>
      </c>
      <c r="D3" s="148" t="s">
        <v>229</v>
      </c>
      <c r="E3" s="149" t="s">
        <v>206</v>
      </c>
      <c r="F3" s="150" t="s">
        <v>207</v>
      </c>
      <c r="G3" s="151" t="s">
        <v>208</v>
      </c>
      <c r="H3" s="152" t="s">
        <v>209</v>
      </c>
      <c r="I3" s="153" t="s">
        <v>230</v>
      </c>
      <c r="J3" s="152" t="s">
        <v>231</v>
      </c>
      <c r="K3" s="154" t="s">
        <v>203</v>
      </c>
      <c r="L3" s="155" t="s">
        <v>232</v>
      </c>
      <c r="M3" s="156" t="s">
        <v>233</v>
      </c>
      <c r="N3" s="156" t="s">
        <v>234</v>
      </c>
      <c r="O3" s="157" t="s">
        <v>235</v>
      </c>
      <c r="P3" s="158" t="s">
        <v>206</v>
      </c>
      <c r="Q3" s="159" t="s">
        <v>207</v>
      </c>
      <c r="R3" s="159" t="s">
        <v>208</v>
      </c>
      <c r="S3" s="160" t="s">
        <v>209</v>
      </c>
      <c r="T3" s="161" t="s">
        <v>236</v>
      </c>
      <c r="U3" s="156" t="s">
        <v>237</v>
      </c>
      <c r="V3" s="156" t="s">
        <v>210</v>
      </c>
      <c r="W3" s="156" t="s">
        <v>240</v>
      </c>
      <c r="X3" s="162" t="s">
        <v>35</v>
      </c>
      <c r="Y3" s="157" t="s">
        <v>211</v>
      </c>
      <c r="Z3" s="153" t="s">
        <v>212</v>
      </c>
      <c r="AA3" s="163" t="s">
        <v>241</v>
      </c>
      <c r="AB3" s="136"/>
      <c r="AC3" s="146" t="s">
        <v>242</v>
      </c>
      <c r="AD3" s="153" t="s">
        <v>233</v>
      </c>
      <c r="AE3" s="150" t="s">
        <v>243</v>
      </c>
      <c r="AF3" s="164" t="str">
        <f>"+MA"</f>
        <v>+MA</v>
      </c>
      <c r="AG3" s="150" t="str">
        <f>"+ST"</f>
        <v>+ST</v>
      </c>
      <c r="AH3" s="150" t="str">
        <f>"+AG"</f>
        <v>+AG</v>
      </c>
      <c r="AI3" s="150" t="str">
        <f>"+AV"</f>
        <v>+AV</v>
      </c>
      <c r="AJ3" s="163" t="s">
        <v>244</v>
      </c>
      <c r="AK3" s="136"/>
      <c r="AL3" s="601" t="s">
        <v>245</v>
      </c>
      <c r="AM3" s="575"/>
      <c r="AN3" s="575"/>
      <c r="AO3" s="575"/>
      <c r="AP3" s="603" t="s">
        <v>246</v>
      </c>
      <c r="AQ3" s="575"/>
      <c r="AR3" s="575"/>
      <c r="AS3" s="575"/>
      <c r="AT3" s="575"/>
      <c r="AU3" s="145"/>
    </row>
    <row r="4" spans="1:47" ht="15.75" customHeight="1">
      <c r="A4" s="137"/>
      <c r="B4" s="165">
        <v>1</v>
      </c>
      <c r="C4" s="166" t="s">
        <v>114</v>
      </c>
      <c r="D4" s="167" t="s">
        <v>58</v>
      </c>
      <c r="E4" s="168">
        <f>IFERROR(VLOOKUP($I$22&amp;$D4,'Development-Hidden'!$C$2:$J$118,4,FALSE)-P4+AF4,"")</f>
        <v>7</v>
      </c>
      <c r="F4" s="169">
        <f>IFERROR(VLOOKUP($I$22&amp;$D4,'Development-Hidden'!$C$2:$J$118,5,FALSE)-Q4+AG4,"")</f>
        <v>3</v>
      </c>
      <c r="G4" s="169">
        <f>IFERROR(VLOOKUP($I$22&amp;$D4,'Development-Hidden'!$C$2:$J$118,6,FALSE)-R4+AH4,"")</f>
        <v>4</v>
      </c>
      <c r="H4" s="170">
        <f>IFERROR(VLOOKUP($I$22&amp;$D4,'Development-Hidden'!$C$2:$J$118,7,FALSE)-S4+AI4,"")</f>
        <v>7</v>
      </c>
      <c r="I4" s="171">
        <f>IFERROR(VLOOKUP($I$22&amp;$D4,'Development-Hidden'!$C$2:$J$118,8,FALSE),"")</f>
        <v>0</v>
      </c>
      <c r="J4" s="172"/>
      <c r="K4" s="173">
        <f t="shared" ref="K4:K19" si="0">IF(Z4&gt;175,6,IF(Z4&gt;75,5,IF(Z4&gt;50,4,IF(Z4&gt;30,3,IF(Z4&gt;15,2,IF(Z4&gt;5,1,0))))))</f>
        <v>0</v>
      </c>
      <c r="L4" s="174">
        <v>1</v>
      </c>
      <c r="M4" s="174"/>
      <c r="N4" s="174"/>
      <c r="O4" s="175"/>
      <c r="P4" s="176"/>
      <c r="Q4" s="177"/>
      <c r="R4" s="177"/>
      <c r="S4" s="178"/>
      <c r="T4" s="179"/>
      <c r="U4" s="180"/>
      <c r="V4" s="180"/>
      <c r="W4" s="180">
        <v>1</v>
      </c>
      <c r="X4" s="177"/>
      <c r="Y4" s="181"/>
      <c r="Z4" s="182">
        <f t="shared" ref="Z4:Z19" si="1">2*T4+U4+3*V4+2*W4+5*Y4</f>
        <v>2</v>
      </c>
      <c r="AA4" s="183">
        <f t="shared" ref="AA4:AA19" si="2">IF(L4=1,0,AC4+(20000*O4)+(20000*AD4)+(30000*AE4)+(30000*AF4)+(50000*AG4)+(40000*AH4)+(50000*AI4)+AJ4)</f>
        <v>0</v>
      </c>
      <c r="AB4" s="136"/>
      <c r="AC4" s="184">
        <f>IFERROR(VLOOKUP($I$22&amp;D4,'Development-Hidden'!$C$2:$E$118,3,FALSE),"")</f>
        <v>70000</v>
      </c>
      <c r="AD4" s="179"/>
      <c r="AE4" s="180"/>
      <c r="AF4" s="180"/>
      <c r="AG4" s="180"/>
      <c r="AH4" s="180"/>
      <c r="AI4" s="180"/>
      <c r="AJ4" s="185"/>
      <c r="AK4" s="136"/>
      <c r="AL4" s="186" t="s">
        <v>252</v>
      </c>
      <c r="AM4" s="187">
        <v>0</v>
      </c>
      <c r="AN4" s="136"/>
      <c r="AO4" s="136"/>
      <c r="AP4" s="188"/>
      <c r="AQ4" s="189"/>
      <c r="AR4" s="189"/>
      <c r="AS4" s="186" t="s">
        <v>253</v>
      </c>
      <c r="AT4" s="304">
        <v>2</v>
      </c>
      <c r="AU4" s="191"/>
    </row>
    <row r="5" spans="1:47" ht="15.75" customHeight="1">
      <c r="A5" s="137"/>
      <c r="B5" s="192">
        <v>2</v>
      </c>
      <c r="C5" s="193" t="s">
        <v>116</v>
      </c>
      <c r="D5" s="194" t="s">
        <v>58</v>
      </c>
      <c r="E5" s="195">
        <f>IFERROR(VLOOKUP($I$22&amp;$D5,'Development-Hidden'!$C$2:$J$118,4,FALSE)-P5+AF5,"")</f>
        <v>7</v>
      </c>
      <c r="F5" s="196">
        <f>IFERROR(VLOOKUP($I$22&amp;$D5,'Development-Hidden'!$C$2:$J$118,5,FALSE)-Q5+AG5,"")</f>
        <v>3</v>
      </c>
      <c r="G5" s="196">
        <f>IFERROR(VLOOKUP($I$22&amp;$D5,'Development-Hidden'!$C$2:$J$118,6,FALSE)-R5+AH5,"")</f>
        <v>4</v>
      </c>
      <c r="H5" s="197">
        <f>IFERROR(VLOOKUP($I$22&amp;$D5,'Development-Hidden'!$C$2:$J$118,7,FALSE)-S5+AI5,"")</f>
        <v>7</v>
      </c>
      <c r="I5" s="198">
        <f>IFERROR(VLOOKUP($I$22&amp;$D5,'Development-Hidden'!$C$2:$J$118,8,FALSE),"")</f>
        <v>0</v>
      </c>
      <c r="J5" s="199"/>
      <c r="K5" s="200">
        <f t="shared" si="0"/>
        <v>0</v>
      </c>
      <c r="L5" s="201"/>
      <c r="M5" s="201"/>
      <c r="N5" s="201"/>
      <c r="O5" s="202"/>
      <c r="P5" s="203"/>
      <c r="Q5" s="204"/>
      <c r="R5" s="204"/>
      <c r="S5" s="205"/>
      <c r="T5" s="206"/>
      <c r="U5" s="207"/>
      <c r="V5" s="207">
        <v>1</v>
      </c>
      <c r="W5" s="207"/>
      <c r="X5" s="204"/>
      <c r="Y5" s="208"/>
      <c r="Z5" s="209">
        <f t="shared" si="1"/>
        <v>3</v>
      </c>
      <c r="AA5" s="183">
        <f t="shared" si="2"/>
        <v>70000</v>
      </c>
      <c r="AB5" s="136"/>
      <c r="AC5" s="210">
        <f>IFERROR(VLOOKUP($I$22&amp;D5,'Development-Hidden'!$C$2:$E$118,3,FALSE),"")</f>
        <v>70000</v>
      </c>
      <c r="AD5" s="206"/>
      <c r="AE5" s="207"/>
      <c r="AF5" s="207"/>
      <c r="AG5" s="207"/>
      <c r="AH5" s="207"/>
      <c r="AI5" s="207"/>
      <c r="AJ5" s="211"/>
      <c r="AK5" s="136"/>
      <c r="AL5" s="212" t="s">
        <v>256</v>
      </c>
      <c r="AM5" s="213" t="s">
        <v>257</v>
      </c>
      <c r="AN5" s="214" t="s">
        <v>258</v>
      </c>
      <c r="AO5" s="215" t="s">
        <v>259</v>
      </c>
      <c r="AP5" s="216" t="s">
        <v>260</v>
      </c>
      <c r="AQ5" s="214" t="s">
        <v>261</v>
      </c>
      <c r="AR5" s="217" t="s">
        <v>33</v>
      </c>
      <c r="AS5" s="217" t="s">
        <v>262</v>
      </c>
      <c r="AT5" s="218" t="s">
        <v>221</v>
      </c>
      <c r="AU5" s="144"/>
    </row>
    <row r="6" spans="1:47" ht="15.75" customHeight="1">
      <c r="A6" s="137"/>
      <c r="B6" s="192">
        <v>3</v>
      </c>
      <c r="C6" s="193" t="s">
        <v>118</v>
      </c>
      <c r="D6" s="194" t="s">
        <v>58</v>
      </c>
      <c r="E6" s="195">
        <f>IFERROR(VLOOKUP($I$22&amp;$D6,'Development-Hidden'!$C$2:$J$118,4,FALSE)-P6+AF6,"")</f>
        <v>7</v>
      </c>
      <c r="F6" s="196">
        <f>IFERROR(VLOOKUP($I$22&amp;$D6,'Development-Hidden'!$C$2:$J$118,5,FALSE)-Q6+AG6,"")</f>
        <v>3</v>
      </c>
      <c r="G6" s="196">
        <f>IFERROR(VLOOKUP($I$22&amp;$D6,'Development-Hidden'!$C$2:$J$118,6,FALSE)-R6+AH6,"")</f>
        <v>4</v>
      </c>
      <c r="H6" s="197">
        <f>IFERROR(VLOOKUP($I$22&amp;$D6,'Development-Hidden'!$C$2:$J$118,7,FALSE)-S6+AI6,"")</f>
        <v>7</v>
      </c>
      <c r="I6" s="198">
        <f>IFERROR(VLOOKUP($I$22&amp;$D6,'Development-Hidden'!$C$2:$J$118,8,FALSE),"")</f>
        <v>0</v>
      </c>
      <c r="J6" s="199"/>
      <c r="K6" s="200">
        <f t="shared" si="0"/>
        <v>0</v>
      </c>
      <c r="L6" s="201"/>
      <c r="M6" s="201"/>
      <c r="N6" s="201"/>
      <c r="O6" s="202"/>
      <c r="P6" s="203"/>
      <c r="Q6" s="204"/>
      <c r="R6" s="204"/>
      <c r="S6" s="205"/>
      <c r="T6" s="206"/>
      <c r="U6" s="207">
        <v>1</v>
      </c>
      <c r="V6" s="207"/>
      <c r="W6" s="207"/>
      <c r="X6" s="204"/>
      <c r="Y6" s="208"/>
      <c r="Z6" s="209">
        <f t="shared" si="1"/>
        <v>1</v>
      </c>
      <c r="AA6" s="183">
        <f t="shared" si="2"/>
        <v>70000</v>
      </c>
      <c r="AB6" s="136"/>
      <c r="AC6" s="210">
        <f>IFERROR(VLOOKUP($I$22&amp;D6,'Development-Hidden'!$C$2:$E$118,3,FALSE),"")</f>
        <v>70000</v>
      </c>
      <c r="AD6" s="206"/>
      <c r="AE6" s="207"/>
      <c r="AF6" s="207"/>
      <c r="AG6" s="207"/>
      <c r="AH6" s="207"/>
      <c r="AI6" s="207"/>
      <c r="AJ6" s="211"/>
      <c r="AK6" s="136"/>
      <c r="AL6" s="219" t="s">
        <v>267</v>
      </c>
      <c r="AM6" s="220">
        <v>70000</v>
      </c>
      <c r="AN6" s="221"/>
      <c r="AO6" s="222"/>
      <c r="AP6" s="223" t="s">
        <v>15</v>
      </c>
      <c r="AQ6" s="221" t="s">
        <v>407</v>
      </c>
      <c r="AR6" s="224">
        <v>4</v>
      </c>
      <c r="AS6" s="225">
        <v>2</v>
      </c>
      <c r="AT6" s="463">
        <v>1</v>
      </c>
      <c r="AU6" s="136"/>
    </row>
    <row r="7" spans="1:47" ht="15.75" customHeight="1">
      <c r="A7" s="137"/>
      <c r="B7" s="192">
        <v>4</v>
      </c>
      <c r="C7" s="193" t="s">
        <v>351</v>
      </c>
      <c r="D7" s="194" t="s">
        <v>58</v>
      </c>
      <c r="E7" s="195">
        <f>IFERROR(VLOOKUP($I$22&amp;$D7,'Development-Hidden'!$C$2:$J$118,4,FALSE)-P7+AF7,"")</f>
        <v>7</v>
      </c>
      <c r="F7" s="196">
        <f>IFERROR(VLOOKUP($I$22&amp;$D7,'Development-Hidden'!$C$2:$J$118,5,FALSE)-Q7+AG7,"")</f>
        <v>3</v>
      </c>
      <c r="G7" s="196">
        <f>IFERROR(VLOOKUP($I$22&amp;$D7,'Development-Hidden'!$C$2:$J$118,6,FALSE)-R7+AH7,"")</f>
        <v>4</v>
      </c>
      <c r="H7" s="197">
        <f>IFERROR(VLOOKUP($I$22&amp;$D7,'Development-Hidden'!$C$2:$J$118,7,FALSE)-S7+AI7,"")</f>
        <v>7</v>
      </c>
      <c r="I7" s="198">
        <f>IFERROR(VLOOKUP($I$22&amp;$D7,'Development-Hidden'!$C$2:$J$118,8,FALSE),"")</f>
        <v>0</v>
      </c>
      <c r="J7" s="199"/>
      <c r="K7" s="200">
        <f t="shared" si="0"/>
        <v>0</v>
      </c>
      <c r="L7" s="201"/>
      <c r="M7" s="201"/>
      <c r="N7" s="201"/>
      <c r="O7" s="202"/>
      <c r="P7" s="203"/>
      <c r="Q7" s="204"/>
      <c r="R7" s="204"/>
      <c r="S7" s="205"/>
      <c r="T7" s="206"/>
      <c r="U7" s="207"/>
      <c r="V7" s="207"/>
      <c r="W7" s="207"/>
      <c r="X7" s="204"/>
      <c r="Y7" s="208"/>
      <c r="Z7" s="209">
        <f t="shared" si="1"/>
        <v>0</v>
      </c>
      <c r="AA7" s="183">
        <f t="shared" si="2"/>
        <v>70000</v>
      </c>
      <c r="AB7" s="136"/>
      <c r="AC7" s="210">
        <f>IFERROR(VLOOKUP($I$22&amp;D7,'Development-Hidden'!$C$2:$E$118,3,FALSE),"")</f>
        <v>70000</v>
      </c>
      <c r="AD7" s="206"/>
      <c r="AE7" s="207"/>
      <c r="AF7" s="207"/>
      <c r="AG7" s="207"/>
      <c r="AH7" s="207"/>
      <c r="AI7" s="207"/>
      <c r="AJ7" s="211"/>
      <c r="AK7" s="136"/>
      <c r="AL7" s="227" t="s">
        <v>278</v>
      </c>
      <c r="AM7" s="228">
        <v>60000</v>
      </c>
      <c r="AN7" s="229"/>
      <c r="AO7" s="230"/>
      <c r="AP7" s="231" t="s">
        <v>17</v>
      </c>
      <c r="AQ7" s="229" t="s">
        <v>361</v>
      </c>
      <c r="AR7" s="232">
        <v>1</v>
      </c>
      <c r="AS7" s="233">
        <v>1</v>
      </c>
      <c r="AT7" s="464">
        <v>0</v>
      </c>
      <c r="AU7" s="136"/>
    </row>
    <row r="8" spans="1:47" ht="15.75" customHeight="1">
      <c r="A8" s="137"/>
      <c r="B8" s="192">
        <v>5</v>
      </c>
      <c r="C8" s="193" t="s">
        <v>352</v>
      </c>
      <c r="D8" s="194" t="s">
        <v>58</v>
      </c>
      <c r="E8" s="195">
        <f>IFERROR(VLOOKUP($I$22&amp;$D8,'Development-Hidden'!$C$2:$J$118,4,FALSE)-P8+AF8,"")</f>
        <v>7</v>
      </c>
      <c r="F8" s="196">
        <f>IFERROR(VLOOKUP($I$22&amp;$D8,'Development-Hidden'!$C$2:$J$118,5,FALSE)-Q8+AG8,"")</f>
        <v>3</v>
      </c>
      <c r="G8" s="196">
        <f>IFERROR(VLOOKUP($I$22&amp;$D8,'Development-Hidden'!$C$2:$J$118,6,FALSE)-R8+AH8,"")</f>
        <v>4</v>
      </c>
      <c r="H8" s="197">
        <f>IFERROR(VLOOKUP($I$22&amp;$D8,'Development-Hidden'!$C$2:$J$118,7,FALSE)-S8+AI8,"")</f>
        <v>7</v>
      </c>
      <c r="I8" s="198">
        <f>IFERROR(VLOOKUP($I$22&amp;$D8,'Development-Hidden'!$C$2:$J$118,8,FALSE),"")</f>
        <v>0</v>
      </c>
      <c r="J8" s="199"/>
      <c r="K8" s="200">
        <f t="shared" si="0"/>
        <v>0</v>
      </c>
      <c r="L8" s="201"/>
      <c r="M8" s="201"/>
      <c r="N8" s="201"/>
      <c r="O8" s="202"/>
      <c r="P8" s="203"/>
      <c r="Q8" s="204"/>
      <c r="R8" s="204"/>
      <c r="S8" s="205"/>
      <c r="T8" s="206"/>
      <c r="U8" s="207"/>
      <c r="V8" s="207"/>
      <c r="W8" s="207"/>
      <c r="X8" s="204"/>
      <c r="Y8" s="208">
        <v>1</v>
      </c>
      <c r="Z8" s="209">
        <f t="shared" si="1"/>
        <v>5</v>
      </c>
      <c r="AA8" s="183">
        <f t="shared" si="2"/>
        <v>70000</v>
      </c>
      <c r="AB8" s="136"/>
      <c r="AC8" s="210">
        <f>IFERROR(VLOOKUP($I$22&amp;D8,'Development-Hidden'!$C$2:$E$118,3,FALSE),"")</f>
        <v>70000</v>
      </c>
      <c r="AD8" s="206"/>
      <c r="AE8" s="207"/>
      <c r="AF8" s="207"/>
      <c r="AG8" s="207"/>
      <c r="AH8" s="207"/>
      <c r="AI8" s="207"/>
      <c r="AJ8" s="211"/>
      <c r="AK8" s="136"/>
      <c r="AL8" s="227" t="s">
        <v>289</v>
      </c>
      <c r="AM8" s="228">
        <v>30000</v>
      </c>
      <c r="AN8" s="229"/>
      <c r="AO8" s="230"/>
      <c r="AP8" s="231" t="s">
        <v>47</v>
      </c>
      <c r="AQ8" s="229" t="s">
        <v>361</v>
      </c>
      <c r="AR8" s="232">
        <v>0</v>
      </c>
      <c r="AS8" s="233">
        <v>0</v>
      </c>
      <c r="AT8" s="464">
        <v>0</v>
      </c>
      <c r="AU8" s="136"/>
    </row>
    <row r="9" spans="1:47" ht="15.75" customHeight="1">
      <c r="A9" s="137"/>
      <c r="B9" s="192">
        <v>6</v>
      </c>
      <c r="C9" s="193" t="s">
        <v>120</v>
      </c>
      <c r="D9" s="194" t="s">
        <v>58</v>
      </c>
      <c r="E9" s="195">
        <f>IFERROR(VLOOKUP($I$22&amp;$D9,'Development-Hidden'!$C$2:$J$118,4,FALSE)-P9+AF9,"")</f>
        <v>7</v>
      </c>
      <c r="F9" s="196">
        <f>IFERROR(VLOOKUP($I$22&amp;$D9,'Development-Hidden'!$C$2:$J$118,5,FALSE)-Q9+AG9,"")</f>
        <v>3</v>
      </c>
      <c r="G9" s="196">
        <f>IFERROR(VLOOKUP($I$22&amp;$D9,'Development-Hidden'!$C$2:$J$118,6,FALSE)-R9+AH9,"")</f>
        <v>4</v>
      </c>
      <c r="H9" s="197">
        <f>IFERROR(VLOOKUP($I$22&amp;$D9,'Development-Hidden'!$C$2:$J$118,7,FALSE)-S9+AI9,"")</f>
        <v>7</v>
      </c>
      <c r="I9" s="198">
        <f>IFERROR(VLOOKUP($I$22&amp;$D9,'Development-Hidden'!$C$2:$J$118,8,FALSE),"")</f>
        <v>0</v>
      </c>
      <c r="J9" s="199"/>
      <c r="K9" s="200">
        <f t="shared" si="0"/>
        <v>0</v>
      </c>
      <c r="L9" s="201"/>
      <c r="M9" s="201"/>
      <c r="N9" s="201"/>
      <c r="O9" s="202"/>
      <c r="P9" s="203"/>
      <c r="Q9" s="204"/>
      <c r="R9" s="204"/>
      <c r="S9" s="205"/>
      <c r="T9" s="206"/>
      <c r="U9" s="207"/>
      <c r="V9" s="207"/>
      <c r="W9" s="207">
        <v>1</v>
      </c>
      <c r="X9" s="204"/>
      <c r="Y9" s="208"/>
      <c r="Z9" s="209">
        <f t="shared" si="1"/>
        <v>2</v>
      </c>
      <c r="AA9" s="183">
        <f t="shared" si="2"/>
        <v>70000</v>
      </c>
      <c r="AB9" s="136"/>
      <c r="AC9" s="210">
        <f>IFERROR(VLOOKUP($I$22&amp;D9,'Development-Hidden'!$C$2:$E$118,3,FALSE),"")</f>
        <v>70000</v>
      </c>
      <c r="AD9" s="206"/>
      <c r="AE9" s="207"/>
      <c r="AF9" s="207"/>
      <c r="AG9" s="207"/>
      <c r="AH9" s="207"/>
      <c r="AI9" s="207"/>
      <c r="AJ9" s="211"/>
      <c r="AK9" s="136"/>
      <c r="AL9" s="227" t="s">
        <v>296</v>
      </c>
      <c r="AM9" s="228"/>
      <c r="AN9" s="229"/>
      <c r="AO9" s="230"/>
      <c r="AP9" s="231"/>
      <c r="AQ9" s="229"/>
      <c r="AR9" s="232"/>
      <c r="AS9" s="233"/>
      <c r="AT9" s="464"/>
      <c r="AU9" s="136"/>
    </row>
    <row r="10" spans="1:47" ht="15.75" customHeight="1">
      <c r="A10" s="137"/>
      <c r="B10" s="192">
        <v>7</v>
      </c>
      <c r="C10" s="193" t="s">
        <v>353</v>
      </c>
      <c r="D10" s="194" t="s">
        <v>58</v>
      </c>
      <c r="E10" s="195">
        <f>IFERROR(VLOOKUP($I$22&amp;$D10,'Development-Hidden'!$C$2:$J$118,4,FALSE)-P10+AF10,"")</f>
        <v>7</v>
      </c>
      <c r="F10" s="196">
        <f>IFERROR(VLOOKUP($I$22&amp;$D10,'Development-Hidden'!$C$2:$J$118,5,FALSE)-Q10+AG10,"")</f>
        <v>3</v>
      </c>
      <c r="G10" s="196">
        <f>IFERROR(VLOOKUP($I$22&amp;$D10,'Development-Hidden'!$C$2:$J$118,6,FALSE)-R10+AH10,"")</f>
        <v>4</v>
      </c>
      <c r="H10" s="197">
        <f>IFERROR(VLOOKUP($I$22&amp;$D10,'Development-Hidden'!$C$2:$J$118,7,FALSE)-S10+AI10,"")</f>
        <v>7</v>
      </c>
      <c r="I10" s="198">
        <f>IFERROR(VLOOKUP($I$22&amp;$D10,'Development-Hidden'!$C$2:$J$118,8,FALSE),"")</f>
        <v>0</v>
      </c>
      <c r="J10" s="199"/>
      <c r="K10" s="200">
        <f t="shared" si="0"/>
        <v>0</v>
      </c>
      <c r="L10" s="201">
        <v>1</v>
      </c>
      <c r="M10" s="201">
        <v>1</v>
      </c>
      <c r="N10" s="201"/>
      <c r="O10" s="202"/>
      <c r="P10" s="203"/>
      <c r="Q10" s="204"/>
      <c r="R10" s="204"/>
      <c r="S10" s="205"/>
      <c r="T10" s="206"/>
      <c r="U10" s="207"/>
      <c r="V10" s="207"/>
      <c r="W10" s="207"/>
      <c r="X10" s="204"/>
      <c r="Y10" s="208"/>
      <c r="Z10" s="209">
        <f t="shared" si="1"/>
        <v>0</v>
      </c>
      <c r="AA10" s="183">
        <f t="shared" si="2"/>
        <v>0</v>
      </c>
      <c r="AB10" s="136"/>
      <c r="AC10" s="210">
        <f>IFERROR(VLOOKUP($I$22&amp;D10,'Development-Hidden'!$C$2:$E$118,3,FALSE),"")</f>
        <v>70000</v>
      </c>
      <c r="AD10" s="206"/>
      <c r="AE10" s="207"/>
      <c r="AF10" s="207"/>
      <c r="AG10" s="207"/>
      <c r="AH10" s="207"/>
      <c r="AI10" s="207"/>
      <c r="AJ10" s="211"/>
      <c r="AK10" s="136"/>
      <c r="AL10" s="227" t="s">
        <v>306</v>
      </c>
      <c r="AM10" s="228"/>
      <c r="AN10" s="229"/>
      <c r="AO10" s="230"/>
      <c r="AP10" s="231"/>
      <c r="AQ10" s="229"/>
      <c r="AR10" s="232"/>
      <c r="AS10" s="233"/>
      <c r="AT10" s="464"/>
      <c r="AU10" s="136"/>
    </row>
    <row r="11" spans="1:47" ht="15.75" customHeight="1">
      <c r="A11" s="137"/>
      <c r="B11" s="192">
        <v>8</v>
      </c>
      <c r="C11" s="193" t="s">
        <v>121</v>
      </c>
      <c r="D11" s="194" t="s">
        <v>42</v>
      </c>
      <c r="E11" s="195">
        <f>IFERROR(VLOOKUP($I$22&amp;$D11,'Development-Hidden'!$C$2:$J$118,4,FALSE)-P11+AF11,"")</f>
        <v>8</v>
      </c>
      <c r="F11" s="196">
        <f>IFERROR(VLOOKUP($I$22&amp;$D11,'Development-Hidden'!$C$2:$J$118,5,FALSE)-Q11+AG11,"")</f>
        <v>2</v>
      </c>
      <c r="G11" s="196">
        <f>IFERROR(VLOOKUP($I$22&amp;$D11,'Development-Hidden'!$C$2:$J$118,6,FALSE)-R11+AH11,"")</f>
        <v>4</v>
      </c>
      <c r="H11" s="197">
        <f>IFERROR(VLOOKUP($I$22&amp;$D11,'Development-Hidden'!$C$2:$J$118,7,FALSE)-S11+AI11,"")</f>
        <v>7</v>
      </c>
      <c r="I11" s="198" t="str">
        <f>IFERROR(VLOOKUP($I$22&amp;$D11,'Development-Hidden'!$C$2:$J$118,8,FALSE),"")</f>
        <v>Catch, Dodge, Sprint</v>
      </c>
      <c r="J11" s="199" t="s">
        <v>277</v>
      </c>
      <c r="K11" s="200">
        <f t="shared" si="0"/>
        <v>1</v>
      </c>
      <c r="L11" s="201"/>
      <c r="M11" s="201"/>
      <c r="N11" s="201"/>
      <c r="O11" s="202"/>
      <c r="P11" s="203"/>
      <c r="Q11" s="204"/>
      <c r="R11" s="204"/>
      <c r="S11" s="205"/>
      <c r="T11" s="206"/>
      <c r="U11" s="207"/>
      <c r="V11" s="207">
        <v>2</v>
      </c>
      <c r="W11" s="207"/>
      <c r="X11" s="204"/>
      <c r="Y11" s="208"/>
      <c r="Z11" s="209">
        <f t="shared" si="1"/>
        <v>6</v>
      </c>
      <c r="AA11" s="183">
        <f t="shared" si="2"/>
        <v>110000</v>
      </c>
      <c r="AB11" s="136"/>
      <c r="AC11" s="210">
        <f>IFERROR(VLOOKUP($I$22&amp;D11,'Development-Hidden'!$C$2:$E$118,3,FALSE),"")</f>
        <v>90000</v>
      </c>
      <c r="AD11" s="206">
        <v>1</v>
      </c>
      <c r="AE11" s="207"/>
      <c r="AF11" s="207"/>
      <c r="AG11" s="207"/>
      <c r="AH11" s="207"/>
      <c r="AI11" s="207"/>
      <c r="AJ11" s="211"/>
      <c r="AK11" s="136"/>
      <c r="AL11" s="227" t="s">
        <v>316</v>
      </c>
      <c r="AM11" s="228"/>
      <c r="AN11" s="229"/>
      <c r="AO11" s="230"/>
      <c r="AP11" s="231"/>
      <c r="AQ11" s="229"/>
      <c r="AR11" s="232"/>
      <c r="AS11" s="233"/>
      <c r="AT11" s="464"/>
      <c r="AU11" s="136"/>
    </row>
    <row r="12" spans="1:47" ht="15.75" customHeight="1">
      <c r="A12" s="137"/>
      <c r="B12" s="192">
        <v>9</v>
      </c>
      <c r="C12" s="193" t="s">
        <v>67</v>
      </c>
      <c r="D12" s="194" t="s">
        <v>42</v>
      </c>
      <c r="E12" s="195">
        <f>IFERROR(VLOOKUP($I$22&amp;$D12,'Development-Hidden'!$C$2:$J$118,4,FALSE)-P12+AF12,"")</f>
        <v>8</v>
      </c>
      <c r="F12" s="196">
        <f>IFERROR(VLOOKUP($I$22&amp;$D12,'Development-Hidden'!$C$2:$J$118,5,FALSE)-Q12+AG12,"")</f>
        <v>2</v>
      </c>
      <c r="G12" s="196">
        <f>IFERROR(VLOOKUP($I$22&amp;$D12,'Development-Hidden'!$C$2:$J$118,6,FALSE)-R12+AH12,"")</f>
        <v>4</v>
      </c>
      <c r="H12" s="197">
        <f>IFERROR(VLOOKUP($I$22&amp;$D12,'Development-Hidden'!$C$2:$J$118,7,FALSE)-S12+AI12,"")</f>
        <v>7</v>
      </c>
      <c r="I12" s="198" t="str">
        <f>IFERROR(VLOOKUP($I$22&amp;$D12,'Development-Hidden'!$C$2:$J$118,8,FALSE),"")</f>
        <v>Catch, Dodge, Sprint</v>
      </c>
      <c r="J12" s="199" t="s">
        <v>509</v>
      </c>
      <c r="K12" s="200">
        <f t="shared" si="0"/>
        <v>1</v>
      </c>
      <c r="L12" s="201"/>
      <c r="M12" s="201"/>
      <c r="N12" s="201"/>
      <c r="O12" s="202"/>
      <c r="P12" s="203"/>
      <c r="Q12" s="204"/>
      <c r="R12" s="204"/>
      <c r="S12" s="205"/>
      <c r="T12" s="206"/>
      <c r="U12" s="207"/>
      <c r="V12" s="207">
        <v>1</v>
      </c>
      <c r="W12" s="207"/>
      <c r="X12" s="204"/>
      <c r="Y12" s="208">
        <v>1</v>
      </c>
      <c r="Z12" s="209">
        <f t="shared" si="1"/>
        <v>8</v>
      </c>
      <c r="AA12" s="183">
        <f t="shared" si="2"/>
        <v>110000</v>
      </c>
      <c r="AB12" s="136"/>
      <c r="AC12" s="210">
        <f>IFERROR(VLOOKUP($I$22&amp;D12,'Development-Hidden'!$C$2:$E$118,3,FALSE),"")</f>
        <v>90000</v>
      </c>
      <c r="AD12" s="206">
        <v>1</v>
      </c>
      <c r="AE12" s="207"/>
      <c r="AF12" s="207"/>
      <c r="AG12" s="207"/>
      <c r="AH12" s="207"/>
      <c r="AI12" s="207"/>
      <c r="AJ12" s="211"/>
      <c r="AK12" s="136"/>
      <c r="AL12" s="227" t="s">
        <v>330</v>
      </c>
      <c r="AM12" s="228"/>
      <c r="AN12" s="229"/>
      <c r="AO12" s="230"/>
      <c r="AP12" s="231"/>
      <c r="AQ12" s="229"/>
      <c r="AR12" s="232"/>
      <c r="AS12" s="233"/>
      <c r="AT12" s="464"/>
      <c r="AU12" s="136"/>
    </row>
    <row r="13" spans="1:47" ht="15.75" customHeight="1">
      <c r="A13" s="137"/>
      <c r="B13" s="192">
        <v>10</v>
      </c>
      <c r="C13" s="193"/>
      <c r="D13" s="194"/>
      <c r="E13" s="195" t="str">
        <f>IFERROR(VLOOKUP($I$22&amp;$D13,'Development-Hidden'!$C$2:$J$118,4,FALSE)-P13+AF13,"")</f>
        <v/>
      </c>
      <c r="F13" s="196" t="str">
        <f>IFERROR(VLOOKUP($I$22&amp;$D13,'Development-Hidden'!$C$2:$J$118,5,FALSE)-Q13+AG13,"")</f>
        <v/>
      </c>
      <c r="G13" s="196" t="str">
        <f>IFERROR(VLOOKUP($I$22&amp;$D13,'Development-Hidden'!$C$2:$J$118,6,FALSE)-R13+AH13,"")</f>
        <v/>
      </c>
      <c r="H13" s="197" t="str">
        <f>IFERROR(VLOOKUP($I$22&amp;$D13,'Development-Hidden'!$C$2:$J$118,7,FALSE)-S13+AI13,"")</f>
        <v/>
      </c>
      <c r="I13" s="198" t="str">
        <f>IFERROR(VLOOKUP($I$22&amp;$D13,'Development-Hidden'!$C$2:$J$118,8,FALSE),"")</f>
        <v/>
      </c>
      <c r="J13" s="199"/>
      <c r="K13" s="200">
        <f t="shared" si="0"/>
        <v>0</v>
      </c>
      <c r="L13" s="201"/>
      <c r="M13" s="201"/>
      <c r="N13" s="201"/>
      <c r="O13" s="202"/>
      <c r="P13" s="203"/>
      <c r="Q13" s="204"/>
      <c r="R13" s="204"/>
      <c r="S13" s="205"/>
      <c r="T13" s="206"/>
      <c r="U13" s="207"/>
      <c r="V13" s="207"/>
      <c r="W13" s="207"/>
      <c r="X13" s="204"/>
      <c r="Y13" s="208"/>
      <c r="Z13" s="209">
        <f t="shared" si="1"/>
        <v>0</v>
      </c>
      <c r="AA13" s="183">
        <f t="shared" si="2"/>
        <v>0</v>
      </c>
      <c r="AB13" s="136"/>
      <c r="AC13" s="210" t="str">
        <f>IFERROR(VLOOKUP($I$22&amp;D13,'Development-Hidden'!$C$2:$E$118,3,FALSE),"0")</f>
        <v>0</v>
      </c>
      <c r="AD13" s="206"/>
      <c r="AE13" s="207"/>
      <c r="AF13" s="207"/>
      <c r="AG13" s="207"/>
      <c r="AH13" s="207"/>
      <c r="AI13" s="207"/>
      <c r="AJ13" s="211"/>
      <c r="AK13" s="136"/>
      <c r="AL13" s="227" t="s">
        <v>342</v>
      </c>
      <c r="AM13" s="228"/>
      <c r="AN13" s="229"/>
      <c r="AO13" s="230"/>
      <c r="AP13" s="231"/>
      <c r="AQ13" s="229"/>
      <c r="AR13" s="232"/>
      <c r="AS13" s="233"/>
      <c r="AT13" s="464"/>
      <c r="AU13" s="136"/>
    </row>
    <row r="14" spans="1:47" ht="15.75" customHeight="1">
      <c r="A14" s="137"/>
      <c r="B14" s="192">
        <v>11</v>
      </c>
      <c r="C14" s="193"/>
      <c r="D14" s="194"/>
      <c r="E14" s="195" t="str">
        <f>IFERROR(VLOOKUP($I$22&amp;$D14,'Development-Hidden'!$C$2:$J$118,4,FALSE)-P14+AF14,"")</f>
        <v/>
      </c>
      <c r="F14" s="196" t="str">
        <f>IFERROR(VLOOKUP($I$22&amp;$D14,'Development-Hidden'!$C$2:$J$118,5,FALSE)-Q14+AG14,"")</f>
        <v/>
      </c>
      <c r="G14" s="196" t="str">
        <f>IFERROR(VLOOKUP($I$22&amp;$D14,'Development-Hidden'!$C$2:$J$118,6,FALSE)-R14+AH14,"")</f>
        <v/>
      </c>
      <c r="H14" s="197" t="str">
        <f>IFERROR(VLOOKUP($I$22&amp;$D14,'Development-Hidden'!$C$2:$J$118,7,FALSE)-S14+AI14,"")</f>
        <v/>
      </c>
      <c r="I14" s="198" t="str">
        <f>IFERROR(VLOOKUP($I$22&amp;$D14,'Development-Hidden'!$C$2:$J$118,8,FALSE),"")</f>
        <v/>
      </c>
      <c r="J14" s="199"/>
      <c r="K14" s="200">
        <f t="shared" si="0"/>
        <v>0</v>
      </c>
      <c r="L14" s="201"/>
      <c r="M14" s="201"/>
      <c r="N14" s="201"/>
      <c r="O14" s="202"/>
      <c r="P14" s="203"/>
      <c r="Q14" s="204"/>
      <c r="R14" s="204"/>
      <c r="S14" s="205"/>
      <c r="T14" s="206"/>
      <c r="U14" s="207"/>
      <c r="V14" s="207"/>
      <c r="W14" s="207"/>
      <c r="X14" s="204"/>
      <c r="Y14" s="208"/>
      <c r="Z14" s="209">
        <f t="shared" si="1"/>
        <v>0</v>
      </c>
      <c r="AA14" s="183">
        <f t="shared" si="2"/>
        <v>0</v>
      </c>
      <c r="AB14" s="136"/>
      <c r="AC14" s="210" t="str">
        <f>IFERROR(VLOOKUP($I$22&amp;D14,'Development-Hidden'!$C$2:$E$118,3,FALSE),"0")</f>
        <v>0</v>
      </c>
      <c r="AD14" s="206"/>
      <c r="AE14" s="207"/>
      <c r="AF14" s="207"/>
      <c r="AG14" s="207"/>
      <c r="AH14" s="207"/>
      <c r="AI14" s="207"/>
      <c r="AJ14" s="211"/>
      <c r="AK14" s="136"/>
      <c r="AL14" s="227" t="s">
        <v>354</v>
      </c>
      <c r="AM14" s="228"/>
      <c r="AN14" s="229"/>
      <c r="AO14" s="230"/>
      <c r="AP14" s="231"/>
      <c r="AQ14" s="229"/>
      <c r="AR14" s="232"/>
      <c r="AS14" s="233"/>
      <c r="AT14" s="464"/>
      <c r="AU14" s="136"/>
    </row>
    <row r="15" spans="1:47" ht="15.75" customHeight="1">
      <c r="A15" s="137"/>
      <c r="B15" s="192">
        <v>12</v>
      </c>
      <c r="C15" s="193"/>
      <c r="D15" s="194"/>
      <c r="E15" s="195" t="str">
        <f>IFERROR(VLOOKUP($I$22&amp;$D15,'Development-Hidden'!$C$2:$J$118,4,FALSE)-P15+AF15,"")</f>
        <v/>
      </c>
      <c r="F15" s="196" t="str">
        <f>IFERROR(VLOOKUP($I$22&amp;$D15,'Development-Hidden'!$C$2:$J$118,5,FALSE)-Q15+AG15,"")</f>
        <v/>
      </c>
      <c r="G15" s="196" t="str">
        <f>IFERROR(VLOOKUP($I$22&amp;$D15,'Development-Hidden'!$C$2:$J$118,6,FALSE)-R15+AH15,"")</f>
        <v/>
      </c>
      <c r="H15" s="197" t="str">
        <f>IFERROR(VLOOKUP($I$22&amp;$D15,'Development-Hidden'!$C$2:$J$118,7,FALSE)-S15+AI15,"")</f>
        <v/>
      </c>
      <c r="I15" s="198" t="str">
        <f>IFERROR(VLOOKUP($I$22&amp;$D15,'Development-Hidden'!$C$2:$J$118,8,FALSE),"")</f>
        <v/>
      </c>
      <c r="J15" s="199"/>
      <c r="K15" s="200">
        <f t="shared" si="0"/>
        <v>0</v>
      </c>
      <c r="L15" s="201"/>
      <c r="M15" s="201"/>
      <c r="N15" s="201"/>
      <c r="O15" s="202"/>
      <c r="P15" s="203"/>
      <c r="Q15" s="204"/>
      <c r="R15" s="204"/>
      <c r="S15" s="205"/>
      <c r="T15" s="206"/>
      <c r="U15" s="207"/>
      <c r="V15" s="207"/>
      <c r="W15" s="207"/>
      <c r="X15" s="204"/>
      <c r="Y15" s="208"/>
      <c r="Z15" s="209">
        <f t="shared" si="1"/>
        <v>0</v>
      </c>
      <c r="AA15" s="183">
        <f t="shared" si="2"/>
        <v>0</v>
      </c>
      <c r="AB15" s="136"/>
      <c r="AC15" s="210" t="str">
        <f>IFERROR(VLOOKUP($I$22&amp;D15,'Development-Hidden'!$C$2:$E$118,3,FALSE),"0")</f>
        <v>0</v>
      </c>
      <c r="AD15" s="206"/>
      <c r="AE15" s="207"/>
      <c r="AF15" s="207"/>
      <c r="AG15" s="207"/>
      <c r="AH15" s="207"/>
      <c r="AI15" s="207"/>
      <c r="AJ15" s="211"/>
      <c r="AK15" s="136"/>
      <c r="AL15" s="227" t="s">
        <v>355</v>
      </c>
      <c r="AM15" s="228"/>
      <c r="AN15" s="229"/>
      <c r="AO15" s="230"/>
      <c r="AP15" s="231"/>
      <c r="AQ15" s="229"/>
      <c r="AR15" s="232"/>
      <c r="AS15" s="233"/>
      <c r="AT15" s="464"/>
      <c r="AU15" s="136"/>
    </row>
    <row r="16" spans="1:47" ht="15.75" customHeight="1">
      <c r="A16" s="137"/>
      <c r="B16" s="192">
        <v>13</v>
      </c>
      <c r="C16" s="193" t="s">
        <v>124</v>
      </c>
      <c r="D16" s="194" t="s">
        <v>83</v>
      </c>
      <c r="E16" s="195">
        <f>IFERROR(VLOOKUP($I$22&amp;$D16,'Development-Hidden'!$C$2:$J$118,4,FALSE)-P16+AF16,"")</f>
        <v>7</v>
      </c>
      <c r="F16" s="196">
        <f>IFERROR(VLOOKUP($I$22&amp;$D16,'Development-Hidden'!$C$2:$J$118,5,FALSE)-Q16+AG16,"")</f>
        <v>3</v>
      </c>
      <c r="G16" s="196">
        <f>IFERROR(VLOOKUP($I$22&amp;$D16,'Development-Hidden'!$C$2:$J$118,6,FALSE)-R16+AH16,"")</f>
        <v>4</v>
      </c>
      <c r="H16" s="197">
        <f>IFERROR(VLOOKUP($I$22&amp;$D16,'Development-Hidden'!$C$2:$J$118,7,FALSE)-S16+AI16,"")</f>
        <v>7</v>
      </c>
      <c r="I16" s="198" t="str">
        <f>IFERROR(VLOOKUP($I$22&amp;$D16,'Development-Hidden'!$C$2:$J$118,8,FALSE),"")</f>
        <v>Pass</v>
      </c>
      <c r="J16" s="199" t="s">
        <v>377</v>
      </c>
      <c r="K16" s="200">
        <f t="shared" si="0"/>
        <v>1</v>
      </c>
      <c r="L16" s="201"/>
      <c r="M16" s="201"/>
      <c r="N16" s="201"/>
      <c r="O16" s="202"/>
      <c r="P16" s="203"/>
      <c r="Q16" s="204"/>
      <c r="R16" s="204"/>
      <c r="S16" s="205"/>
      <c r="T16" s="206"/>
      <c r="U16" s="207"/>
      <c r="V16" s="207">
        <v>1</v>
      </c>
      <c r="W16" s="207"/>
      <c r="X16" s="204"/>
      <c r="Y16" s="208">
        <v>1</v>
      </c>
      <c r="Z16" s="209">
        <f t="shared" si="1"/>
        <v>8</v>
      </c>
      <c r="AA16" s="183">
        <f t="shared" si="2"/>
        <v>120000</v>
      </c>
      <c r="AB16" s="136"/>
      <c r="AC16" s="210">
        <f>IFERROR(VLOOKUP($I$22&amp;D16,'Development-Hidden'!$C$2:$E$118,3,FALSE),"")</f>
        <v>90000</v>
      </c>
      <c r="AD16" s="206"/>
      <c r="AE16" s="207">
        <v>1</v>
      </c>
      <c r="AF16" s="207"/>
      <c r="AG16" s="207"/>
      <c r="AH16" s="207"/>
      <c r="AI16" s="207"/>
      <c r="AJ16" s="211"/>
      <c r="AK16" s="136"/>
      <c r="AL16" s="227" t="s">
        <v>357</v>
      </c>
      <c r="AM16" s="228"/>
      <c r="AN16" s="229"/>
      <c r="AO16" s="230"/>
      <c r="AP16" s="231"/>
      <c r="AQ16" s="229"/>
      <c r="AR16" s="232"/>
      <c r="AS16" s="233"/>
      <c r="AT16" s="464"/>
      <c r="AU16" s="136"/>
    </row>
    <row r="17" spans="1:47" ht="15.75" customHeight="1">
      <c r="A17" s="137"/>
      <c r="B17" s="192">
        <v>14</v>
      </c>
      <c r="C17" s="193"/>
      <c r="D17" s="194"/>
      <c r="E17" s="195" t="str">
        <f>IFERROR(VLOOKUP($I$22&amp;$D17,'Development-Hidden'!$C$2:$J$118,4,FALSE)-P17+AF17,"")</f>
        <v/>
      </c>
      <c r="F17" s="196" t="str">
        <f>IFERROR(VLOOKUP($I$22&amp;$D17,'Development-Hidden'!$C$2:$J$118,5,FALSE)-Q17+AG17,"")</f>
        <v/>
      </c>
      <c r="G17" s="196" t="str">
        <f>IFERROR(VLOOKUP($I$22&amp;$D17,'Development-Hidden'!$C$2:$J$118,6,FALSE)-R17+AH17,"")</f>
        <v/>
      </c>
      <c r="H17" s="197" t="str">
        <f>IFERROR(VLOOKUP($I$22&amp;$D17,'Development-Hidden'!$C$2:$J$118,7,FALSE)-S17+AI17,"")</f>
        <v/>
      </c>
      <c r="I17" s="198" t="str">
        <f>IFERROR(VLOOKUP($I$22&amp;$D17,'Development-Hidden'!$C$2:$J$118,8,FALSE),"")</f>
        <v/>
      </c>
      <c r="J17" s="199"/>
      <c r="K17" s="200">
        <f t="shared" si="0"/>
        <v>0</v>
      </c>
      <c r="L17" s="201"/>
      <c r="M17" s="201"/>
      <c r="N17" s="201"/>
      <c r="O17" s="202"/>
      <c r="P17" s="203"/>
      <c r="Q17" s="204"/>
      <c r="R17" s="204"/>
      <c r="S17" s="205"/>
      <c r="T17" s="206"/>
      <c r="U17" s="207"/>
      <c r="V17" s="207"/>
      <c r="W17" s="207"/>
      <c r="X17" s="204"/>
      <c r="Y17" s="208"/>
      <c r="Z17" s="209">
        <f t="shared" si="1"/>
        <v>0</v>
      </c>
      <c r="AA17" s="183">
        <f t="shared" si="2"/>
        <v>0</v>
      </c>
      <c r="AB17" s="136"/>
      <c r="AC17" s="210" t="str">
        <f>IFERROR(VLOOKUP($I$22&amp;D17,'Development-Hidden'!$C$2:$E$118,3,FALSE),"0")</f>
        <v>0</v>
      </c>
      <c r="AD17" s="206"/>
      <c r="AE17" s="207"/>
      <c r="AF17" s="207"/>
      <c r="AG17" s="207"/>
      <c r="AH17" s="207"/>
      <c r="AI17" s="207"/>
      <c r="AJ17" s="211"/>
      <c r="AK17" s="136"/>
      <c r="AL17" s="235" t="s">
        <v>359</v>
      </c>
      <c r="AM17" s="236"/>
      <c r="AN17" s="237"/>
      <c r="AO17" s="238"/>
      <c r="AP17" s="239"/>
      <c r="AQ17" s="237"/>
      <c r="AR17" s="240"/>
      <c r="AS17" s="241"/>
      <c r="AT17" s="478"/>
      <c r="AU17" s="136"/>
    </row>
    <row r="18" spans="1:47" ht="15.75" customHeight="1">
      <c r="A18" s="137"/>
      <c r="B18" s="192">
        <v>15</v>
      </c>
      <c r="C18" s="193" t="s">
        <v>125</v>
      </c>
      <c r="D18" s="194" t="s">
        <v>126</v>
      </c>
      <c r="E18" s="195">
        <f>IFERROR(VLOOKUP($I$22&amp;$D18,'Development-Hidden'!$C$2:$J$118,4,FALSE)-P18+AF18,"")</f>
        <v>8</v>
      </c>
      <c r="F18" s="196">
        <f>IFERROR(VLOOKUP($I$22&amp;$D18,'Development-Hidden'!$C$2:$J$118,5,FALSE)-Q18+AG18,"")</f>
        <v>3</v>
      </c>
      <c r="G18" s="196">
        <f>IFERROR(VLOOKUP($I$22&amp;$D18,'Development-Hidden'!$C$2:$J$118,6,FALSE)-R18+AH18,"")</f>
        <v>4</v>
      </c>
      <c r="H18" s="197">
        <f>IFERROR(VLOOKUP($I$22&amp;$D18,'Development-Hidden'!$C$2:$J$118,7,FALSE)-S18+AI18,"")</f>
        <v>6</v>
      </c>
      <c r="I18" s="198" t="str">
        <f>IFERROR(VLOOKUP($I$22&amp;$D18,'Development-Hidden'!$C$2:$J$118,8,FALSE),"")</f>
        <v>Block, Dodge, Leap</v>
      </c>
      <c r="J18" s="199"/>
      <c r="K18" s="200">
        <f t="shared" si="0"/>
        <v>0</v>
      </c>
      <c r="L18" s="201">
        <v>1</v>
      </c>
      <c r="M18" s="201"/>
      <c r="N18" s="201"/>
      <c r="O18" s="202"/>
      <c r="P18" s="203"/>
      <c r="Q18" s="204"/>
      <c r="R18" s="204"/>
      <c r="S18" s="205">
        <v>1</v>
      </c>
      <c r="T18" s="206"/>
      <c r="U18" s="207"/>
      <c r="V18" s="207"/>
      <c r="W18" s="207">
        <v>1</v>
      </c>
      <c r="X18" s="204"/>
      <c r="Y18" s="208"/>
      <c r="Z18" s="209">
        <f t="shared" si="1"/>
        <v>2</v>
      </c>
      <c r="AA18" s="183">
        <f t="shared" si="2"/>
        <v>0</v>
      </c>
      <c r="AB18" s="136"/>
      <c r="AC18" s="210">
        <f>IFERROR(VLOOKUP($I$22&amp;D18,'Development-Hidden'!$C$2:$E$118,3,FALSE),"")</f>
        <v>120000</v>
      </c>
      <c r="AD18" s="206"/>
      <c r="AE18" s="207"/>
      <c r="AF18" s="207"/>
      <c r="AG18" s="207"/>
      <c r="AH18" s="207"/>
      <c r="AI18" s="207"/>
      <c r="AJ18" s="211"/>
      <c r="AK18" s="136"/>
      <c r="AL18" s="243" t="s">
        <v>219</v>
      </c>
      <c r="AM18" s="244">
        <f>AM4+SUM(AM6:AM17)-SUM(AN6:AN17)-SUM(AO6:AO17)</f>
        <v>160000</v>
      </c>
      <c r="AN18" s="136"/>
      <c r="AO18" s="136"/>
      <c r="AP18" s="189"/>
      <c r="AQ18" s="243" t="s">
        <v>219</v>
      </c>
      <c r="AR18" s="245">
        <f t="shared" ref="AR18:AS18" si="3">SUM(AR6:AR17)</f>
        <v>5</v>
      </c>
      <c r="AS18" s="246">
        <f t="shared" si="3"/>
        <v>3</v>
      </c>
      <c r="AT18" s="247">
        <f>AT4+SUM(AT6:AT17)</f>
        <v>3</v>
      </c>
      <c r="AU18" s="140"/>
    </row>
    <row r="19" spans="1:47" ht="15.75" customHeight="1">
      <c r="A19" s="137"/>
      <c r="B19" s="248">
        <v>16</v>
      </c>
      <c r="C19" s="249"/>
      <c r="D19" s="250"/>
      <c r="E19" s="251" t="str">
        <f>IFERROR(VLOOKUP($I$22&amp;$D19,'Development-Hidden'!$C$2:$J$118,4,FALSE)-P19+AF19,"")</f>
        <v/>
      </c>
      <c r="F19" s="252" t="str">
        <f>IFERROR(VLOOKUP($I$22&amp;$D19,'Development-Hidden'!$C$2:$J$118,5,FALSE)-Q19+AG19,"")</f>
        <v/>
      </c>
      <c r="G19" s="252" t="str">
        <f>IFERROR(VLOOKUP($I$22&amp;$D19,'Development-Hidden'!$C$2:$J$118,6,FALSE)-R19+AH19,"")</f>
        <v/>
      </c>
      <c r="H19" s="253" t="str">
        <f>IFERROR(VLOOKUP($I$22&amp;$D19,'Development-Hidden'!$C$2:$J$118,7,FALSE)-S19+AI19,"")</f>
        <v/>
      </c>
      <c r="I19" s="254" t="str">
        <f>IFERROR(VLOOKUP($I$22&amp;$D19,'Development-Hidden'!$C$2:$J$118,8,FALSE),"")</f>
        <v/>
      </c>
      <c r="J19" s="255"/>
      <c r="K19" s="256">
        <f t="shared" si="0"/>
        <v>0</v>
      </c>
      <c r="L19" s="257"/>
      <c r="M19" s="257"/>
      <c r="N19" s="257"/>
      <c r="O19" s="258"/>
      <c r="P19" s="259"/>
      <c r="Q19" s="260"/>
      <c r="R19" s="260"/>
      <c r="S19" s="261"/>
      <c r="T19" s="262"/>
      <c r="U19" s="263"/>
      <c r="V19" s="263"/>
      <c r="W19" s="263"/>
      <c r="X19" s="260"/>
      <c r="Y19" s="264"/>
      <c r="Z19" s="265">
        <f t="shared" si="1"/>
        <v>0</v>
      </c>
      <c r="AA19" s="183">
        <f t="shared" si="2"/>
        <v>0</v>
      </c>
      <c r="AB19" s="136"/>
      <c r="AC19" s="210" t="str">
        <f>IFERROR(VLOOKUP($I$22&amp;D19,'Development-Hidden'!$C$2:$E$118,3,FALSE),"0")</f>
        <v>0</v>
      </c>
      <c r="AD19" s="267"/>
      <c r="AE19" s="268"/>
      <c r="AF19" s="268"/>
      <c r="AG19" s="268"/>
      <c r="AH19" s="268"/>
      <c r="AI19" s="268"/>
      <c r="AJ19" s="269"/>
      <c r="AK19" s="136"/>
    </row>
    <row r="20" spans="1:47" ht="15.75" customHeight="1">
      <c r="B20" s="634"/>
      <c r="C20" s="572"/>
      <c r="D20" s="573"/>
      <c r="E20" s="586" t="s">
        <v>364</v>
      </c>
      <c r="F20" s="587"/>
      <c r="G20" s="587"/>
      <c r="H20" s="587"/>
      <c r="I20" s="587"/>
      <c r="J20" s="587"/>
      <c r="K20" s="587"/>
      <c r="L20" s="587"/>
      <c r="M20" s="587"/>
      <c r="N20" s="587"/>
      <c r="O20" s="587"/>
      <c r="P20" s="587"/>
      <c r="Q20" s="587"/>
      <c r="R20" s="587"/>
      <c r="S20" s="587"/>
      <c r="T20" s="587"/>
      <c r="U20" s="587"/>
      <c r="V20" s="587"/>
      <c r="W20" s="587"/>
      <c r="X20" s="587"/>
      <c r="Y20" s="587"/>
      <c r="Z20" s="588"/>
      <c r="AA20" s="270">
        <f>SUM(AA4:AA19)</f>
        <v>690000</v>
      </c>
      <c r="AB20" s="136"/>
      <c r="AC20" s="136"/>
      <c r="AD20" s="136"/>
      <c r="AE20" s="136"/>
      <c r="AF20" s="136"/>
      <c r="AG20" s="136"/>
      <c r="AH20" s="136"/>
      <c r="AI20" s="136"/>
      <c r="AJ20" s="136"/>
      <c r="AK20" s="136"/>
      <c r="AL20" s="189"/>
      <c r="AM20" s="189"/>
      <c r="AN20" s="189"/>
      <c r="AO20" s="189"/>
      <c r="AP20" s="189"/>
      <c r="AQ20" s="189"/>
      <c r="AR20" s="189"/>
      <c r="AS20" s="189"/>
      <c r="AT20" s="189"/>
      <c r="AU20" s="189"/>
    </row>
    <row r="21" spans="1:47" ht="15.75" customHeight="1">
      <c r="A21" s="137"/>
      <c r="B21" s="574"/>
      <c r="C21" s="575"/>
      <c r="D21" s="576"/>
      <c r="E21" s="580" t="s">
        <v>365</v>
      </c>
      <c r="F21" s="581"/>
      <c r="G21" s="581"/>
      <c r="H21" s="581"/>
      <c r="I21" s="589" t="s">
        <v>19</v>
      </c>
      <c r="J21" s="581"/>
      <c r="K21" s="590"/>
      <c r="L21" s="584" t="s">
        <v>366</v>
      </c>
      <c r="M21" s="581"/>
      <c r="N21" s="581"/>
      <c r="O21" s="581"/>
      <c r="P21" s="581"/>
      <c r="Q21" s="581"/>
      <c r="R21" s="581"/>
      <c r="S21" s="585"/>
      <c r="T21" s="271">
        <v>2</v>
      </c>
      <c r="U21" s="272" t="s">
        <v>220</v>
      </c>
      <c r="V21" s="580">
        <f>IFERROR(VLOOKUP(I22,'Development-Hidden'!N2:O28,2,FALSE),"")</f>
        <v>50000</v>
      </c>
      <c r="W21" s="581"/>
      <c r="X21" s="581"/>
      <c r="Y21" s="581"/>
      <c r="Z21" s="590"/>
      <c r="AA21" s="273">
        <f t="shared" ref="AA21:AA25" si="4">T21*V21</f>
        <v>100000</v>
      </c>
      <c r="AB21" s="136"/>
      <c r="AC21" s="136" t="s">
        <v>511</v>
      </c>
      <c r="AD21" s="136"/>
      <c r="AE21" s="136"/>
      <c r="AF21" s="136"/>
      <c r="AG21" s="136"/>
      <c r="AH21" s="136"/>
      <c r="AI21" s="136"/>
      <c r="AJ21" s="136"/>
      <c r="AK21" s="136"/>
      <c r="AL21" s="604" t="s">
        <v>367</v>
      </c>
      <c r="AM21" s="588"/>
      <c r="AN21" s="136"/>
      <c r="AO21" s="136"/>
      <c r="AP21" s="136"/>
      <c r="AQ21" s="136"/>
      <c r="AR21" s="136"/>
      <c r="AS21" s="136"/>
      <c r="AT21" s="136"/>
      <c r="AU21" s="136"/>
    </row>
    <row r="22" spans="1:47" ht="15.75" customHeight="1">
      <c r="A22" s="137"/>
      <c r="B22" s="574"/>
      <c r="C22" s="575"/>
      <c r="D22" s="576"/>
      <c r="E22" s="582" t="s">
        <v>368</v>
      </c>
      <c r="F22" s="583"/>
      <c r="G22" s="583"/>
      <c r="H22" s="583"/>
      <c r="I22" s="598" t="s">
        <v>512</v>
      </c>
      <c r="J22" s="583"/>
      <c r="K22" s="597"/>
      <c r="L22" s="591" t="s">
        <v>369</v>
      </c>
      <c r="M22" s="583"/>
      <c r="N22" s="583"/>
      <c r="O22" s="583"/>
      <c r="P22" s="583"/>
      <c r="Q22" s="583"/>
      <c r="R22" s="583"/>
      <c r="S22" s="592"/>
      <c r="T22" s="498">
        <f>AT18</f>
        <v>3</v>
      </c>
      <c r="U22" s="275" t="s">
        <v>220</v>
      </c>
      <c r="V22" s="582">
        <v>10000</v>
      </c>
      <c r="W22" s="583"/>
      <c r="X22" s="583"/>
      <c r="Y22" s="583"/>
      <c r="Z22" s="597"/>
      <c r="AA22" s="276">
        <f t="shared" si="4"/>
        <v>30000</v>
      </c>
      <c r="AB22" s="136"/>
      <c r="AC22" s="459" t="s">
        <v>42</v>
      </c>
      <c r="AD22" s="499" t="s">
        <v>513</v>
      </c>
      <c r="AE22" s="499" t="s">
        <v>514</v>
      </c>
      <c r="AF22" s="136" t="s">
        <v>277</v>
      </c>
      <c r="AG22" s="136" t="s">
        <v>509</v>
      </c>
      <c r="AH22" s="136"/>
      <c r="AI22" s="136"/>
      <c r="AJ22" s="136"/>
      <c r="AK22" s="136"/>
      <c r="AL22" s="277" t="s">
        <v>370</v>
      </c>
      <c r="AM22" s="278">
        <f>AM18</f>
        <v>160000</v>
      </c>
      <c r="AN22" s="136"/>
      <c r="AO22" s="136"/>
      <c r="AP22" s="136"/>
      <c r="AQ22" s="136"/>
      <c r="AR22" s="136"/>
      <c r="AS22" s="136"/>
      <c r="AT22" s="136"/>
      <c r="AU22" s="136"/>
    </row>
    <row r="23" spans="1:47" ht="15.75" customHeight="1">
      <c r="A23" s="137"/>
      <c r="B23" s="574"/>
      <c r="C23" s="575"/>
      <c r="D23" s="576"/>
      <c r="E23" s="582" t="str">
        <f>IFERROR(IF(VLOOKUP(I22,'Development-Hidden'!X2:Y28,2,FALSE)="Yes","NECROMANCER","HEAD COACH"),"HEAD COACH")</f>
        <v>HEAD COACH</v>
      </c>
      <c r="F23" s="583"/>
      <c r="G23" s="583"/>
      <c r="H23" s="583"/>
      <c r="I23" s="598" t="s">
        <v>4</v>
      </c>
      <c r="J23" s="583"/>
      <c r="K23" s="597"/>
      <c r="L23" s="591" t="s">
        <v>371</v>
      </c>
      <c r="M23" s="583"/>
      <c r="N23" s="583"/>
      <c r="O23" s="583"/>
      <c r="P23" s="583"/>
      <c r="Q23" s="583"/>
      <c r="R23" s="583"/>
      <c r="S23" s="592"/>
      <c r="T23" s="274">
        <v>0</v>
      </c>
      <c r="U23" s="275" t="s">
        <v>220</v>
      </c>
      <c r="V23" s="582">
        <v>10000</v>
      </c>
      <c r="W23" s="583"/>
      <c r="X23" s="583"/>
      <c r="Y23" s="583"/>
      <c r="Z23" s="597"/>
      <c r="AA23" s="276">
        <f t="shared" si="4"/>
        <v>0</v>
      </c>
      <c r="AB23" s="136"/>
      <c r="AC23" s="500" t="s">
        <v>58</v>
      </c>
      <c r="AD23" s="499" t="s">
        <v>513</v>
      </c>
      <c r="AE23" s="499" t="s">
        <v>514</v>
      </c>
      <c r="AF23" s="136" t="s">
        <v>277</v>
      </c>
      <c r="AG23" s="136" t="s">
        <v>291</v>
      </c>
      <c r="AH23" s="136" t="s">
        <v>509</v>
      </c>
      <c r="AI23" s="136" t="s">
        <v>399</v>
      </c>
      <c r="AJ23" s="136"/>
      <c r="AK23" s="136"/>
      <c r="AL23" s="279" t="s">
        <v>372</v>
      </c>
      <c r="AM23" s="280">
        <f>COUNTA(AP6:AP17)*10000</f>
        <v>30000</v>
      </c>
      <c r="AN23" s="136"/>
      <c r="AO23" s="136"/>
      <c r="AP23" s="136"/>
      <c r="AQ23" s="136"/>
      <c r="AR23" s="136"/>
      <c r="AS23" s="136"/>
      <c r="AT23" s="136"/>
      <c r="AU23" s="136"/>
    </row>
    <row r="24" spans="1:47" ht="15.75" customHeight="1">
      <c r="A24" s="137"/>
      <c r="B24" s="574"/>
      <c r="C24" s="575"/>
      <c r="D24" s="576"/>
      <c r="E24" s="582" t="s">
        <v>373</v>
      </c>
      <c r="F24" s="583"/>
      <c r="G24" s="583"/>
      <c r="H24" s="583"/>
      <c r="I24" s="599">
        <f>AA20+AA26</f>
        <v>820000</v>
      </c>
      <c r="J24" s="583"/>
      <c r="K24" s="597"/>
      <c r="L24" s="591" t="s">
        <v>375</v>
      </c>
      <c r="M24" s="583"/>
      <c r="N24" s="583"/>
      <c r="O24" s="583"/>
      <c r="P24" s="583"/>
      <c r="Q24" s="583"/>
      <c r="R24" s="583"/>
      <c r="S24" s="592"/>
      <c r="T24" s="274">
        <v>0</v>
      </c>
      <c r="U24" s="275" t="s">
        <v>220</v>
      </c>
      <c r="V24" s="582">
        <v>10000</v>
      </c>
      <c r="W24" s="583"/>
      <c r="X24" s="583"/>
      <c r="Y24" s="583"/>
      <c r="Z24" s="597"/>
      <c r="AA24" s="276">
        <f t="shared" si="4"/>
        <v>0</v>
      </c>
      <c r="AB24" s="136"/>
      <c r="AC24" s="459" t="s">
        <v>83</v>
      </c>
      <c r="AD24" s="499" t="s">
        <v>516</v>
      </c>
      <c r="AE24" s="499" t="s">
        <v>234</v>
      </c>
      <c r="AF24" s="136" t="s">
        <v>392</v>
      </c>
      <c r="AG24" s="136" t="s">
        <v>277</v>
      </c>
      <c r="AH24" s="136" t="s">
        <v>291</v>
      </c>
      <c r="AI24" s="136" t="s">
        <v>377</v>
      </c>
      <c r="AJ24" s="136"/>
      <c r="AK24" s="136"/>
      <c r="AL24" s="279" t="s">
        <v>33</v>
      </c>
      <c r="AM24" s="280">
        <f>AR18*5000</f>
        <v>25000</v>
      </c>
      <c r="AN24" s="136"/>
      <c r="AO24" s="136"/>
      <c r="AP24" s="136"/>
      <c r="AQ24" s="136"/>
      <c r="AR24" s="136"/>
      <c r="AS24" s="136"/>
      <c r="AT24" s="136"/>
      <c r="AU24" s="136"/>
    </row>
    <row r="25" spans="1:47" ht="15.75" customHeight="1">
      <c r="A25" s="137"/>
      <c r="B25" s="574"/>
      <c r="C25" s="575"/>
      <c r="D25" s="576"/>
      <c r="E25" s="595" t="s">
        <v>376</v>
      </c>
      <c r="F25" s="594"/>
      <c r="G25" s="594"/>
      <c r="H25" s="596"/>
      <c r="I25" s="600">
        <f>AM18</f>
        <v>160000</v>
      </c>
      <c r="J25" s="594"/>
      <c r="K25" s="596"/>
      <c r="L25" s="593" t="str">
        <f>IFERROR(IF(VLOOKUP(I22,'Development-Hidden'!X2:Y28,1,FALSE)&lt;&gt;"","",""),"APOTHECARY")</f>
        <v>APOTHECARY</v>
      </c>
      <c r="M25" s="594"/>
      <c r="N25" s="594"/>
      <c r="O25" s="594"/>
      <c r="P25" s="594"/>
      <c r="Q25" s="594"/>
      <c r="R25" s="594"/>
      <c r="S25" s="594"/>
      <c r="T25" s="281">
        <v>0</v>
      </c>
      <c r="U25" s="275" t="str">
        <f>IF(L25&lt;&gt;"","x","")</f>
        <v>x</v>
      </c>
      <c r="V25" s="595">
        <f>IF(L25&lt;&gt;"",50000,"")</f>
        <v>50000</v>
      </c>
      <c r="W25" s="594"/>
      <c r="X25" s="594"/>
      <c r="Y25" s="594"/>
      <c r="Z25" s="596"/>
      <c r="AA25" s="276">
        <f t="shared" si="4"/>
        <v>0</v>
      </c>
      <c r="AB25" s="136"/>
      <c r="AC25" s="459" t="s">
        <v>510</v>
      </c>
      <c r="AD25" s="499" t="s">
        <v>234</v>
      </c>
      <c r="AE25" s="499" t="s">
        <v>516</v>
      </c>
      <c r="AF25" s="136" t="s">
        <v>377</v>
      </c>
      <c r="AG25" s="136" t="s">
        <v>277</v>
      </c>
      <c r="AH25" s="136"/>
      <c r="AI25" s="136"/>
      <c r="AJ25" s="136"/>
      <c r="AK25" s="136"/>
      <c r="AL25" s="282" t="s">
        <v>34</v>
      </c>
      <c r="AM25" s="283">
        <f>AS18*5000</f>
        <v>15000</v>
      </c>
      <c r="AN25" s="136"/>
      <c r="AO25" s="136"/>
      <c r="AP25" s="136"/>
      <c r="AQ25" s="136"/>
      <c r="AR25" s="136"/>
      <c r="AS25" s="136"/>
      <c r="AT25" s="136"/>
      <c r="AU25" s="136"/>
    </row>
    <row r="26" spans="1:47" ht="15.75" customHeight="1">
      <c r="A26" s="137"/>
      <c r="B26" s="577"/>
      <c r="C26" s="578"/>
      <c r="D26" s="579"/>
      <c r="E26" s="586" t="s">
        <v>379</v>
      </c>
      <c r="F26" s="587"/>
      <c r="G26" s="587"/>
      <c r="H26" s="587"/>
      <c r="I26" s="587"/>
      <c r="J26" s="587"/>
      <c r="K26" s="587"/>
      <c r="L26" s="587"/>
      <c r="M26" s="587"/>
      <c r="N26" s="587"/>
      <c r="O26" s="587"/>
      <c r="P26" s="587"/>
      <c r="Q26" s="587"/>
      <c r="R26" s="587"/>
      <c r="S26" s="587"/>
      <c r="T26" s="587"/>
      <c r="U26" s="587"/>
      <c r="V26" s="587"/>
      <c r="W26" s="587"/>
      <c r="X26" s="587"/>
      <c r="Y26" s="587"/>
      <c r="Z26" s="588"/>
      <c r="AA26" s="270">
        <f>SUM(AA21:AA25)</f>
        <v>130000</v>
      </c>
      <c r="AB26" s="136"/>
      <c r="AC26" s="459" t="s">
        <v>126</v>
      </c>
      <c r="AD26" s="499" t="s">
        <v>513</v>
      </c>
      <c r="AE26" s="499" t="s">
        <v>514</v>
      </c>
      <c r="AF26" s="136" t="s">
        <v>518</v>
      </c>
      <c r="AG26" s="136" t="s">
        <v>519</v>
      </c>
      <c r="AH26" s="136" t="s">
        <v>446</v>
      </c>
      <c r="AI26" s="136" t="s">
        <v>399</v>
      </c>
      <c r="AJ26" s="136"/>
      <c r="AK26" s="136"/>
      <c r="AL26" s="284" t="s">
        <v>219</v>
      </c>
      <c r="AM26" s="285">
        <f>SUM(AM22:AM25)</f>
        <v>230000</v>
      </c>
      <c r="AN26" s="136"/>
      <c r="AO26" s="136"/>
      <c r="AP26" s="136"/>
      <c r="AQ26" s="136"/>
      <c r="AR26" s="136"/>
      <c r="AS26" s="136"/>
      <c r="AT26" s="136"/>
      <c r="AU26" s="136"/>
    </row>
    <row r="27" spans="1:47" ht="8.25" customHeight="1">
      <c r="A27" s="136"/>
      <c r="B27" s="140"/>
      <c r="C27" s="286"/>
      <c r="D27" s="286"/>
      <c r="E27" s="287"/>
      <c r="F27" s="136"/>
      <c r="G27" s="136"/>
      <c r="H27" s="136"/>
      <c r="I27" s="288"/>
      <c r="J27" s="289"/>
      <c r="K27" s="136"/>
      <c r="L27" s="290"/>
      <c r="M27" s="290"/>
      <c r="N27" s="290"/>
      <c r="O27" s="290"/>
      <c r="P27" s="290"/>
      <c r="Q27" s="290"/>
      <c r="R27" s="290"/>
      <c r="S27" s="290"/>
      <c r="T27" s="291"/>
      <c r="U27" s="292"/>
      <c r="V27" s="143"/>
      <c r="W27" s="293"/>
      <c r="X27" s="293"/>
      <c r="Y27" s="293"/>
      <c r="Z27" s="293"/>
      <c r="AA27" s="294"/>
      <c r="AB27" s="136"/>
      <c r="AC27" s="136"/>
      <c r="AD27" s="136"/>
      <c r="AE27" s="136"/>
      <c r="AF27" s="136"/>
      <c r="AG27" s="136"/>
      <c r="AH27" s="136"/>
      <c r="AI27" s="136"/>
      <c r="AJ27" s="136"/>
      <c r="AK27" s="136"/>
      <c r="AL27" s="136"/>
      <c r="AM27" s="136"/>
      <c r="AN27" s="136"/>
      <c r="AO27" s="136"/>
      <c r="AP27" s="136"/>
      <c r="AQ27" s="136"/>
      <c r="AR27" s="136"/>
      <c r="AS27" s="136"/>
      <c r="AT27" s="136"/>
      <c r="AU27" s="136"/>
    </row>
    <row r="28" spans="1:47" ht="17.25" hidden="1" customHeight="1">
      <c r="A28" s="295"/>
      <c r="B28" s="296"/>
      <c r="C28" s="297">
        <f>MATCH(I22,'Development-Hidden'!A2:A118,0)</f>
        <v>113</v>
      </c>
      <c r="D28" s="297" t="str">
        <f t="array" ref="D28">IFERROR(IF(INDEX('Development-Hidden'!$A$2:$B$118,$C28,1)=$I$22,INDEX('Development-Hidden'!$A$2:$B$118,$C28,2),""),"")</f>
        <v>Lineman</v>
      </c>
      <c r="E28" s="298"/>
      <c r="F28" s="298"/>
      <c r="G28" s="298"/>
      <c r="H28" s="298"/>
      <c r="I28" s="298"/>
      <c r="J28" s="299"/>
      <c r="K28" s="295"/>
      <c r="L28" s="300"/>
      <c r="M28" s="300"/>
      <c r="N28" s="300"/>
      <c r="O28" s="300"/>
      <c r="P28" s="300"/>
      <c r="Q28" s="300"/>
      <c r="R28" s="300"/>
      <c r="S28" s="300"/>
      <c r="T28" s="301"/>
      <c r="U28" s="302"/>
      <c r="V28" s="301"/>
      <c r="W28" s="303"/>
      <c r="X28" s="303"/>
      <c r="Y28" s="303"/>
      <c r="Z28" s="303"/>
      <c r="AA28" s="298"/>
      <c r="AB28" s="295"/>
      <c r="AC28" s="295"/>
      <c r="AD28" s="295"/>
      <c r="AE28" s="295"/>
      <c r="AF28" s="295"/>
      <c r="AG28" s="295"/>
      <c r="AH28" s="295"/>
      <c r="AI28" s="295"/>
      <c r="AJ28" s="295"/>
      <c r="AK28" s="295"/>
      <c r="AL28" s="295"/>
      <c r="AM28" s="295"/>
      <c r="AN28" s="295"/>
      <c r="AO28" s="295"/>
      <c r="AP28" s="295"/>
      <c r="AQ28" s="295"/>
      <c r="AR28" s="295"/>
      <c r="AS28" s="295"/>
      <c r="AT28" s="295"/>
      <c r="AU28" s="295"/>
    </row>
    <row r="29" spans="1:47" ht="17.25" hidden="1" customHeight="1">
      <c r="A29" s="295"/>
      <c r="B29" s="296"/>
      <c r="C29" s="297">
        <f t="shared" ref="C29:C37" si="5">C28+1</f>
        <v>114</v>
      </c>
      <c r="D29" s="297" t="str">
        <f t="array" ref="D29">IFERROR(IF(INDEX('Development-Hidden'!$A$2:$B$118,$C29,1)=$I$22,INDEX('Development-Hidden'!$A$2:$B$118,$C29,2),""),"")</f>
        <v>Catcher</v>
      </c>
      <c r="E29" s="298"/>
      <c r="F29" s="298"/>
      <c r="G29" s="298"/>
      <c r="H29" s="298"/>
      <c r="I29" s="298"/>
      <c r="J29" s="299"/>
      <c r="K29" s="295"/>
      <c r="L29" s="300"/>
      <c r="M29" s="300"/>
      <c r="N29" s="300"/>
      <c r="O29" s="300"/>
      <c r="P29" s="300"/>
      <c r="Q29" s="300"/>
      <c r="R29" s="300"/>
      <c r="S29" s="300"/>
      <c r="T29" s="301"/>
      <c r="U29" s="302"/>
      <c r="V29" s="301"/>
      <c r="W29" s="303"/>
      <c r="X29" s="303"/>
      <c r="Y29" s="303"/>
      <c r="Z29" s="303"/>
      <c r="AA29" s="298"/>
      <c r="AB29" s="295"/>
      <c r="AC29" s="295"/>
      <c r="AD29" s="295"/>
      <c r="AE29" s="295"/>
      <c r="AF29" s="295"/>
      <c r="AG29" s="295"/>
      <c r="AH29" s="295"/>
      <c r="AI29" s="295"/>
      <c r="AJ29" s="295"/>
      <c r="AK29" s="295"/>
      <c r="AL29" s="295"/>
      <c r="AM29" s="295"/>
      <c r="AN29" s="295"/>
      <c r="AO29" s="295"/>
      <c r="AP29" s="295"/>
      <c r="AQ29" s="295"/>
      <c r="AR29" s="295"/>
      <c r="AS29" s="295"/>
      <c r="AT29" s="295"/>
      <c r="AU29" s="295"/>
    </row>
    <row r="30" spans="1:47" ht="17.25" hidden="1" customHeight="1">
      <c r="A30" s="295"/>
      <c r="B30" s="296"/>
      <c r="C30" s="297">
        <f t="shared" si="5"/>
        <v>115</v>
      </c>
      <c r="D30" s="297" t="str">
        <f t="array" ref="D30">IFERROR(IF(INDEX('Development-Hidden'!$A$2:$B$118,$C30,1)=$I$22,INDEX('Development-Hidden'!$A$2:$B$118,$C30,2),""),"")</f>
        <v>Thrower</v>
      </c>
      <c r="E30" s="298"/>
      <c r="F30" s="298"/>
      <c r="G30" s="298"/>
      <c r="H30" s="298"/>
      <c r="I30" s="298"/>
      <c r="J30" s="299"/>
      <c r="K30" s="295"/>
      <c r="L30" s="300"/>
      <c r="M30" s="300"/>
      <c r="N30" s="300"/>
      <c r="O30" s="300"/>
      <c r="P30" s="300"/>
      <c r="Q30" s="300"/>
      <c r="R30" s="300"/>
      <c r="S30" s="300"/>
      <c r="T30" s="301"/>
      <c r="U30" s="302"/>
      <c r="V30" s="301"/>
      <c r="W30" s="303"/>
      <c r="X30" s="303"/>
      <c r="Y30" s="303"/>
      <c r="Z30" s="303"/>
      <c r="AA30" s="298"/>
      <c r="AB30" s="295"/>
      <c r="AC30" s="295"/>
      <c r="AD30" s="295"/>
      <c r="AE30" s="295"/>
      <c r="AF30" s="295"/>
      <c r="AG30" s="295"/>
      <c r="AH30" s="295"/>
      <c r="AI30" s="295"/>
      <c r="AJ30" s="295"/>
      <c r="AK30" s="295"/>
      <c r="AL30" s="295"/>
      <c r="AM30" s="295"/>
      <c r="AN30" s="295"/>
      <c r="AO30" s="295"/>
      <c r="AP30" s="295"/>
      <c r="AQ30" s="295"/>
      <c r="AR30" s="295"/>
      <c r="AS30" s="295"/>
      <c r="AT30" s="295"/>
      <c r="AU30" s="295"/>
    </row>
    <row r="31" spans="1:47" ht="17.25" hidden="1" customHeight="1">
      <c r="A31" s="295"/>
      <c r="B31" s="296"/>
      <c r="C31" s="297">
        <f t="shared" si="5"/>
        <v>116</v>
      </c>
      <c r="D31" s="297" t="str">
        <f t="array" ref="D31">IFERROR(IF(INDEX('Development-Hidden'!$A$2:$B$118,$C31,1)=$I$22,INDEX('Development-Hidden'!$A$2:$B$118,$C31,2),""),"")</f>
        <v>Wardancer</v>
      </c>
      <c r="E31" s="298"/>
      <c r="F31" s="298"/>
      <c r="G31" s="298"/>
      <c r="H31" s="298"/>
      <c r="I31" s="298"/>
      <c r="J31" s="299"/>
      <c r="K31" s="295"/>
      <c r="L31" s="300"/>
      <c r="M31" s="300"/>
      <c r="N31" s="300"/>
      <c r="O31" s="300"/>
      <c r="P31" s="300"/>
      <c r="Q31" s="300"/>
      <c r="R31" s="300"/>
      <c r="S31" s="300"/>
      <c r="T31" s="301"/>
      <c r="U31" s="302"/>
      <c r="V31" s="301"/>
      <c r="W31" s="303"/>
      <c r="X31" s="303"/>
      <c r="Y31" s="303"/>
      <c r="Z31" s="303"/>
      <c r="AA31" s="298"/>
      <c r="AB31" s="295"/>
      <c r="AC31" s="295"/>
      <c r="AD31" s="295"/>
      <c r="AE31" s="295"/>
      <c r="AF31" s="295"/>
      <c r="AG31" s="295"/>
      <c r="AH31" s="295"/>
      <c r="AI31" s="295"/>
      <c r="AJ31" s="295"/>
      <c r="AK31" s="295"/>
      <c r="AL31" s="295"/>
      <c r="AM31" s="295"/>
      <c r="AN31" s="295"/>
      <c r="AO31" s="295"/>
      <c r="AP31" s="295"/>
      <c r="AQ31" s="295"/>
      <c r="AR31" s="295"/>
      <c r="AS31" s="295"/>
      <c r="AT31" s="295"/>
      <c r="AU31" s="295"/>
    </row>
    <row r="32" spans="1:47" ht="17.25" hidden="1" customHeight="1">
      <c r="A32" s="295"/>
      <c r="B32" s="296"/>
      <c r="C32" s="297">
        <f t="shared" si="5"/>
        <v>117</v>
      </c>
      <c r="D32" s="297" t="str">
        <f t="array" ref="D32">IFERROR(IF(INDEX('Development-Hidden'!$A$2:$B$118,$C32,1)=$I$22,INDEX('Development-Hidden'!$A$2:$B$118,$C32,2),""),"")</f>
        <v>Treeman</v>
      </c>
      <c r="E32" s="298"/>
      <c r="F32" s="298"/>
      <c r="G32" s="298"/>
      <c r="H32" s="298"/>
      <c r="I32" s="298"/>
      <c r="J32" s="299"/>
      <c r="K32" s="295"/>
      <c r="L32" s="300"/>
      <c r="M32" s="300"/>
      <c r="N32" s="300"/>
      <c r="O32" s="300"/>
      <c r="P32" s="300"/>
      <c r="Q32" s="300"/>
      <c r="R32" s="300"/>
      <c r="S32" s="300"/>
      <c r="T32" s="301"/>
      <c r="U32" s="302"/>
      <c r="V32" s="301"/>
      <c r="W32" s="303"/>
      <c r="X32" s="303"/>
      <c r="Y32" s="303"/>
      <c r="Z32" s="303"/>
      <c r="AA32" s="298"/>
      <c r="AB32" s="295"/>
      <c r="AC32" s="295"/>
      <c r="AD32" s="295"/>
      <c r="AE32" s="295"/>
      <c r="AF32" s="295"/>
      <c r="AG32" s="295"/>
      <c r="AH32" s="295"/>
      <c r="AI32" s="295"/>
      <c r="AJ32" s="295"/>
      <c r="AK32" s="295"/>
      <c r="AL32" s="295"/>
      <c r="AM32" s="295"/>
      <c r="AN32" s="295"/>
      <c r="AO32" s="295"/>
      <c r="AP32" s="295"/>
      <c r="AQ32" s="295"/>
      <c r="AR32" s="295"/>
      <c r="AS32" s="295"/>
      <c r="AT32" s="295"/>
      <c r="AU32" s="295"/>
    </row>
    <row r="33" spans="1:47" ht="17.25" hidden="1" customHeight="1">
      <c r="A33" s="295"/>
      <c r="B33" s="296"/>
      <c r="C33" s="297">
        <f t="shared" si="5"/>
        <v>118</v>
      </c>
      <c r="D33" s="297" t="str">
        <f t="array" ref="D33">IFERROR(IF(INDEX('Development-Hidden'!$A$2:$B$118,$C33,1)=$I$22,INDEX('Development-Hidden'!$A$2:$B$118,$C33,2),""),"")</f>
        <v/>
      </c>
      <c r="E33" s="298"/>
      <c r="F33" s="298"/>
      <c r="G33" s="298"/>
      <c r="H33" s="298"/>
      <c r="I33" s="298"/>
      <c r="J33" s="299"/>
      <c r="K33" s="295"/>
      <c r="L33" s="300"/>
      <c r="M33" s="300"/>
      <c r="N33" s="300"/>
      <c r="O33" s="300"/>
      <c r="P33" s="300"/>
      <c r="Q33" s="300"/>
      <c r="R33" s="300"/>
      <c r="S33" s="300"/>
      <c r="T33" s="301"/>
      <c r="U33" s="302"/>
      <c r="V33" s="301"/>
      <c r="W33" s="303"/>
      <c r="X33" s="303"/>
      <c r="Y33" s="303"/>
      <c r="Z33" s="303"/>
      <c r="AA33" s="298"/>
      <c r="AB33" s="295"/>
      <c r="AC33" s="295"/>
      <c r="AD33" s="295"/>
      <c r="AE33" s="295"/>
      <c r="AF33" s="295"/>
      <c r="AG33" s="295"/>
      <c r="AH33" s="295"/>
      <c r="AI33" s="295"/>
      <c r="AJ33" s="295"/>
      <c r="AK33" s="295"/>
      <c r="AL33" s="295"/>
      <c r="AM33" s="295"/>
      <c r="AN33" s="295"/>
      <c r="AO33" s="295"/>
      <c r="AP33" s="295"/>
      <c r="AQ33" s="295"/>
      <c r="AR33" s="295"/>
      <c r="AS33" s="295"/>
      <c r="AT33" s="295"/>
      <c r="AU33" s="295"/>
    </row>
    <row r="34" spans="1:47" ht="17.25" hidden="1" customHeight="1">
      <c r="A34" s="295"/>
      <c r="B34" s="296"/>
      <c r="C34" s="297">
        <f t="shared" si="5"/>
        <v>119</v>
      </c>
      <c r="D34" s="297" t="str">
        <f t="array" ref="D34">IFERROR(IF(INDEX('Development-Hidden'!$A$2:$B$118,$C34,1)=$I$22,INDEX('Development-Hidden'!$A$2:$B$118,$C34,2),""),"")</f>
        <v/>
      </c>
      <c r="E34" s="298"/>
      <c r="F34" s="298"/>
      <c r="G34" s="298"/>
      <c r="H34" s="298"/>
      <c r="I34" s="298"/>
      <c r="J34" s="299"/>
      <c r="K34" s="295"/>
      <c r="L34" s="300"/>
      <c r="M34" s="300"/>
      <c r="N34" s="300"/>
      <c r="O34" s="300"/>
      <c r="P34" s="300"/>
      <c r="Q34" s="300"/>
      <c r="R34" s="300"/>
      <c r="S34" s="300"/>
      <c r="T34" s="301"/>
      <c r="U34" s="302"/>
      <c r="V34" s="301"/>
      <c r="W34" s="303"/>
      <c r="X34" s="303"/>
      <c r="Y34" s="303"/>
      <c r="Z34" s="303"/>
      <c r="AA34" s="298"/>
      <c r="AB34" s="295"/>
      <c r="AC34" s="295"/>
      <c r="AD34" s="295"/>
      <c r="AE34" s="295"/>
      <c r="AF34" s="295"/>
      <c r="AG34" s="295"/>
      <c r="AH34" s="295"/>
      <c r="AI34" s="295"/>
      <c r="AJ34" s="295"/>
      <c r="AK34" s="295"/>
      <c r="AL34" s="295"/>
      <c r="AM34" s="295"/>
      <c r="AN34" s="295"/>
      <c r="AO34" s="295"/>
      <c r="AP34" s="295"/>
      <c r="AQ34" s="295"/>
      <c r="AR34" s="295"/>
      <c r="AS34" s="295"/>
      <c r="AT34" s="295"/>
      <c r="AU34" s="295"/>
    </row>
    <row r="35" spans="1:47" ht="17.25" hidden="1" customHeight="1">
      <c r="A35" s="295"/>
      <c r="B35" s="296"/>
      <c r="C35" s="297">
        <f t="shared" si="5"/>
        <v>120</v>
      </c>
      <c r="D35" s="297" t="str">
        <f t="array" ref="D35">IFERROR(IF(INDEX('Development-Hidden'!$A$2:$B$118,$C35,1)=$I$22,INDEX('Development-Hidden'!$A$2:$B$118,$C35,2),""),"")</f>
        <v/>
      </c>
      <c r="E35" s="298"/>
      <c r="F35" s="298"/>
      <c r="G35" s="298"/>
      <c r="H35" s="298"/>
      <c r="I35" s="298"/>
      <c r="J35" s="299"/>
      <c r="K35" s="295"/>
      <c r="L35" s="300"/>
      <c r="M35" s="300"/>
      <c r="N35" s="300"/>
      <c r="O35" s="300"/>
      <c r="P35" s="300"/>
      <c r="Q35" s="300"/>
      <c r="R35" s="300"/>
      <c r="S35" s="300"/>
      <c r="T35" s="301"/>
      <c r="U35" s="302"/>
      <c r="V35" s="301"/>
      <c r="W35" s="303"/>
      <c r="X35" s="303"/>
      <c r="Y35" s="303"/>
      <c r="Z35" s="303"/>
      <c r="AA35" s="298"/>
      <c r="AB35" s="295"/>
      <c r="AC35" s="295"/>
      <c r="AD35" s="295"/>
      <c r="AE35" s="295"/>
      <c r="AF35" s="295"/>
      <c r="AG35" s="295"/>
      <c r="AH35" s="295"/>
      <c r="AI35" s="295"/>
      <c r="AJ35" s="295"/>
      <c r="AK35" s="295"/>
      <c r="AL35" s="295"/>
      <c r="AM35" s="295"/>
      <c r="AN35" s="295"/>
      <c r="AO35" s="295"/>
      <c r="AP35" s="295"/>
      <c r="AQ35" s="295"/>
      <c r="AR35" s="295"/>
      <c r="AS35" s="295"/>
      <c r="AT35" s="295"/>
      <c r="AU35" s="295"/>
    </row>
    <row r="36" spans="1:47" ht="17.25" hidden="1" customHeight="1">
      <c r="A36" s="295"/>
      <c r="B36" s="296"/>
      <c r="C36" s="297">
        <f t="shared" si="5"/>
        <v>121</v>
      </c>
      <c r="D36" s="297" t="str">
        <f t="array" ref="D36">IFERROR(IF(INDEX('Development-Hidden'!$A$2:$B$118,$C36,1)=$I$22,INDEX('Development-Hidden'!$A$2:$B$118,$C36,2),""),"")</f>
        <v/>
      </c>
      <c r="E36" s="298"/>
      <c r="F36" s="298"/>
      <c r="G36" s="298"/>
      <c r="H36" s="298"/>
      <c r="I36" s="298"/>
      <c r="J36" s="299"/>
      <c r="K36" s="295"/>
      <c r="L36" s="300"/>
      <c r="M36" s="300"/>
      <c r="N36" s="300"/>
      <c r="O36" s="300"/>
      <c r="P36" s="300"/>
      <c r="Q36" s="300"/>
      <c r="R36" s="300"/>
      <c r="S36" s="300"/>
      <c r="T36" s="301"/>
      <c r="U36" s="302"/>
      <c r="V36" s="301"/>
      <c r="W36" s="303"/>
      <c r="X36" s="303"/>
      <c r="Y36" s="303"/>
      <c r="Z36" s="303"/>
      <c r="AA36" s="298"/>
      <c r="AB36" s="295"/>
      <c r="AC36" s="295"/>
      <c r="AD36" s="295"/>
      <c r="AE36" s="295"/>
      <c r="AF36" s="295"/>
      <c r="AG36" s="295"/>
      <c r="AH36" s="295"/>
      <c r="AI36" s="295"/>
      <c r="AJ36" s="295"/>
      <c r="AK36" s="295"/>
      <c r="AL36" s="295"/>
      <c r="AM36" s="295"/>
      <c r="AN36" s="295"/>
      <c r="AO36" s="295"/>
      <c r="AP36" s="295"/>
      <c r="AQ36" s="295"/>
      <c r="AR36" s="295"/>
      <c r="AS36" s="295"/>
      <c r="AT36" s="295"/>
      <c r="AU36" s="295"/>
    </row>
    <row r="37" spans="1:47" ht="17.25" hidden="1" customHeight="1">
      <c r="A37" s="295"/>
      <c r="B37" s="296"/>
      <c r="C37" s="297">
        <f t="shared" si="5"/>
        <v>122</v>
      </c>
      <c r="D37" s="297" t="str">
        <f t="array" ref="D37">IFERROR(IF(INDEX('Development-Hidden'!$A$2:$B$118,$C37,1)=$I$22,INDEX('Development-Hidden'!$A$2:$B$118,$C37,2),""),"")</f>
        <v/>
      </c>
      <c r="E37" s="298"/>
      <c r="F37" s="298"/>
      <c r="G37" s="298"/>
      <c r="H37" s="298"/>
      <c r="I37" s="298"/>
      <c r="J37" s="299"/>
      <c r="K37" s="295"/>
      <c r="L37" s="300"/>
      <c r="M37" s="300"/>
      <c r="N37" s="300"/>
      <c r="O37" s="300"/>
      <c r="P37" s="300"/>
      <c r="Q37" s="300"/>
      <c r="R37" s="300"/>
      <c r="S37" s="300"/>
      <c r="T37" s="301"/>
      <c r="U37" s="302"/>
      <c r="V37" s="301"/>
      <c r="W37" s="303"/>
      <c r="X37" s="303"/>
      <c r="Y37" s="303"/>
      <c r="Z37" s="303"/>
      <c r="AA37" s="298"/>
      <c r="AB37" s="295"/>
      <c r="AC37" s="295"/>
      <c r="AD37" s="295"/>
      <c r="AE37" s="295"/>
      <c r="AF37" s="295"/>
      <c r="AG37" s="295"/>
      <c r="AH37" s="295"/>
      <c r="AI37" s="295"/>
      <c r="AJ37" s="295"/>
      <c r="AK37" s="295"/>
      <c r="AL37" s="295"/>
      <c r="AM37" s="295"/>
      <c r="AN37" s="295"/>
      <c r="AO37" s="295"/>
      <c r="AP37" s="295"/>
      <c r="AQ37" s="295"/>
      <c r="AR37" s="295"/>
      <c r="AS37" s="295"/>
      <c r="AT37" s="295"/>
      <c r="AU37" s="295"/>
    </row>
  </sheetData>
  <mergeCells count="27">
    <mergeCell ref="AL3:AO3"/>
    <mergeCell ref="P2:S2"/>
    <mergeCell ref="AP3:AT3"/>
    <mergeCell ref="AL21:AM21"/>
    <mergeCell ref="L21:S21"/>
    <mergeCell ref="E23:H23"/>
    <mergeCell ref="B20:D26"/>
    <mergeCell ref="E25:H25"/>
    <mergeCell ref="E24:H24"/>
    <mergeCell ref="E22:H22"/>
    <mergeCell ref="E21:H21"/>
    <mergeCell ref="E20:Z20"/>
    <mergeCell ref="V21:Z21"/>
    <mergeCell ref="E26:Z26"/>
    <mergeCell ref="V24:Z24"/>
    <mergeCell ref="V23:Z23"/>
    <mergeCell ref="V22:Z22"/>
    <mergeCell ref="V25:Z25"/>
    <mergeCell ref="I25:K25"/>
    <mergeCell ref="I24:K24"/>
    <mergeCell ref="I21:K21"/>
    <mergeCell ref="L24:S24"/>
    <mergeCell ref="L25:S25"/>
    <mergeCell ref="I22:K22"/>
    <mergeCell ref="I23:K23"/>
    <mergeCell ref="L23:S23"/>
    <mergeCell ref="L22:S22"/>
  </mergeCells>
  <conditionalFormatting sqref="J4">
    <cfRule type="expression" dxfId="257" priority="1">
      <formula>K4&lt;&gt;SUM(AD4:AI4)</formula>
    </cfRule>
  </conditionalFormatting>
  <conditionalFormatting sqref="K4:K19">
    <cfRule type="cellIs" dxfId="256" priority="2" operator="equal">
      <formula>0</formula>
    </cfRule>
  </conditionalFormatting>
  <conditionalFormatting sqref="AA4:AA19">
    <cfRule type="cellIs" dxfId="255" priority="3" operator="equal">
      <formula>0</formula>
    </cfRule>
  </conditionalFormatting>
  <conditionalFormatting sqref="E4:H19">
    <cfRule type="expression" dxfId="254" priority="4">
      <formula>AF4&gt;0</formula>
    </cfRule>
  </conditionalFormatting>
  <conditionalFormatting sqref="E4:H19">
    <cfRule type="expression" dxfId="253" priority="5">
      <formula>P4&gt;0</formula>
    </cfRule>
  </conditionalFormatting>
  <conditionalFormatting sqref="T4:T19 U4:U19 V4:W19 Y4:Y19 U27:U37">
    <cfRule type="cellIs" dxfId="252" priority="6" stopIfTrue="1" operator="equal">
      <formula>0</formula>
    </cfRule>
  </conditionalFormatting>
  <conditionalFormatting sqref="K4:K19">
    <cfRule type="cellIs" dxfId="251" priority="7" stopIfTrue="1" operator="equal">
      <formula>"n/a"</formula>
    </cfRule>
  </conditionalFormatting>
  <conditionalFormatting sqref="P4:S19">
    <cfRule type="cellIs" dxfId="250" priority="8" stopIfTrue="1" operator="lessThanOrEqual">
      <formula>-1</formula>
    </cfRule>
  </conditionalFormatting>
  <conditionalFormatting sqref="V25:W25">
    <cfRule type="cellIs" dxfId="249" priority="9" stopIfTrue="1" operator="equal">
      <formula>-500</formula>
    </cfRule>
  </conditionalFormatting>
  <conditionalFormatting sqref="T25">
    <cfRule type="cellIs" dxfId="248" priority="10" stopIfTrue="1" operator="greaterThan">
      <formula>$V$25</formula>
    </cfRule>
  </conditionalFormatting>
  <conditionalFormatting sqref="Z4:Z19">
    <cfRule type="cellIs" dxfId="247" priority="11" stopIfTrue="1" operator="equal">
      <formula>"Star"</formula>
    </cfRule>
  </conditionalFormatting>
  <conditionalFormatting sqref="Z4:Z19">
    <cfRule type="cellIs" dxfId="246" priority="12" stopIfTrue="1" operator="equal">
      <formula>AA4</formula>
    </cfRule>
  </conditionalFormatting>
  <conditionalFormatting sqref="I4:I19">
    <cfRule type="cellIs" dxfId="245" priority="13" stopIfTrue="1" operator="equal">
      <formula>0</formula>
    </cfRule>
  </conditionalFormatting>
  <conditionalFormatting sqref="I4:I19">
    <cfRule type="cellIs" dxfId="244" priority="14" stopIfTrue="1" operator="equal">
      <formula>"Player type quantity surpassed"</formula>
    </cfRule>
  </conditionalFormatting>
  <conditionalFormatting sqref="J5">
    <cfRule type="expression" dxfId="243" priority="15">
      <formula>K5&lt;&gt;SUM(AD5:AI5)</formula>
    </cfRule>
  </conditionalFormatting>
  <conditionalFormatting sqref="J6">
    <cfRule type="expression" dxfId="242" priority="16">
      <formula>K6&lt;&gt;SUM(AD6:AI6)</formula>
    </cfRule>
  </conditionalFormatting>
  <conditionalFormatting sqref="J7">
    <cfRule type="expression" dxfId="241" priority="17">
      <formula>K7&lt;&gt;SUM(AD7:AI7)</formula>
    </cfRule>
  </conditionalFormatting>
  <conditionalFormatting sqref="J8">
    <cfRule type="expression" dxfId="240" priority="18">
      <formula>K8&lt;&gt;SUM(AD8:AI8)</formula>
    </cfRule>
  </conditionalFormatting>
  <conditionalFormatting sqref="J9">
    <cfRule type="expression" dxfId="239" priority="19">
      <formula>K9&lt;&gt;SUM(AD9:AI9)</formula>
    </cfRule>
  </conditionalFormatting>
  <conditionalFormatting sqref="J10">
    <cfRule type="expression" dxfId="238" priority="20">
      <formula>K10&lt;&gt;SUM(AD10:AI10)</formula>
    </cfRule>
  </conditionalFormatting>
  <conditionalFormatting sqref="J11">
    <cfRule type="expression" dxfId="237" priority="21">
      <formula>K11&lt;&gt;SUM(AD11:AI11)</formula>
    </cfRule>
  </conditionalFormatting>
  <conditionalFormatting sqref="J12">
    <cfRule type="expression" dxfId="236" priority="22">
      <formula>K12&lt;&gt;SUM(AD12:AI12)</formula>
    </cfRule>
  </conditionalFormatting>
  <conditionalFormatting sqref="J13">
    <cfRule type="expression" dxfId="235" priority="23">
      <formula>K13&lt;&gt;SUM(AD13:AI13)</formula>
    </cfRule>
  </conditionalFormatting>
  <conditionalFormatting sqref="J14">
    <cfRule type="expression" dxfId="234" priority="24">
      <formula>K14&lt;&gt;SUM(AD14:AI14)</formula>
    </cfRule>
  </conditionalFormatting>
  <conditionalFormatting sqref="J15">
    <cfRule type="expression" dxfId="233" priority="25">
      <formula>K15&lt;&gt;SUM(AD15:AI15)</formula>
    </cfRule>
  </conditionalFormatting>
  <conditionalFormatting sqref="J16">
    <cfRule type="expression" dxfId="232" priority="26">
      <formula>K16&lt;&gt;SUM(AD16:AI16)</formula>
    </cfRule>
  </conditionalFormatting>
  <conditionalFormatting sqref="J17">
    <cfRule type="expression" dxfId="231" priority="27">
      <formula>K17&lt;&gt;SUM(AD17:AI17)</formula>
    </cfRule>
  </conditionalFormatting>
  <conditionalFormatting sqref="J18">
    <cfRule type="expression" dxfId="230" priority="28">
      <formula>K18&lt;&gt;SUM(AD18:AI18)</formula>
    </cfRule>
  </conditionalFormatting>
  <conditionalFormatting sqref="J19">
    <cfRule type="expression" dxfId="229" priority="29">
      <formula>K19&lt;&gt;SUM(AD19:AI19)</formula>
    </cfRule>
  </conditionalFormatting>
  <dataValidations count="2">
    <dataValidation type="list" allowBlank="1" showErrorMessage="1" sqref="D4:D19">
      <formula1>'PP2'!$D$28:$D$37</formula1>
    </dataValidation>
    <dataValidation type="list" allowBlank="1" showErrorMessage="1" sqref="I22">
      <formula1>'Development-Hidden'!$N$2:$N$28</formula1>
    </dataValidation>
  </dataValidation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U37"/>
  <sheetViews>
    <sheetView showGridLines="0" workbookViewId="0">
      <selection activeCell="C12" sqref="C12"/>
    </sheetView>
  </sheetViews>
  <sheetFormatPr defaultColWidth="14.42578125" defaultRowHeight="15.75" customHeight="1"/>
  <cols>
    <col min="1" max="1" width="1.85546875" style="139" customWidth="1"/>
    <col min="2" max="2" width="3.140625" style="139" customWidth="1"/>
    <col min="3" max="3" width="19.28515625" style="139" customWidth="1"/>
    <col min="4" max="4" width="21.28515625" style="139" customWidth="1"/>
    <col min="5" max="8" width="3.42578125" style="139" customWidth="1"/>
    <col min="9" max="9" width="30.85546875" style="139" customWidth="1"/>
    <col min="10" max="10" width="23" style="139" customWidth="1"/>
    <col min="11" max="11" width="1.85546875" style="139" customWidth="1"/>
    <col min="12" max="15" width="2.42578125" style="139" customWidth="1"/>
    <col min="16" max="19" width="2.7109375" style="139" customWidth="1"/>
    <col min="20" max="21" width="3.28515625" style="139" customWidth="1"/>
    <col min="22" max="22" width="2.42578125" style="139" customWidth="1"/>
    <col min="23" max="23" width="3.28515625" style="139" customWidth="1"/>
    <col min="24" max="24" width="2.7109375" style="139" customWidth="1"/>
    <col min="25" max="25" width="3.28515625" style="139" customWidth="1"/>
    <col min="26" max="26" width="4.42578125" style="139" customWidth="1"/>
    <col min="27" max="27" width="10.28515625" style="139" customWidth="1"/>
    <col min="28" max="28" width="5.5703125" style="139" customWidth="1"/>
    <col min="29" max="29" width="8.85546875" style="139" customWidth="1"/>
    <col min="30" max="35" width="4.140625" style="139" customWidth="1"/>
    <col min="36" max="36" width="12.28515625" style="139" customWidth="1"/>
    <col min="37" max="37" width="6.42578125" style="139" customWidth="1"/>
    <col min="38" max="38" width="12.7109375" style="139" customWidth="1"/>
    <col min="39" max="39" width="11.42578125" style="139" customWidth="1"/>
    <col min="40" max="41" width="10.7109375" style="139" customWidth="1"/>
    <col min="42" max="42" width="26.140625" style="139" customWidth="1"/>
    <col min="43" max="44" width="10.7109375" style="139" customWidth="1"/>
    <col min="45" max="45" width="12.28515625" style="139" customWidth="1"/>
    <col min="46" max="46" width="10.7109375" style="139" customWidth="1"/>
    <col min="47" max="47" width="2.28515625" style="139" customWidth="1"/>
    <col min="48" max="16384" width="14.42578125" style="139"/>
  </cols>
  <sheetData>
    <row r="1" spans="1:47" ht="9" customHeight="1">
      <c r="A1" s="136"/>
      <c r="B1" s="137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40"/>
      <c r="AO1" s="136"/>
      <c r="AP1" s="136"/>
      <c r="AQ1" s="136"/>
      <c r="AR1" s="136"/>
      <c r="AS1" s="136"/>
      <c r="AT1" s="136"/>
      <c r="AU1" s="136"/>
    </row>
    <row r="2" spans="1:47" ht="9.75" customHeight="1">
      <c r="A2" s="136"/>
      <c r="B2" s="140"/>
      <c r="C2" s="140"/>
      <c r="D2" s="141"/>
      <c r="E2" s="140"/>
      <c r="F2" s="140"/>
      <c r="G2" s="140"/>
      <c r="H2" s="140"/>
      <c r="I2" s="140"/>
      <c r="J2" s="140"/>
      <c r="K2" s="136"/>
      <c r="L2" s="140"/>
      <c r="M2" s="140"/>
      <c r="N2" s="140"/>
      <c r="O2" s="140"/>
      <c r="P2" s="602" t="s">
        <v>218</v>
      </c>
      <c r="Q2" s="572"/>
      <c r="R2" s="572"/>
      <c r="S2" s="573"/>
      <c r="T2" s="142"/>
      <c r="U2" s="142"/>
      <c r="V2" s="142"/>
      <c r="W2" s="142"/>
      <c r="X2" s="143"/>
      <c r="Y2" s="142"/>
      <c r="Z2" s="140"/>
      <c r="AA2" s="140"/>
      <c r="AB2" s="136"/>
      <c r="AC2" s="140"/>
      <c r="AD2" s="140"/>
      <c r="AE2" s="140"/>
      <c r="AF2" s="144"/>
      <c r="AG2" s="140"/>
      <c r="AH2" s="140"/>
      <c r="AI2" s="140"/>
      <c r="AJ2" s="140"/>
      <c r="AK2" s="136"/>
      <c r="AL2" s="145"/>
      <c r="AM2" s="145"/>
      <c r="AN2" s="145"/>
      <c r="AO2" s="145"/>
      <c r="AP2" s="145"/>
      <c r="AQ2" s="145"/>
      <c r="AR2" s="145"/>
      <c r="AS2" s="145"/>
      <c r="AT2" s="145"/>
      <c r="AU2" s="145"/>
    </row>
    <row r="3" spans="1:47" ht="8.25" customHeight="1">
      <c r="A3" s="137"/>
      <c r="B3" s="146" t="s">
        <v>203</v>
      </c>
      <c r="C3" s="147" t="s">
        <v>32</v>
      </c>
      <c r="D3" s="148" t="s">
        <v>229</v>
      </c>
      <c r="E3" s="149" t="s">
        <v>206</v>
      </c>
      <c r="F3" s="150" t="s">
        <v>207</v>
      </c>
      <c r="G3" s="151" t="s">
        <v>208</v>
      </c>
      <c r="H3" s="152" t="s">
        <v>209</v>
      </c>
      <c r="I3" s="153" t="s">
        <v>230</v>
      </c>
      <c r="J3" s="152" t="s">
        <v>231</v>
      </c>
      <c r="K3" s="154" t="s">
        <v>203</v>
      </c>
      <c r="L3" s="155" t="s">
        <v>232</v>
      </c>
      <c r="M3" s="156" t="s">
        <v>233</v>
      </c>
      <c r="N3" s="156" t="s">
        <v>234</v>
      </c>
      <c r="O3" s="157" t="s">
        <v>235</v>
      </c>
      <c r="P3" s="158" t="s">
        <v>206</v>
      </c>
      <c r="Q3" s="159" t="s">
        <v>207</v>
      </c>
      <c r="R3" s="159" t="s">
        <v>208</v>
      </c>
      <c r="S3" s="160" t="s">
        <v>209</v>
      </c>
      <c r="T3" s="161" t="s">
        <v>236</v>
      </c>
      <c r="U3" s="156" t="s">
        <v>237</v>
      </c>
      <c r="V3" s="156" t="s">
        <v>210</v>
      </c>
      <c r="W3" s="156" t="s">
        <v>240</v>
      </c>
      <c r="X3" s="162" t="s">
        <v>35</v>
      </c>
      <c r="Y3" s="157" t="s">
        <v>211</v>
      </c>
      <c r="Z3" s="153" t="s">
        <v>212</v>
      </c>
      <c r="AA3" s="163" t="s">
        <v>241</v>
      </c>
      <c r="AB3" s="136"/>
      <c r="AC3" s="146" t="s">
        <v>242</v>
      </c>
      <c r="AD3" s="153" t="s">
        <v>233</v>
      </c>
      <c r="AE3" s="150" t="s">
        <v>243</v>
      </c>
      <c r="AF3" s="164" t="str">
        <f>"+MA"</f>
        <v>+MA</v>
      </c>
      <c r="AG3" s="150" t="str">
        <f>"+ST"</f>
        <v>+ST</v>
      </c>
      <c r="AH3" s="150" t="str">
        <f>"+AG"</f>
        <v>+AG</v>
      </c>
      <c r="AI3" s="150" t="str">
        <f>"+AV"</f>
        <v>+AV</v>
      </c>
      <c r="AJ3" s="163" t="s">
        <v>244</v>
      </c>
      <c r="AK3" s="136"/>
      <c r="AL3" s="601" t="s">
        <v>245</v>
      </c>
      <c r="AM3" s="575"/>
      <c r="AN3" s="575"/>
      <c r="AO3" s="575"/>
      <c r="AP3" s="603" t="s">
        <v>246</v>
      </c>
      <c r="AQ3" s="575"/>
      <c r="AR3" s="575"/>
      <c r="AS3" s="575"/>
      <c r="AT3" s="575"/>
      <c r="AU3" s="145"/>
    </row>
    <row r="4" spans="1:47" ht="15.75" customHeight="1">
      <c r="A4" s="137"/>
      <c r="B4" s="165">
        <v>1</v>
      </c>
      <c r="C4" s="166" t="s">
        <v>145</v>
      </c>
      <c r="D4" s="167" t="s">
        <v>98</v>
      </c>
      <c r="E4" s="168">
        <f>IFERROR(VLOOKUP($I$22&amp;$D4,'Development-Hidden'!$C$2:$J$118,4,FALSE)-P4+AF4,"")</f>
        <v>4</v>
      </c>
      <c r="F4" s="169">
        <f>IFERROR(VLOOKUP($I$22&amp;$D4,'Development-Hidden'!$C$2:$J$118,5,FALSE)-Q4+AG4,"")</f>
        <v>3</v>
      </c>
      <c r="G4" s="169">
        <f>IFERROR(VLOOKUP($I$22&amp;$D4,'Development-Hidden'!$C$2:$J$118,6,FALSE)-R4+AH4,"")</f>
        <v>2</v>
      </c>
      <c r="H4" s="170">
        <f>IFERROR(VLOOKUP($I$22&amp;$D4,'Development-Hidden'!$C$2:$J$118,7,FALSE)-S4+AI4,"")</f>
        <v>9</v>
      </c>
      <c r="I4" s="171" t="str">
        <f>IFERROR(VLOOKUP($I$22&amp;$D4,'Development-Hidden'!$C$2:$J$118,8,FALSE),"")</f>
        <v>Block, Tackle, Thick Skull</v>
      </c>
      <c r="J4" s="172" t="s">
        <v>377</v>
      </c>
      <c r="K4" s="173">
        <f t="shared" ref="K4:K19" si="0">IF(Z4&gt;175,6,IF(Z4&gt;75,5,IF(Z4&gt;50,4,IF(Z4&gt;30,3,IF(Z4&gt;15,2,IF(Z4&gt;5,1,0))))))</f>
        <v>1</v>
      </c>
      <c r="L4" s="174"/>
      <c r="M4" s="174"/>
      <c r="N4" s="174"/>
      <c r="O4" s="175"/>
      <c r="P4" s="176"/>
      <c r="Q4" s="177"/>
      <c r="R4" s="177"/>
      <c r="S4" s="178"/>
      <c r="T4" s="332"/>
      <c r="U4" s="271"/>
      <c r="V4" s="332"/>
      <c r="W4" s="271">
        <v>1</v>
      </c>
      <c r="X4" s="333"/>
      <c r="Y4" s="334">
        <v>1</v>
      </c>
      <c r="Z4" s="182">
        <f t="shared" ref="Z4:Z19" si="1">2*T4+U4+3*V4+2*W4+5*Y4</f>
        <v>7</v>
      </c>
      <c r="AA4" s="183">
        <f t="shared" ref="AA4:AA19" si="2">IF(L4=1,0,AC4+(20000*O4)+(20000*AD4)+(30000*AE4)+(30000*AF4)+(50000*AG4)+(40000*AH4)+(50000*AI4)+AJ4)</f>
        <v>90000</v>
      </c>
      <c r="AB4" s="136"/>
      <c r="AC4" s="184">
        <f>IFERROR(VLOOKUP($I$22&amp;D4,'Development-Hidden'!$C$2:$E$118,3,FALSE),"")</f>
        <v>70000</v>
      </c>
      <c r="AD4" s="179">
        <v>1</v>
      </c>
      <c r="AE4" s="180"/>
      <c r="AF4" s="180"/>
      <c r="AG4" s="180"/>
      <c r="AH4" s="180"/>
      <c r="AI4" s="180"/>
      <c r="AJ4" s="185"/>
      <c r="AK4" s="136"/>
      <c r="AL4" s="186" t="s">
        <v>252</v>
      </c>
      <c r="AM4" s="187">
        <v>60000</v>
      </c>
      <c r="AN4" s="136"/>
      <c r="AO4" s="136"/>
      <c r="AP4" s="188"/>
      <c r="AQ4" s="189"/>
      <c r="AR4" s="189"/>
      <c r="AS4" s="186" t="s">
        <v>253</v>
      </c>
      <c r="AT4" s="304">
        <v>4</v>
      </c>
      <c r="AU4" s="191"/>
    </row>
    <row r="5" spans="1:47" ht="15.75" customHeight="1">
      <c r="A5" s="137"/>
      <c r="B5" s="192">
        <v>2</v>
      </c>
      <c r="C5" s="193" t="s">
        <v>515</v>
      </c>
      <c r="D5" s="194" t="s">
        <v>98</v>
      </c>
      <c r="E5" s="195">
        <f>IFERROR(VLOOKUP($I$22&amp;$D5,'Development-Hidden'!$C$2:$J$118,4,FALSE)-P5+AF5,"")</f>
        <v>4</v>
      </c>
      <c r="F5" s="196">
        <f>IFERROR(VLOOKUP($I$22&amp;$D5,'Development-Hidden'!$C$2:$J$118,5,FALSE)-Q5+AG5,"")</f>
        <v>3</v>
      </c>
      <c r="G5" s="196">
        <f>IFERROR(VLOOKUP($I$22&amp;$D5,'Development-Hidden'!$C$2:$J$118,6,FALSE)-R5+AH5,"")</f>
        <v>2</v>
      </c>
      <c r="H5" s="197">
        <f>IFERROR(VLOOKUP($I$22&amp;$D5,'Development-Hidden'!$C$2:$J$118,7,FALSE)-S5+AI5,"")</f>
        <v>9</v>
      </c>
      <c r="I5" s="198" t="str">
        <f>IFERROR(VLOOKUP($I$22&amp;$D5,'Development-Hidden'!$C$2:$J$118,8,FALSE),"")</f>
        <v>Block, Tackle, Thick Skull</v>
      </c>
      <c r="J5" s="199" t="s">
        <v>440</v>
      </c>
      <c r="K5" s="200">
        <f t="shared" si="0"/>
        <v>0</v>
      </c>
      <c r="L5" s="201"/>
      <c r="M5" s="201"/>
      <c r="N5" s="201"/>
      <c r="O5" s="202"/>
      <c r="P5" s="203"/>
      <c r="Q5" s="204"/>
      <c r="R5" s="204"/>
      <c r="S5" s="205"/>
      <c r="T5" s="349"/>
      <c r="U5" s="274"/>
      <c r="V5" s="349"/>
      <c r="W5" s="274"/>
      <c r="X5" s="350"/>
      <c r="Y5" s="351"/>
      <c r="Z5" s="209">
        <f t="shared" si="1"/>
        <v>0</v>
      </c>
      <c r="AA5" s="183">
        <f t="shared" si="2"/>
        <v>70000</v>
      </c>
      <c r="AB5" s="136"/>
      <c r="AC5" s="210">
        <f>IFERROR(VLOOKUP($I$22&amp;D5,'Development-Hidden'!$C$2:$E$118,3,FALSE),"")</f>
        <v>70000</v>
      </c>
      <c r="AD5" s="206"/>
      <c r="AE5" s="207"/>
      <c r="AF5" s="207"/>
      <c r="AG5" s="207"/>
      <c r="AH5" s="207"/>
      <c r="AI5" s="207"/>
      <c r="AJ5" s="211"/>
      <c r="AK5" s="136" t="s">
        <v>517</v>
      </c>
      <c r="AL5" s="212" t="s">
        <v>256</v>
      </c>
      <c r="AM5" s="213" t="s">
        <v>257</v>
      </c>
      <c r="AN5" s="214" t="s">
        <v>258</v>
      </c>
      <c r="AO5" s="215" t="s">
        <v>259</v>
      </c>
      <c r="AP5" s="216" t="s">
        <v>260</v>
      </c>
      <c r="AQ5" s="214" t="s">
        <v>261</v>
      </c>
      <c r="AR5" s="217" t="s">
        <v>33</v>
      </c>
      <c r="AS5" s="217" t="s">
        <v>262</v>
      </c>
      <c r="AT5" s="218" t="s">
        <v>221</v>
      </c>
      <c r="AU5" s="144"/>
    </row>
    <row r="6" spans="1:47" ht="15.75" customHeight="1">
      <c r="A6" s="137"/>
      <c r="B6" s="192">
        <v>3</v>
      </c>
      <c r="C6" s="193"/>
      <c r="D6" s="194"/>
      <c r="E6" s="195" t="str">
        <f>IFERROR(VLOOKUP($I$22&amp;$D6,'Development-Hidden'!$C$2:$J$118,4,FALSE)-P6+AF6,"")</f>
        <v/>
      </c>
      <c r="F6" s="196" t="str">
        <f>IFERROR(VLOOKUP($I$22&amp;$D6,'Development-Hidden'!$C$2:$J$118,5,FALSE)-Q6+AG6,"")</f>
        <v/>
      </c>
      <c r="G6" s="196" t="str">
        <f>IFERROR(VLOOKUP($I$22&amp;$D6,'Development-Hidden'!$C$2:$J$118,6,FALSE)-R6+AH6,"")</f>
        <v/>
      </c>
      <c r="H6" s="197" t="str">
        <f>IFERROR(VLOOKUP($I$22&amp;$D6,'Development-Hidden'!$C$2:$J$118,7,FALSE)-S6+AI6,"")</f>
        <v/>
      </c>
      <c r="I6" s="198" t="str">
        <f>IFERROR(VLOOKUP($I$22&amp;$D6,'Development-Hidden'!$C$2:$J$118,8,FALSE),"")</f>
        <v/>
      </c>
      <c r="J6" s="199"/>
      <c r="K6" s="200">
        <f t="shared" si="0"/>
        <v>0</v>
      </c>
      <c r="L6" s="201"/>
      <c r="M6" s="201"/>
      <c r="N6" s="201"/>
      <c r="O6" s="202"/>
      <c r="P6" s="203"/>
      <c r="Q6" s="204"/>
      <c r="R6" s="204"/>
      <c r="S6" s="205"/>
      <c r="T6" s="349"/>
      <c r="U6" s="274"/>
      <c r="V6" s="349"/>
      <c r="W6" s="274"/>
      <c r="X6" s="350"/>
      <c r="Y6" s="351"/>
      <c r="Z6" s="209">
        <f t="shared" si="1"/>
        <v>0</v>
      </c>
      <c r="AA6" s="183">
        <f t="shared" si="2"/>
        <v>0</v>
      </c>
      <c r="AB6" s="136"/>
      <c r="AC6" s="210" t="str">
        <f>IFERROR(VLOOKUP($I$22&amp;D6,'Development-Hidden'!$C$2:$E$118,3,FALSE),"0")</f>
        <v>0</v>
      </c>
      <c r="AD6" s="206"/>
      <c r="AE6" s="207"/>
      <c r="AF6" s="207"/>
      <c r="AG6" s="207"/>
      <c r="AH6" s="207"/>
      <c r="AI6" s="207"/>
      <c r="AJ6" s="211"/>
      <c r="AK6" s="136">
        <v>10</v>
      </c>
      <c r="AL6" s="219" t="s">
        <v>267</v>
      </c>
      <c r="AM6" s="220">
        <v>50000</v>
      </c>
      <c r="AN6" s="221">
        <v>70000</v>
      </c>
      <c r="AO6" s="222">
        <v>0</v>
      </c>
      <c r="AP6" s="223" t="s">
        <v>11</v>
      </c>
      <c r="AQ6" s="221" t="s">
        <v>361</v>
      </c>
      <c r="AR6" s="224">
        <v>0</v>
      </c>
      <c r="AS6" s="225">
        <v>1</v>
      </c>
      <c r="AT6" s="226">
        <v>0</v>
      </c>
      <c r="AU6" s="136"/>
    </row>
    <row r="7" spans="1:47" ht="15.75" customHeight="1">
      <c r="A7" s="137"/>
      <c r="B7" s="192">
        <v>4</v>
      </c>
      <c r="C7" s="193" t="s">
        <v>102</v>
      </c>
      <c r="D7" s="194" t="s">
        <v>98</v>
      </c>
      <c r="E7" s="195">
        <f>IFERROR(VLOOKUP($I$22&amp;$D7,'Development-Hidden'!$C$2:$J$118,4,FALSE)-P7+AF7,"")</f>
        <v>4</v>
      </c>
      <c r="F7" s="196">
        <f>IFERROR(VLOOKUP($I$22&amp;$D7,'Development-Hidden'!$C$2:$J$118,5,FALSE)-Q7+AG7,"")</f>
        <v>3</v>
      </c>
      <c r="G7" s="196">
        <f>IFERROR(VLOOKUP($I$22&amp;$D7,'Development-Hidden'!$C$2:$J$118,6,FALSE)-R7+AH7,"")</f>
        <v>2</v>
      </c>
      <c r="H7" s="197">
        <f>IFERROR(VLOOKUP($I$22&amp;$D7,'Development-Hidden'!$C$2:$J$118,7,FALSE)-S7+AI7,"")</f>
        <v>9</v>
      </c>
      <c r="I7" s="198" t="str">
        <f>IFERROR(VLOOKUP($I$22&amp;$D7,'Development-Hidden'!$C$2:$J$118,8,FALSE),"")</f>
        <v>Block, Tackle, Thick Skull</v>
      </c>
      <c r="J7" s="199" t="s">
        <v>377</v>
      </c>
      <c r="K7" s="200">
        <f t="shared" si="0"/>
        <v>1</v>
      </c>
      <c r="L7" s="201"/>
      <c r="M7" s="201"/>
      <c r="N7" s="201"/>
      <c r="O7" s="202"/>
      <c r="P7" s="203"/>
      <c r="Q7" s="204"/>
      <c r="R7" s="204"/>
      <c r="S7" s="205"/>
      <c r="T7" s="349"/>
      <c r="U7" s="274"/>
      <c r="V7" s="349"/>
      <c r="W7" s="274">
        <v>1</v>
      </c>
      <c r="X7" s="350"/>
      <c r="Y7" s="351">
        <v>2</v>
      </c>
      <c r="Z7" s="209">
        <f t="shared" si="1"/>
        <v>12</v>
      </c>
      <c r="AA7" s="183">
        <f t="shared" si="2"/>
        <v>90000</v>
      </c>
      <c r="AB7" s="136"/>
      <c r="AC7" s="210">
        <f>IFERROR(VLOOKUP($I$22&amp;D7,'Development-Hidden'!$C$2:$E$118,3,FALSE),"")</f>
        <v>70000</v>
      </c>
      <c r="AD7" s="206">
        <v>1</v>
      </c>
      <c r="AE7" s="207"/>
      <c r="AF7" s="207"/>
      <c r="AG7" s="207"/>
      <c r="AH7" s="207"/>
      <c r="AI7" s="207"/>
      <c r="AJ7" s="211"/>
      <c r="AK7" s="136">
        <v>22</v>
      </c>
      <c r="AL7" s="227" t="s">
        <v>278</v>
      </c>
      <c r="AM7" s="228">
        <v>20000</v>
      </c>
      <c r="AN7" s="229">
        <v>10000</v>
      </c>
      <c r="AO7" s="230">
        <v>0</v>
      </c>
      <c r="AP7" s="231" t="s">
        <v>23</v>
      </c>
      <c r="AQ7" s="229" t="s">
        <v>407</v>
      </c>
      <c r="AR7" s="232">
        <v>2</v>
      </c>
      <c r="AS7" s="233">
        <v>1</v>
      </c>
      <c r="AT7" s="234">
        <v>1</v>
      </c>
      <c r="AU7" s="136"/>
    </row>
    <row r="8" spans="1:47" ht="15.75" customHeight="1">
      <c r="A8" s="137"/>
      <c r="B8" s="192">
        <v>5</v>
      </c>
      <c r="C8" s="193"/>
      <c r="D8" s="194"/>
      <c r="E8" s="195" t="str">
        <f>IFERROR(VLOOKUP($I$22&amp;$D8,'Development-Hidden'!$C$2:$J$118,4,FALSE)-P8+AF8,"")</f>
        <v/>
      </c>
      <c r="F8" s="196" t="str">
        <f>IFERROR(VLOOKUP($I$22&amp;$D8,'Development-Hidden'!$C$2:$J$118,5,FALSE)-Q8+AG8,"")</f>
        <v/>
      </c>
      <c r="G8" s="196" t="str">
        <f>IFERROR(VLOOKUP($I$22&amp;$D8,'Development-Hidden'!$C$2:$J$118,6,FALSE)-R8+AH8,"")</f>
        <v/>
      </c>
      <c r="H8" s="197" t="str">
        <f>IFERROR(VLOOKUP($I$22&amp;$D8,'Development-Hidden'!$C$2:$J$118,7,FALSE)-S8+AI8,"")</f>
        <v/>
      </c>
      <c r="I8" s="198" t="str">
        <f>IFERROR(VLOOKUP($I$22&amp;$D8,'Development-Hidden'!$C$2:$J$118,8,FALSE),"")</f>
        <v/>
      </c>
      <c r="J8" s="199"/>
      <c r="K8" s="200">
        <f t="shared" si="0"/>
        <v>0</v>
      </c>
      <c r="L8" s="201"/>
      <c r="M8" s="201"/>
      <c r="N8" s="201"/>
      <c r="O8" s="202"/>
      <c r="P8" s="203"/>
      <c r="Q8" s="204"/>
      <c r="R8" s="204"/>
      <c r="S8" s="205"/>
      <c r="T8" s="349"/>
      <c r="U8" s="274"/>
      <c r="V8" s="349"/>
      <c r="W8" s="274"/>
      <c r="X8" s="350"/>
      <c r="Y8" s="351"/>
      <c r="Z8" s="209">
        <f t="shared" si="1"/>
        <v>0</v>
      </c>
      <c r="AA8" s="183">
        <f t="shared" si="2"/>
        <v>0</v>
      </c>
      <c r="AB8" s="136"/>
      <c r="AC8" s="210" t="str">
        <f>IFERROR(VLOOKUP($I$22&amp;D8,'Development-Hidden'!$C$2:$E$118,3,FALSE),"0")</f>
        <v>0</v>
      </c>
      <c r="AD8" s="206"/>
      <c r="AE8" s="207"/>
      <c r="AF8" s="207"/>
      <c r="AG8" s="207"/>
      <c r="AH8" s="207"/>
      <c r="AI8" s="207"/>
      <c r="AJ8" s="211"/>
      <c r="AK8" s="136">
        <v>34</v>
      </c>
      <c r="AL8" s="227" t="s">
        <v>289</v>
      </c>
      <c r="AM8" s="228">
        <v>40000</v>
      </c>
      <c r="AN8" s="229"/>
      <c r="AO8" s="230"/>
      <c r="AP8" s="231" t="s">
        <v>3</v>
      </c>
      <c r="AQ8" s="229" t="s">
        <v>361</v>
      </c>
      <c r="AR8" s="232">
        <v>0</v>
      </c>
      <c r="AS8" s="233">
        <v>4</v>
      </c>
      <c r="AT8" s="234">
        <v>0</v>
      </c>
      <c r="AU8" s="136"/>
    </row>
    <row r="9" spans="1:47" ht="15.75" customHeight="1">
      <c r="A9" s="137"/>
      <c r="B9" s="192">
        <v>6</v>
      </c>
      <c r="C9" s="193" t="s">
        <v>337</v>
      </c>
      <c r="D9" s="194" t="s">
        <v>98</v>
      </c>
      <c r="E9" s="195">
        <f>IFERROR(VLOOKUP($I$22&amp;$D9,'Development-Hidden'!$C$2:$J$118,4,FALSE)-P9+AF9,"")</f>
        <v>4</v>
      </c>
      <c r="F9" s="196">
        <f>IFERROR(VLOOKUP($I$22&amp;$D9,'Development-Hidden'!$C$2:$J$118,5,FALSE)-Q9+AG9,"")</f>
        <v>3</v>
      </c>
      <c r="G9" s="196">
        <f>IFERROR(VLOOKUP($I$22&amp;$D9,'Development-Hidden'!$C$2:$J$118,6,FALSE)-R9+AH9,"")</f>
        <v>2</v>
      </c>
      <c r="H9" s="197">
        <f>IFERROR(VLOOKUP($I$22&amp;$D9,'Development-Hidden'!$C$2:$J$118,7,FALSE)-S9+AI9,"")</f>
        <v>9</v>
      </c>
      <c r="I9" s="198" t="str">
        <f>IFERROR(VLOOKUP($I$22&amp;$D9,'Development-Hidden'!$C$2:$J$118,8,FALSE),"")</f>
        <v>Block, Tackle, Thick Skull</v>
      </c>
      <c r="J9" s="199"/>
      <c r="K9" s="200">
        <f t="shared" si="0"/>
        <v>0</v>
      </c>
      <c r="L9" s="201"/>
      <c r="M9" s="201"/>
      <c r="N9" s="201"/>
      <c r="O9" s="202"/>
      <c r="P9" s="203"/>
      <c r="Q9" s="204"/>
      <c r="R9" s="204"/>
      <c r="S9" s="205"/>
      <c r="T9" s="349"/>
      <c r="U9" s="274"/>
      <c r="V9" s="349"/>
      <c r="W9" s="274"/>
      <c r="X9" s="350"/>
      <c r="Y9" s="351"/>
      <c r="Z9" s="209">
        <f t="shared" si="1"/>
        <v>0</v>
      </c>
      <c r="AA9" s="183">
        <f t="shared" si="2"/>
        <v>70000</v>
      </c>
      <c r="AB9" s="136"/>
      <c r="AC9" s="210">
        <f>IFERROR(VLOOKUP($I$22&amp;D9,'Development-Hidden'!$C$2:$E$118,3,FALSE),"")</f>
        <v>70000</v>
      </c>
      <c r="AD9" s="206"/>
      <c r="AE9" s="207"/>
      <c r="AF9" s="207"/>
      <c r="AG9" s="207"/>
      <c r="AH9" s="207"/>
      <c r="AI9" s="207"/>
      <c r="AJ9" s="211"/>
      <c r="AK9" s="136"/>
      <c r="AL9" s="227" t="s">
        <v>296</v>
      </c>
      <c r="AM9" s="228">
        <v>60000</v>
      </c>
      <c r="AN9" s="229">
        <v>0</v>
      </c>
      <c r="AO9" s="230">
        <v>30000</v>
      </c>
      <c r="AP9" s="231" t="s">
        <v>520</v>
      </c>
      <c r="AQ9" s="229" t="s">
        <v>521</v>
      </c>
      <c r="AR9" s="232">
        <v>0</v>
      </c>
      <c r="AS9" s="233">
        <v>1</v>
      </c>
      <c r="AT9" s="234">
        <v>0</v>
      </c>
      <c r="AU9" s="136"/>
    </row>
    <row r="10" spans="1:47" ht="15.75" customHeight="1">
      <c r="A10" s="137"/>
      <c r="B10" s="192">
        <v>7</v>
      </c>
      <c r="C10" s="193" t="s">
        <v>104</v>
      </c>
      <c r="D10" s="194" t="s">
        <v>98</v>
      </c>
      <c r="E10" s="195">
        <f>IFERROR(VLOOKUP($I$22&amp;$D10,'Development-Hidden'!$C$2:$J$118,4,FALSE)-P10+AF10,"")</f>
        <v>4</v>
      </c>
      <c r="F10" s="196">
        <f>IFERROR(VLOOKUP($I$22&amp;$D10,'Development-Hidden'!$C$2:$J$118,5,FALSE)-Q10+AG10,"")</f>
        <v>3</v>
      </c>
      <c r="G10" s="196">
        <f>IFERROR(VLOOKUP($I$22&amp;$D10,'Development-Hidden'!$C$2:$J$118,6,FALSE)-R10+AH10,"")</f>
        <v>2</v>
      </c>
      <c r="H10" s="197">
        <f>IFERROR(VLOOKUP($I$22&amp;$D10,'Development-Hidden'!$C$2:$J$118,7,FALSE)-S10+AI10,"")</f>
        <v>9</v>
      </c>
      <c r="I10" s="198" t="str">
        <f>IFERROR(VLOOKUP($I$22&amp;$D10,'Development-Hidden'!$C$2:$J$118,8,FALSE),"")</f>
        <v>Block, Tackle, Thick Skull</v>
      </c>
      <c r="J10" s="199"/>
      <c r="K10" s="200">
        <f t="shared" si="0"/>
        <v>0</v>
      </c>
      <c r="L10" s="201"/>
      <c r="M10" s="201"/>
      <c r="N10" s="201"/>
      <c r="O10" s="202"/>
      <c r="P10" s="203"/>
      <c r="Q10" s="204"/>
      <c r="R10" s="204"/>
      <c r="S10" s="205"/>
      <c r="T10" s="349"/>
      <c r="U10" s="274"/>
      <c r="V10" s="349"/>
      <c r="W10" s="274"/>
      <c r="X10" s="350"/>
      <c r="Y10" s="351">
        <v>1</v>
      </c>
      <c r="Z10" s="209">
        <f t="shared" si="1"/>
        <v>5</v>
      </c>
      <c r="AA10" s="183">
        <f t="shared" si="2"/>
        <v>70000</v>
      </c>
      <c r="AB10" s="136"/>
      <c r="AC10" s="210">
        <f>IFERROR(VLOOKUP($I$22&amp;D10,'Development-Hidden'!$C$2:$E$118,3,FALSE),"")</f>
        <v>70000</v>
      </c>
      <c r="AD10" s="206"/>
      <c r="AE10" s="207"/>
      <c r="AF10" s="207"/>
      <c r="AG10" s="207"/>
      <c r="AH10" s="207"/>
      <c r="AI10" s="207"/>
      <c r="AJ10" s="211"/>
      <c r="AK10" s="136"/>
      <c r="AL10" s="227" t="s">
        <v>306</v>
      </c>
      <c r="AM10" s="228"/>
      <c r="AN10" s="229"/>
      <c r="AO10" s="230"/>
      <c r="AP10" s="231"/>
      <c r="AQ10" s="229"/>
      <c r="AR10" s="232"/>
      <c r="AS10" s="233"/>
      <c r="AT10" s="234"/>
      <c r="AU10" s="136"/>
    </row>
    <row r="11" spans="1:47" ht="15.75" customHeight="1">
      <c r="A11" s="137"/>
      <c r="B11" s="192">
        <v>8</v>
      </c>
      <c r="C11" s="193" t="s">
        <v>338</v>
      </c>
      <c r="D11" s="194" t="s">
        <v>98</v>
      </c>
      <c r="E11" s="195">
        <f>IFERROR(VLOOKUP($I$22&amp;$D11,'Development-Hidden'!$C$2:$J$118,4,FALSE)-P11+AF11,"")</f>
        <v>4</v>
      </c>
      <c r="F11" s="196">
        <f>IFERROR(VLOOKUP($I$22&amp;$D11,'Development-Hidden'!$C$2:$J$118,5,FALSE)-Q11+AG11,"")</f>
        <v>3</v>
      </c>
      <c r="G11" s="196">
        <f>IFERROR(VLOOKUP($I$22&amp;$D11,'Development-Hidden'!$C$2:$J$118,6,FALSE)-R11+AH11,"")</f>
        <v>2</v>
      </c>
      <c r="H11" s="197">
        <f>IFERROR(VLOOKUP($I$22&amp;$D11,'Development-Hidden'!$C$2:$J$118,7,FALSE)-S11+AI11,"")</f>
        <v>9</v>
      </c>
      <c r="I11" s="198" t="str">
        <f>IFERROR(VLOOKUP($I$22&amp;$D11,'Development-Hidden'!$C$2:$J$118,8,FALSE),"")</f>
        <v>Block, Tackle, Thick Skull</v>
      </c>
      <c r="J11" s="199"/>
      <c r="K11" s="200">
        <f t="shared" si="0"/>
        <v>0</v>
      </c>
      <c r="L11" s="201"/>
      <c r="M11" s="201"/>
      <c r="N11" s="201"/>
      <c r="O11" s="202"/>
      <c r="P11" s="203"/>
      <c r="Q11" s="204"/>
      <c r="R11" s="204"/>
      <c r="S11" s="205"/>
      <c r="T11" s="349"/>
      <c r="U11" s="274"/>
      <c r="V11" s="349"/>
      <c r="W11" s="274"/>
      <c r="X11" s="350"/>
      <c r="Y11" s="351"/>
      <c r="Z11" s="209">
        <f t="shared" si="1"/>
        <v>0</v>
      </c>
      <c r="AA11" s="183">
        <f t="shared" si="2"/>
        <v>70000</v>
      </c>
      <c r="AB11" s="136"/>
      <c r="AC11" s="210">
        <f>IFERROR(VLOOKUP($I$22&amp;D11,'Development-Hidden'!$C$2:$E$118,3,FALSE),"")</f>
        <v>70000</v>
      </c>
      <c r="AD11" s="206"/>
      <c r="AE11" s="207"/>
      <c r="AF11" s="207"/>
      <c r="AG11" s="207"/>
      <c r="AH11" s="207"/>
      <c r="AI11" s="207"/>
      <c r="AJ11" s="211"/>
      <c r="AK11" s="136"/>
      <c r="AL11" s="227" t="s">
        <v>316</v>
      </c>
      <c r="AM11" s="228"/>
      <c r="AN11" s="229"/>
      <c r="AO11" s="230"/>
      <c r="AP11" s="231"/>
      <c r="AQ11" s="229"/>
      <c r="AR11" s="232"/>
      <c r="AS11" s="233"/>
      <c r="AT11" s="234"/>
      <c r="AU11" s="136"/>
    </row>
    <row r="12" spans="1:47" ht="15.75" customHeight="1">
      <c r="A12" s="137"/>
      <c r="B12" s="192">
        <v>9</v>
      </c>
      <c r="C12" s="193" t="s">
        <v>522</v>
      </c>
      <c r="D12" s="194" t="s">
        <v>98</v>
      </c>
      <c r="E12" s="195">
        <f>IFERROR(VLOOKUP($I$22&amp;$D12,'Development-Hidden'!$C$2:$J$118,4,FALSE)-P12+AF12,"")</f>
        <v>4</v>
      </c>
      <c r="F12" s="196">
        <f>IFERROR(VLOOKUP($I$22&amp;$D12,'Development-Hidden'!$C$2:$J$118,5,FALSE)-Q12+AG12,"")</f>
        <v>3</v>
      </c>
      <c r="G12" s="196">
        <f>IFERROR(VLOOKUP($I$22&amp;$D12,'Development-Hidden'!$C$2:$J$118,6,FALSE)-R12+AH12,"")</f>
        <v>2</v>
      </c>
      <c r="H12" s="197">
        <f>IFERROR(VLOOKUP($I$22&amp;$D12,'Development-Hidden'!$C$2:$J$118,7,FALSE)-S12+AI12,"")</f>
        <v>9</v>
      </c>
      <c r="I12" s="198" t="str">
        <f>IFERROR(VLOOKUP($I$22&amp;$D12,'Development-Hidden'!$C$2:$J$118,8,FALSE),"")</f>
        <v>Block, Tackle, Thick Skull</v>
      </c>
      <c r="J12" s="199" t="s">
        <v>440</v>
      </c>
      <c r="K12" s="200">
        <f t="shared" si="0"/>
        <v>0</v>
      </c>
      <c r="L12" s="201"/>
      <c r="M12" s="201"/>
      <c r="N12" s="201"/>
      <c r="O12" s="202"/>
      <c r="P12" s="203"/>
      <c r="Q12" s="204"/>
      <c r="R12" s="204"/>
      <c r="S12" s="205"/>
      <c r="T12" s="349"/>
      <c r="U12" s="274"/>
      <c r="V12" s="349"/>
      <c r="W12" s="274"/>
      <c r="X12" s="350"/>
      <c r="Y12" s="351"/>
      <c r="Z12" s="209">
        <f t="shared" si="1"/>
        <v>0</v>
      </c>
      <c r="AA12" s="183">
        <f t="shared" si="2"/>
        <v>70000</v>
      </c>
      <c r="AB12" s="136"/>
      <c r="AC12" s="210">
        <f>IFERROR(VLOOKUP($I$22&amp;D12,'Development-Hidden'!$C$2:$E$118,3,FALSE),"")</f>
        <v>70000</v>
      </c>
      <c r="AD12" s="206"/>
      <c r="AE12" s="207"/>
      <c r="AF12" s="207"/>
      <c r="AG12" s="207"/>
      <c r="AH12" s="207"/>
      <c r="AI12" s="207"/>
      <c r="AJ12" s="211"/>
      <c r="AK12" s="136"/>
      <c r="AL12" s="227" t="s">
        <v>330</v>
      </c>
      <c r="AM12" s="228"/>
      <c r="AN12" s="229"/>
      <c r="AO12" s="230"/>
      <c r="AP12" s="231"/>
      <c r="AQ12" s="229"/>
      <c r="AR12" s="232"/>
      <c r="AS12" s="233"/>
      <c r="AT12" s="234"/>
      <c r="AU12" s="136"/>
    </row>
    <row r="13" spans="1:47" ht="15.75" customHeight="1">
      <c r="A13" s="137"/>
      <c r="B13" s="192">
        <v>10</v>
      </c>
      <c r="C13" s="193"/>
      <c r="D13" s="194"/>
      <c r="E13" s="195" t="str">
        <f>IFERROR(VLOOKUP($I$22&amp;$D13,'Development-Hidden'!$C$2:$J$118,4,FALSE)-P13+AF13,"")</f>
        <v/>
      </c>
      <c r="F13" s="196" t="str">
        <f>IFERROR(VLOOKUP($I$22&amp;$D13,'Development-Hidden'!$C$2:$J$118,5,FALSE)-Q13+AG13,"")</f>
        <v/>
      </c>
      <c r="G13" s="196" t="str">
        <f>IFERROR(VLOOKUP($I$22&amp;$D13,'Development-Hidden'!$C$2:$J$118,6,FALSE)-R13+AH13,"")</f>
        <v/>
      </c>
      <c r="H13" s="197" t="str">
        <f>IFERROR(VLOOKUP($I$22&amp;$D13,'Development-Hidden'!$C$2:$J$118,7,FALSE)-S13+AI13,"")</f>
        <v/>
      </c>
      <c r="I13" s="198" t="str">
        <f>IFERROR(VLOOKUP($I$22&amp;$D13,'Development-Hidden'!$C$2:$J$118,8,FALSE),"")</f>
        <v/>
      </c>
      <c r="J13" s="199"/>
      <c r="K13" s="200">
        <f t="shared" si="0"/>
        <v>0</v>
      </c>
      <c r="L13" s="201"/>
      <c r="M13" s="201"/>
      <c r="N13" s="201"/>
      <c r="O13" s="202"/>
      <c r="P13" s="203"/>
      <c r="Q13" s="204"/>
      <c r="R13" s="204"/>
      <c r="S13" s="205"/>
      <c r="T13" s="349"/>
      <c r="U13" s="274"/>
      <c r="V13" s="349"/>
      <c r="W13" s="274"/>
      <c r="X13" s="350"/>
      <c r="Y13" s="351"/>
      <c r="Z13" s="209">
        <f t="shared" si="1"/>
        <v>0</v>
      </c>
      <c r="AA13" s="183">
        <f t="shared" si="2"/>
        <v>0</v>
      </c>
      <c r="AB13" s="136"/>
      <c r="AC13" s="210" t="str">
        <f>IFERROR(VLOOKUP($I$22&amp;D13,'Development-Hidden'!$C$2:$E$118,3,FALSE),"0")</f>
        <v>0</v>
      </c>
      <c r="AD13" s="206"/>
      <c r="AE13" s="207"/>
      <c r="AF13" s="207"/>
      <c r="AG13" s="207"/>
      <c r="AH13" s="207"/>
      <c r="AI13" s="207"/>
      <c r="AJ13" s="211"/>
      <c r="AK13" s="136"/>
      <c r="AL13" s="227" t="s">
        <v>342</v>
      </c>
      <c r="AM13" s="228"/>
      <c r="AN13" s="229"/>
      <c r="AO13" s="230"/>
      <c r="AP13" s="231"/>
      <c r="AQ13" s="229"/>
      <c r="AR13" s="232"/>
      <c r="AS13" s="233"/>
      <c r="AT13" s="234"/>
      <c r="AU13" s="136"/>
    </row>
    <row r="14" spans="1:47" ht="15.75" customHeight="1">
      <c r="A14" s="137"/>
      <c r="B14" s="192">
        <v>11</v>
      </c>
      <c r="C14" s="193" t="s">
        <v>339</v>
      </c>
      <c r="D14" s="194" t="s">
        <v>49</v>
      </c>
      <c r="E14" s="195">
        <f>IFERROR(VLOOKUP($I$22&amp;$D14,'Development-Hidden'!$C$2:$J$118,4,FALSE)-P14+AF14,"")</f>
        <v>5</v>
      </c>
      <c r="F14" s="196">
        <f>IFERROR(VLOOKUP($I$22&amp;$D14,'Development-Hidden'!$C$2:$J$118,5,FALSE)-Q14+AG14,"")</f>
        <v>3</v>
      </c>
      <c r="G14" s="196">
        <f>IFERROR(VLOOKUP($I$22&amp;$D14,'Development-Hidden'!$C$2:$J$118,6,FALSE)-R14+AH14,"")</f>
        <v>3</v>
      </c>
      <c r="H14" s="197">
        <f>IFERROR(VLOOKUP($I$22&amp;$D14,'Development-Hidden'!$C$2:$J$118,7,FALSE)-S14+AI14,"")</f>
        <v>9</v>
      </c>
      <c r="I14" s="198" t="str">
        <f>IFERROR(VLOOKUP($I$22&amp;$D14,'Development-Hidden'!$C$2:$J$118,8,FALSE),"")</f>
        <v>Block, Thick Skull</v>
      </c>
      <c r="J14" s="199"/>
      <c r="K14" s="200">
        <f t="shared" si="0"/>
        <v>0</v>
      </c>
      <c r="L14" s="201"/>
      <c r="M14" s="201"/>
      <c r="N14" s="201"/>
      <c r="O14" s="202"/>
      <c r="P14" s="203"/>
      <c r="Q14" s="204"/>
      <c r="R14" s="204"/>
      <c r="S14" s="205"/>
      <c r="T14" s="349"/>
      <c r="U14" s="274"/>
      <c r="V14" s="349"/>
      <c r="W14" s="274"/>
      <c r="X14" s="350"/>
      <c r="Y14" s="351"/>
      <c r="Z14" s="209">
        <f t="shared" si="1"/>
        <v>0</v>
      </c>
      <c r="AA14" s="183">
        <f t="shared" si="2"/>
        <v>80000</v>
      </c>
      <c r="AB14" s="136"/>
      <c r="AC14" s="210">
        <f>IFERROR(VLOOKUP($I$22&amp;D14,'Development-Hidden'!$C$2:$E$118,3,FALSE),"")</f>
        <v>80000</v>
      </c>
      <c r="AD14" s="206"/>
      <c r="AE14" s="207"/>
      <c r="AF14" s="207"/>
      <c r="AG14" s="207"/>
      <c r="AH14" s="207"/>
      <c r="AI14" s="207"/>
      <c r="AJ14" s="211"/>
      <c r="AK14" s="136"/>
      <c r="AL14" s="227" t="s">
        <v>354</v>
      </c>
      <c r="AM14" s="228"/>
      <c r="AN14" s="229"/>
      <c r="AO14" s="230"/>
      <c r="AP14" s="231"/>
      <c r="AQ14" s="229"/>
      <c r="AR14" s="232"/>
      <c r="AS14" s="233"/>
      <c r="AT14" s="234"/>
      <c r="AU14" s="136"/>
    </row>
    <row r="15" spans="1:47" ht="15.75" customHeight="1">
      <c r="A15" s="137"/>
      <c r="B15" s="192">
        <v>12</v>
      </c>
      <c r="C15" s="193" t="s">
        <v>148</v>
      </c>
      <c r="D15" s="194" t="s">
        <v>43</v>
      </c>
      <c r="E15" s="195">
        <f>IFERROR(VLOOKUP($I$22&amp;$D15,'Development-Hidden'!$C$2:$J$118,4,FALSE)-P15+AF15,"")</f>
        <v>5</v>
      </c>
      <c r="F15" s="196">
        <f>IFERROR(VLOOKUP($I$22&amp;$D15,'Development-Hidden'!$C$2:$J$118,5,FALSE)-Q15+AG15,"")</f>
        <v>4</v>
      </c>
      <c r="G15" s="196">
        <f>IFERROR(VLOOKUP($I$22&amp;$D15,'Development-Hidden'!$C$2:$J$118,6,FALSE)-R15+AH15,"")</f>
        <v>2</v>
      </c>
      <c r="H15" s="197">
        <f>IFERROR(VLOOKUP($I$22&amp;$D15,'Development-Hidden'!$C$2:$J$118,7,FALSE)-S15+AI15,"")</f>
        <v>8</v>
      </c>
      <c r="I15" s="198" t="str">
        <f>IFERROR(VLOOKUP($I$22&amp;$D15,'Development-Hidden'!$C$2:$J$118,8,FALSE),"")</f>
        <v>Block, Dauntless, Frenzy, Thick Skull</v>
      </c>
      <c r="J15" s="199" t="str">
        <f>"+ST"</f>
        <v>+ST</v>
      </c>
      <c r="K15" s="200">
        <f t="shared" si="0"/>
        <v>1</v>
      </c>
      <c r="L15" s="201"/>
      <c r="M15" s="201"/>
      <c r="N15" s="201"/>
      <c r="O15" s="202"/>
      <c r="P15" s="203"/>
      <c r="Q15" s="204"/>
      <c r="R15" s="204"/>
      <c r="S15" s="205"/>
      <c r="T15" s="349"/>
      <c r="U15" s="274"/>
      <c r="V15" s="349"/>
      <c r="W15" s="274">
        <v>1</v>
      </c>
      <c r="X15" s="350"/>
      <c r="Y15" s="351">
        <v>1</v>
      </c>
      <c r="Z15" s="209">
        <f t="shared" si="1"/>
        <v>7</v>
      </c>
      <c r="AA15" s="183">
        <f t="shared" si="2"/>
        <v>140000</v>
      </c>
      <c r="AB15" s="136"/>
      <c r="AC15" s="210">
        <f>IFERROR(VLOOKUP($I$22&amp;D15,'Development-Hidden'!$C$2:$E$118,3,FALSE),"")</f>
        <v>90000</v>
      </c>
      <c r="AD15" s="206"/>
      <c r="AE15" s="207"/>
      <c r="AF15" s="207"/>
      <c r="AG15" s="207">
        <v>1</v>
      </c>
      <c r="AH15" s="207"/>
      <c r="AI15" s="207"/>
      <c r="AJ15" s="211"/>
      <c r="AK15" s="136"/>
      <c r="AL15" s="227" t="s">
        <v>355</v>
      </c>
      <c r="AM15" s="228"/>
      <c r="AN15" s="229"/>
      <c r="AO15" s="230"/>
      <c r="AP15" s="231"/>
      <c r="AQ15" s="229"/>
      <c r="AR15" s="232"/>
      <c r="AS15" s="233"/>
      <c r="AT15" s="234"/>
      <c r="AU15" s="136"/>
    </row>
    <row r="16" spans="1:47" ht="15.75" customHeight="1">
      <c r="A16" s="137"/>
      <c r="B16" s="192">
        <v>13</v>
      </c>
      <c r="C16" s="193" t="s">
        <v>162</v>
      </c>
      <c r="D16" s="194" t="s">
        <v>43</v>
      </c>
      <c r="E16" s="195">
        <f>IFERROR(VLOOKUP($I$22&amp;$D16,'Development-Hidden'!$C$2:$J$118,4,FALSE)-P16+AF16,"")</f>
        <v>5</v>
      </c>
      <c r="F16" s="196">
        <f>IFERROR(VLOOKUP($I$22&amp;$D16,'Development-Hidden'!$C$2:$J$118,5,FALSE)-Q16+AG16,"")</f>
        <v>3</v>
      </c>
      <c r="G16" s="196">
        <f>IFERROR(VLOOKUP($I$22&amp;$D16,'Development-Hidden'!$C$2:$J$118,6,FALSE)-R16+AH16,"")</f>
        <v>2</v>
      </c>
      <c r="H16" s="197">
        <f>IFERROR(VLOOKUP($I$22&amp;$D16,'Development-Hidden'!$C$2:$J$118,7,FALSE)-S16+AI16,"")</f>
        <v>8</v>
      </c>
      <c r="I16" s="198" t="str">
        <f>IFERROR(VLOOKUP($I$22&amp;$D16,'Development-Hidden'!$C$2:$J$118,8,FALSE),"")</f>
        <v>Block, Dauntless, Frenzy, Thick Skull</v>
      </c>
      <c r="J16" s="199" t="s">
        <v>399</v>
      </c>
      <c r="K16" s="200">
        <f t="shared" si="0"/>
        <v>1</v>
      </c>
      <c r="L16" s="201"/>
      <c r="M16" s="201"/>
      <c r="N16" s="201"/>
      <c r="O16" s="202"/>
      <c r="P16" s="203"/>
      <c r="Q16" s="204"/>
      <c r="R16" s="204"/>
      <c r="S16" s="205"/>
      <c r="T16" s="349"/>
      <c r="U16" s="274"/>
      <c r="V16" s="349"/>
      <c r="W16" s="274">
        <v>6</v>
      </c>
      <c r="X16" s="350"/>
      <c r="Y16" s="351">
        <v>0</v>
      </c>
      <c r="Z16" s="209">
        <f t="shared" si="1"/>
        <v>12</v>
      </c>
      <c r="AA16" s="183">
        <f t="shared" si="2"/>
        <v>110000</v>
      </c>
      <c r="AB16" s="136"/>
      <c r="AC16" s="210">
        <f>IFERROR(VLOOKUP($I$22&amp;D16,'Development-Hidden'!$C$2:$E$118,3,FALSE),"")</f>
        <v>90000</v>
      </c>
      <c r="AD16" s="206">
        <v>1</v>
      </c>
      <c r="AE16" s="207"/>
      <c r="AF16" s="207"/>
      <c r="AG16" s="207"/>
      <c r="AH16" s="207"/>
      <c r="AI16" s="207"/>
      <c r="AJ16" s="211"/>
      <c r="AK16" s="136"/>
      <c r="AL16" s="227" t="s">
        <v>357</v>
      </c>
      <c r="AM16" s="228"/>
      <c r="AN16" s="229"/>
      <c r="AO16" s="230"/>
      <c r="AP16" s="231"/>
      <c r="AQ16" s="229"/>
      <c r="AR16" s="232"/>
      <c r="AS16" s="233"/>
      <c r="AT16" s="234"/>
      <c r="AU16" s="136"/>
    </row>
    <row r="17" spans="1:47" ht="15.75" customHeight="1">
      <c r="A17" s="137"/>
      <c r="B17" s="192">
        <v>14</v>
      </c>
      <c r="C17" s="193" t="s">
        <v>95</v>
      </c>
      <c r="D17" s="194" t="s">
        <v>71</v>
      </c>
      <c r="E17" s="195">
        <f>IFERROR(VLOOKUP($I$22&amp;$D17,'Development-Hidden'!$C$2:$J$118,4,FALSE)-P17+AF17,"")</f>
        <v>7</v>
      </c>
      <c r="F17" s="196">
        <f>IFERROR(VLOOKUP($I$22&amp;$D17,'Development-Hidden'!$C$2:$J$118,5,FALSE)-Q17+AG17,"")</f>
        <v>3</v>
      </c>
      <c r="G17" s="196">
        <f>IFERROR(VLOOKUP($I$22&amp;$D17,'Development-Hidden'!$C$2:$J$118,6,FALSE)-R17+AH17,"")</f>
        <v>3</v>
      </c>
      <c r="H17" s="197">
        <f>IFERROR(VLOOKUP($I$22&amp;$D17,'Development-Hidden'!$C$2:$J$118,7,FALSE)-S17+AI17,"")</f>
        <v>8</v>
      </c>
      <c r="I17" s="198" t="str">
        <f>IFERROR(VLOOKUP($I$22&amp;$D17,'Development-Hidden'!$C$2:$J$118,8,FALSE),"")</f>
        <v>Sure Hands, Thick Skull</v>
      </c>
      <c r="J17" s="199" t="s">
        <v>523</v>
      </c>
      <c r="K17" s="200">
        <f t="shared" si="0"/>
        <v>4</v>
      </c>
      <c r="L17" s="201"/>
      <c r="M17" s="201"/>
      <c r="N17" s="201"/>
      <c r="O17" s="202"/>
      <c r="P17" s="203"/>
      <c r="Q17" s="204"/>
      <c r="R17" s="204"/>
      <c r="S17" s="205"/>
      <c r="T17" s="349"/>
      <c r="U17" s="274">
        <v>8</v>
      </c>
      <c r="V17" s="349">
        <v>10</v>
      </c>
      <c r="W17" s="274"/>
      <c r="X17" s="350"/>
      <c r="Y17" s="351">
        <v>3</v>
      </c>
      <c r="Z17" s="209">
        <f t="shared" si="1"/>
        <v>53</v>
      </c>
      <c r="AA17" s="183">
        <f t="shared" si="2"/>
        <v>180000</v>
      </c>
      <c r="AB17" s="136"/>
      <c r="AC17" s="210">
        <f>IFERROR(VLOOKUP($I$22&amp;D17,'Development-Hidden'!$C$2:$E$118,3,FALSE),"")</f>
        <v>80000</v>
      </c>
      <c r="AD17" s="206">
        <v>2</v>
      </c>
      <c r="AE17" s="207">
        <v>1</v>
      </c>
      <c r="AF17" s="207">
        <v>1</v>
      </c>
      <c r="AG17" s="207"/>
      <c r="AH17" s="207"/>
      <c r="AI17" s="207"/>
      <c r="AJ17" s="211"/>
      <c r="AK17" s="136"/>
      <c r="AL17" s="235" t="s">
        <v>359</v>
      </c>
      <c r="AM17" s="236"/>
      <c r="AN17" s="237"/>
      <c r="AO17" s="238"/>
      <c r="AP17" s="239"/>
      <c r="AQ17" s="237"/>
      <c r="AR17" s="240"/>
      <c r="AS17" s="241"/>
      <c r="AT17" s="242"/>
      <c r="AU17" s="136"/>
    </row>
    <row r="18" spans="1:47" ht="15.75" customHeight="1">
      <c r="A18" s="137"/>
      <c r="B18" s="192">
        <v>15</v>
      </c>
      <c r="C18" s="193"/>
      <c r="D18" s="194"/>
      <c r="E18" s="195" t="str">
        <f>IFERROR(VLOOKUP($I$22&amp;$D18,'Development-Hidden'!$C$2:$J$118,4,FALSE)-P18+AF18,"")</f>
        <v/>
      </c>
      <c r="F18" s="196" t="str">
        <f>IFERROR(VLOOKUP($I$22&amp;$D18,'Development-Hidden'!$C$2:$J$118,5,FALSE)-Q18+AG18,"")</f>
        <v/>
      </c>
      <c r="G18" s="196" t="str">
        <f>IFERROR(VLOOKUP($I$22&amp;$D18,'Development-Hidden'!$C$2:$J$118,6,FALSE)-R18+AH18,"")</f>
        <v/>
      </c>
      <c r="H18" s="197" t="str">
        <f>IFERROR(VLOOKUP($I$22&amp;$D18,'Development-Hidden'!$C$2:$J$118,7,FALSE)-S18+AI18,"")</f>
        <v/>
      </c>
      <c r="I18" s="198" t="str">
        <f>IFERROR(VLOOKUP($I$22&amp;$D18,'Development-Hidden'!$C$2:$J$118,8,FALSE),"")</f>
        <v/>
      </c>
      <c r="J18" s="199"/>
      <c r="K18" s="200">
        <f t="shared" si="0"/>
        <v>0</v>
      </c>
      <c r="L18" s="201"/>
      <c r="M18" s="201"/>
      <c r="N18" s="201"/>
      <c r="O18" s="202"/>
      <c r="P18" s="203"/>
      <c r="Q18" s="204"/>
      <c r="R18" s="204"/>
      <c r="S18" s="205"/>
      <c r="T18" s="206"/>
      <c r="U18" s="207"/>
      <c r="V18" s="207"/>
      <c r="W18" s="207"/>
      <c r="X18" s="204"/>
      <c r="Y18" s="208"/>
      <c r="Z18" s="209">
        <f t="shared" si="1"/>
        <v>0</v>
      </c>
      <c r="AA18" s="183">
        <f t="shared" si="2"/>
        <v>0</v>
      </c>
      <c r="AB18" s="136"/>
      <c r="AC18" s="210" t="str">
        <f>IFERROR(VLOOKUP($I$22&amp;D18,'Development-Hidden'!$C$2:$E$118,3,FALSE),"0")</f>
        <v>0</v>
      </c>
      <c r="AD18" s="206"/>
      <c r="AE18" s="207"/>
      <c r="AF18" s="207"/>
      <c r="AG18" s="207"/>
      <c r="AH18" s="207"/>
      <c r="AI18" s="207"/>
      <c r="AJ18" s="211"/>
      <c r="AK18" s="136"/>
      <c r="AL18" s="243" t="s">
        <v>219</v>
      </c>
      <c r="AM18" s="244">
        <f>AM4+SUM(AM6:AM17)-SUM(AN6:AN17)-SUM(AO6:AO17)</f>
        <v>120000</v>
      </c>
      <c r="AN18" s="136"/>
      <c r="AO18" s="136"/>
      <c r="AP18" s="189"/>
      <c r="AQ18" s="243" t="s">
        <v>219</v>
      </c>
      <c r="AR18" s="245">
        <f t="shared" ref="AR18:AS18" si="3">SUM(AR6:AR17)</f>
        <v>2</v>
      </c>
      <c r="AS18" s="246">
        <f t="shared" si="3"/>
        <v>7</v>
      </c>
      <c r="AT18" s="247">
        <f>AT4+SUM(AT6:AT17)</f>
        <v>5</v>
      </c>
      <c r="AU18" s="140"/>
    </row>
    <row r="19" spans="1:47" ht="15.75" customHeight="1">
      <c r="A19" s="137"/>
      <c r="B19" s="248">
        <v>16</v>
      </c>
      <c r="C19" s="249"/>
      <c r="D19" s="250"/>
      <c r="E19" s="251" t="str">
        <f>IFERROR(VLOOKUP($I$22&amp;$D19,'Development-Hidden'!$C$2:$J$118,4,FALSE)-P19+AF19,"")</f>
        <v/>
      </c>
      <c r="F19" s="252" t="str">
        <f>IFERROR(VLOOKUP($I$22&amp;$D19,'Development-Hidden'!$C$2:$J$118,5,FALSE)-Q19+AG19,"")</f>
        <v/>
      </c>
      <c r="G19" s="252" t="str">
        <f>IFERROR(VLOOKUP($I$22&amp;$D19,'Development-Hidden'!$C$2:$J$118,6,FALSE)-R19+AH19,"")</f>
        <v/>
      </c>
      <c r="H19" s="253" t="str">
        <f>IFERROR(VLOOKUP($I$22&amp;$D19,'Development-Hidden'!$C$2:$J$118,7,FALSE)-S19+AI19,"")</f>
        <v/>
      </c>
      <c r="I19" s="254" t="str">
        <f>IFERROR(VLOOKUP($I$22&amp;$D19,'Development-Hidden'!$C$2:$J$118,8,FALSE),"")</f>
        <v/>
      </c>
      <c r="J19" s="255"/>
      <c r="K19" s="256">
        <f t="shared" si="0"/>
        <v>0</v>
      </c>
      <c r="L19" s="257"/>
      <c r="M19" s="257"/>
      <c r="N19" s="257"/>
      <c r="O19" s="258"/>
      <c r="P19" s="259"/>
      <c r="Q19" s="260"/>
      <c r="R19" s="260"/>
      <c r="S19" s="261"/>
      <c r="T19" s="262"/>
      <c r="U19" s="263"/>
      <c r="V19" s="263"/>
      <c r="W19" s="263"/>
      <c r="X19" s="260"/>
      <c r="Y19" s="264"/>
      <c r="Z19" s="265">
        <f t="shared" si="1"/>
        <v>0</v>
      </c>
      <c r="AA19" s="183">
        <f t="shared" si="2"/>
        <v>0</v>
      </c>
      <c r="AB19" s="136"/>
      <c r="AC19" s="210" t="str">
        <f>IFERROR(VLOOKUP($I$22&amp;D19,'Development-Hidden'!$C$2:$E$118,3,FALSE),"0")</f>
        <v>0</v>
      </c>
      <c r="AD19" s="267"/>
      <c r="AE19" s="268"/>
      <c r="AF19" s="268"/>
      <c r="AG19" s="268"/>
      <c r="AH19" s="268"/>
      <c r="AI19" s="268"/>
      <c r="AJ19" s="269"/>
      <c r="AK19" s="136"/>
    </row>
    <row r="20" spans="1:47" ht="15.75" customHeight="1">
      <c r="B20" s="571"/>
      <c r="C20" s="572"/>
      <c r="D20" s="573"/>
      <c r="E20" s="586" t="s">
        <v>364</v>
      </c>
      <c r="F20" s="587"/>
      <c r="G20" s="587"/>
      <c r="H20" s="587"/>
      <c r="I20" s="587"/>
      <c r="J20" s="587"/>
      <c r="K20" s="587"/>
      <c r="L20" s="587"/>
      <c r="M20" s="587"/>
      <c r="N20" s="587"/>
      <c r="O20" s="587"/>
      <c r="P20" s="587"/>
      <c r="Q20" s="587"/>
      <c r="R20" s="587"/>
      <c r="S20" s="587"/>
      <c r="T20" s="587"/>
      <c r="U20" s="587"/>
      <c r="V20" s="587"/>
      <c r="W20" s="587"/>
      <c r="X20" s="587"/>
      <c r="Y20" s="587"/>
      <c r="Z20" s="588"/>
      <c r="AA20" s="270">
        <f>SUM(AA4:AA19)</f>
        <v>1040000</v>
      </c>
      <c r="AB20" s="136"/>
      <c r="AC20" s="136"/>
      <c r="AD20" s="136"/>
      <c r="AE20" s="136"/>
      <c r="AF20" s="136"/>
      <c r="AG20" s="136"/>
      <c r="AH20" s="136"/>
      <c r="AI20" s="136"/>
      <c r="AJ20" s="136"/>
      <c r="AK20" s="136"/>
      <c r="AL20" s="189"/>
      <c r="AM20" s="189"/>
      <c r="AN20" s="189"/>
      <c r="AO20" s="189"/>
      <c r="AP20" s="189"/>
      <c r="AQ20" s="189"/>
      <c r="AR20" s="189"/>
      <c r="AS20" s="189"/>
      <c r="AT20" s="189"/>
      <c r="AU20" s="189"/>
    </row>
    <row r="21" spans="1:47" ht="15.75" customHeight="1">
      <c r="A21" s="137"/>
      <c r="B21" s="574"/>
      <c r="C21" s="575"/>
      <c r="D21" s="576"/>
      <c r="E21" s="580" t="s">
        <v>365</v>
      </c>
      <c r="F21" s="581"/>
      <c r="G21" s="581"/>
      <c r="H21" s="581"/>
      <c r="I21" s="589" t="s">
        <v>524</v>
      </c>
      <c r="J21" s="581"/>
      <c r="K21" s="590"/>
      <c r="L21" s="584" t="s">
        <v>366</v>
      </c>
      <c r="M21" s="581"/>
      <c r="N21" s="581"/>
      <c r="O21" s="581"/>
      <c r="P21" s="581"/>
      <c r="Q21" s="581"/>
      <c r="R21" s="581"/>
      <c r="S21" s="585"/>
      <c r="T21" s="271">
        <v>4</v>
      </c>
      <c r="U21" s="272" t="s">
        <v>220</v>
      </c>
      <c r="V21" s="580">
        <f>IFERROR(VLOOKUP(I22,'Development-Hidden'!N2:O28,2,FALSE),"")</f>
        <v>50000</v>
      </c>
      <c r="W21" s="581"/>
      <c r="X21" s="581"/>
      <c r="Y21" s="581"/>
      <c r="Z21" s="590"/>
      <c r="AA21" s="273">
        <f t="shared" ref="AA21:AA25" si="4">T21*V21</f>
        <v>200000</v>
      </c>
      <c r="AB21" s="136"/>
      <c r="AC21" s="136"/>
      <c r="AD21" s="136"/>
      <c r="AE21" s="136"/>
      <c r="AF21" s="136"/>
      <c r="AG21" s="136"/>
      <c r="AH21" s="136"/>
      <c r="AI21" s="136"/>
      <c r="AJ21" s="136"/>
      <c r="AK21" s="136"/>
      <c r="AL21" s="604" t="s">
        <v>367</v>
      </c>
      <c r="AM21" s="588"/>
      <c r="AN21" s="136"/>
      <c r="AO21" s="136"/>
      <c r="AP21" s="136"/>
      <c r="AQ21" s="136"/>
      <c r="AR21" s="136"/>
      <c r="AS21" s="136"/>
      <c r="AT21" s="136"/>
      <c r="AU21" s="136"/>
    </row>
    <row r="22" spans="1:47" ht="15.75" customHeight="1">
      <c r="A22" s="137"/>
      <c r="B22" s="574"/>
      <c r="C22" s="575"/>
      <c r="D22" s="576"/>
      <c r="E22" s="582" t="s">
        <v>368</v>
      </c>
      <c r="F22" s="583"/>
      <c r="G22" s="583"/>
      <c r="H22" s="583"/>
      <c r="I22" s="598" t="s">
        <v>472</v>
      </c>
      <c r="J22" s="583"/>
      <c r="K22" s="597"/>
      <c r="L22" s="591" t="s">
        <v>369</v>
      </c>
      <c r="M22" s="583"/>
      <c r="N22" s="583"/>
      <c r="O22" s="583"/>
      <c r="P22" s="583"/>
      <c r="Q22" s="583"/>
      <c r="R22" s="583"/>
      <c r="S22" s="592"/>
      <c r="T22" s="501">
        <f>AT18</f>
        <v>5</v>
      </c>
      <c r="U22" s="275" t="s">
        <v>220</v>
      </c>
      <c r="V22" s="582">
        <v>10000</v>
      </c>
      <c r="W22" s="583"/>
      <c r="X22" s="583"/>
      <c r="Y22" s="583"/>
      <c r="Z22" s="597"/>
      <c r="AA22" s="276">
        <f t="shared" si="4"/>
        <v>50000</v>
      </c>
      <c r="AB22" s="136"/>
      <c r="AC22" s="136"/>
      <c r="AD22" s="136"/>
      <c r="AE22" s="136"/>
      <c r="AF22" s="136"/>
      <c r="AG22" s="136"/>
      <c r="AH22" s="136"/>
      <c r="AI22" s="136"/>
      <c r="AJ22" s="136"/>
      <c r="AK22" s="136"/>
      <c r="AL22" s="277" t="s">
        <v>370</v>
      </c>
      <c r="AM22" s="278">
        <f>AM18</f>
        <v>120000</v>
      </c>
      <c r="AN22" s="136"/>
      <c r="AO22" s="136"/>
      <c r="AP22" s="136"/>
      <c r="AQ22" s="136"/>
      <c r="AR22" s="136"/>
      <c r="AS22" s="136"/>
      <c r="AT22" s="136"/>
      <c r="AU22" s="136"/>
    </row>
    <row r="23" spans="1:47" ht="15.75" customHeight="1">
      <c r="A23" s="137"/>
      <c r="B23" s="574"/>
      <c r="C23" s="575"/>
      <c r="D23" s="576"/>
      <c r="E23" s="582" t="str">
        <f>IFERROR(IF(VLOOKUP(I22,'Development-Hidden'!X2:Y28,2,FALSE)="Yes","NECROMANCER","HEAD COACH"),"HEAD COACH")</f>
        <v>HEAD COACH</v>
      </c>
      <c r="F23" s="583"/>
      <c r="G23" s="583"/>
      <c r="H23" s="583"/>
      <c r="I23" s="655" t="s">
        <v>789</v>
      </c>
      <c r="J23" s="583"/>
      <c r="K23" s="597"/>
      <c r="L23" s="591" t="s">
        <v>371</v>
      </c>
      <c r="M23" s="583"/>
      <c r="N23" s="583"/>
      <c r="O23" s="583"/>
      <c r="P23" s="583"/>
      <c r="Q23" s="583"/>
      <c r="R23" s="583"/>
      <c r="S23" s="592"/>
      <c r="T23" s="274">
        <v>0</v>
      </c>
      <c r="U23" s="275" t="s">
        <v>220</v>
      </c>
      <c r="V23" s="582">
        <v>10000</v>
      </c>
      <c r="W23" s="583"/>
      <c r="X23" s="583"/>
      <c r="Y23" s="583"/>
      <c r="Z23" s="597"/>
      <c r="AA23" s="276">
        <f t="shared" si="4"/>
        <v>0</v>
      </c>
      <c r="AB23" s="136"/>
      <c r="AC23" s="136"/>
      <c r="AD23" s="136"/>
      <c r="AE23" s="136"/>
      <c r="AF23" s="136"/>
      <c r="AG23" s="136"/>
      <c r="AH23" s="136"/>
      <c r="AI23" s="136"/>
      <c r="AJ23" s="136"/>
      <c r="AK23" s="136"/>
      <c r="AL23" s="279" t="s">
        <v>372</v>
      </c>
      <c r="AM23" s="280">
        <f>COUNTA(AP6:AP17)*10000</f>
        <v>40000</v>
      </c>
      <c r="AN23" s="136"/>
      <c r="AO23" s="136"/>
      <c r="AP23" s="136"/>
      <c r="AQ23" s="136"/>
      <c r="AR23" s="136"/>
      <c r="AS23" s="136"/>
      <c r="AT23" s="136"/>
      <c r="AU23" s="136"/>
    </row>
    <row r="24" spans="1:47" ht="15.75" customHeight="1">
      <c r="A24" s="137"/>
      <c r="B24" s="574"/>
      <c r="C24" s="575"/>
      <c r="D24" s="576"/>
      <c r="E24" s="582" t="s">
        <v>373</v>
      </c>
      <c r="F24" s="583"/>
      <c r="G24" s="583"/>
      <c r="H24" s="583"/>
      <c r="I24" s="599">
        <f>AA20+AA26</f>
        <v>1290000</v>
      </c>
      <c r="J24" s="583"/>
      <c r="K24" s="597"/>
      <c r="L24" s="591" t="s">
        <v>375</v>
      </c>
      <c r="M24" s="583"/>
      <c r="N24" s="583"/>
      <c r="O24" s="583"/>
      <c r="P24" s="583"/>
      <c r="Q24" s="583"/>
      <c r="R24" s="583"/>
      <c r="S24" s="592"/>
      <c r="T24" s="274">
        <v>0</v>
      </c>
      <c r="U24" s="275" t="s">
        <v>220</v>
      </c>
      <c r="V24" s="582">
        <v>10000</v>
      </c>
      <c r="W24" s="583"/>
      <c r="X24" s="583"/>
      <c r="Y24" s="583"/>
      <c r="Z24" s="597"/>
      <c r="AA24" s="276">
        <f t="shared" si="4"/>
        <v>0</v>
      </c>
      <c r="AB24" s="136"/>
      <c r="AC24" s="136"/>
      <c r="AD24" s="136"/>
      <c r="AE24" s="136"/>
      <c r="AF24" s="136"/>
      <c r="AG24" s="136"/>
      <c r="AH24" s="136"/>
      <c r="AI24" s="136"/>
      <c r="AJ24" s="136"/>
      <c r="AK24" s="136"/>
      <c r="AL24" s="279" t="s">
        <v>33</v>
      </c>
      <c r="AM24" s="280">
        <f>AR18*5000</f>
        <v>10000</v>
      </c>
      <c r="AN24" s="136"/>
      <c r="AO24" s="136"/>
      <c r="AP24" s="136"/>
      <c r="AQ24" s="136"/>
      <c r="AR24" s="136"/>
      <c r="AS24" s="136"/>
      <c r="AT24" s="136"/>
      <c r="AU24" s="136"/>
    </row>
    <row r="25" spans="1:47" ht="15.75" customHeight="1">
      <c r="A25" s="137"/>
      <c r="B25" s="574"/>
      <c r="C25" s="575"/>
      <c r="D25" s="576"/>
      <c r="E25" s="595" t="s">
        <v>376</v>
      </c>
      <c r="F25" s="594"/>
      <c r="G25" s="594"/>
      <c r="H25" s="596"/>
      <c r="I25" s="600">
        <f>AM18</f>
        <v>120000</v>
      </c>
      <c r="J25" s="594"/>
      <c r="K25" s="596"/>
      <c r="L25" s="593" t="str">
        <f>IFERROR(IF(VLOOKUP(I22,'Development-Hidden'!X2:Y28,1,FALSE)&lt;&gt;"","",""),"APOTHECARY")</f>
        <v>APOTHECARY</v>
      </c>
      <c r="M25" s="594"/>
      <c r="N25" s="594"/>
      <c r="O25" s="594"/>
      <c r="P25" s="594"/>
      <c r="Q25" s="594"/>
      <c r="R25" s="594"/>
      <c r="S25" s="594"/>
      <c r="T25" s="281">
        <v>0</v>
      </c>
      <c r="U25" s="275" t="str">
        <f>IF(L25&lt;&gt;"","x","")</f>
        <v>x</v>
      </c>
      <c r="V25" s="595">
        <f>IF(L25&lt;&gt;"",50000,"")</f>
        <v>50000</v>
      </c>
      <c r="W25" s="594"/>
      <c r="X25" s="594"/>
      <c r="Y25" s="594"/>
      <c r="Z25" s="596"/>
      <c r="AA25" s="276">
        <f t="shared" si="4"/>
        <v>0</v>
      </c>
      <c r="AB25" s="136"/>
      <c r="AC25" s="136"/>
      <c r="AD25" s="136"/>
      <c r="AE25" s="136"/>
      <c r="AF25" s="136"/>
      <c r="AG25" s="136"/>
      <c r="AH25" s="136"/>
      <c r="AI25" s="136"/>
      <c r="AJ25" s="136"/>
      <c r="AK25" s="136"/>
      <c r="AL25" s="282" t="s">
        <v>34</v>
      </c>
      <c r="AM25" s="283">
        <f>AS18*5000</f>
        <v>35000</v>
      </c>
      <c r="AN25" s="136"/>
      <c r="AO25" s="136"/>
      <c r="AP25" s="136"/>
      <c r="AQ25" s="136"/>
      <c r="AR25" s="136"/>
      <c r="AS25" s="136"/>
      <c r="AT25" s="136"/>
      <c r="AU25" s="136"/>
    </row>
    <row r="26" spans="1:47" ht="15.75" customHeight="1">
      <c r="A26" s="137"/>
      <c r="B26" s="577"/>
      <c r="C26" s="578"/>
      <c r="D26" s="579"/>
      <c r="E26" s="586" t="s">
        <v>379</v>
      </c>
      <c r="F26" s="587"/>
      <c r="G26" s="587"/>
      <c r="H26" s="587"/>
      <c r="I26" s="587"/>
      <c r="J26" s="587"/>
      <c r="K26" s="587"/>
      <c r="L26" s="587"/>
      <c r="M26" s="587"/>
      <c r="N26" s="587"/>
      <c r="O26" s="587"/>
      <c r="P26" s="587"/>
      <c r="Q26" s="587"/>
      <c r="R26" s="587"/>
      <c r="S26" s="587"/>
      <c r="T26" s="587"/>
      <c r="U26" s="587"/>
      <c r="V26" s="587"/>
      <c r="W26" s="587"/>
      <c r="X26" s="587"/>
      <c r="Y26" s="587"/>
      <c r="Z26" s="588"/>
      <c r="AA26" s="270">
        <f>SUM(AA21:AA25)</f>
        <v>250000</v>
      </c>
      <c r="AB26" s="136"/>
      <c r="AC26" s="136"/>
      <c r="AD26" s="136"/>
      <c r="AE26" s="136"/>
      <c r="AF26" s="136"/>
      <c r="AG26" s="136"/>
      <c r="AH26" s="136"/>
      <c r="AI26" s="136"/>
      <c r="AJ26" s="136"/>
      <c r="AK26" s="136"/>
      <c r="AL26" s="284" t="s">
        <v>219</v>
      </c>
      <c r="AM26" s="285">
        <f>SUM(AM22:AM25)</f>
        <v>205000</v>
      </c>
      <c r="AN26" s="136"/>
      <c r="AO26" s="136"/>
      <c r="AP26" s="136"/>
      <c r="AQ26" s="136"/>
      <c r="AR26" s="136"/>
      <c r="AS26" s="136"/>
      <c r="AT26" s="136"/>
      <c r="AU26" s="136"/>
    </row>
    <row r="27" spans="1:47" ht="8.25" customHeight="1">
      <c r="A27" s="136"/>
      <c r="B27" s="140"/>
      <c r="C27" s="286"/>
      <c r="D27" s="286"/>
      <c r="E27" s="287"/>
      <c r="F27" s="136"/>
      <c r="G27" s="136"/>
      <c r="H27" s="136"/>
      <c r="I27" s="288"/>
      <c r="J27" s="289"/>
      <c r="K27" s="136"/>
      <c r="L27" s="290"/>
      <c r="M27" s="290"/>
      <c r="N27" s="290"/>
      <c r="O27" s="290"/>
      <c r="P27" s="290"/>
      <c r="Q27" s="290"/>
      <c r="R27" s="290"/>
      <c r="S27" s="290"/>
      <c r="T27" s="291"/>
      <c r="U27" s="292"/>
      <c r="V27" s="143"/>
      <c r="W27" s="293"/>
      <c r="X27" s="293"/>
      <c r="Y27" s="293"/>
      <c r="Z27" s="293"/>
      <c r="AA27" s="294"/>
      <c r="AB27" s="136"/>
      <c r="AC27" s="136"/>
      <c r="AD27" s="136"/>
      <c r="AE27" s="136"/>
      <c r="AF27" s="136"/>
      <c r="AG27" s="136"/>
      <c r="AH27" s="136"/>
      <c r="AI27" s="136"/>
      <c r="AJ27" s="136"/>
      <c r="AK27" s="136"/>
      <c r="AL27" s="136"/>
      <c r="AM27" s="136"/>
      <c r="AN27" s="136"/>
      <c r="AO27" s="136"/>
      <c r="AP27" s="136"/>
      <c r="AQ27" s="136"/>
      <c r="AR27" s="136"/>
      <c r="AS27" s="136"/>
      <c r="AT27" s="136"/>
      <c r="AU27" s="136"/>
    </row>
    <row r="28" spans="1:47" ht="17.25" hidden="1" customHeight="1">
      <c r="A28" s="295"/>
      <c r="B28" s="296"/>
      <c r="C28" s="297">
        <f>MATCH(I22,'Development-Hidden'!A2:A118,0)</f>
        <v>31</v>
      </c>
      <c r="D28" s="297" t="str">
        <f t="array" ref="D28">IFERROR(IF(INDEX('Development-Hidden'!$A$2:$B$118,$C28,1)=$I$22,INDEX('Development-Hidden'!$A$2:$B$118,$C28,2),""),"")</f>
        <v>Blocker</v>
      </c>
      <c r="E28" s="298"/>
      <c r="F28" s="298"/>
      <c r="G28" s="298"/>
      <c r="H28" s="298"/>
      <c r="I28" s="298"/>
      <c r="J28" s="299"/>
      <c r="K28" s="295"/>
      <c r="L28" s="300"/>
      <c r="M28" s="300"/>
      <c r="N28" s="300"/>
      <c r="O28" s="300"/>
      <c r="P28" s="300"/>
      <c r="Q28" s="300"/>
      <c r="R28" s="300"/>
      <c r="S28" s="300"/>
      <c r="T28" s="301"/>
      <c r="U28" s="302"/>
      <c r="V28" s="301"/>
      <c r="W28" s="303"/>
      <c r="X28" s="303"/>
      <c r="Y28" s="303"/>
      <c r="Z28" s="303"/>
      <c r="AA28" s="298"/>
      <c r="AB28" s="295"/>
      <c r="AC28" s="295"/>
      <c r="AD28" s="295"/>
      <c r="AE28" s="295"/>
      <c r="AF28" s="295"/>
      <c r="AG28" s="295"/>
      <c r="AH28" s="295"/>
      <c r="AI28" s="295"/>
      <c r="AJ28" s="295"/>
      <c r="AK28" s="295"/>
      <c r="AL28" s="295"/>
      <c r="AM28" s="295"/>
      <c r="AN28" s="295"/>
      <c r="AO28" s="295"/>
      <c r="AP28" s="295"/>
      <c r="AQ28" s="295"/>
      <c r="AR28" s="295"/>
      <c r="AS28" s="295"/>
      <c r="AT28" s="295"/>
      <c r="AU28" s="295"/>
    </row>
    <row r="29" spans="1:47" ht="17.25" hidden="1" customHeight="1">
      <c r="A29" s="295"/>
      <c r="B29" s="296"/>
      <c r="C29" s="297">
        <f t="shared" ref="C29:C37" si="5">C28+1</f>
        <v>32</v>
      </c>
      <c r="D29" s="297" t="str">
        <f t="array" ref="D29">IFERROR(IF(INDEX('Development-Hidden'!$A$2:$B$118,$C29,1)=$I$22,INDEX('Development-Hidden'!$A$2:$B$118,$C29,2),""),"")</f>
        <v>Runner</v>
      </c>
      <c r="E29" s="298"/>
      <c r="F29" s="298"/>
      <c r="G29" s="298"/>
      <c r="H29" s="298"/>
      <c r="I29" s="298"/>
      <c r="J29" s="299"/>
      <c r="K29" s="295"/>
      <c r="L29" s="300"/>
      <c r="M29" s="300"/>
      <c r="N29" s="300"/>
      <c r="O29" s="300"/>
      <c r="P29" s="300"/>
      <c r="Q29" s="300"/>
      <c r="R29" s="300"/>
      <c r="S29" s="300"/>
      <c r="T29" s="301"/>
      <c r="U29" s="302"/>
      <c r="V29" s="301"/>
      <c r="W29" s="303"/>
      <c r="X29" s="303"/>
      <c r="Y29" s="303"/>
      <c r="Z29" s="303"/>
      <c r="AA29" s="298"/>
      <c r="AB29" s="295"/>
      <c r="AC29" s="295"/>
      <c r="AD29" s="295"/>
      <c r="AE29" s="295"/>
      <c r="AF29" s="295"/>
      <c r="AG29" s="295"/>
      <c r="AH29" s="295"/>
      <c r="AI29" s="295"/>
      <c r="AJ29" s="295"/>
      <c r="AK29" s="295"/>
      <c r="AL29" s="295"/>
      <c r="AM29" s="295"/>
      <c r="AN29" s="295"/>
      <c r="AO29" s="295"/>
      <c r="AP29" s="295"/>
      <c r="AQ29" s="295"/>
      <c r="AR29" s="295"/>
      <c r="AS29" s="295"/>
      <c r="AT29" s="295"/>
      <c r="AU29" s="295"/>
    </row>
    <row r="30" spans="1:47" ht="17.25" hidden="1" customHeight="1">
      <c r="A30" s="295"/>
      <c r="B30" s="296"/>
      <c r="C30" s="297">
        <f t="shared" si="5"/>
        <v>33</v>
      </c>
      <c r="D30" s="297" t="str">
        <f t="array" ref="D30">IFERROR(IF(INDEX('Development-Hidden'!$A$2:$B$118,$C30,1)=$I$22,INDEX('Development-Hidden'!$A$2:$B$118,$C30,2),""),"")</f>
        <v>Blitzer</v>
      </c>
      <c r="E30" s="298"/>
      <c r="F30" s="298"/>
      <c r="G30" s="298"/>
      <c r="H30" s="298"/>
      <c r="I30" s="298"/>
      <c r="J30" s="299"/>
      <c r="K30" s="295"/>
      <c r="L30" s="300"/>
      <c r="M30" s="300"/>
      <c r="N30" s="300"/>
      <c r="O30" s="300"/>
      <c r="P30" s="300"/>
      <c r="Q30" s="300"/>
      <c r="R30" s="300"/>
      <c r="S30" s="300"/>
      <c r="T30" s="301"/>
      <c r="U30" s="302"/>
      <c r="V30" s="301"/>
      <c r="W30" s="303"/>
      <c r="X30" s="303"/>
      <c r="Y30" s="303"/>
      <c r="Z30" s="303"/>
      <c r="AA30" s="298"/>
      <c r="AB30" s="295"/>
      <c r="AC30" s="295"/>
      <c r="AD30" s="295"/>
      <c r="AE30" s="295"/>
      <c r="AF30" s="295"/>
      <c r="AG30" s="295"/>
      <c r="AH30" s="295"/>
      <c r="AI30" s="295"/>
      <c r="AJ30" s="295"/>
      <c r="AK30" s="295"/>
      <c r="AL30" s="295"/>
      <c r="AM30" s="295"/>
      <c r="AN30" s="295"/>
      <c r="AO30" s="295"/>
      <c r="AP30" s="295"/>
      <c r="AQ30" s="295"/>
      <c r="AR30" s="295"/>
      <c r="AS30" s="295"/>
      <c r="AT30" s="295"/>
      <c r="AU30" s="295"/>
    </row>
    <row r="31" spans="1:47" ht="17.25" hidden="1" customHeight="1">
      <c r="A31" s="295"/>
      <c r="B31" s="296"/>
      <c r="C31" s="297">
        <f t="shared" si="5"/>
        <v>34</v>
      </c>
      <c r="D31" s="297" t="str">
        <f t="array" ref="D31">IFERROR(IF(INDEX('Development-Hidden'!$A$2:$B$118,$C31,1)=$I$22,INDEX('Development-Hidden'!$A$2:$B$118,$C31,2),""),"")</f>
        <v>Troll Slayer</v>
      </c>
      <c r="E31" s="298"/>
      <c r="F31" s="298"/>
      <c r="G31" s="298"/>
      <c r="H31" s="298"/>
      <c r="I31" s="298"/>
      <c r="J31" s="299"/>
      <c r="K31" s="295"/>
      <c r="L31" s="300"/>
      <c r="M31" s="300"/>
      <c r="N31" s="300"/>
      <c r="O31" s="300"/>
      <c r="P31" s="300"/>
      <c r="Q31" s="300"/>
      <c r="R31" s="300"/>
      <c r="S31" s="300"/>
      <c r="T31" s="301"/>
      <c r="U31" s="302"/>
      <c r="V31" s="301"/>
      <c r="W31" s="303"/>
      <c r="X31" s="303"/>
      <c r="Y31" s="303"/>
      <c r="Z31" s="303"/>
      <c r="AA31" s="298"/>
      <c r="AB31" s="295"/>
      <c r="AC31" s="295"/>
      <c r="AD31" s="295"/>
      <c r="AE31" s="295"/>
      <c r="AF31" s="295"/>
      <c r="AG31" s="295"/>
      <c r="AH31" s="295"/>
      <c r="AI31" s="295"/>
      <c r="AJ31" s="295"/>
      <c r="AK31" s="295"/>
      <c r="AL31" s="295"/>
      <c r="AM31" s="295"/>
      <c r="AN31" s="295"/>
      <c r="AO31" s="295"/>
      <c r="AP31" s="295"/>
      <c r="AQ31" s="295"/>
      <c r="AR31" s="295"/>
      <c r="AS31" s="295"/>
      <c r="AT31" s="295"/>
      <c r="AU31" s="295"/>
    </row>
    <row r="32" spans="1:47" ht="17.25" hidden="1" customHeight="1">
      <c r="A32" s="295"/>
      <c r="B32" s="296"/>
      <c r="C32" s="297">
        <f t="shared" si="5"/>
        <v>35</v>
      </c>
      <c r="D32" s="297" t="str">
        <f t="array" ref="D32">IFERROR(IF(INDEX('Development-Hidden'!$A$2:$B$118,$C32,1)=$I$22,INDEX('Development-Hidden'!$A$2:$B$118,$C32,2),""),"")</f>
        <v>Deathroller</v>
      </c>
      <c r="E32" s="298"/>
      <c r="F32" s="298"/>
      <c r="G32" s="298"/>
      <c r="H32" s="298"/>
      <c r="I32" s="298"/>
      <c r="J32" s="299"/>
      <c r="K32" s="295"/>
      <c r="L32" s="300"/>
      <c r="M32" s="300"/>
      <c r="N32" s="300"/>
      <c r="O32" s="300"/>
      <c r="P32" s="300"/>
      <c r="Q32" s="300"/>
      <c r="R32" s="300"/>
      <c r="S32" s="300"/>
      <c r="T32" s="301"/>
      <c r="U32" s="302"/>
      <c r="V32" s="301"/>
      <c r="W32" s="303"/>
      <c r="X32" s="303"/>
      <c r="Y32" s="303"/>
      <c r="Z32" s="303"/>
      <c r="AA32" s="298"/>
      <c r="AB32" s="295"/>
      <c r="AC32" s="295"/>
      <c r="AD32" s="295"/>
      <c r="AE32" s="295"/>
      <c r="AF32" s="295"/>
      <c r="AG32" s="295"/>
      <c r="AH32" s="295"/>
      <c r="AI32" s="295"/>
      <c r="AJ32" s="295"/>
      <c r="AK32" s="295"/>
      <c r="AL32" s="295"/>
      <c r="AM32" s="295"/>
      <c r="AN32" s="295"/>
      <c r="AO32" s="295"/>
      <c r="AP32" s="295"/>
      <c r="AQ32" s="295"/>
      <c r="AR32" s="295"/>
      <c r="AS32" s="295"/>
      <c r="AT32" s="295"/>
      <c r="AU32" s="295"/>
    </row>
    <row r="33" spans="1:47" ht="17.25" hidden="1" customHeight="1">
      <c r="A33" s="295"/>
      <c r="B33" s="296"/>
      <c r="C33" s="297">
        <f t="shared" si="5"/>
        <v>36</v>
      </c>
      <c r="D33" s="297" t="str">
        <f t="array" ref="D33">IFERROR(IF(INDEX('Development-Hidden'!$A$2:$B$118,$C33,1)=$I$22,INDEX('Development-Hidden'!$A$2:$B$118,$C33,2),""),"")</f>
        <v/>
      </c>
      <c r="E33" s="298"/>
      <c r="F33" s="298"/>
      <c r="G33" s="298"/>
      <c r="H33" s="298"/>
      <c r="I33" s="298"/>
      <c r="J33" s="299"/>
      <c r="K33" s="295"/>
      <c r="L33" s="300"/>
      <c r="M33" s="300"/>
      <c r="N33" s="300"/>
      <c r="O33" s="300"/>
      <c r="P33" s="300"/>
      <c r="Q33" s="300"/>
      <c r="R33" s="300"/>
      <c r="S33" s="300"/>
      <c r="T33" s="301"/>
      <c r="U33" s="302"/>
      <c r="V33" s="301"/>
      <c r="W33" s="303"/>
      <c r="X33" s="303"/>
      <c r="Y33" s="303"/>
      <c r="Z33" s="303"/>
      <c r="AA33" s="298"/>
      <c r="AB33" s="295"/>
      <c r="AC33" s="295"/>
      <c r="AD33" s="295"/>
      <c r="AE33" s="295"/>
      <c r="AF33" s="295"/>
      <c r="AG33" s="295"/>
      <c r="AH33" s="295"/>
      <c r="AI33" s="295"/>
      <c r="AJ33" s="295"/>
      <c r="AK33" s="295"/>
      <c r="AL33" s="295"/>
      <c r="AM33" s="295"/>
      <c r="AN33" s="295"/>
      <c r="AO33" s="295"/>
      <c r="AP33" s="295"/>
      <c r="AQ33" s="295"/>
      <c r="AR33" s="295"/>
      <c r="AS33" s="295"/>
      <c r="AT33" s="295"/>
      <c r="AU33" s="295"/>
    </row>
    <row r="34" spans="1:47" ht="17.25" hidden="1" customHeight="1">
      <c r="A34" s="295"/>
      <c r="B34" s="296"/>
      <c r="C34" s="297">
        <f t="shared" si="5"/>
        <v>37</v>
      </c>
      <c r="D34" s="297" t="str">
        <f t="array" ref="D34">IFERROR(IF(INDEX('Development-Hidden'!$A$2:$B$118,$C34,1)=$I$22,INDEX('Development-Hidden'!$A$2:$B$118,$C34,2),""),"")</f>
        <v/>
      </c>
      <c r="E34" s="298"/>
      <c r="F34" s="298"/>
      <c r="G34" s="298"/>
      <c r="H34" s="298"/>
      <c r="I34" s="298"/>
      <c r="J34" s="299"/>
      <c r="K34" s="295"/>
      <c r="L34" s="300"/>
      <c r="M34" s="300"/>
      <c r="N34" s="300"/>
      <c r="O34" s="300"/>
      <c r="P34" s="300"/>
      <c r="Q34" s="300"/>
      <c r="R34" s="300"/>
      <c r="S34" s="300"/>
      <c r="T34" s="301"/>
      <c r="U34" s="302"/>
      <c r="V34" s="301"/>
      <c r="W34" s="303"/>
      <c r="X34" s="303"/>
      <c r="Y34" s="303"/>
      <c r="Z34" s="303"/>
      <c r="AA34" s="298"/>
      <c r="AB34" s="295"/>
      <c r="AC34" s="295"/>
      <c r="AD34" s="295"/>
      <c r="AE34" s="295"/>
      <c r="AF34" s="295"/>
      <c r="AG34" s="295"/>
      <c r="AH34" s="295"/>
      <c r="AI34" s="295"/>
      <c r="AJ34" s="295"/>
      <c r="AK34" s="295"/>
      <c r="AL34" s="295"/>
      <c r="AM34" s="295"/>
      <c r="AN34" s="295"/>
      <c r="AO34" s="295"/>
      <c r="AP34" s="295"/>
      <c r="AQ34" s="295"/>
      <c r="AR34" s="295"/>
      <c r="AS34" s="295"/>
      <c r="AT34" s="295"/>
      <c r="AU34" s="295"/>
    </row>
    <row r="35" spans="1:47" ht="17.25" hidden="1" customHeight="1">
      <c r="A35" s="295"/>
      <c r="B35" s="296"/>
      <c r="C35" s="297">
        <f t="shared" si="5"/>
        <v>38</v>
      </c>
      <c r="D35" s="297" t="str">
        <f t="array" ref="D35">IFERROR(IF(INDEX('Development-Hidden'!$A$2:$B$118,$C35,1)=$I$22,INDEX('Development-Hidden'!$A$2:$B$118,$C35,2),""),"")</f>
        <v/>
      </c>
      <c r="E35" s="298"/>
      <c r="F35" s="298"/>
      <c r="G35" s="298"/>
      <c r="H35" s="298"/>
      <c r="I35" s="298"/>
      <c r="J35" s="299"/>
      <c r="K35" s="295"/>
      <c r="L35" s="300"/>
      <c r="M35" s="300"/>
      <c r="N35" s="300"/>
      <c r="O35" s="300"/>
      <c r="P35" s="300"/>
      <c r="Q35" s="300"/>
      <c r="R35" s="300"/>
      <c r="S35" s="300"/>
      <c r="T35" s="301"/>
      <c r="U35" s="302"/>
      <c r="V35" s="301"/>
      <c r="W35" s="303"/>
      <c r="X35" s="303"/>
      <c r="Y35" s="303"/>
      <c r="Z35" s="303"/>
      <c r="AA35" s="298"/>
      <c r="AB35" s="295"/>
      <c r="AC35" s="295"/>
      <c r="AD35" s="295"/>
      <c r="AE35" s="295"/>
      <c r="AF35" s="295"/>
      <c r="AG35" s="295"/>
      <c r="AH35" s="295"/>
      <c r="AI35" s="295"/>
      <c r="AJ35" s="295"/>
      <c r="AK35" s="295"/>
      <c r="AL35" s="295"/>
      <c r="AM35" s="295"/>
      <c r="AN35" s="295"/>
      <c r="AO35" s="295"/>
      <c r="AP35" s="295"/>
      <c r="AQ35" s="295"/>
      <c r="AR35" s="295"/>
      <c r="AS35" s="295"/>
      <c r="AT35" s="295"/>
      <c r="AU35" s="295"/>
    </row>
    <row r="36" spans="1:47" ht="17.25" hidden="1" customHeight="1">
      <c r="A36" s="295"/>
      <c r="B36" s="296"/>
      <c r="C36" s="297">
        <f t="shared" si="5"/>
        <v>39</v>
      </c>
      <c r="D36" s="297" t="str">
        <f t="array" ref="D36">IFERROR(IF(INDEX('Development-Hidden'!$A$2:$B$118,$C36,1)=$I$22,INDEX('Development-Hidden'!$A$2:$B$118,$C36,2),""),"")</f>
        <v/>
      </c>
      <c r="E36" s="298"/>
      <c r="F36" s="298"/>
      <c r="G36" s="298"/>
      <c r="H36" s="298"/>
      <c r="I36" s="298"/>
      <c r="J36" s="299"/>
      <c r="K36" s="295"/>
      <c r="L36" s="300"/>
      <c r="M36" s="300"/>
      <c r="N36" s="300"/>
      <c r="O36" s="300"/>
      <c r="P36" s="300"/>
      <c r="Q36" s="300"/>
      <c r="R36" s="300"/>
      <c r="S36" s="300"/>
      <c r="T36" s="301"/>
      <c r="U36" s="302"/>
      <c r="V36" s="301"/>
      <c r="W36" s="303"/>
      <c r="X36" s="303"/>
      <c r="Y36" s="303"/>
      <c r="Z36" s="303"/>
      <c r="AA36" s="298"/>
      <c r="AB36" s="295"/>
      <c r="AC36" s="295"/>
      <c r="AD36" s="295"/>
      <c r="AE36" s="295"/>
      <c r="AF36" s="295"/>
      <c r="AG36" s="295"/>
      <c r="AH36" s="295"/>
      <c r="AI36" s="295"/>
      <c r="AJ36" s="295"/>
      <c r="AK36" s="295"/>
      <c r="AL36" s="295"/>
      <c r="AM36" s="295"/>
      <c r="AN36" s="295"/>
      <c r="AO36" s="295"/>
      <c r="AP36" s="295"/>
      <c r="AQ36" s="295"/>
      <c r="AR36" s="295"/>
      <c r="AS36" s="295"/>
      <c r="AT36" s="295"/>
      <c r="AU36" s="295"/>
    </row>
    <row r="37" spans="1:47" ht="17.25" hidden="1" customHeight="1">
      <c r="A37" s="295"/>
      <c r="B37" s="296"/>
      <c r="C37" s="297">
        <f t="shared" si="5"/>
        <v>40</v>
      </c>
      <c r="D37" s="297" t="str">
        <f t="array" ref="D37">IFERROR(IF(INDEX('Development-Hidden'!$A$2:$B$118,$C37,1)=$I$22,INDEX('Development-Hidden'!$A$2:$B$118,$C37,2),""),"")</f>
        <v/>
      </c>
      <c r="E37" s="298"/>
      <c r="F37" s="298"/>
      <c r="G37" s="298"/>
      <c r="H37" s="298"/>
      <c r="I37" s="298"/>
      <c r="J37" s="299"/>
      <c r="K37" s="295"/>
      <c r="L37" s="300"/>
      <c r="M37" s="300"/>
      <c r="N37" s="300"/>
      <c r="O37" s="300"/>
      <c r="P37" s="300"/>
      <c r="Q37" s="300"/>
      <c r="R37" s="300"/>
      <c r="S37" s="300"/>
      <c r="T37" s="301"/>
      <c r="U37" s="302"/>
      <c r="V37" s="301"/>
      <c r="W37" s="303"/>
      <c r="X37" s="303"/>
      <c r="Y37" s="303"/>
      <c r="Z37" s="303"/>
      <c r="AA37" s="298"/>
      <c r="AB37" s="295"/>
      <c r="AC37" s="295"/>
      <c r="AD37" s="295"/>
      <c r="AE37" s="295"/>
      <c r="AF37" s="295"/>
      <c r="AG37" s="295"/>
      <c r="AH37" s="295"/>
      <c r="AI37" s="295"/>
      <c r="AJ37" s="295"/>
      <c r="AK37" s="295"/>
      <c r="AL37" s="295"/>
      <c r="AM37" s="295"/>
      <c r="AN37" s="295"/>
      <c r="AO37" s="295"/>
      <c r="AP37" s="295"/>
      <c r="AQ37" s="295"/>
      <c r="AR37" s="295"/>
      <c r="AS37" s="295"/>
      <c r="AT37" s="295"/>
      <c r="AU37" s="295"/>
    </row>
  </sheetData>
  <mergeCells count="27">
    <mergeCell ref="AL3:AO3"/>
    <mergeCell ref="P2:S2"/>
    <mergeCell ref="AP3:AT3"/>
    <mergeCell ref="AL21:AM21"/>
    <mergeCell ref="L22:S22"/>
    <mergeCell ref="L21:S21"/>
    <mergeCell ref="L23:S23"/>
    <mergeCell ref="I22:K22"/>
    <mergeCell ref="I23:K23"/>
    <mergeCell ref="V22:Z22"/>
    <mergeCell ref="V21:Z21"/>
    <mergeCell ref="E23:H23"/>
    <mergeCell ref="B20:D26"/>
    <mergeCell ref="E25:H25"/>
    <mergeCell ref="E24:H24"/>
    <mergeCell ref="I25:K25"/>
    <mergeCell ref="I24:K24"/>
    <mergeCell ref="E22:H22"/>
    <mergeCell ref="I21:K21"/>
    <mergeCell ref="E21:H21"/>
    <mergeCell ref="E20:Z20"/>
    <mergeCell ref="L25:S25"/>
    <mergeCell ref="E26:Z26"/>
    <mergeCell ref="V23:Z23"/>
    <mergeCell ref="V25:Z25"/>
    <mergeCell ref="V24:Z24"/>
    <mergeCell ref="L24:S24"/>
  </mergeCells>
  <conditionalFormatting sqref="J4">
    <cfRule type="expression" dxfId="228" priority="1">
      <formula>K4&lt;&gt;SUM(AD4:AI4)</formula>
    </cfRule>
  </conditionalFormatting>
  <conditionalFormatting sqref="K4:K19">
    <cfRule type="cellIs" dxfId="227" priority="2" operator="equal">
      <formula>0</formula>
    </cfRule>
  </conditionalFormatting>
  <conditionalFormatting sqref="AA4:AA19">
    <cfRule type="cellIs" dxfId="226" priority="3" operator="equal">
      <formula>0</formula>
    </cfRule>
  </conditionalFormatting>
  <conditionalFormatting sqref="E4:H19">
    <cfRule type="expression" dxfId="225" priority="4">
      <formula>AF4&gt;0</formula>
    </cfRule>
  </conditionalFormatting>
  <conditionalFormatting sqref="E4:H19">
    <cfRule type="expression" dxfId="224" priority="5">
      <formula>P4&gt;0</formula>
    </cfRule>
  </conditionalFormatting>
  <conditionalFormatting sqref="T4:W19 Y4:Y19 U27:U37">
    <cfRule type="cellIs" dxfId="223" priority="6" stopIfTrue="1" operator="equal">
      <formula>0</formula>
    </cfRule>
  </conditionalFormatting>
  <conditionalFormatting sqref="K4:K19">
    <cfRule type="cellIs" dxfId="222" priority="7" stopIfTrue="1" operator="equal">
      <formula>"n/a"</formula>
    </cfRule>
  </conditionalFormatting>
  <conditionalFormatting sqref="P4:S19">
    <cfRule type="cellIs" dxfId="221" priority="8" stopIfTrue="1" operator="lessThanOrEqual">
      <formula>-1</formula>
    </cfRule>
  </conditionalFormatting>
  <conditionalFormatting sqref="V25:W25">
    <cfRule type="cellIs" dxfId="220" priority="9" stopIfTrue="1" operator="equal">
      <formula>-500</formula>
    </cfRule>
  </conditionalFormatting>
  <conditionalFormatting sqref="T25">
    <cfRule type="cellIs" dxfId="219" priority="10" stopIfTrue="1" operator="greaterThan">
      <formula>$V$25</formula>
    </cfRule>
  </conditionalFormatting>
  <conditionalFormatting sqref="Z4:Z19">
    <cfRule type="cellIs" dxfId="218" priority="11" stopIfTrue="1" operator="equal">
      <formula>"Star"</formula>
    </cfRule>
  </conditionalFormatting>
  <conditionalFormatting sqref="Z4:Z19">
    <cfRule type="cellIs" dxfId="217" priority="12" stopIfTrue="1" operator="equal">
      <formula>AA4</formula>
    </cfRule>
  </conditionalFormatting>
  <conditionalFormatting sqref="I4:I19">
    <cfRule type="cellIs" dxfId="216" priority="13" stopIfTrue="1" operator="equal">
      <formula>0</formula>
    </cfRule>
  </conditionalFormatting>
  <conditionalFormatting sqref="I4:I19">
    <cfRule type="cellIs" dxfId="215" priority="14" stopIfTrue="1" operator="equal">
      <formula>"Player type quantity surpassed"</formula>
    </cfRule>
  </conditionalFormatting>
  <conditionalFormatting sqref="J5">
    <cfRule type="expression" dxfId="214" priority="15">
      <formula>K5&lt;&gt;SUM(AD5:AI5)</formula>
    </cfRule>
  </conditionalFormatting>
  <conditionalFormatting sqref="J6">
    <cfRule type="expression" dxfId="213" priority="16">
      <formula>K6&lt;&gt;SUM(AD6:AI6)</formula>
    </cfRule>
  </conditionalFormatting>
  <conditionalFormatting sqref="J7">
    <cfRule type="expression" dxfId="212" priority="17">
      <formula>K7&lt;&gt;SUM(AD7:AI7)</formula>
    </cfRule>
  </conditionalFormatting>
  <conditionalFormatting sqref="J8">
    <cfRule type="expression" dxfId="211" priority="18">
      <formula>K8&lt;&gt;SUM(AD8:AI8)</formula>
    </cfRule>
  </conditionalFormatting>
  <conditionalFormatting sqref="J9">
    <cfRule type="expression" dxfId="210" priority="19">
      <formula>K9&lt;&gt;SUM(AD9:AI9)</formula>
    </cfRule>
  </conditionalFormatting>
  <conditionalFormatting sqref="J10">
    <cfRule type="expression" dxfId="209" priority="20">
      <formula>K10&lt;&gt;SUM(AD10:AI10)</formula>
    </cfRule>
  </conditionalFormatting>
  <conditionalFormatting sqref="J11">
    <cfRule type="expression" dxfId="208" priority="21">
      <formula>K11&lt;&gt;SUM(AD11:AI11)</formula>
    </cfRule>
  </conditionalFormatting>
  <conditionalFormatting sqref="J12">
    <cfRule type="expression" dxfId="207" priority="22">
      <formula>K12&lt;&gt;SUM(AD12:AI12)</formula>
    </cfRule>
  </conditionalFormatting>
  <conditionalFormatting sqref="J13">
    <cfRule type="expression" dxfId="206" priority="23">
      <formula>K13&lt;&gt;SUM(AD13:AI13)</formula>
    </cfRule>
  </conditionalFormatting>
  <conditionalFormatting sqref="J14">
    <cfRule type="expression" dxfId="205" priority="24">
      <formula>K14&lt;&gt;SUM(AD14:AI14)</formula>
    </cfRule>
  </conditionalFormatting>
  <conditionalFormatting sqref="J15">
    <cfRule type="expression" dxfId="204" priority="25">
      <formula>K15&lt;&gt;SUM(AD15:AI15)</formula>
    </cfRule>
  </conditionalFormatting>
  <conditionalFormatting sqref="J16">
    <cfRule type="expression" dxfId="203" priority="26">
      <formula>K16&lt;&gt;SUM(AD16:AI16)</formula>
    </cfRule>
  </conditionalFormatting>
  <conditionalFormatting sqref="J17">
    <cfRule type="expression" dxfId="202" priority="27">
      <formula>K17&lt;&gt;SUM(AD17:AI17)</formula>
    </cfRule>
  </conditionalFormatting>
  <conditionalFormatting sqref="J18">
    <cfRule type="expression" dxfId="201" priority="28">
      <formula>K18&lt;&gt;SUM(AD18:AI18)</formula>
    </cfRule>
  </conditionalFormatting>
  <conditionalFormatting sqref="J19">
    <cfRule type="expression" dxfId="200" priority="29">
      <formula>K19&lt;&gt;SUM(AD19:AI19)</formula>
    </cfRule>
  </conditionalFormatting>
  <dataValidations count="2">
    <dataValidation type="list" allowBlank="1" showErrorMessage="1" sqref="D4:D19">
      <formula1>'FT1'!$D$28:$D$37</formula1>
    </dataValidation>
    <dataValidation type="list" allowBlank="1" showErrorMessage="1" sqref="I22">
      <formula1>'Development-Hidden'!$N$2:$N$28</formula1>
    </dataValidation>
  </dataValidation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W37"/>
  <sheetViews>
    <sheetView tabSelected="1" workbookViewId="0">
      <selection activeCell="I20" sqref="I20"/>
    </sheetView>
  </sheetViews>
  <sheetFormatPr defaultColWidth="14.42578125" defaultRowHeight="15.75" customHeight="1"/>
  <cols>
    <col min="1" max="1" width="1.85546875" style="139" customWidth="1"/>
    <col min="2" max="2" width="3.140625" style="139" customWidth="1"/>
    <col min="3" max="3" width="19.28515625" style="139" customWidth="1"/>
    <col min="4" max="4" width="21.28515625" style="139" customWidth="1"/>
    <col min="5" max="8" width="3" style="139" customWidth="1"/>
    <col min="9" max="9" width="30.85546875" style="139" customWidth="1"/>
    <col min="10" max="10" width="23" style="139" customWidth="1"/>
    <col min="11" max="11" width="1.85546875" style="139" customWidth="1"/>
    <col min="12" max="13" width="2.42578125" style="139" customWidth="1"/>
    <col min="14" max="16" width="2.140625" style="139" customWidth="1"/>
    <col min="17" max="17" width="2" style="139" customWidth="1"/>
    <col min="18" max="18" width="1.85546875" style="139" customWidth="1"/>
    <col min="19" max="19" width="2" style="139" customWidth="1"/>
    <col min="20" max="21" width="3.28515625" style="139" customWidth="1"/>
    <col min="22" max="22" width="2.42578125" style="139" customWidth="1"/>
    <col min="23" max="23" width="3.28515625" style="139" customWidth="1"/>
    <col min="24" max="24" width="2.7109375" style="139" customWidth="1"/>
    <col min="25" max="25" width="3.28515625" style="139" customWidth="1"/>
    <col min="26" max="26" width="4.42578125" style="139" customWidth="1"/>
    <col min="27" max="27" width="10" style="139" customWidth="1"/>
    <col min="28" max="28" width="5.5703125" style="139" customWidth="1"/>
    <col min="29" max="29" width="7.7109375" style="139" customWidth="1"/>
    <col min="30" max="30" width="5.42578125" style="139" customWidth="1"/>
    <col min="31" max="31" width="5.28515625" style="139" customWidth="1"/>
    <col min="32" max="32" width="4.42578125" style="139" customWidth="1"/>
    <col min="33" max="33" width="4" style="139" customWidth="1"/>
    <col min="34" max="34" width="4.28515625" style="139" customWidth="1"/>
    <col min="35" max="35" width="4" style="139" customWidth="1"/>
    <col min="36" max="36" width="13.42578125" style="139" customWidth="1"/>
    <col min="37" max="37" width="6.28515625" style="139" customWidth="1"/>
    <col min="38" max="38" width="14.42578125" style="139" customWidth="1"/>
    <col min="39" max="39" width="11.42578125" style="139" customWidth="1"/>
    <col min="40" max="41" width="10.7109375" style="139" customWidth="1"/>
    <col min="42" max="42" width="5.140625" style="139" customWidth="1"/>
    <col min="43" max="43" width="8.140625" style="139" customWidth="1"/>
    <col min="44" max="44" width="26.140625" style="139" customWidth="1"/>
    <col min="45" max="49" width="10.7109375" style="139" customWidth="1"/>
    <col min="50" max="16384" width="14.42578125" style="139"/>
  </cols>
  <sheetData>
    <row r="1" spans="1:49" ht="8.25" customHeight="1">
      <c r="A1" s="440"/>
      <c r="B1" s="137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318"/>
      <c r="AA1" s="318"/>
      <c r="AB1" s="318"/>
      <c r="AC1" s="318"/>
      <c r="AD1" s="318"/>
      <c r="AE1" s="318"/>
      <c r="AF1" s="318"/>
      <c r="AG1" s="318"/>
      <c r="AH1" s="318"/>
      <c r="AI1" s="318"/>
      <c r="AJ1" s="318"/>
      <c r="AL1" s="318"/>
      <c r="AM1" s="318"/>
      <c r="AN1" s="318"/>
      <c r="AO1" s="318"/>
      <c r="AP1" s="318"/>
      <c r="AQ1" s="318"/>
      <c r="AR1" s="318"/>
      <c r="AS1" s="318"/>
      <c r="AT1" s="318"/>
      <c r="AU1" s="318"/>
      <c r="AV1" s="318"/>
      <c r="AW1" s="318"/>
    </row>
    <row r="2" spans="1:49" ht="8.25" customHeight="1">
      <c r="A2" s="136"/>
      <c r="B2" s="140"/>
      <c r="C2" s="140"/>
      <c r="D2" s="141"/>
      <c r="E2" s="140"/>
      <c r="F2" s="140"/>
      <c r="G2" s="140"/>
      <c r="H2" s="140"/>
      <c r="I2" s="140"/>
      <c r="J2" s="140"/>
      <c r="K2" s="136"/>
      <c r="L2" s="140"/>
      <c r="M2" s="140"/>
      <c r="N2" s="140"/>
      <c r="O2" s="140"/>
      <c r="P2" s="602" t="s">
        <v>218</v>
      </c>
      <c r="Q2" s="572"/>
      <c r="R2" s="572"/>
      <c r="S2" s="573"/>
      <c r="T2" s="142"/>
      <c r="U2" s="142"/>
      <c r="V2" s="142"/>
      <c r="W2" s="142"/>
      <c r="X2" s="143"/>
      <c r="Y2" s="142"/>
      <c r="Z2" s="140"/>
      <c r="AA2" s="140"/>
      <c r="AB2" s="318"/>
      <c r="AC2" s="318"/>
      <c r="AD2" s="318"/>
      <c r="AE2" s="318"/>
      <c r="AF2" s="318"/>
      <c r="AG2" s="318"/>
      <c r="AH2" s="318"/>
      <c r="AI2" s="318"/>
      <c r="AJ2" s="318"/>
      <c r="AL2" s="318"/>
      <c r="AM2" s="318"/>
      <c r="AN2" s="318"/>
      <c r="AO2" s="318"/>
      <c r="AP2" s="318"/>
      <c r="AQ2" s="318"/>
      <c r="AR2" s="318"/>
      <c r="AS2" s="318"/>
      <c r="AT2" s="318"/>
      <c r="AU2" s="318"/>
      <c r="AV2" s="318"/>
      <c r="AW2" s="318"/>
    </row>
    <row r="3" spans="1:49" ht="21.75" customHeight="1">
      <c r="A3" s="137"/>
      <c r="B3" s="146" t="s">
        <v>203</v>
      </c>
      <c r="C3" s="147" t="s">
        <v>32</v>
      </c>
      <c r="D3" s="148" t="s">
        <v>229</v>
      </c>
      <c r="E3" s="149" t="s">
        <v>206</v>
      </c>
      <c r="F3" s="150" t="s">
        <v>207</v>
      </c>
      <c r="G3" s="151" t="s">
        <v>208</v>
      </c>
      <c r="H3" s="152" t="s">
        <v>209</v>
      </c>
      <c r="I3" s="153" t="s">
        <v>230</v>
      </c>
      <c r="J3" s="152" t="s">
        <v>231</v>
      </c>
      <c r="K3" s="154" t="s">
        <v>203</v>
      </c>
      <c r="L3" s="155" t="s">
        <v>232</v>
      </c>
      <c r="M3" s="156" t="s">
        <v>233</v>
      </c>
      <c r="N3" s="156" t="s">
        <v>234</v>
      </c>
      <c r="O3" s="157" t="s">
        <v>235</v>
      </c>
      <c r="P3" s="158" t="s">
        <v>206</v>
      </c>
      <c r="Q3" s="159" t="s">
        <v>207</v>
      </c>
      <c r="R3" s="159" t="s">
        <v>208</v>
      </c>
      <c r="S3" s="160" t="s">
        <v>209</v>
      </c>
      <c r="T3" s="502" t="s">
        <v>236</v>
      </c>
      <c r="U3" s="503" t="s">
        <v>237</v>
      </c>
      <c r="V3" s="503" t="s">
        <v>210</v>
      </c>
      <c r="W3" s="503" t="s">
        <v>240</v>
      </c>
      <c r="X3" s="504" t="s">
        <v>35</v>
      </c>
      <c r="Y3" s="505" t="s">
        <v>211</v>
      </c>
      <c r="Z3" s="153" t="s">
        <v>212</v>
      </c>
      <c r="AA3" s="163" t="s">
        <v>241</v>
      </c>
      <c r="AB3" s="136"/>
      <c r="AC3" s="146" t="s">
        <v>242</v>
      </c>
      <c r="AD3" s="146" t="s">
        <v>233</v>
      </c>
      <c r="AE3" s="146" t="s">
        <v>243</v>
      </c>
      <c r="AF3" s="506" t="str">
        <f>"+MA"</f>
        <v>+MA</v>
      </c>
      <c r="AG3" s="146" t="str">
        <f>"+ST"</f>
        <v>+ST</v>
      </c>
      <c r="AH3" s="146" t="str">
        <f>"+AG"</f>
        <v>+AG</v>
      </c>
      <c r="AI3" s="146" t="str">
        <f>"+AV"</f>
        <v>+AV</v>
      </c>
      <c r="AJ3" s="146" t="s">
        <v>244</v>
      </c>
      <c r="AK3" s="454"/>
      <c r="AL3" s="136"/>
      <c r="AM3" s="601" t="s">
        <v>245</v>
      </c>
      <c r="AN3" s="575"/>
      <c r="AO3" s="136"/>
      <c r="AP3" s="136"/>
      <c r="AQ3" s="136"/>
      <c r="AR3" s="601" t="s">
        <v>246</v>
      </c>
      <c r="AS3" s="575"/>
      <c r="AT3" s="575"/>
      <c r="AU3" s="575"/>
      <c r="AV3" s="136"/>
      <c r="AW3" s="136"/>
    </row>
    <row r="4" spans="1:49" ht="18" customHeight="1">
      <c r="A4" s="321"/>
      <c r="B4" s="322">
        <v>1</v>
      </c>
      <c r="C4" s="323" t="s">
        <v>322</v>
      </c>
      <c r="D4" s="167" t="s">
        <v>58</v>
      </c>
      <c r="E4" s="168">
        <f>IFERROR(VLOOKUP($I$22&amp;$D4,'Development-Hidden'!$C$2:$J$118,4,FALSE)-P4+AF4,"")</f>
        <v>6</v>
      </c>
      <c r="F4" s="169">
        <f>IFERROR(VLOOKUP($I$22&amp;$D4,'Development-Hidden'!$C$2:$J$118,5,FALSE)-Q4+AG4,"")</f>
        <v>3</v>
      </c>
      <c r="G4" s="169">
        <f>IFERROR(VLOOKUP($I$22&amp;$D4,'Development-Hidden'!$C$2:$J$118,6,FALSE)-R4+AH4,"")</f>
        <v>3</v>
      </c>
      <c r="H4" s="170">
        <f>IFERROR(VLOOKUP($I$22&amp;$D4,'Development-Hidden'!$C$2:$J$118,7,FALSE)-S4+AI4,"")</f>
        <v>8</v>
      </c>
      <c r="I4" s="171"/>
      <c r="J4" s="172"/>
      <c r="K4" s="173">
        <f t="shared" ref="K4:K19" si="0">IF(Z4&gt;175,6,IF(Z4&gt;75,5,IF(Z4&gt;50,4,IF(Z4&gt;30,3,IF(Z4&gt;15,2,IF(Z4&gt;5,1,0))))))</f>
        <v>0</v>
      </c>
      <c r="L4" s="327"/>
      <c r="M4" s="327"/>
      <c r="N4" s="327"/>
      <c r="O4" s="327"/>
      <c r="P4" s="328"/>
      <c r="Q4" s="329"/>
      <c r="R4" s="330"/>
      <c r="S4" s="333"/>
      <c r="T4" s="507"/>
      <c r="U4" s="410"/>
      <c r="V4" s="410"/>
      <c r="W4" s="410"/>
      <c r="X4" s="508"/>
      <c r="Y4" s="509"/>
      <c r="Z4" s="510">
        <f t="shared" ref="Z4:Z8" si="1">2*T4+U4+3*V4+2*W4+5*Y4</f>
        <v>0</v>
      </c>
      <c r="AA4" s="183">
        <f t="shared" ref="AA4:AA19" si="2">IF(L4=1,0,AC4+(20000*O4)+(20000*AD4)+(30000*AE4)+(30000*AF4)+(50000*AG4)+(40000*AH4)+(50000*AI4)+AJ4)</f>
        <v>50000</v>
      </c>
      <c r="AB4" s="318"/>
      <c r="AC4" s="182">
        <f>IFERROR(VLOOKUP($I$22&amp;D4,'Development-Hidden'!$C$2:$E$118,3,FALSE),"")</f>
        <v>50000</v>
      </c>
      <c r="AD4" s="271"/>
      <c r="AE4" s="271"/>
      <c r="AF4" s="271"/>
      <c r="AG4" s="271"/>
      <c r="AH4" s="271"/>
      <c r="AI4" s="271"/>
      <c r="AJ4" s="334"/>
      <c r="AK4" s="454"/>
      <c r="AL4" s="336" t="s">
        <v>252</v>
      </c>
      <c r="AM4" s="337">
        <v>0</v>
      </c>
      <c r="AN4" s="318"/>
      <c r="AO4" s="318"/>
      <c r="AP4" s="318"/>
      <c r="AQ4" s="338" t="s">
        <v>391</v>
      </c>
      <c r="AR4" s="339">
        <v>1</v>
      </c>
    </row>
    <row r="5" spans="1:49" ht="18" customHeight="1">
      <c r="A5" s="321"/>
      <c r="B5" s="340">
        <v>2</v>
      </c>
      <c r="C5" s="314" t="s">
        <v>323</v>
      </c>
      <c r="D5" s="194" t="s">
        <v>58</v>
      </c>
      <c r="E5" s="195">
        <f>IFERROR(VLOOKUP($I$22&amp;$D5,'Development-Hidden'!$C$2:$J$118,4,FALSE)-P5+AF5,"")</f>
        <v>6</v>
      </c>
      <c r="F5" s="196">
        <f>IFERROR(VLOOKUP($I$22&amp;$D5,'Development-Hidden'!$C$2:$J$118,5,FALSE)-Q5+AG5,"")</f>
        <v>3</v>
      </c>
      <c r="G5" s="196">
        <f>IFERROR(VLOOKUP($I$22&amp;$D5,'Development-Hidden'!$C$2:$J$118,6,FALSE)-R5+AH5,"")</f>
        <v>3</v>
      </c>
      <c r="H5" s="197">
        <f>IFERROR(VLOOKUP($I$22&amp;$D5,'Development-Hidden'!$C$2:$J$118,7,FALSE)-S5+AI5,"")</f>
        <v>8</v>
      </c>
      <c r="I5" s="198"/>
      <c r="J5" s="199"/>
      <c r="K5" s="200">
        <f t="shared" si="0"/>
        <v>0</v>
      </c>
      <c r="L5" s="344"/>
      <c r="M5" s="344"/>
      <c r="N5" s="344"/>
      <c r="O5" s="344"/>
      <c r="P5" s="345"/>
      <c r="Q5" s="346"/>
      <c r="R5" s="347"/>
      <c r="S5" s="350"/>
      <c r="T5" s="511"/>
      <c r="U5" s="274"/>
      <c r="V5" s="274"/>
      <c r="W5" s="274"/>
      <c r="X5" s="347"/>
      <c r="Y5" s="351"/>
      <c r="Z5" s="512">
        <f t="shared" si="1"/>
        <v>0</v>
      </c>
      <c r="AA5" s="183">
        <f t="shared" si="2"/>
        <v>50000</v>
      </c>
      <c r="AB5" s="318"/>
      <c r="AC5" s="209">
        <f>IFERROR(VLOOKUP($I$22&amp;D5,'Development-Hidden'!$C$2:$E$118,3,FALSE),"")</f>
        <v>50000</v>
      </c>
      <c r="AD5" s="274"/>
      <c r="AE5" s="274"/>
      <c r="AF5" s="274"/>
      <c r="AG5" s="274"/>
      <c r="AH5" s="274"/>
      <c r="AI5" s="274"/>
      <c r="AJ5" s="351"/>
      <c r="AK5" s="454"/>
      <c r="AL5" s="353"/>
      <c r="AM5" s="353"/>
      <c r="AN5" s="353"/>
      <c r="AO5" s="353"/>
      <c r="AP5" s="353"/>
    </row>
    <row r="6" spans="1:49" ht="18" customHeight="1">
      <c r="A6" s="321"/>
      <c r="B6" s="340">
        <v>3</v>
      </c>
      <c r="C6" s="314" t="s">
        <v>264</v>
      </c>
      <c r="D6" s="194" t="s">
        <v>58</v>
      </c>
      <c r="E6" s="195">
        <f>IFERROR(VLOOKUP($I$22&amp;$D6,'Development-Hidden'!$C$2:$J$118,4,FALSE)-P6+AF6,"")</f>
        <v>6</v>
      </c>
      <c r="F6" s="196">
        <f>IFERROR(VLOOKUP($I$22&amp;$D6,'Development-Hidden'!$C$2:$J$118,5,FALSE)-Q6+AG6,"")</f>
        <v>3</v>
      </c>
      <c r="G6" s="196">
        <f>IFERROR(VLOOKUP($I$22&amp;$D6,'Development-Hidden'!$C$2:$J$118,6,FALSE)-R6+AH6,"")</f>
        <v>3</v>
      </c>
      <c r="H6" s="197">
        <f>IFERROR(VLOOKUP($I$22&amp;$D6,'Development-Hidden'!$C$2:$J$118,7,FALSE)-S6+AI6,"")</f>
        <v>8</v>
      </c>
      <c r="I6" s="198"/>
      <c r="J6" s="199" t="s">
        <v>277</v>
      </c>
      <c r="K6" s="200">
        <f t="shared" si="0"/>
        <v>1</v>
      </c>
      <c r="L6" s="344"/>
      <c r="M6" s="344"/>
      <c r="N6" s="344"/>
      <c r="O6" s="344"/>
      <c r="P6" s="345"/>
      <c r="Q6" s="346"/>
      <c r="R6" s="347"/>
      <c r="S6" s="350"/>
      <c r="T6" s="511"/>
      <c r="U6" s="274"/>
      <c r="V6" s="274"/>
      <c r="W6" s="274">
        <v>1</v>
      </c>
      <c r="X6" s="347">
        <v>1</v>
      </c>
      <c r="Y6" s="351">
        <v>1</v>
      </c>
      <c r="Z6" s="512">
        <f t="shared" si="1"/>
        <v>7</v>
      </c>
      <c r="AA6" s="183">
        <f t="shared" si="2"/>
        <v>70000</v>
      </c>
      <c r="AB6" s="318"/>
      <c r="AC6" s="209">
        <f>IFERROR(VLOOKUP($I$22&amp;D6,'Development-Hidden'!$C$2:$E$118,3,FALSE),"")</f>
        <v>50000</v>
      </c>
      <c r="AD6" s="274">
        <v>1</v>
      </c>
      <c r="AE6" s="274"/>
      <c r="AF6" s="274"/>
      <c r="AG6" s="274"/>
      <c r="AH6" s="274"/>
      <c r="AI6" s="274"/>
      <c r="AJ6" s="351"/>
      <c r="AK6" s="454"/>
      <c r="AL6" s="212" t="s">
        <v>256</v>
      </c>
      <c r="AM6" s="212" t="s">
        <v>257</v>
      </c>
      <c r="AN6" s="212" t="s">
        <v>258</v>
      </c>
      <c r="AO6" s="354" t="s">
        <v>400</v>
      </c>
      <c r="AP6" s="353"/>
      <c r="AQ6" s="212" t="s">
        <v>256</v>
      </c>
      <c r="AR6" s="212" t="s">
        <v>260</v>
      </c>
      <c r="AS6" s="212" t="s">
        <v>261</v>
      </c>
      <c r="AT6" s="354" t="s">
        <v>401</v>
      </c>
      <c r="AU6" s="354" t="s">
        <v>262</v>
      </c>
      <c r="AV6" s="355" t="s">
        <v>402</v>
      </c>
      <c r="AW6" s="447"/>
    </row>
    <row r="7" spans="1:49" ht="18" customHeight="1">
      <c r="A7" s="321"/>
      <c r="B7" s="340">
        <v>4</v>
      </c>
      <c r="C7" s="314" t="s">
        <v>324</v>
      </c>
      <c r="D7" s="194" t="s">
        <v>58</v>
      </c>
      <c r="E7" s="195">
        <f>IFERROR(VLOOKUP($I$22&amp;$D7,'Development-Hidden'!$C$2:$J$118,4,FALSE)-P7+AF7,"")</f>
        <v>6</v>
      </c>
      <c r="F7" s="196">
        <f>IFERROR(VLOOKUP($I$22&amp;$D7,'Development-Hidden'!$C$2:$J$118,5,FALSE)-Q7+AG7,"")</f>
        <v>3</v>
      </c>
      <c r="G7" s="196">
        <f>IFERROR(VLOOKUP($I$22&amp;$D7,'Development-Hidden'!$C$2:$J$118,6,FALSE)-R7+AH7,"")</f>
        <v>3</v>
      </c>
      <c r="H7" s="197">
        <f>IFERROR(VLOOKUP($I$22&amp;$D7,'Development-Hidden'!$C$2:$J$118,7,FALSE)-S7+AI7,"")</f>
        <v>8</v>
      </c>
      <c r="I7" s="198"/>
      <c r="J7" s="199"/>
      <c r="K7" s="200">
        <f t="shared" si="0"/>
        <v>0</v>
      </c>
      <c r="L7" s="344"/>
      <c r="M7" s="344"/>
      <c r="N7" s="344"/>
      <c r="O7" s="344"/>
      <c r="P7" s="345"/>
      <c r="Q7" s="346"/>
      <c r="R7" s="347"/>
      <c r="S7" s="350"/>
      <c r="T7" s="511"/>
      <c r="U7" s="274"/>
      <c r="V7" s="274"/>
      <c r="W7" s="274"/>
      <c r="X7" s="347"/>
      <c r="Y7" s="351"/>
      <c r="Z7" s="512">
        <f t="shared" si="1"/>
        <v>0</v>
      </c>
      <c r="AA7" s="183">
        <f t="shared" si="2"/>
        <v>50000</v>
      </c>
      <c r="AB7" s="318"/>
      <c r="AC7" s="209">
        <f>IFERROR(VLOOKUP($I$22&amp;D7,'Development-Hidden'!$C$2:$E$118,3,FALSE),"")</f>
        <v>50000</v>
      </c>
      <c r="AD7" s="274"/>
      <c r="AE7" s="274"/>
      <c r="AF7" s="274"/>
      <c r="AG7" s="274"/>
      <c r="AH7" s="274"/>
      <c r="AI7" s="274"/>
      <c r="AJ7" s="351"/>
      <c r="AK7" s="454"/>
      <c r="AL7" s="357" t="s">
        <v>267</v>
      </c>
      <c r="AM7" s="187">
        <v>60000</v>
      </c>
      <c r="AN7" s="358">
        <v>50000</v>
      </c>
      <c r="AO7" s="359"/>
      <c r="AP7" s="318"/>
      <c r="AQ7" s="357" t="s">
        <v>267</v>
      </c>
      <c r="AR7" s="358"/>
      <c r="AS7" s="358">
        <v>1</v>
      </c>
      <c r="AT7" s="187">
        <v>2</v>
      </c>
      <c r="AU7" s="359">
        <v>2</v>
      </c>
      <c r="AV7" s="360">
        <v>1</v>
      </c>
      <c r="AW7" s="448"/>
    </row>
    <row r="8" spans="1:49" ht="18" customHeight="1">
      <c r="A8" s="321"/>
      <c r="B8" s="340">
        <v>5</v>
      </c>
      <c r="C8" s="314" t="s">
        <v>276</v>
      </c>
      <c r="D8" s="194" t="s">
        <v>58</v>
      </c>
      <c r="E8" s="195">
        <f>IFERROR(VLOOKUP($I$22&amp;$D8,'Development-Hidden'!$C$2:$J$118,4,FALSE)-P8+AF8,"")</f>
        <v>6</v>
      </c>
      <c r="F8" s="196">
        <f>IFERROR(VLOOKUP($I$22&amp;$D8,'Development-Hidden'!$C$2:$J$118,5,FALSE)-Q8+AG8,"")</f>
        <v>3</v>
      </c>
      <c r="G8" s="196">
        <f>IFERROR(VLOOKUP($I$22&amp;$D8,'Development-Hidden'!$C$2:$J$118,6,FALSE)-R8+AH8,"")</f>
        <v>3</v>
      </c>
      <c r="H8" s="197">
        <f>IFERROR(VLOOKUP($I$22&amp;$D8,'Development-Hidden'!$C$2:$J$118,7,FALSE)-S8+AI8,"")</f>
        <v>8</v>
      </c>
      <c r="I8" s="198"/>
      <c r="J8" s="199"/>
      <c r="K8" s="200">
        <f t="shared" si="0"/>
        <v>0</v>
      </c>
      <c r="L8" s="344"/>
      <c r="M8" s="344"/>
      <c r="N8" s="344"/>
      <c r="O8" s="344"/>
      <c r="P8" s="345"/>
      <c r="Q8" s="346"/>
      <c r="R8" s="347"/>
      <c r="S8" s="350"/>
      <c r="T8" s="511"/>
      <c r="U8" s="274"/>
      <c r="V8" s="274"/>
      <c r="W8" s="274">
        <v>1</v>
      </c>
      <c r="X8" s="347"/>
      <c r="Y8" s="351"/>
      <c r="Z8" s="512">
        <f t="shared" si="1"/>
        <v>2</v>
      </c>
      <c r="AA8" s="183">
        <f t="shared" si="2"/>
        <v>50000</v>
      </c>
      <c r="AB8" s="318"/>
      <c r="AC8" s="209">
        <f>IFERROR(VLOOKUP($I$22&amp;D8,'Development-Hidden'!$C$2:$E$118,3,FALSE),"")</f>
        <v>50000</v>
      </c>
      <c r="AD8" s="274"/>
      <c r="AE8" s="274"/>
      <c r="AF8" s="274"/>
      <c r="AG8" s="274"/>
      <c r="AH8" s="274"/>
      <c r="AI8" s="274"/>
      <c r="AJ8" s="351"/>
      <c r="AK8" s="454"/>
      <c r="AL8" s="357" t="s">
        <v>278</v>
      </c>
      <c r="AM8" s="187">
        <v>70000</v>
      </c>
      <c r="AN8" s="358">
        <v>50000</v>
      </c>
      <c r="AO8" s="359"/>
      <c r="AP8" s="318"/>
      <c r="AQ8" s="357" t="s">
        <v>278</v>
      </c>
      <c r="AR8" s="358"/>
      <c r="AS8" s="358"/>
      <c r="AT8" s="187"/>
      <c r="AU8" s="359"/>
      <c r="AV8" s="360"/>
      <c r="AW8" s="448"/>
    </row>
    <row r="9" spans="1:49" ht="18" customHeight="1">
      <c r="A9" s="321"/>
      <c r="B9" s="340">
        <v>6</v>
      </c>
      <c r="C9" s="314"/>
      <c r="D9" s="194"/>
      <c r="E9" s="195" t="str">
        <f>IFERROR(VLOOKUP($I$22&amp;$D9,'Development-Hidden'!$C$2:$J$118,4,FALSE)-P9+AF9,"")</f>
        <v/>
      </c>
      <c r="F9" s="196" t="str">
        <f>IFERROR(VLOOKUP($I$22&amp;$D9,'Development-Hidden'!$C$2:$J$118,5,FALSE)-Q9+AG9,"")</f>
        <v/>
      </c>
      <c r="G9" s="196" t="str">
        <f>IFERROR(VLOOKUP($I$22&amp;$D9,'Development-Hidden'!$C$2:$J$118,6,FALSE)-R9+AH9,"")</f>
        <v/>
      </c>
      <c r="H9" s="197" t="str">
        <f>IFERROR(VLOOKUP($I$22&amp;$D9,'Development-Hidden'!$C$2:$J$118,7,FALSE)-S9+AI9,"")</f>
        <v/>
      </c>
      <c r="I9" s="198"/>
      <c r="J9" s="199"/>
      <c r="K9" s="200">
        <f t="shared" si="0"/>
        <v>0</v>
      </c>
      <c r="L9" s="344"/>
      <c r="M9" s="344"/>
      <c r="N9" s="344"/>
      <c r="O9" s="344"/>
      <c r="P9" s="345"/>
      <c r="Q9" s="346"/>
      <c r="R9" s="347"/>
      <c r="S9" s="350"/>
      <c r="T9" s="511"/>
      <c r="U9" s="274"/>
      <c r="V9" s="274"/>
      <c r="W9" s="274"/>
      <c r="X9" s="347"/>
      <c r="Y9" s="351"/>
      <c r="Z9" s="512"/>
      <c r="AA9" s="183">
        <f t="shared" si="2"/>
        <v>0</v>
      </c>
      <c r="AB9" s="318"/>
      <c r="AC9" s="210" t="str">
        <f>IFERROR(VLOOKUP($I$22&amp;D9,'Development-Hidden'!$C$2:$E$118,3,FALSE),"0")</f>
        <v>0</v>
      </c>
      <c r="AD9" s="274"/>
      <c r="AE9" s="274"/>
      <c r="AF9" s="274"/>
      <c r="AG9" s="274"/>
      <c r="AH9" s="274"/>
      <c r="AI9" s="274"/>
      <c r="AJ9" s="351"/>
      <c r="AK9" s="454"/>
      <c r="AL9" s="357" t="s">
        <v>289</v>
      </c>
      <c r="AM9" s="187">
        <v>30000</v>
      </c>
      <c r="AN9" s="358">
        <v>0</v>
      </c>
      <c r="AO9" s="359"/>
      <c r="AP9" s="318"/>
      <c r="AQ9" s="357" t="s">
        <v>289</v>
      </c>
      <c r="AR9" s="358"/>
      <c r="AS9" s="358"/>
      <c r="AT9" s="187"/>
      <c r="AU9" s="359"/>
      <c r="AV9" s="360"/>
      <c r="AW9" s="448"/>
    </row>
    <row r="10" spans="1:49" ht="18" customHeight="1">
      <c r="A10" s="321"/>
      <c r="B10" s="340">
        <v>7</v>
      </c>
      <c r="C10" s="314"/>
      <c r="D10" s="194"/>
      <c r="E10" s="195" t="str">
        <f>IFERROR(VLOOKUP($I$22&amp;$D10,'Development-Hidden'!$C$2:$J$118,4,FALSE)-P10+AF10,"")</f>
        <v/>
      </c>
      <c r="F10" s="196" t="str">
        <f>IFERROR(VLOOKUP($I$22&amp;$D10,'Development-Hidden'!$C$2:$J$118,5,FALSE)-Q10+AG10,"")</f>
        <v/>
      </c>
      <c r="G10" s="196" t="str">
        <f>IFERROR(VLOOKUP($I$22&amp;$D10,'Development-Hidden'!$C$2:$J$118,6,FALSE)-R10+AH10,"")</f>
        <v/>
      </c>
      <c r="H10" s="197" t="str">
        <f>IFERROR(VLOOKUP($I$22&amp;$D10,'Development-Hidden'!$C$2:$J$118,7,FALSE)-S10+AI10,"")</f>
        <v/>
      </c>
      <c r="I10" s="198"/>
      <c r="J10" s="199"/>
      <c r="K10" s="200">
        <f t="shared" si="0"/>
        <v>0</v>
      </c>
      <c r="L10" s="344"/>
      <c r="M10" s="344"/>
      <c r="N10" s="344"/>
      <c r="O10" s="344"/>
      <c r="P10" s="345"/>
      <c r="Q10" s="346"/>
      <c r="R10" s="347"/>
      <c r="S10" s="350"/>
      <c r="T10" s="511"/>
      <c r="U10" s="274"/>
      <c r="V10" s="274"/>
      <c r="W10" s="274"/>
      <c r="X10" s="347"/>
      <c r="Y10" s="351"/>
      <c r="Z10" s="512">
        <f t="shared" ref="Z10:Z16" si="3">2*T10+U10+3*V10+2*W10+5*Y10</f>
        <v>0</v>
      </c>
      <c r="AA10" s="183">
        <f t="shared" si="2"/>
        <v>0</v>
      </c>
      <c r="AB10" s="318"/>
      <c r="AC10" s="210" t="str">
        <f>IFERROR(VLOOKUP($I$22&amp;D10,'Development-Hidden'!$C$2:$E$118,3,FALSE),"0")</f>
        <v>0</v>
      </c>
      <c r="AD10" s="274"/>
      <c r="AE10" s="274"/>
      <c r="AF10" s="274"/>
      <c r="AG10" s="274"/>
      <c r="AH10" s="274"/>
      <c r="AI10" s="274"/>
      <c r="AJ10" s="351"/>
      <c r="AK10" s="454"/>
      <c r="AL10" s="357" t="s">
        <v>296</v>
      </c>
      <c r="AM10" s="187"/>
      <c r="AN10" s="358"/>
      <c r="AO10" s="359"/>
      <c r="AP10" s="318"/>
      <c r="AQ10" s="357" t="s">
        <v>296</v>
      </c>
      <c r="AR10" s="358"/>
      <c r="AS10" s="358"/>
      <c r="AT10" s="187"/>
      <c r="AU10" s="359"/>
      <c r="AV10" s="360"/>
      <c r="AW10" s="448"/>
    </row>
    <row r="11" spans="1:49" ht="18" customHeight="1">
      <c r="A11" s="321"/>
      <c r="B11" s="340">
        <v>8</v>
      </c>
      <c r="C11" s="314" t="s">
        <v>137</v>
      </c>
      <c r="D11" s="194" t="s">
        <v>49</v>
      </c>
      <c r="E11" s="195">
        <f>IFERROR(VLOOKUP($I$22&amp;$D11,'Development-Hidden'!$C$2:$J$118,4,FALSE)-P11+AF11,"")</f>
        <v>7</v>
      </c>
      <c r="F11" s="196">
        <f>IFERROR(VLOOKUP($I$22&amp;$D11,'Development-Hidden'!$C$2:$J$118,5,FALSE)-Q11+AG11,"")</f>
        <v>3</v>
      </c>
      <c r="G11" s="196">
        <f>IFERROR(VLOOKUP($I$22&amp;$D11,'Development-Hidden'!$C$2:$J$118,6,FALSE)-R11+AH11,"")</f>
        <v>3</v>
      </c>
      <c r="H11" s="197">
        <f>IFERROR(VLOOKUP($I$22&amp;$D11,'Development-Hidden'!$C$2:$J$118,7,FALSE)-S11+AI11,"")</f>
        <v>8</v>
      </c>
      <c r="I11" s="198" t="s">
        <v>277</v>
      </c>
      <c r="J11" s="199"/>
      <c r="K11" s="200">
        <f t="shared" si="0"/>
        <v>0</v>
      </c>
      <c r="L11" s="344"/>
      <c r="M11" s="344"/>
      <c r="N11" s="344"/>
      <c r="O11" s="344"/>
      <c r="P11" s="345"/>
      <c r="Q11" s="346"/>
      <c r="R11" s="347"/>
      <c r="S11" s="350"/>
      <c r="T11" s="511"/>
      <c r="U11" s="274"/>
      <c r="V11" s="274"/>
      <c r="W11" s="274">
        <v>1</v>
      </c>
      <c r="X11" s="347"/>
      <c r="Y11" s="351"/>
      <c r="Z11" s="512">
        <f t="shared" si="3"/>
        <v>2</v>
      </c>
      <c r="AA11" s="183">
        <f t="shared" si="2"/>
        <v>90000</v>
      </c>
      <c r="AB11" s="318"/>
      <c r="AC11" s="209">
        <f>IFERROR(VLOOKUP($I$22&amp;D11,'Development-Hidden'!$C$2:$E$118,3,FALSE),"")</f>
        <v>90000</v>
      </c>
      <c r="AD11" s="274"/>
      <c r="AE11" s="274"/>
      <c r="AF11" s="274"/>
      <c r="AG11" s="274"/>
      <c r="AH11" s="274"/>
      <c r="AI11" s="274"/>
      <c r="AJ11" s="351"/>
      <c r="AK11" s="454"/>
      <c r="AL11" s="357" t="s">
        <v>306</v>
      </c>
      <c r="AM11" s="187"/>
      <c r="AN11" s="358"/>
      <c r="AO11" s="359"/>
      <c r="AP11" s="318"/>
      <c r="AQ11" s="357" t="s">
        <v>306</v>
      </c>
      <c r="AR11" s="358"/>
      <c r="AS11" s="358"/>
      <c r="AT11" s="187"/>
      <c r="AU11" s="359"/>
      <c r="AV11" s="360"/>
      <c r="AW11" s="448"/>
    </row>
    <row r="12" spans="1:49" ht="18" customHeight="1">
      <c r="A12" s="321"/>
      <c r="B12" s="340">
        <v>9</v>
      </c>
      <c r="C12" s="314" t="s">
        <v>66</v>
      </c>
      <c r="D12" s="194" t="s">
        <v>49</v>
      </c>
      <c r="E12" s="195">
        <f>IFERROR(VLOOKUP($I$22&amp;$D12,'Development-Hidden'!$C$2:$J$118,4,FALSE)-P12+AF12,"")</f>
        <v>7</v>
      </c>
      <c r="F12" s="196">
        <f>IFERROR(VLOOKUP($I$22&amp;$D12,'Development-Hidden'!$C$2:$J$118,5,FALSE)-Q12+AG12,"")</f>
        <v>3</v>
      </c>
      <c r="G12" s="196">
        <f>IFERROR(VLOOKUP($I$22&amp;$D12,'Development-Hidden'!$C$2:$J$118,6,FALSE)-R12+AH12,"")</f>
        <v>3</v>
      </c>
      <c r="H12" s="197">
        <f>IFERROR(VLOOKUP($I$22&amp;$D12,'Development-Hidden'!$C$2:$J$118,7,FALSE)-S12+AI12,"")</f>
        <v>8</v>
      </c>
      <c r="I12" s="198" t="s">
        <v>277</v>
      </c>
      <c r="J12" s="199" t="s">
        <v>466</v>
      </c>
      <c r="K12" s="200">
        <f t="shared" si="0"/>
        <v>1</v>
      </c>
      <c r="L12" s="344"/>
      <c r="M12" s="344"/>
      <c r="N12" s="344"/>
      <c r="O12" s="344"/>
      <c r="P12" s="345"/>
      <c r="Q12" s="346"/>
      <c r="R12" s="347"/>
      <c r="S12" s="350"/>
      <c r="T12" s="511"/>
      <c r="U12" s="274"/>
      <c r="V12" s="274">
        <v>1</v>
      </c>
      <c r="W12" s="274"/>
      <c r="X12" s="347"/>
      <c r="Y12" s="351">
        <v>1</v>
      </c>
      <c r="Z12" s="512">
        <f t="shared" si="3"/>
        <v>8</v>
      </c>
      <c r="AA12" s="183">
        <f t="shared" si="2"/>
        <v>110000</v>
      </c>
      <c r="AB12" s="318"/>
      <c r="AC12" s="209">
        <f>IFERROR(VLOOKUP($I$22&amp;D12,'Development-Hidden'!$C$2:$E$118,3,FALSE),"")</f>
        <v>90000</v>
      </c>
      <c r="AD12" s="274">
        <v>1</v>
      </c>
      <c r="AE12" s="274"/>
      <c r="AF12" s="274"/>
      <c r="AG12" s="274"/>
      <c r="AH12" s="274"/>
      <c r="AI12" s="274"/>
      <c r="AJ12" s="351"/>
      <c r="AK12" s="454"/>
      <c r="AL12" s="357" t="s">
        <v>316</v>
      </c>
      <c r="AM12" s="187"/>
      <c r="AN12" s="358"/>
      <c r="AO12" s="359"/>
      <c r="AP12" s="318"/>
      <c r="AQ12" s="357" t="s">
        <v>316</v>
      </c>
      <c r="AR12" s="358"/>
      <c r="AS12" s="358"/>
      <c r="AT12" s="187"/>
      <c r="AU12" s="359"/>
      <c r="AV12" s="360"/>
      <c r="AW12" s="448"/>
    </row>
    <row r="13" spans="1:49" ht="18" customHeight="1">
      <c r="A13" s="321"/>
      <c r="B13" s="340">
        <v>10</v>
      </c>
      <c r="C13" s="314" t="s">
        <v>63</v>
      </c>
      <c r="D13" s="194" t="s">
        <v>49</v>
      </c>
      <c r="E13" s="195">
        <f>IFERROR(VLOOKUP($I$22&amp;$D13,'Development-Hidden'!$C$2:$J$118,4,FALSE)-P13+AF13,"")</f>
        <v>7</v>
      </c>
      <c r="F13" s="196">
        <f>IFERROR(VLOOKUP($I$22&amp;$D13,'Development-Hidden'!$C$2:$J$118,5,FALSE)-Q13+AG13,"")</f>
        <v>3</v>
      </c>
      <c r="G13" s="196">
        <f>IFERROR(VLOOKUP($I$22&amp;$D13,'Development-Hidden'!$C$2:$J$118,6,FALSE)-R13+AH13,"")</f>
        <v>3</v>
      </c>
      <c r="H13" s="197">
        <f>IFERROR(VLOOKUP($I$22&amp;$D13,'Development-Hidden'!$C$2:$J$118,7,FALSE)-S13+AI13,"")</f>
        <v>8</v>
      </c>
      <c r="I13" s="198" t="s">
        <v>277</v>
      </c>
      <c r="J13" s="199" t="s">
        <v>291</v>
      </c>
      <c r="K13" s="200">
        <f t="shared" si="0"/>
        <v>1</v>
      </c>
      <c r="L13" s="344"/>
      <c r="M13" s="344"/>
      <c r="N13" s="344"/>
      <c r="O13" s="344"/>
      <c r="P13" s="345"/>
      <c r="Q13" s="346"/>
      <c r="R13" s="347"/>
      <c r="S13" s="350"/>
      <c r="T13" s="511"/>
      <c r="U13" s="274"/>
      <c r="V13" s="274">
        <v>1</v>
      </c>
      <c r="W13" s="274">
        <v>3</v>
      </c>
      <c r="X13" s="347"/>
      <c r="Y13" s="351"/>
      <c r="Z13" s="512">
        <f t="shared" si="3"/>
        <v>9</v>
      </c>
      <c r="AA13" s="183">
        <f t="shared" si="2"/>
        <v>120000</v>
      </c>
      <c r="AB13" s="318"/>
      <c r="AC13" s="209">
        <f>IFERROR(VLOOKUP($I$22&amp;D13,'Development-Hidden'!$C$2:$E$118,3,FALSE),"")</f>
        <v>90000</v>
      </c>
      <c r="AD13" s="274"/>
      <c r="AE13" s="274">
        <v>1</v>
      </c>
      <c r="AF13" s="274"/>
      <c r="AG13" s="274"/>
      <c r="AH13" s="274"/>
      <c r="AI13" s="274"/>
      <c r="AJ13" s="351"/>
      <c r="AK13" s="454"/>
      <c r="AL13" s="357" t="s">
        <v>330</v>
      </c>
      <c r="AM13" s="187"/>
      <c r="AN13" s="358"/>
      <c r="AO13" s="359"/>
      <c r="AP13" s="318"/>
      <c r="AQ13" s="357" t="s">
        <v>330</v>
      </c>
      <c r="AR13" s="358"/>
      <c r="AS13" s="358"/>
      <c r="AT13" s="187"/>
      <c r="AU13" s="359"/>
      <c r="AV13" s="360"/>
      <c r="AW13" s="448"/>
    </row>
    <row r="14" spans="1:49" ht="18" customHeight="1">
      <c r="A14" s="321"/>
      <c r="B14" s="340">
        <v>11</v>
      </c>
      <c r="C14" s="314" t="s">
        <v>94</v>
      </c>
      <c r="D14" s="194" t="s">
        <v>49</v>
      </c>
      <c r="E14" s="195">
        <f>IFERROR(VLOOKUP($I$22&amp;$D14,'Development-Hidden'!$C$2:$J$118,4,FALSE)-P14+AF14,"")</f>
        <v>7</v>
      </c>
      <c r="F14" s="196">
        <f>IFERROR(VLOOKUP($I$22&amp;$D14,'Development-Hidden'!$C$2:$J$118,5,FALSE)-Q14+AG14,"")</f>
        <v>3</v>
      </c>
      <c r="G14" s="196">
        <f>IFERROR(VLOOKUP($I$22&amp;$D14,'Development-Hidden'!$C$2:$J$118,6,FALSE)-R14+AH14,"")</f>
        <v>3</v>
      </c>
      <c r="H14" s="197">
        <f>IFERROR(VLOOKUP($I$22&amp;$D14,'Development-Hidden'!$C$2:$J$118,7,FALSE)-S14+AI14,"")</f>
        <v>8</v>
      </c>
      <c r="I14" s="198" t="s">
        <v>277</v>
      </c>
      <c r="J14" s="199" t="s">
        <v>466</v>
      </c>
      <c r="K14" s="200">
        <f t="shared" si="0"/>
        <v>1</v>
      </c>
      <c r="L14" s="344"/>
      <c r="M14" s="344"/>
      <c r="N14" s="344"/>
      <c r="O14" s="344"/>
      <c r="P14" s="345"/>
      <c r="Q14" s="346"/>
      <c r="R14" s="347"/>
      <c r="S14" s="350"/>
      <c r="T14" s="511"/>
      <c r="U14" s="274"/>
      <c r="V14" s="274">
        <v>2</v>
      </c>
      <c r="W14" s="274"/>
      <c r="X14" s="347"/>
      <c r="Y14" s="351"/>
      <c r="Z14" s="512">
        <f t="shared" si="3"/>
        <v>6</v>
      </c>
      <c r="AA14" s="183">
        <f t="shared" si="2"/>
        <v>110000</v>
      </c>
      <c r="AB14" s="318"/>
      <c r="AC14" s="209">
        <f>IFERROR(VLOOKUP($I$22&amp;D14,'Development-Hidden'!$C$2:$E$118,3,FALSE),"")</f>
        <v>90000</v>
      </c>
      <c r="AD14" s="274">
        <v>1</v>
      </c>
      <c r="AE14" s="274"/>
      <c r="AF14" s="274"/>
      <c r="AG14" s="274"/>
      <c r="AH14" s="274"/>
      <c r="AI14" s="274"/>
      <c r="AJ14" s="351"/>
      <c r="AK14" s="454"/>
      <c r="AL14" s="357" t="s">
        <v>342</v>
      </c>
      <c r="AM14" s="187"/>
      <c r="AN14" s="358"/>
      <c r="AO14" s="359"/>
      <c r="AP14" s="318"/>
      <c r="AQ14" s="357" t="s">
        <v>342</v>
      </c>
      <c r="AR14" s="358"/>
      <c r="AS14" s="358"/>
      <c r="AT14" s="187"/>
      <c r="AU14" s="359"/>
      <c r="AV14" s="360"/>
      <c r="AW14" s="448"/>
    </row>
    <row r="15" spans="1:49" ht="18" customHeight="1">
      <c r="A15" s="321"/>
      <c r="B15" s="340">
        <v>12</v>
      </c>
      <c r="C15" s="314"/>
      <c r="D15" s="194"/>
      <c r="E15" s="195" t="str">
        <f>IFERROR(VLOOKUP($I$22&amp;$D15,'Development-Hidden'!$C$2:$J$118,4,FALSE)-P15+AF15,"")</f>
        <v/>
      </c>
      <c r="F15" s="196" t="str">
        <f>IFERROR(VLOOKUP($I$22&amp;$D15,'Development-Hidden'!$C$2:$J$118,5,FALSE)-Q15+AG15,"")</f>
        <v/>
      </c>
      <c r="G15" s="196" t="str">
        <f>IFERROR(VLOOKUP($I$22&amp;$D15,'Development-Hidden'!$C$2:$J$118,6,FALSE)-R15+AH15,"")</f>
        <v/>
      </c>
      <c r="H15" s="197" t="str">
        <f>IFERROR(VLOOKUP($I$22&amp;$D15,'Development-Hidden'!$C$2:$J$118,7,FALSE)-S15+AI15,"")</f>
        <v/>
      </c>
      <c r="I15" s="198"/>
      <c r="J15" s="199"/>
      <c r="K15" s="200">
        <f t="shared" si="0"/>
        <v>0</v>
      </c>
      <c r="L15" s="344"/>
      <c r="M15" s="344"/>
      <c r="N15" s="344"/>
      <c r="O15" s="344"/>
      <c r="P15" s="345"/>
      <c r="Q15" s="346"/>
      <c r="R15" s="347"/>
      <c r="S15" s="350"/>
      <c r="T15" s="511"/>
      <c r="U15" s="274"/>
      <c r="V15" s="274"/>
      <c r="W15" s="274"/>
      <c r="X15" s="347"/>
      <c r="Y15" s="351"/>
      <c r="Z15" s="512">
        <f t="shared" si="3"/>
        <v>0</v>
      </c>
      <c r="AA15" s="183">
        <f t="shared" si="2"/>
        <v>0</v>
      </c>
      <c r="AB15" s="318"/>
      <c r="AC15" s="210" t="str">
        <f>IFERROR(VLOOKUP($I$22&amp;D15,'Development-Hidden'!$C$2:$E$118,3,FALSE),"0")</f>
        <v>0</v>
      </c>
      <c r="AD15" s="274"/>
      <c r="AE15" s="274"/>
      <c r="AF15" s="274"/>
      <c r="AG15" s="274"/>
      <c r="AH15" s="274"/>
      <c r="AI15" s="274"/>
      <c r="AJ15" s="351"/>
      <c r="AK15" s="454"/>
      <c r="AL15" s="357" t="s">
        <v>354</v>
      </c>
      <c r="AM15" s="187"/>
      <c r="AN15" s="358"/>
      <c r="AO15" s="359"/>
      <c r="AP15" s="318"/>
      <c r="AQ15" s="357" t="s">
        <v>354</v>
      </c>
      <c r="AR15" s="358"/>
      <c r="AS15" s="358"/>
      <c r="AT15" s="187"/>
      <c r="AU15" s="359"/>
      <c r="AV15" s="360"/>
      <c r="AW15" s="448"/>
    </row>
    <row r="16" spans="1:49" ht="18" customHeight="1">
      <c r="A16" s="321"/>
      <c r="B16" s="340">
        <v>13</v>
      </c>
      <c r="C16" s="314"/>
      <c r="D16" s="194"/>
      <c r="E16" s="195" t="str">
        <f>IFERROR(VLOOKUP($I$22&amp;$D16,'Development-Hidden'!$C$2:$J$118,4,FALSE)-P16+AF16,"")</f>
        <v/>
      </c>
      <c r="F16" s="196" t="str">
        <f>IFERROR(VLOOKUP($I$22&amp;$D16,'Development-Hidden'!$C$2:$J$118,5,FALSE)-Q16+AG16,"")</f>
        <v/>
      </c>
      <c r="G16" s="196" t="str">
        <f>IFERROR(VLOOKUP($I$22&amp;$D16,'Development-Hidden'!$C$2:$J$118,6,FALSE)-R16+AH16,"")</f>
        <v/>
      </c>
      <c r="H16" s="197" t="str">
        <f>IFERROR(VLOOKUP($I$22&amp;$D16,'Development-Hidden'!$C$2:$J$118,7,FALSE)-S16+AI16,"")</f>
        <v/>
      </c>
      <c r="I16" s="198"/>
      <c r="J16" s="199"/>
      <c r="K16" s="200">
        <f t="shared" si="0"/>
        <v>0</v>
      </c>
      <c r="L16" s="344"/>
      <c r="M16" s="344"/>
      <c r="N16" s="344"/>
      <c r="O16" s="344"/>
      <c r="P16" s="345"/>
      <c r="Q16" s="346"/>
      <c r="R16" s="347"/>
      <c r="S16" s="350"/>
      <c r="T16" s="511"/>
      <c r="U16" s="274"/>
      <c r="V16" s="274"/>
      <c r="W16" s="274"/>
      <c r="X16" s="347"/>
      <c r="Y16" s="351"/>
      <c r="Z16" s="512">
        <f t="shared" si="3"/>
        <v>0</v>
      </c>
      <c r="AA16" s="183">
        <f t="shared" si="2"/>
        <v>0</v>
      </c>
      <c r="AB16" s="318"/>
      <c r="AC16" s="210" t="str">
        <f>IFERROR(VLOOKUP($I$22&amp;D16,'Development-Hidden'!$C$2:$E$118,3,FALSE),"0")</f>
        <v>0</v>
      </c>
      <c r="AD16" s="274"/>
      <c r="AE16" s="274"/>
      <c r="AF16" s="274"/>
      <c r="AG16" s="274"/>
      <c r="AH16" s="274"/>
      <c r="AI16" s="274"/>
      <c r="AJ16" s="351"/>
      <c r="AK16" s="454"/>
      <c r="AL16" s="357" t="s">
        <v>355</v>
      </c>
      <c r="AM16" s="187"/>
      <c r="AN16" s="358"/>
      <c r="AO16" s="359"/>
      <c r="AP16" s="318"/>
      <c r="AQ16" s="357" t="s">
        <v>355</v>
      </c>
      <c r="AR16" s="358"/>
      <c r="AS16" s="358"/>
      <c r="AT16" s="187"/>
      <c r="AU16" s="359"/>
      <c r="AV16" s="360"/>
      <c r="AW16" s="448"/>
    </row>
    <row r="17" spans="1:49" ht="18" customHeight="1">
      <c r="A17" s="321"/>
      <c r="B17" s="340">
        <v>14</v>
      </c>
      <c r="C17" s="314" t="s">
        <v>90</v>
      </c>
      <c r="D17" s="194" t="s">
        <v>83</v>
      </c>
      <c r="E17" s="195">
        <f>IFERROR(VLOOKUP($I$22&amp;$D17,'Development-Hidden'!$C$2:$J$118,4,FALSE)-P17+AF17,"")</f>
        <v>6</v>
      </c>
      <c r="F17" s="196">
        <f>IFERROR(VLOOKUP($I$22&amp;$D17,'Development-Hidden'!$C$2:$J$118,5,FALSE)-Q17+AG17,"")</f>
        <v>3</v>
      </c>
      <c r="G17" s="196">
        <f>IFERROR(VLOOKUP($I$22&amp;$D17,'Development-Hidden'!$C$2:$J$118,6,FALSE)-R17+AH17,"")</f>
        <v>3</v>
      </c>
      <c r="H17" s="197">
        <f>IFERROR(VLOOKUP($I$22&amp;$D17,'Development-Hidden'!$C$2:$J$118,7,FALSE)-S17+AI17,"")</f>
        <v>8</v>
      </c>
      <c r="I17" s="198" t="s">
        <v>416</v>
      </c>
      <c r="J17" s="199" t="s">
        <v>528</v>
      </c>
      <c r="K17" s="200">
        <f t="shared" si="0"/>
        <v>1</v>
      </c>
      <c r="L17" s="344"/>
      <c r="M17" s="344"/>
      <c r="N17" s="344"/>
      <c r="O17" s="344"/>
      <c r="P17" s="345"/>
      <c r="Q17" s="346"/>
      <c r="R17" s="347"/>
      <c r="S17" s="350"/>
      <c r="T17" s="511"/>
      <c r="U17" s="274">
        <v>5</v>
      </c>
      <c r="V17" s="274">
        <v>3</v>
      </c>
      <c r="W17" s="274"/>
      <c r="X17" s="347"/>
      <c r="Y17" s="351"/>
      <c r="Z17" s="512">
        <v>14</v>
      </c>
      <c r="AA17" s="183">
        <f t="shared" si="2"/>
        <v>90000</v>
      </c>
      <c r="AB17" s="318"/>
      <c r="AC17" s="209">
        <f>IFERROR(VLOOKUP($I$22&amp;D17,'Development-Hidden'!$C$2:$E$118,3,FALSE),"")</f>
        <v>70000</v>
      </c>
      <c r="AD17" s="274">
        <v>1</v>
      </c>
      <c r="AE17" s="274"/>
      <c r="AF17" s="274"/>
      <c r="AG17" s="274"/>
      <c r="AH17" s="274"/>
      <c r="AI17" s="274"/>
      <c r="AJ17" s="351"/>
      <c r="AK17" s="454"/>
      <c r="AL17" s="357" t="s">
        <v>357</v>
      </c>
      <c r="AM17" s="187"/>
      <c r="AN17" s="358"/>
      <c r="AO17" s="359"/>
      <c r="AP17" s="318"/>
      <c r="AQ17" s="357" t="s">
        <v>357</v>
      </c>
      <c r="AR17" s="358"/>
      <c r="AS17" s="358"/>
      <c r="AT17" s="187"/>
      <c r="AU17" s="359"/>
      <c r="AV17" s="360"/>
      <c r="AW17" s="448"/>
    </row>
    <row r="18" spans="1:49" ht="18" customHeight="1">
      <c r="A18" s="321"/>
      <c r="B18" s="340">
        <v>15</v>
      </c>
      <c r="C18" s="314" t="s">
        <v>89</v>
      </c>
      <c r="D18" s="194" t="s">
        <v>83</v>
      </c>
      <c r="E18" s="195">
        <f>IFERROR(VLOOKUP($I$22&amp;$D18,'Development-Hidden'!$C$2:$J$118,4,FALSE)-P18+AF18,"")</f>
        <v>6</v>
      </c>
      <c r="F18" s="196">
        <f>IFERROR(VLOOKUP($I$22&amp;$D18,'Development-Hidden'!$C$2:$J$118,5,FALSE)-Q18+AG18,"")</f>
        <v>3</v>
      </c>
      <c r="G18" s="196">
        <f>IFERROR(VLOOKUP($I$22&amp;$D18,'Development-Hidden'!$C$2:$J$118,6,FALSE)-R18+AH18,"")</f>
        <v>3</v>
      </c>
      <c r="H18" s="197">
        <f>IFERROR(VLOOKUP($I$22&amp;$D18,'Development-Hidden'!$C$2:$J$118,7,FALSE)-S18+AI18,"")</f>
        <v>8</v>
      </c>
      <c r="I18" s="198" t="s">
        <v>416</v>
      </c>
      <c r="J18" s="199" t="s">
        <v>528</v>
      </c>
      <c r="K18" s="200">
        <f t="shared" si="0"/>
        <v>1</v>
      </c>
      <c r="L18" s="344"/>
      <c r="M18" s="344"/>
      <c r="N18" s="344"/>
      <c r="O18" s="344"/>
      <c r="P18" s="345"/>
      <c r="Q18" s="346"/>
      <c r="R18" s="347"/>
      <c r="S18" s="350"/>
      <c r="T18" s="511"/>
      <c r="U18" s="274">
        <v>5</v>
      </c>
      <c r="V18" s="274"/>
      <c r="W18" s="274">
        <v>1</v>
      </c>
      <c r="X18" s="347"/>
      <c r="Y18" s="351"/>
      <c r="Z18" s="512">
        <f t="shared" ref="Z18:Z19" si="4">2*T18+U18+3*V18+2*W18+5*Y18</f>
        <v>7</v>
      </c>
      <c r="AA18" s="183">
        <f t="shared" si="2"/>
        <v>90000</v>
      </c>
      <c r="AB18" s="318"/>
      <c r="AC18" s="209">
        <f>IFERROR(VLOOKUP($I$22&amp;D18,'Development-Hidden'!$C$2:$E$118,3,FALSE),"")</f>
        <v>70000</v>
      </c>
      <c r="AD18" s="274">
        <v>1</v>
      </c>
      <c r="AE18" s="274"/>
      <c r="AF18" s="274"/>
      <c r="AG18" s="274"/>
      <c r="AH18" s="274"/>
      <c r="AI18" s="274"/>
      <c r="AJ18" s="351"/>
      <c r="AK18" s="454"/>
      <c r="AL18" s="357" t="s">
        <v>359</v>
      </c>
      <c r="AM18" s="187"/>
      <c r="AN18" s="358"/>
      <c r="AO18" s="359"/>
      <c r="AP18" s="318"/>
      <c r="AQ18" s="357" t="s">
        <v>359</v>
      </c>
      <c r="AR18" s="358"/>
      <c r="AS18" s="358"/>
      <c r="AT18" s="187"/>
      <c r="AU18" s="359"/>
      <c r="AV18" s="360"/>
      <c r="AW18" s="448"/>
    </row>
    <row r="19" spans="1:49" ht="18" customHeight="1">
      <c r="A19" s="321"/>
      <c r="B19" s="384">
        <v>16</v>
      </c>
      <c r="C19" s="315" t="s">
        <v>76</v>
      </c>
      <c r="D19" s="385" t="s">
        <v>77</v>
      </c>
      <c r="E19" s="251">
        <f>IFERROR(VLOOKUP($I$22&amp;$D19,'Development-Hidden'!$C$2:$J$118,4,FALSE)-P19+AF19,"")</f>
        <v>5</v>
      </c>
      <c r="F19" s="252">
        <f>IFERROR(VLOOKUP($I$22&amp;$D19,'Development-Hidden'!$C$2:$J$118,5,FALSE)-Q19+AG19,"")</f>
        <v>5</v>
      </c>
      <c r="G19" s="252">
        <f>IFERROR(VLOOKUP($I$22&amp;$D19,'Development-Hidden'!$C$2:$J$118,6,FALSE)-R19+AH19,"")</f>
        <v>2</v>
      </c>
      <c r="H19" s="253">
        <f>IFERROR(VLOOKUP($I$22&amp;$D19,'Development-Hidden'!$C$2:$J$118,7,FALSE)-S19+AI19,"")</f>
        <v>9</v>
      </c>
      <c r="I19" s="570" t="s">
        <v>790</v>
      </c>
      <c r="J19" s="255" t="s">
        <v>277</v>
      </c>
      <c r="K19" s="256">
        <f t="shared" si="0"/>
        <v>1</v>
      </c>
      <c r="L19" s="390"/>
      <c r="M19" s="390"/>
      <c r="N19" s="390"/>
      <c r="O19" s="390"/>
      <c r="P19" s="391"/>
      <c r="Q19" s="392"/>
      <c r="R19" s="393"/>
      <c r="S19" s="396"/>
      <c r="T19" s="513"/>
      <c r="U19" s="281"/>
      <c r="V19" s="281"/>
      <c r="W19" s="281">
        <v>2</v>
      </c>
      <c r="X19" s="393">
        <v>1</v>
      </c>
      <c r="Y19" s="269">
        <v>1</v>
      </c>
      <c r="Z19" s="514">
        <f t="shared" si="4"/>
        <v>9</v>
      </c>
      <c r="AA19" s="183">
        <f t="shared" si="2"/>
        <v>170000</v>
      </c>
      <c r="AB19" s="318"/>
      <c r="AC19" s="515">
        <f>IFERROR(VLOOKUP($I$22&amp;D19,'Development-Hidden'!$C$2:$E$118,3,FALSE),"")</f>
        <v>140000</v>
      </c>
      <c r="AD19" s="281"/>
      <c r="AE19" s="281">
        <v>1</v>
      </c>
      <c r="AF19" s="281"/>
      <c r="AG19" s="281"/>
      <c r="AH19" s="281"/>
      <c r="AI19" s="281"/>
      <c r="AJ19" s="397"/>
      <c r="AL19" s="318"/>
      <c r="AM19" s="318"/>
      <c r="AN19" s="318"/>
      <c r="AO19" s="318"/>
      <c r="AP19" s="318"/>
      <c r="AQ19" s="318"/>
      <c r="AR19" s="318"/>
      <c r="AS19" s="318"/>
      <c r="AT19" s="318"/>
      <c r="AU19" s="318"/>
      <c r="AV19" s="318"/>
      <c r="AW19" s="318"/>
    </row>
    <row r="20" spans="1:49" ht="18" customHeight="1">
      <c r="A20" s="321"/>
      <c r="B20" s="399"/>
      <c r="C20" s="653"/>
      <c r="D20" s="573"/>
      <c r="E20" s="641"/>
      <c r="F20" s="587"/>
      <c r="G20" s="642"/>
      <c r="H20" s="588"/>
      <c r="I20" s="441"/>
      <c r="J20" s="652"/>
      <c r="K20" s="587"/>
      <c r="L20" s="401"/>
      <c r="M20" s="402"/>
      <c r="N20" s="402"/>
      <c r="O20" s="402"/>
      <c r="P20" s="402"/>
      <c r="Q20" s="402"/>
      <c r="R20" s="402"/>
      <c r="S20" s="402"/>
      <c r="T20" s="516"/>
      <c r="U20" s="517"/>
      <c r="V20" s="427"/>
      <c r="W20" s="516"/>
      <c r="X20" s="518" t="s">
        <v>364</v>
      </c>
      <c r="Y20" s="657"/>
      <c r="Z20" s="579"/>
      <c r="AA20" s="270">
        <f>SUM(AA4:AA19)</f>
        <v>1050000</v>
      </c>
      <c r="AB20" s="318"/>
      <c r="AC20" s="318"/>
      <c r="AD20" s="318"/>
      <c r="AE20" s="318"/>
      <c r="AF20" s="318"/>
      <c r="AG20" s="318"/>
      <c r="AH20" s="318"/>
      <c r="AI20" s="318"/>
      <c r="AJ20" s="318"/>
      <c r="AK20" s="454"/>
      <c r="AL20" s="406" t="s">
        <v>219</v>
      </c>
      <c r="AM20" s="187">
        <f>AM4+SUM(AM7:AM18)-SUM(AN7:AN18)-SUM(AO7:AO18)</f>
        <v>60000</v>
      </c>
      <c r="AN20" s="318"/>
      <c r="AO20" s="318"/>
      <c r="AP20" s="318"/>
      <c r="AS20" s="406" t="s">
        <v>219</v>
      </c>
      <c r="AT20" s="187">
        <f t="shared" ref="AT20:AU20" si="5">SUM(AT7:AT18)</f>
        <v>2</v>
      </c>
      <c r="AU20" s="407">
        <f t="shared" si="5"/>
        <v>2</v>
      </c>
      <c r="AV20" s="408">
        <f>AR4+SUM(AV7:AV18)</f>
        <v>2</v>
      </c>
      <c r="AW20" s="453"/>
    </row>
    <row r="21" spans="1:49" ht="17.25" customHeight="1">
      <c r="A21" s="321"/>
      <c r="B21" s="409"/>
      <c r="C21" s="574"/>
      <c r="D21" s="576"/>
      <c r="E21" s="643" t="s">
        <v>365</v>
      </c>
      <c r="F21" s="581"/>
      <c r="G21" s="581"/>
      <c r="H21" s="581"/>
      <c r="I21" s="609" t="s">
        <v>16</v>
      </c>
      <c r="J21" s="636"/>
      <c r="K21" s="637"/>
      <c r="L21" s="649" t="s">
        <v>366</v>
      </c>
      <c r="M21" s="636"/>
      <c r="N21" s="636"/>
      <c r="O21" s="636"/>
      <c r="P21" s="636"/>
      <c r="Q21" s="636"/>
      <c r="R21" s="636"/>
      <c r="S21" s="650"/>
      <c r="T21" s="410">
        <v>3</v>
      </c>
      <c r="U21" s="411" t="s">
        <v>220</v>
      </c>
      <c r="V21" s="648">
        <v>50000</v>
      </c>
      <c r="W21" s="636"/>
      <c r="X21" s="636"/>
      <c r="Y21" s="636"/>
      <c r="Z21" s="412" t="s">
        <v>406</v>
      </c>
      <c r="AA21" s="273">
        <f t="shared" ref="AA21:AA25" si="6">T21*V21</f>
        <v>150000</v>
      </c>
      <c r="AB21" s="318"/>
      <c r="AC21" s="318"/>
      <c r="AD21" s="318"/>
      <c r="AE21" s="318"/>
      <c r="AF21" s="318"/>
      <c r="AG21" s="318"/>
      <c r="AH21" s="318"/>
      <c r="AI21" s="318"/>
      <c r="AJ21" s="318"/>
      <c r="AL21" s="318"/>
      <c r="AM21" s="318"/>
      <c r="AN21" s="318"/>
      <c r="AO21" s="318"/>
      <c r="AP21" s="318"/>
      <c r="AQ21" s="318"/>
      <c r="AR21" s="318"/>
      <c r="AS21" s="318"/>
      <c r="AT21" s="318"/>
      <c r="AU21" s="318"/>
      <c r="AV21" s="318"/>
      <c r="AW21" s="318"/>
    </row>
    <row r="22" spans="1:49" ht="17.25" customHeight="1">
      <c r="A22" s="321"/>
      <c r="B22" s="409"/>
      <c r="C22" s="574"/>
      <c r="D22" s="576"/>
      <c r="E22" s="621" t="s">
        <v>368</v>
      </c>
      <c r="F22" s="583"/>
      <c r="G22" s="583"/>
      <c r="H22" s="583"/>
      <c r="I22" s="638" t="s">
        <v>532</v>
      </c>
      <c r="J22" s="583"/>
      <c r="K22" s="597"/>
      <c r="L22" s="591" t="s">
        <v>369</v>
      </c>
      <c r="M22" s="583"/>
      <c r="N22" s="583"/>
      <c r="O22" s="583"/>
      <c r="P22" s="583"/>
      <c r="Q22" s="583"/>
      <c r="R22" s="583"/>
      <c r="S22" s="592"/>
      <c r="T22" s="274">
        <v>4</v>
      </c>
      <c r="U22" s="413" t="s">
        <v>220</v>
      </c>
      <c r="V22" s="647">
        <v>10000</v>
      </c>
      <c r="W22" s="583"/>
      <c r="X22" s="583"/>
      <c r="Y22" s="583"/>
      <c r="Z22" s="414" t="s">
        <v>406</v>
      </c>
      <c r="AA22" s="276">
        <f t="shared" si="6"/>
        <v>40000</v>
      </c>
      <c r="AB22" s="318"/>
      <c r="AC22" s="318"/>
      <c r="AD22" s="318"/>
      <c r="AE22" s="318"/>
      <c r="AF22" s="318"/>
      <c r="AG22" s="318"/>
      <c r="AH22" s="318"/>
      <c r="AI22" s="318"/>
      <c r="AJ22" s="318"/>
      <c r="AL22" s="318"/>
      <c r="AM22" s="318"/>
      <c r="AN22" s="318"/>
      <c r="AO22" s="318"/>
      <c r="AP22" s="318"/>
      <c r="AQ22" s="318"/>
      <c r="AR22" s="318"/>
      <c r="AS22" s="318"/>
      <c r="AT22" s="318"/>
      <c r="AU22" s="318"/>
      <c r="AV22" s="318"/>
      <c r="AW22" s="318"/>
    </row>
    <row r="23" spans="1:49" ht="17.25" customHeight="1">
      <c r="A23" s="321"/>
      <c r="B23" s="409"/>
      <c r="C23" s="574"/>
      <c r="D23" s="576"/>
      <c r="E23" s="621" t="s">
        <v>408</v>
      </c>
      <c r="F23" s="583"/>
      <c r="G23" s="583"/>
      <c r="H23" s="583"/>
      <c r="I23" s="656" t="s">
        <v>789</v>
      </c>
      <c r="J23" s="583"/>
      <c r="K23" s="597"/>
      <c r="L23" s="591" t="s">
        <v>409</v>
      </c>
      <c r="M23" s="583"/>
      <c r="N23" s="583"/>
      <c r="O23" s="583"/>
      <c r="P23" s="583"/>
      <c r="Q23" s="583"/>
      <c r="R23" s="583"/>
      <c r="S23" s="592"/>
      <c r="T23" s="274">
        <v>0</v>
      </c>
      <c r="U23" s="413" t="s">
        <v>220</v>
      </c>
      <c r="V23" s="647">
        <v>10000</v>
      </c>
      <c r="W23" s="583"/>
      <c r="X23" s="583"/>
      <c r="Y23" s="583"/>
      <c r="Z23" s="414" t="s">
        <v>406</v>
      </c>
      <c r="AA23" s="276">
        <f t="shared" si="6"/>
        <v>0</v>
      </c>
      <c r="AB23" s="318"/>
      <c r="AC23" s="318"/>
      <c r="AD23" s="318"/>
      <c r="AE23" s="318"/>
      <c r="AF23" s="318"/>
      <c r="AG23" s="318"/>
      <c r="AH23" s="318"/>
      <c r="AI23" s="318"/>
      <c r="AJ23" s="318"/>
      <c r="AL23" s="318"/>
      <c r="AM23" s="318"/>
      <c r="AN23" s="318"/>
      <c r="AO23" s="318"/>
      <c r="AP23" s="318"/>
      <c r="AQ23" s="318"/>
      <c r="AR23" s="318"/>
      <c r="AS23" s="318"/>
      <c r="AT23" s="318"/>
      <c r="AU23" s="318"/>
      <c r="AV23" s="318"/>
      <c r="AW23" s="318"/>
    </row>
    <row r="24" spans="1:49" ht="17.25" customHeight="1">
      <c r="A24" s="321"/>
      <c r="B24" s="409"/>
      <c r="C24" s="574"/>
      <c r="D24" s="576"/>
      <c r="E24" s="621" t="s">
        <v>373</v>
      </c>
      <c r="F24" s="583"/>
      <c r="G24" s="583"/>
      <c r="H24" s="583"/>
      <c r="I24" s="415">
        <f>(AA20+AA26)/1000</f>
        <v>1290</v>
      </c>
      <c r="J24" s="416" t="s">
        <v>410</v>
      </c>
      <c r="K24" s="417"/>
      <c r="L24" s="591" t="s">
        <v>375</v>
      </c>
      <c r="M24" s="583"/>
      <c r="N24" s="583"/>
      <c r="O24" s="583"/>
      <c r="P24" s="583"/>
      <c r="Q24" s="583"/>
      <c r="R24" s="583"/>
      <c r="S24" s="592"/>
      <c r="T24" s="274">
        <v>0</v>
      </c>
      <c r="U24" s="413" t="s">
        <v>220</v>
      </c>
      <c r="V24" s="647">
        <v>10000</v>
      </c>
      <c r="W24" s="583"/>
      <c r="X24" s="583"/>
      <c r="Y24" s="583"/>
      <c r="Z24" s="414" t="s">
        <v>406</v>
      </c>
      <c r="AA24" s="276">
        <f t="shared" si="6"/>
        <v>0</v>
      </c>
      <c r="AB24" s="318"/>
      <c r="AC24" s="318"/>
      <c r="AD24" s="318"/>
      <c r="AE24" s="318"/>
      <c r="AF24" s="318"/>
      <c r="AG24" s="318"/>
      <c r="AH24" s="318"/>
      <c r="AI24" s="318"/>
      <c r="AJ24" s="318"/>
      <c r="AL24" s="318"/>
      <c r="AM24" s="318"/>
      <c r="AN24" s="318"/>
      <c r="AO24" s="318"/>
      <c r="AP24" s="318"/>
      <c r="AQ24" s="318"/>
      <c r="AR24" s="318"/>
      <c r="AS24" s="318"/>
      <c r="AT24" s="318"/>
      <c r="AU24" s="318"/>
      <c r="AV24" s="318"/>
      <c r="AW24" s="318"/>
    </row>
    <row r="25" spans="1:49" ht="17.25" customHeight="1">
      <c r="A25" s="321"/>
      <c r="B25" s="409"/>
      <c r="C25" s="574"/>
      <c r="D25" s="576"/>
      <c r="E25" s="623" t="s">
        <v>376</v>
      </c>
      <c r="F25" s="594"/>
      <c r="G25" s="594"/>
      <c r="H25" s="596"/>
      <c r="I25" s="418">
        <f>AM20/1000</f>
        <v>60</v>
      </c>
      <c r="J25" s="419" t="s">
        <v>410</v>
      </c>
      <c r="K25" s="420"/>
      <c r="L25" s="593" t="s">
        <v>411</v>
      </c>
      <c r="M25" s="594"/>
      <c r="N25" s="594"/>
      <c r="O25" s="594"/>
      <c r="P25" s="594"/>
      <c r="Q25" s="594"/>
      <c r="R25" s="594"/>
      <c r="S25" s="594"/>
      <c r="T25" s="281">
        <v>1</v>
      </c>
      <c r="U25" s="413" t="s">
        <v>220</v>
      </c>
      <c r="V25" s="645">
        <v>50000</v>
      </c>
      <c r="W25" s="594"/>
      <c r="X25" s="594"/>
      <c r="Y25" s="594"/>
      <c r="Z25" s="414" t="s">
        <v>406</v>
      </c>
      <c r="AA25" s="276">
        <f t="shared" si="6"/>
        <v>50000</v>
      </c>
      <c r="AB25" s="318"/>
      <c r="AC25" s="318"/>
      <c r="AD25" s="318"/>
      <c r="AE25" s="318"/>
      <c r="AF25" s="318"/>
      <c r="AG25" s="318"/>
      <c r="AH25" s="318"/>
      <c r="AI25" s="318"/>
      <c r="AJ25" s="318"/>
      <c r="AL25" s="318"/>
      <c r="AM25" s="318"/>
      <c r="AN25" s="318"/>
      <c r="AO25" s="318"/>
      <c r="AP25" s="318"/>
      <c r="AQ25" s="318"/>
      <c r="AR25" s="318"/>
      <c r="AS25" s="318"/>
      <c r="AT25" s="318"/>
      <c r="AU25" s="318"/>
      <c r="AV25" s="318"/>
      <c r="AW25" s="318"/>
    </row>
    <row r="26" spans="1:49" ht="17.25" customHeight="1">
      <c r="A26" s="321"/>
      <c r="B26" s="421"/>
      <c r="C26" s="577"/>
      <c r="D26" s="579"/>
      <c r="E26" s="422" t="s">
        <v>412</v>
      </c>
      <c r="F26" s="423"/>
      <c r="G26" s="423"/>
      <c r="H26" s="423"/>
      <c r="I26" s="424" t="s">
        <v>413</v>
      </c>
      <c r="J26" s="425" t="str">
        <f>HYPERLINK("http://www.arosbb.dk/","www.arosbb.dk")</f>
        <v>www.arosbb.dk</v>
      </c>
      <c r="K26" s="423"/>
      <c r="L26" s="644"/>
      <c r="M26" s="587"/>
      <c r="N26" s="587"/>
      <c r="O26" s="587"/>
      <c r="P26" s="587"/>
      <c r="Q26" s="587"/>
      <c r="R26" s="587"/>
      <c r="S26" s="587"/>
      <c r="T26" s="426"/>
      <c r="U26" s="403"/>
      <c r="V26" s="427"/>
      <c r="W26" s="646" t="s">
        <v>379</v>
      </c>
      <c r="X26" s="587"/>
      <c r="Y26" s="587"/>
      <c r="Z26" s="588"/>
      <c r="AA26" s="270">
        <f>SUM(AA21:AA25)</f>
        <v>240000</v>
      </c>
      <c r="AB26" s="318"/>
      <c r="AC26" s="318"/>
      <c r="AD26" s="318"/>
      <c r="AE26" s="318"/>
      <c r="AF26" s="318"/>
      <c r="AG26" s="318"/>
      <c r="AH26" s="318"/>
      <c r="AI26" s="318"/>
      <c r="AJ26" s="318"/>
      <c r="AL26" s="318"/>
      <c r="AM26" s="318"/>
      <c r="AN26" s="318"/>
      <c r="AO26" s="318"/>
      <c r="AP26" s="318"/>
      <c r="AQ26" s="318"/>
      <c r="AR26" s="318"/>
      <c r="AS26" s="318"/>
      <c r="AT26" s="318"/>
      <c r="AU26" s="318"/>
      <c r="AV26" s="318"/>
      <c r="AW26" s="318"/>
    </row>
    <row r="27" spans="1:49" ht="9.75" customHeight="1">
      <c r="A27" s="353"/>
      <c r="B27" s="353"/>
      <c r="C27" s="353"/>
      <c r="D27" s="353"/>
      <c r="E27" s="519"/>
      <c r="F27" s="353"/>
      <c r="G27" s="353"/>
      <c r="H27" s="353"/>
      <c r="I27" s="520"/>
      <c r="J27" s="520"/>
      <c r="K27" s="353"/>
      <c r="L27" s="353"/>
      <c r="M27" s="353"/>
      <c r="N27" s="353"/>
      <c r="O27" s="353"/>
      <c r="P27" s="353"/>
      <c r="Q27" s="353"/>
      <c r="R27" s="353"/>
      <c r="S27" s="353"/>
      <c r="T27" s="353"/>
      <c r="U27" s="520"/>
      <c r="V27" s="519"/>
      <c r="W27" s="520"/>
      <c r="X27" s="520"/>
      <c r="Y27" s="520"/>
      <c r="Z27" s="520"/>
      <c r="AA27" s="353"/>
      <c r="AB27" s="353"/>
      <c r="AC27" s="353"/>
      <c r="AD27" s="353"/>
      <c r="AE27" s="353"/>
      <c r="AF27" s="353"/>
      <c r="AG27" s="353"/>
      <c r="AH27" s="353"/>
      <c r="AI27" s="353"/>
      <c r="AJ27" s="353"/>
      <c r="AL27" s="353"/>
      <c r="AM27" s="353"/>
      <c r="AN27" s="353"/>
      <c r="AO27" s="353"/>
      <c r="AP27" s="353"/>
      <c r="AQ27" s="353"/>
      <c r="AR27" s="353"/>
      <c r="AS27" s="353"/>
      <c r="AT27" s="353"/>
      <c r="AU27" s="353"/>
      <c r="AV27" s="353"/>
      <c r="AW27" s="353"/>
    </row>
    <row r="28" spans="1:49" ht="9.75" hidden="1" customHeight="1">
      <c r="A28" s="500"/>
      <c r="B28" s="500"/>
      <c r="C28" s="521">
        <f>MATCH(I22,'Development-Hidden'!A2:A118,0)</f>
        <v>52</v>
      </c>
      <c r="D28" s="522" t="str">
        <f t="array" ref="D28">IFERROR(IF(INDEX('Development-Hidden'!$A$2:$B$118,$C28,1)=$I$22,INDEX('Development-Hidden'!$A$2:$B$118,$C28,2),""),"")</f>
        <v>Lineman</v>
      </c>
      <c r="E28" s="500"/>
      <c r="F28" s="500"/>
      <c r="G28" s="500"/>
      <c r="H28" s="500"/>
      <c r="I28" s="500"/>
      <c r="J28" s="500"/>
      <c r="K28" s="500"/>
      <c r="L28" s="500"/>
      <c r="M28" s="500"/>
      <c r="N28" s="500"/>
      <c r="O28" s="500"/>
      <c r="P28" s="500"/>
      <c r="Q28" s="500"/>
      <c r="R28" s="500"/>
      <c r="S28" s="500"/>
      <c r="T28" s="500"/>
      <c r="U28" s="500"/>
      <c r="V28" s="500"/>
      <c r="W28" s="500"/>
      <c r="X28" s="500"/>
      <c r="Y28" s="500"/>
      <c r="Z28" s="500"/>
      <c r="AA28" s="500"/>
      <c r="AB28" s="500"/>
      <c r="AC28" s="500"/>
      <c r="AD28" s="500"/>
      <c r="AE28" s="500"/>
      <c r="AF28" s="500"/>
      <c r="AG28" s="500"/>
      <c r="AH28" s="500"/>
      <c r="AI28" s="500"/>
      <c r="AJ28" s="500"/>
      <c r="AL28" s="500"/>
      <c r="AM28" s="500"/>
      <c r="AN28" s="500"/>
      <c r="AO28" s="500"/>
      <c r="AP28" s="500"/>
      <c r="AQ28" s="500"/>
      <c r="AR28" s="500"/>
      <c r="AS28" s="500"/>
      <c r="AT28" s="500"/>
      <c r="AU28" s="500"/>
      <c r="AV28" s="500"/>
      <c r="AW28" s="500"/>
    </row>
    <row r="29" spans="1:49" ht="9.75" hidden="1" customHeight="1">
      <c r="A29" s="500"/>
      <c r="B29" s="500"/>
      <c r="C29" s="521">
        <f t="shared" ref="C29:C37" si="7">C28+1</f>
        <v>53</v>
      </c>
      <c r="D29" s="522" t="str">
        <f t="array" ref="D29">IFERROR(IF(INDEX('Development-Hidden'!$A$2:$B$118,$C29,1)=$I$22,INDEX('Development-Hidden'!$A$2:$B$118,$C29,2),""),"")</f>
        <v>Catcher</v>
      </c>
      <c r="E29" s="500"/>
      <c r="F29" s="500"/>
      <c r="G29" s="500"/>
      <c r="H29" s="500"/>
      <c r="I29" s="500"/>
      <c r="J29" s="500"/>
      <c r="K29" s="500"/>
      <c r="L29" s="500"/>
      <c r="M29" s="500"/>
      <c r="N29" s="500"/>
      <c r="O29" s="500"/>
      <c r="P29" s="500"/>
      <c r="Q29" s="500"/>
      <c r="R29" s="500"/>
      <c r="S29" s="500"/>
      <c r="T29" s="500"/>
      <c r="U29" s="500"/>
      <c r="V29" s="500"/>
      <c r="W29" s="500"/>
      <c r="X29" s="500"/>
      <c r="Y29" s="500"/>
      <c r="Z29" s="500"/>
      <c r="AA29" s="500"/>
      <c r="AB29" s="500"/>
      <c r="AC29" s="500"/>
      <c r="AD29" s="500"/>
      <c r="AE29" s="500"/>
      <c r="AF29" s="500"/>
      <c r="AG29" s="500"/>
      <c r="AH29" s="500"/>
      <c r="AI29" s="500"/>
      <c r="AJ29" s="500"/>
      <c r="AL29" s="500"/>
      <c r="AM29" s="500"/>
      <c r="AN29" s="500"/>
      <c r="AO29" s="500"/>
      <c r="AP29" s="500"/>
      <c r="AQ29" s="500"/>
      <c r="AR29" s="500"/>
      <c r="AS29" s="500"/>
      <c r="AT29" s="500"/>
      <c r="AU29" s="500"/>
      <c r="AV29" s="500"/>
      <c r="AW29" s="500"/>
    </row>
    <row r="30" spans="1:49" ht="9.75" hidden="1" customHeight="1">
      <c r="A30" s="500"/>
      <c r="B30" s="500"/>
      <c r="C30" s="521">
        <f t="shared" si="7"/>
        <v>54</v>
      </c>
      <c r="D30" s="522" t="str">
        <f t="array" ref="D30">IFERROR(IF(INDEX('Development-Hidden'!$A$2:$B$118,$C30,1)=$I$22,INDEX('Development-Hidden'!$A$2:$B$118,$C30,2),""),"")</f>
        <v>Thrower</v>
      </c>
      <c r="E30" s="500"/>
      <c r="F30" s="500"/>
      <c r="G30" s="500"/>
      <c r="H30" s="500"/>
      <c r="I30" s="500"/>
      <c r="J30" s="500"/>
      <c r="K30" s="500"/>
      <c r="L30" s="500"/>
      <c r="M30" s="500"/>
      <c r="N30" s="500"/>
      <c r="O30" s="500"/>
      <c r="P30" s="500"/>
      <c r="Q30" s="500"/>
      <c r="R30" s="500"/>
      <c r="S30" s="500"/>
      <c r="T30" s="500"/>
      <c r="U30" s="500"/>
      <c r="V30" s="500"/>
      <c r="W30" s="500"/>
      <c r="X30" s="500"/>
      <c r="Y30" s="500"/>
      <c r="Z30" s="500"/>
      <c r="AA30" s="500"/>
      <c r="AB30" s="500"/>
      <c r="AC30" s="500"/>
      <c r="AD30" s="500"/>
      <c r="AE30" s="500"/>
      <c r="AF30" s="500"/>
      <c r="AG30" s="500"/>
      <c r="AH30" s="500"/>
      <c r="AI30" s="500"/>
      <c r="AJ30" s="500"/>
      <c r="AL30" s="500"/>
      <c r="AM30" s="500"/>
      <c r="AN30" s="500"/>
      <c r="AO30" s="500"/>
      <c r="AP30" s="500"/>
      <c r="AQ30" s="500"/>
      <c r="AR30" s="500"/>
      <c r="AS30" s="500"/>
      <c r="AT30" s="500"/>
      <c r="AU30" s="500"/>
      <c r="AV30" s="500"/>
      <c r="AW30" s="500"/>
    </row>
    <row r="31" spans="1:49" ht="9.75" hidden="1" customHeight="1">
      <c r="A31" s="500"/>
      <c r="B31" s="500"/>
      <c r="C31" s="521">
        <f t="shared" si="7"/>
        <v>55</v>
      </c>
      <c r="D31" s="522" t="str">
        <f t="array" ref="D31">IFERROR(IF(INDEX('Development-Hidden'!$A$2:$B$118,$C31,1)=$I$22,INDEX('Development-Hidden'!$A$2:$B$118,$C31,2),""),"")</f>
        <v>Blitzer</v>
      </c>
      <c r="E31" s="500"/>
      <c r="F31" s="500"/>
      <c r="G31" s="500"/>
      <c r="H31" s="500"/>
      <c r="I31" s="500"/>
      <c r="J31" s="500"/>
      <c r="K31" s="500"/>
      <c r="L31" s="500"/>
      <c r="M31" s="500"/>
      <c r="N31" s="500"/>
      <c r="O31" s="500"/>
      <c r="P31" s="500"/>
      <c r="Q31" s="500"/>
      <c r="R31" s="500"/>
      <c r="S31" s="500"/>
      <c r="T31" s="500"/>
      <c r="U31" s="500"/>
      <c r="V31" s="500"/>
      <c r="W31" s="500"/>
      <c r="X31" s="500"/>
      <c r="Y31" s="500"/>
      <c r="Z31" s="500"/>
      <c r="AA31" s="500"/>
      <c r="AB31" s="500"/>
      <c r="AC31" s="500"/>
      <c r="AD31" s="500"/>
      <c r="AE31" s="500"/>
      <c r="AF31" s="500"/>
      <c r="AG31" s="500"/>
      <c r="AH31" s="500"/>
      <c r="AI31" s="500"/>
      <c r="AJ31" s="500"/>
      <c r="AL31" s="500"/>
      <c r="AM31" s="500"/>
      <c r="AN31" s="500"/>
      <c r="AO31" s="500"/>
      <c r="AP31" s="500"/>
      <c r="AQ31" s="500"/>
      <c r="AR31" s="500"/>
      <c r="AS31" s="500"/>
      <c r="AT31" s="500"/>
      <c r="AU31" s="500"/>
      <c r="AV31" s="500"/>
      <c r="AW31" s="500"/>
    </row>
    <row r="32" spans="1:49" ht="9.75" hidden="1" customHeight="1">
      <c r="A32" s="500"/>
      <c r="B32" s="500"/>
      <c r="C32" s="521">
        <f t="shared" si="7"/>
        <v>56</v>
      </c>
      <c r="D32" s="522" t="str">
        <f t="array" ref="D32">IFERROR(IF(INDEX('Development-Hidden'!$A$2:$B$118,$C32,1)=$I$22,INDEX('Development-Hidden'!$A$2:$B$118,$C32,2),""),"")</f>
        <v>Ogre</v>
      </c>
      <c r="E32" s="500"/>
      <c r="F32" s="500"/>
      <c r="G32" s="500"/>
      <c r="H32" s="500"/>
      <c r="I32" s="500"/>
      <c r="J32" s="500"/>
      <c r="K32" s="500"/>
      <c r="L32" s="500"/>
      <c r="M32" s="500"/>
      <c r="N32" s="500"/>
      <c r="O32" s="500"/>
      <c r="P32" s="500"/>
      <c r="Q32" s="500"/>
      <c r="R32" s="500"/>
      <c r="S32" s="500"/>
      <c r="T32" s="500"/>
      <c r="U32" s="500"/>
      <c r="V32" s="500"/>
      <c r="W32" s="500"/>
      <c r="X32" s="500"/>
      <c r="Y32" s="500"/>
      <c r="Z32" s="500"/>
      <c r="AA32" s="500"/>
      <c r="AB32" s="500"/>
      <c r="AC32" s="500"/>
      <c r="AD32" s="500"/>
      <c r="AE32" s="500"/>
      <c r="AF32" s="500"/>
      <c r="AG32" s="500"/>
      <c r="AH32" s="500"/>
      <c r="AI32" s="500"/>
      <c r="AJ32" s="500"/>
      <c r="AL32" s="500"/>
      <c r="AM32" s="500"/>
      <c r="AN32" s="500"/>
      <c r="AO32" s="500"/>
      <c r="AP32" s="500"/>
      <c r="AQ32" s="500"/>
      <c r="AR32" s="500"/>
      <c r="AS32" s="500"/>
      <c r="AT32" s="500"/>
      <c r="AU32" s="500"/>
      <c r="AV32" s="500"/>
      <c r="AW32" s="500"/>
    </row>
    <row r="33" spans="1:49" ht="9.75" hidden="1" customHeight="1">
      <c r="A33" s="500"/>
      <c r="B33" s="500"/>
      <c r="C33" s="521">
        <f t="shared" si="7"/>
        <v>57</v>
      </c>
      <c r="D33" s="522" t="str">
        <f t="array" ref="D33">IFERROR(IF(INDEX('Development-Hidden'!$A$2:$B$118,$C33,1)=$I$22,INDEX('Development-Hidden'!$A$2:$B$118,$C33,2),""),"")</f>
        <v/>
      </c>
      <c r="E33" s="500"/>
      <c r="F33" s="500"/>
      <c r="G33" s="500"/>
      <c r="H33" s="500"/>
      <c r="I33" s="500"/>
      <c r="J33" s="500"/>
      <c r="K33" s="500"/>
      <c r="L33" s="500"/>
      <c r="M33" s="500"/>
      <c r="N33" s="500"/>
      <c r="O33" s="500"/>
      <c r="P33" s="500"/>
      <c r="Q33" s="500"/>
      <c r="R33" s="500"/>
      <c r="S33" s="500"/>
      <c r="T33" s="500"/>
      <c r="U33" s="500"/>
      <c r="V33" s="500"/>
      <c r="W33" s="500"/>
      <c r="X33" s="500"/>
      <c r="Y33" s="500"/>
      <c r="Z33" s="500"/>
      <c r="AA33" s="500"/>
      <c r="AB33" s="500"/>
      <c r="AC33" s="500"/>
      <c r="AD33" s="500"/>
      <c r="AE33" s="500"/>
      <c r="AF33" s="500"/>
      <c r="AG33" s="500"/>
      <c r="AH33" s="500"/>
      <c r="AI33" s="500"/>
      <c r="AJ33" s="500"/>
      <c r="AL33" s="500"/>
      <c r="AM33" s="500"/>
      <c r="AN33" s="500"/>
      <c r="AO33" s="500"/>
      <c r="AP33" s="500"/>
      <c r="AQ33" s="500"/>
      <c r="AR33" s="500"/>
      <c r="AS33" s="500"/>
      <c r="AT33" s="500"/>
      <c r="AU33" s="500"/>
      <c r="AV33" s="500"/>
      <c r="AW33" s="500"/>
    </row>
    <row r="34" spans="1:49" ht="9.75" hidden="1" customHeight="1">
      <c r="A34" s="500"/>
      <c r="B34" s="500"/>
      <c r="C34" s="521">
        <f t="shared" si="7"/>
        <v>58</v>
      </c>
      <c r="D34" s="500" t="str">
        <f t="array" ref="D34">IFERROR(IF(INDEX('Development-Hidden'!$A$2:$B$118,$C34,1)=$I$22,INDEX('Development-Hidden'!$A$2:$B$118,$C34,2),""),"")</f>
        <v/>
      </c>
      <c r="E34" s="500"/>
      <c r="F34" s="500"/>
      <c r="G34" s="500"/>
      <c r="H34" s="500"/>
      <c r="I34" s="500"/>
      <c r="J34" s="500"/>
      <c r="K34" s="500"/>
      <c r="L34" s="500"/>
      <c r="M34" s="500"/>
      <c r="N34" s="500"/>
      <c r="O34" s="500"/>
      <c r="P34" s="500"/>
      <c r="Q34" s="500"/>
      <c r="R34" s="500"/>
      <c r="S34" s="500"/>
      <c r="T34" s="500"/>
      <c r="U34" s="500"/>
      <c r="V34" s="500"/>
      <c r="W34" s="500"/>
      <c r="X34" s="500"/>
      <c r="Y34" s="500"/>
      <c r="Z34" s="500"/>
      <c r="AA34" s="500"/>
      <c r="AB34" s="500"/>
      <c r="AC34" s="500"/>
      <c r="AD34" s="500"/>
      <c r="AE34" s="500"/>
      <c r="AF34" s="500"/>
      <c r="AG34" s="500"/>
      <c r="AH34" s="500"/>
      <c r="AI34" s="500"/>
      <c r="AJ34" s="500"/>
      <c r="AL34" s="500"/>
      <c r="AM34" s="500"/>
      <c r="AN34" s="500"/>
      <c r="AO34" s="500"/>
      <c r="AP34" s="500"/>
      <c r="AQ34" s="500"/>
      <c r="AR34" s="500"/>
      <c r="AS34" s="500"/>
      <c r="AT34" s="500"/>
      <c r="AU34" s="500"/>
      <c r="AV34" s="500"/>
      <c r="AW34" s="500"/>
    </row>
    <row r="35" spans="1:49" ht="9.75" hidden="1" customHeight="1">
      <c r="A35" s="500"/>
      <c r="B35" s="500"/>
      <c r="C35" s="521">
        <f t="shared" si="7"/>
        <v>59</v>
      </c>
      <c r="D35" s="500" t="str">
        <f t="array" ref="D35">IFERROR(IF(INDEX('Development-Hidden'!$A$2:$B$118,$C35,1)=$I$22,INDEX('Development-Hidden'!$A$2:$B$118,$C35,2),""),"")</f>
        <v/>
      </c>
      <c r="E35" s="500"/>
      <c r="F35" s="500"/>
      <c r="G35" s="500"/>
      <c r="H35" s="500"/>
      <c r="I35" s="500"/>
      <c r="J35" s="500"/>
      <c r="K35" s="500"/>
      <c r="L35" s="500"/>
      <c r="M35" s="500"/>
      <c r="N35" s="500"/>
      <c r="O35" s="500"/>
      <c r="P35" s="500"/>
      <c r="Q35" s="500"/>
      <c r="R35" s="500"/>
      <c r="S35" s="500"/>
      <c r="T35" s="500"/>
      <c r="U35" s="500"/>
      <c r="V35" s="500"/>
      <c r="W35" s="500"/>
      <c r="X35" s="500"/>
      <c r="Y35" s="500"/>
      <c r="Z35" s="500"/>
      <c r="AA35" s="500"/>
      <c r="AB35" s="500"/>
      <c r="AC35" s="500"/>
      <c r="AD35" s="500"/>
      <c r="AE35" s="500"/>
      <c r="AF35" s="500"/>
      <c r="AG35" s="500"/>
      <c r="AH35" s="500"/>
      <c r="AI35" s="500"/>
      <c r="AJ35" s="500"/>
      <c r="AL35" s="500"/>
      <c r="AM35" s="500"/>
      <c r="AN35" s="500"/>
      <c r="AO35" s="500"/>
      <c r="AP35" s="500"/>
      <c r="AQ35" s="500"/>
      <c r="AR35" s="500"/>
      <c r="AS35" s="500"/>
      <c r="AT35" s="500"/>
      <c r="AU35" s="500"/>
      <c r="AV35" s="500"/>
      <c r="AW35" s="500"/>
    </row>
    <row r="36" spans="1:49" ht="9.75" hidden="1" customHeight="1">
      <c r="A36" s="500"/>
      <c r="B36" s="500"/>
      <c r="C36" s="521">
        <f t="shared" si="7"/>
        <v>60</v>
      </c>
      <c r="D36" s="500" t="str">
        <f t="array" ref="D36">IFERROR(IF(INDEX('Development-Hidden'!$A$2:$B$118,$C36,1)=$I$22,INDEX('Development-Hidden'!$A$2:$B$118,$C36,2),""),"")</f>
        <v/>
      </c>
      <c r="E36" s="500"/>
      <c r="F36" s="500"/>
      <c r="G36" s="500"/>
      <c r="H36" s="500"/>
      <c r="I36" s="500"/>
      <c r="J36" s="500"/>
      <c r="K36" s="500"/>
      <c r="L36" s="500"/>
      <c r="M36" s="500"/>
      <c r="N36" s="500"/>
      <c r="O36" s="500"/>
      <c r="P36" s="500"/>
      <c r="Q36" s="500"/>
      <c r="R36" s="500"/>
      <c r="S36" s="500"/>
      <c r="T36" s="500"/>
      <c r="U36" s="500"/>
      <c r="V36" s="500"/>
      <c r="W36" s="500"/>
      <c r="X36" s="500"/>
      <c r="Y36" s="500"/>
      <c r="Z36" s="500"/>
      <c r="AA36" s="500"/>
      <c r="AB36" s="500"/>
      <c r="AC36" s="500"/>
      <c r="AD36" s="500"/>
      <c r="AE36" s="500"/>
      <c r="AF36" s="500"/>
      <c r="AG36" s="500"/>
      <c r="AH36" s="500"/>
      <c r="AI36" s="500"/>
      <c r="AJ36" s="500"/>
      <c r="AL36" s="500"/>
      <c r="AM36" s="500"/>
      <c r="AN36" s="500"/>
      <c r="AO36" s="500"/>
      <c r="AP36" s="500"/>
      <c r="AQ36" s="500"/>
      <c r="AR36" s="500"/>
      <c r="AS36" s="500"/>
      <c r="AT36" s="500"/>
      <c r="AU36" s="500"/>
      <c r="AV36" s="500"/>
      <c r="AW36" s="500"/>
    </row>
    <row r="37" spans="1:49" ht="9.75" hidden="1" customHeight="1">
      <c r="A37" s="500"/>
      <c r="B37" s="500"/>
      <c r="C37" s="521">
        <f t="shared" si="7"/>
        <v>61</v>
      </c>
      <c r="D37" s="500" t="str">
        <f t="array" ref="D37">IFERROR(IF(INDEX('Development-Hidden'!$A$2:$B$118,$C37,1)=$I$22,INDEX('Development-Hidden'!$A$2:$B$118,$C37,2),""),"")</f>
        <v/>
      </c>
      <c r="E37" s="500"/>
      <c r="F37" s="500"/>
      <c r="G37" s="500"/>
      <c r="H37" s="500"/>
      <c r="I37" s="500"/>
      <c r="J37" s="500"/>
      <c r="K37" s="500"/>
      <c r="L37" s="500"/>
      <c r="M37" s="500"/>
      <c r="N37" s="500"/>
      <c r="O37" s="500"/>
      <c r="P37" s="500"/>
      <c r="Q37" s="500"/>
      <c r="R37" s="500"/>
      <c r="S37" s="500"/>
      <c r="T37" s="500"/>
      <c r="U37" s="500"/>
      <c r="V37" s="500"/>
      <c r="W37" s="500"/>
      <c r="X37" s="500"/>
      <c r="Y37" s="500"/>
      <c r="Z37" s="500"/>
      <c r="AA37" s="500"/>
      <c r="AB37" s="500"/>
      <c r="AC37" s="500"/>
      <c r="AD37" s="500"/>
      <c r="AE37" s="500"/>
      <c r="AF37" s="500"/>
      <c r="AG37" s="500"/>
      <c r="AH37" s="500"/>
      <c r="AI37" s="500"/>
      <c r="AJ37" s="500"/>
      <c r="AL37" s="500"/>
      <c r="AM37" s="500"/>
      <c r="AN37" s="500"/>
      <c r="AO37" s="500"/>
      <c r="AP37" s="500"/>
      <c r="AQ37" s="500"/>
      <c r="AR37" s="500"/>
      <c r="AS37" s="500"/>
      <c r="AT37" s="500"/>
      <c r="AU37" s="500"/>
      <c r="AV37" s="500"/>
      <c r="AW37" s="500"/>
    </row>
  </sheetData>
  <mergeCells count="28">
    <mergeCell ref="V21:Y21"/>
    <mergeCell ref="Y20:Z20"/>
    <mergeCell ref="AM3:AN3"/>
    <mergeCell ref="AR3:AU3"/>
    <mergeCell ref="P2:S2"/>
    <mergeCell ref="V22:Y22"/>
    <mergeCell ref="E24:H24"/>
    <mergeCell ref="C20:D26"/>
    <mergeCell ref="E21:H21"/>
    <mergeCell ref="E20:F20"/>
    <mergeCell ref="G20:H20"/>
    <mergeCell ref="E23:H23"/>
    <mergeCell ref="E25:H25"/>
    <mergeCell ref="E22:H22"/>
    <mergeCell ref="L22:S22"/>
    <mergeCell ref="L21:S21"/>
    <mergeCell ref="I21:K21"/>
    <mergeCell ref="J20:K20"/>
    <mergeCell ref="I22:K22"/>
    <mergeCell ref="I23:K23"/>
    <mergeCell ref="L24:S24"/>
    <mergeCell ref="L23:S23"/>
    <mergeCell ref="V24:Y24"/>
    <mergeCell ref="W26:Z26"/>
    <mergeCell ref="V25:Y25"/>
    <mergeCell ref="L25:S25"/>
    <mergeCell ref="L26:S26"/>
    <mergeCell ref="V23:Y23"/>
  </mergeCells>
  <conditionalFormatting sqref="AA4:AA19">
    <cfRule type="cellIs" dxfId="199" priority="1" operator="equal">
      <formula>0</formula>
    </cfRule>
  </conditionalFormatting>
  <conditionalFormatting sqref="K4:K19">
    <cfRule type="cellIs" dxfId="198" priority="2" operator="equal">
      <formula>0</formula>
    </cfRule>
  </conditionalFormatting>
  <conditionalFormatting sqref="J4">
    <cfRule type="expression" dxfId="197" priority="3">
      <formula>K4&lt;&gt;SUM(AD4:AI4)</formula>
    </cfRule>
  </conditionalFormatting>
  <conditionalFormatting sqref="J5">
    <cfRule type="expression" dxfId="196" priority="4">
      <formula>K5&lt;&gt;SUM(AD5:AI5)</formula>
    </cfRule>
  </conditionalFormatting>
  <conditionalFormatting sqref="J6">
    <cfRule type="expression" dxfId="195" priority="5">
      <formula>K6&lt;&gt;SUM(AD6:AI6)</formula>
    </cfRule>
  </conditionalFormatting>
  <conditionalFormatting sqref="J7">
    <cfRule type="expression" dxfId="194" priority="6">
      <formula>K7&lt;&gt;SUM(AD7:AI7)</formula>
    </cfRule>
  </conditionalFormatting>
  <conditionalFormatting sqref="J8">
    <cfRule type="expression" dxfId="193" priority="7">
      <formula>K8&lt;&gt;SUM(AD8:AI8)</formula>
    </cfRule>
  </conditionalFormatting>
  <conditionalFormatting sqref="J9">
    <cfRule type="expression" dxfId="192" priority="8">
      <formula>K9&lt;&gt;SUM(AD9:AI9)</formula>
    </cfRule>
  </conditionalFormatting>
  <conditionalFormatting sqref="J10">
    <cfRule type="expression" dxfId="191" priority="9">
      <formula>K10&lt;&gt;SUM(AD10:AI10)</formula>
    </cfRule>
  </conditionalFormatting>
  <conditionalFormatting sqref="J11">
    <cfRule type="expression" dxfId="190" priority="10">
      <formula>K11&lt;&gt;SUM(AD11:AI11)</formula>
    </cfRule>
  </conditionalFormatting>
  <conditionalFormatting sqref="J12">
    <cfRule type="expression" dxfId="189" priority="11">
      <formula>K12&lt;&gt;SUM(AD12:AI12)</formula>
    </cfRule>
  </conditionalFormatting>
  <conditionalFormatting sqref="J13">
    <cfRule type="expression" dxfId="188" priority="12">
      <formula>K13&lt;&gt;SUM(AD13:AI13)</formula>
    </cfRule>
  </conditionalFormatting>
  <conditionalFormatting sqref="J14">
    <cfRule type="expression" dxfId="187" priority="13">
      <formula>K14&lt;&gt;SUM(AD14:AI14)</formula>
    </cfRule>
  </conditionalFormatting>
  <conditionalFormatting sqref="J15">
    <cfRule type="expression" dxfId="186" priority="14">
      <formula>K15&lt;&gt;SUM(AD15:AI15)</formula>
    </cfRule>
  </conditionalFormatting>
  <conditionalFormatting sqref="J16">
    <cfRule type="expression" dxfId="185" priority="15">
      <formula>K16&lt;&gt;SUM(AD16:AI16)</formula>
    </cfRule>
  </conditionalFormatting>
  <conditionalFormatting sqref="J17:J18">
    <cfRule type="expression" dxfId="184" priority="16">
      <formula>K17&lt;&gt;SUM(AD17:AI17)</formula>
    </cfRule>
  </conditionalFormatting>
  <conditionalFormatting sqref="J18">
    <cfRule type="expression" dxfId="183" priority="17">
      <formula>K18&lt;&gt;SUM(AD18:AI18)</formula>
    </cfRule>
  </conditionalFormatting>
  <conditionalFormatting sqref="J19">
    <cfRule type="expression" dxfId="182" priority="18">
      <formula>K19&lt;&gt;SUM(AD19:AI19)</formula>
    </cfRule>
  </conditionalFormatting>
  <conditionalFormatting sqref="E4:H19">
    <cfRule type="expression" dxfId="181" priority="19">
      <formula>AF4&gt;0</formula>
    </cfRule>
  </conditionalFormatting>
  <conditionalFormatting sqref="E4:H19">
    <cfRule type="expression" dxfId="180" priority="20">
      <formula>P4&gt;0</formula>
    </cfRule>
  </conditionalFormatting>
  <conditionalFormatting sqref="I4:I19 T4:T19 U4:U20 V4:W19 Y4:Y18 U26:U37">
    <cfRule type="cellIs" dxfId="179" priority="21" stopIfTrue="1" operator="equal">
      <formula>0</formula>
    </cfRule>
  </conditionalFormatting>
  <conditionalFormatting sqref="Y27:Y37">
    <cfRule type="cellIs" dxfId="178" priority="22" stopIfTrue="1" operator="equal">
      <formula>"0,0"</formula>
    </cfRule>
  </conditionalFormatting>
  <conditionalFormatting sqref="L20:T20">
    <cfRule type="cellIs" dxfId="177" priority="23" stopIfTrue="1" operator="equal">
      <formula>0</formula>
    </cfRule>
  </conditionalFormatting>
  <conditionalFormatting sqref="P4:S19">
    <cfRule type="cellIs" dxfId="176" priority="24" stopIfTrue="1" operator="lessThanOrEqual">
      <formula>-1</formula>
    </cfRule>
  </conditionalFormatting>
  <conditionalFormatting sqref="V25:W25">
    <cfRule type="cellIs" dxfId="175" priority="25" stopIfTrue="1" operator="equal">
      <formula>-500</formula>
    </cfRule>
  </conditionalFormatting>
  <conditionalFormatting sqref="T25">
    <cfRule type="cellIs" dxfId="174" priority="26" stopIfTrue="1" operator="greaterThan">
      <formula>$V$25</formula>
    </cfRule>
  </conditionalFormatting>
  <conditionalFormatting sqref="Z4:Z19">
    <cfRule type="cellIs" dxfId="173" priority="27" stopIfTrue="1" operator="equal">
      <formula>"Star"</formula>
    </cfRule>
  </conditionalFormatting>
  <conditionalFormatting sqref="Z4:Z19">
    <cfRule type="cellIs" dxfId="172" priority="28" stopIfTrue="1" operator="equal">
      <formula>AA4</formula>
    </cfRule>
  </conditionalFormatting>
  <conditionalFormatting sqref="Y19">
    <cfRule type="cellIs" dxfId="171" priority="29" stopIfTrue="1" operator="equal">
      <formula>0</formula>
    </cfRule>
  </conditionalFormatting>
  <conditionalFormatting sqref="I4:I19 Y19">
    <cfRule type="cellIs" dxfId="170" priority="30" stopIfTrue="1" operator="equal">
      <formula>"Player type quantity surpassed"</formula>
    </cfRule>
  </conditionalFormatting>
  <dataValidations count="1">
    <dataValidation type="list" allowBlank="1" showErrorMessage="1" sqref="D4:D19">
      <formula1>'FT2'!$D$28:$D$37</formula1>
    </dataValidation>
  </dataValidation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U37"/>
  <sheetViews>
    <sheetView showGridLines="0" workbookViewId="0">
      <selection activeCell="T25" sqref="T25"/>
    </sheetView>
  </sheetViews>
  <sheetFormatPr defaultColWidth="14.42578125" defaultRowHeight="15.75" customHeight="1"/>
  <cols>
    <col min="1" max="1" width="1.85546875" style="139" customWidth="1"/>
    <col min="2" max="2" width="3.140625" style="139" customWidth="1"/>
    <col min="3" max="3" width="19.28515625" style="139" customWidth="1"/>
    <col min="4" max="4" width="21.28515625" style="139" customWidth="1"/>
    <col min="5" max="8" width="3.42578125" style="139" customWidth="1"/>
    <col min="9" max="9" width="30.85546875" style="139" customWidth="1"/>
    <col min="10" max="10" width="23" style="139" customWidth="1"/>
    <col min="11" max="11" width="1.85546875" style="139" customWidth="1"/>
    <col min="12" max="15" width="2.42578125" style="139" customWidth="1"/>
    <col min="16" max="19" width="2.7109375" style="139" customWidth="1"/>
    <col min="20" max="21" width="3.28515625" style="139" customWidth="1"/>
    <col min="22" max="22" width="2.42578125" style="139" customWidth="1"/>
    <col min="23" max="23" width="3.28515625" style="139" customWidth="1"/>
    <col min="24" max="24" width="2.7109375" style="139" customWidth="1"/>
    <col min="25" max="25" width="3.28515625" style="139" customWidth="1"/>
    <col min="26" max="26" width="4.42578125" style="139" customWidth="1"/>
    <col min="27" max="27" width="10.28515625" style="139" customWidth="1"/>
    <col min="28" max="28" width="5.5703125" style="139" customWidth="1"/>
    <col min="29" max="29" width="8.85546875" style="139" customWidth="1"/>
    <col min="30" max="35" width="4.140625" style="139" customWidth="1"/>
    <col min="36" max="36" width="12.28515625" style="139" customWidth="1"/>
    <col min="37" max="37" width="6.42578125" style="139" customWidth="1"/>
    <col min="38" max="38" width="12.7109375" style="139" customWidth="1"/>
    <col min="39" max="39" width="11.42578125" style="139" customWidth="1"/>
    <col min="40" max="41" width="10.7109375" style="139" customWidth="1"/>
    <col min="42" max="42" width="26.140625" style="139" customWidth="1"/>
    <col min="43" max="44" width="10.7109375" style="139" customWidth="1"/>
    <col min="45" max="45" width="12.28515625" style="139" customWidth="1"/>
    <col min="46" max="46" width="10.7109375" style="139" customWidth="1"/>
    <col min="47" max="47" width="2.28515625" style="139" customWidth="1"/>
    <col min="48" max="16384" width="14.42578125" style="139"/>
  </cols>
  <sheetData>
    <row r="1" spans="1:47" ht="9" customHeight="1">
      <c r="A1" s="136"/>
      <c r="B1" s="137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</row>
    <row r="2" spans="1:47" ht="9.75" customHeight="1">
      <c r="A2" s="136"/>
      <c r="B2" s="140"/>
      <c r="C2" s="140"/>
      <c r="D2" s="141"/>
      <c r="E2" s="140"/>
      <c r="F2" s="140"/>
      <c r="G2" s="140"/>
      <c r="H2" s="140"/>
      <c r="I2" s="140"/>
      <c r="J2" s="140"/>
      <c r="K2" s="136"/>
      <c r="L2" s="140"/>
      <c r="M2" s="140"/>
      <c r="N2" s="140"/>
      <c r="O2" s="140"/>
      <c r="P2" s="602" t="s">
        <v>218</v>
      </c>
      <c r="Q2" s="572"/>
      <c r="R2" s="572"/>
      <c r="S2" s="573"/>
      <c r="T2" s="142"/>
      <c r="U2" s="142"/>
      <c r="V2" s="142"/>
      <c r="W2" s="142"/>
      <c r="X2" s="143"/>
      <c r="Y2" s="142"/>
      <c r="Z2" s="140"/>
      <c r="AA2" s="140"/>
      <c r="AB2" s="136"/>
      <c r="AC2" s="140"/>
      <c r="AD2" s="140"/>
      <c r="AE2" s="140"/>
      <c r="AF2" s="144"/>
      <c r="AG2" s="140"/>
      <c r="AH2" s="140"/>
      <c r="AI2" s="140"/>
      <c r="AJ2" s="140"/>
      <c r="AK2" s="136"/>
      <c r="AL2" s="145"/>
      <c r="AM2" s="145"/>
      <c r="AN2" s="145"/>
      <c r="AO2" s="145"/>
      <c r="AP2" s="145"/>
      <c r="AQ2" s="145"/>
      <c r="AR2" s="145"/>
      <c r="AS2" s="145"/>
      <c r="AT2" s="145"/>
      <c r="AU2" s="145"/>
    </row>
    <row r="3" spans="1:47" ht="8.25" customHeight="1">
      <c r="A3" s="137"/>
      <c r="B3" s="146" t="s">
        <v>203</v>
      </c>
      <c r="C3" s="147" t="s">
        <v>32</v>
      </c>
      <c r="D3" s="148" t="s">
        <v>229</v>
      </c>
      <c r="E3" s="149" t="s">
        <v>206</v>
      </c>
      <c r="F3" s="150" t="s">
        <v>207</v>
      </c>
      <c r="G3" s="151" t="s">
        <v>208</v>
      </c>
      <c r="H3" s="152" t="s">
        <v>209</v>
      </c>
      <c r="I3" s="153" t="s">
        <v>230</v>
      </c>
      <c r="J3" s="152" t="s">
        <v>231</v>
      </c>
      <c r="K3" s="154" t="s">
        <v>203</v>
      </c>
      <c r="L3" s="155" t="s">
        <v>232</v>
      </c>
      <c r="M3" s="156" t="s">
        <v>233</v>
      </c>
      <c r="N3" s="156" t="s">
        <v>234</v>
      </c>
      <c r="O3" s="157" t="s">
        <v>235</v>
      </c>
      <c r="P3" s="158" t="s">
        <v>206</v>
      </c>
      <c r="Q3" s="159" t="s">
        <v>207</v>
      </c>
      <c r="R3" s="159" t="s">
        <v>208</v>
      </c>
      <c r="S3" s="160" t="s">
        <v>209</v>
      </c>
      <c r="T3" s="161" t="s">
        <v>236</v>
      </c>
      <c r="U3" s="156" t="s">
        <v>237</v>
      </c>
      <c r="V3" s="156" t="s">
        <v>210</v>
      </c>
      <c r="W3" s="156" t="s">
        <v>240</v>
      </c>
      <c r="X3" s="162" t="s">
        <v>35</v>
      </c>
      <c r="Y3" s="157" t="s">
        <v>211</v>
      </c>
      <c r="Z3" s="153" t="s">
        <v>212</v>
      </c>
      <c r="AA3" s="163" t="s">
        <v>241</v>
      </c>
      <c r="AB3" s="136"/>
      <c r="AC3" s="146" t="s">
        <v>242</v>
      </c>
      <c r="AD3" s="153" t="s">
        <v>233</v>
      </c>
      <c r="AE3" s="150" t="s">
        <v>243</v>
      </c>
      <c r="AF3" s="164" t="str">
        <f>"+MA"</f>
        <v>+MA</v>
      </c>
      <c r="AG3" s="150" t="str">
        <f>"+ST"</f>
        <v>+ST</v>
      </c>
      <c r="AH3" s="150" t="str">
        <f>"+AG"</f>
        <v>+AG</v>
      </c>
      <c r="AI3" s="150" t="str">
        <f>"+AV"</f>
        <v>+AV</v>
      </c>
      <c r="AJ3" s="163" t="s">
        <v>244</v>
      </c>
      <c r="AK3" s="136"/>
      <c r="AL3" s="601" t="s">
        <v>245</v>
      </c>
      <c r="AM3" s="575"/>
      <c r="AN3" s="575"/>
      <c r="AO3" s="575"/>
      <c r="AP3" s="603" t="s">
        <v>246</v>
      </c>
      <c r="AQ3" s="575"/>
      <c r="AR3" s="575"/>
      <c r="AS3" s="575"/>
      <c r="AT3" s="575"/>
      <c r="AU3" s="145"/>
    </row>
    <row r="4" spans="1:47" ht="15.75" customHeight="1">
      <c r="A4" s="137"/>
      <c r="B4" s="165">
        <v>1</v>
      </c>
      <c r="C4" s="523" t="s">
        <v>182</v>
      </c>
      <c r="D4" s="167" t="s">
        <v>183</v>
      </c>
      <c r="E4" s="168">
        <f>IFERROR(VLOOKUP($I$22&amp;$D4,'Development-Hidden'!$C$2:$J$118,4,FALSE)-P4+AF4,"")</f>
        <v>6</v>
      </c>
      <c r="F4" s="169">
        <f>IFERROR(VLOOKUP($I$22&amp;$D4,'Development-Hidden'!$C$2:$J$118,5,FALSE)-Q4+AG4,"")</f>
        <v>5</v>
      </c>
      <c r="G4" s="169">
        <f>IFERROR(VLOOKUP($I$22&amp;$D4,'Development-Hidden'!$C$2:$J$118,6,FALSE)-R4+AH4,"")</f>
        <v>0</v>
      </c>
      <c r="H4" s="170">
        <f>IFERROR(VLOOKUP($I$22&amp;$D4,'Development-Hidden'!$C$2:$J$118,7,FALSE)-S4+AI4,"")</f>
        <v>9</v>
      </c>
      <c r="I4" s="171" t="str">
        <f>IFERROR(VLOOKUP($I$22&amp;$D4,'Development-Hidden'!$C$2:$J$118,8,FALSE),"")</f>
        <v>Loner, Bone-Head, Mighty Blow, Prehensile Tail, Thick Skull</v>
      </c>
      <c r="J4" s="172" t="s">
        <v>526</v>
      </c>
      <c r="K4" s="173">
        <f t="shared" ref="K4:K19" si="0">IF(Z4&gt;175,6,IF(Z4&gt;75,5,IF(Z4&gt;50,4,IF(Z4&gt;30,3,IF(Z4&gt;15,2,IF(Z4&gt;5,1,0))))))</f>
        <v>2</v>
      </c>
      <c r="L4" s="174"/>
      <c r="M4" s="174"/>
      <c r="N4" s="174">
        <v>1</v>
      </c>
      <c r="O4" s="175"/>
      <c r="P4" s="176"/>
      <c r="Q4" s="177"/>
      <c r="R4" s="177">
        <v>1</v>
      </c>
      <c r="S4" s="178"/>
      <c r="T4" s="524"/>
      <c r="U4" s="524"/>
      <c r="V4" s="524"/>
      <c r="W4" s="524">
        <v>9</v>
      </c>
      <c r="X4" s="525">
        <v>2</v>
      </c>
      <c r="Y4" s="526">
        <v>1</v>
      </c>
      <c r="Z4" s="182">
        <f t="shared" ref="Z4:Z19" si="1">2*T4+U4+3*V4+2*W4+5*Y4</f>
        <v>23</v>
      </c>
      <c r="AA4" s="183">
        <f t="shared" ref="AA4:AA19" si="2">IF(L4=1,0,AC4+(20000*O4)+(20000*AD4)+(30000*AE4)+(30000*AF4)+(50000*AG4)+(40000*AH4)+(50000*AI4)+AJ4)</f>
        <v>180000</v>
      </c>
      <c r="AB4" s="136"/>
      <c r="AC4" s="184">
        <f>IFERROR(VLOOKUP($I$22&amp;D4,'Development-Hidden'!$C$2:$E$118,3,FALSE),"")</f>
        <v>140000</v>
      </c>
      <c r="AD4" s="179">
        <v>2</v>
      </c>
      <c r="AE4" s="180"/>
      <c r="AF4" s="180"/>
      <c r="AG4" s="180"/>
      <c r="AH4" s="180"/>
      <c r="AI4" s="180"/>
      <c r="AJ4" s="185"/>
      <c r="AK4" s="136"/>
      <c r="AL4" s="186" t="s">
        <v>252</v>
      </c>
      <c r="AM4" s="187">
        <v>0</v>
      </c>
      <c r="AN4" s="136"/>
      <c r="AO4" s="136"/>
      <c r="AP4" s="188"/>
      <c r="AQ4" s="189"/>
      <c r="AR4" s="189"/>
      <c r="AS4" s="186" t="s">
        <v>253</v>
      </c>
      <c r="AT4" s="190">
        <v>6</v>
      </c>
      <c r="AU4" s="191"/>
    </row>
    <row r="5" spans="1:47" ht="15.75" customHeight="1">
      <c r="A5" s="137"/>
      <c r="B5" s="192">
        <v>2</v>
      </c>
      <c r="C5" s="527" t="s">
        <v>155</v>
      </c>
      <c r="D5" s="194" t="s">
        <v>69</v>
      </c>
      <c r="E5" s="195">
        <f>IFERROR(VLOOKUP($I$22&amp;$D5,'Development-Hidden'!$C$2:$J$118,4,FALSE)-P5+AF5,"")</f>
        <v>6</v>
      </c>
      <c r="F5" s="196">
        <f>IFERROR(VLOOKUP($I$22&amp;$D5,'Development-Hidden'!$C$2:$J$118,5,FALSE)-Q5+AG5,"")</f>
        <v>4</v>
      </c>
      <c r="G5" s="196">
        <f>IFERROR(VLOOKUP($I$22&amp;$D5,'Development-Hidden'!$C$2:$J$118,6,FALSE)-R5+AH5,"")</f>
        <v>1</v>
      </c>
      <c r="H5" s="197">
        <f>IFERROR(VLOOKUP($I$22&amp;$D5,'Development-Hidden'!$C$2:$J$118,7,FALSE)-S5+AI5,"")</f>
        <v>9</v>
      </c>
      <c r="I5" s="198">
        <f>IFERROR(VLOOKUP($I$22&amp;$D5,'Development-Hidden'!$C$2:$J$118,8,FALSE),"")</f>
        <v>0</v>
      </c>
      <c r="J5" s="199" t="s">
        <v>527</v>
      </c>
      <c r="K5" s="200">
        <f t="shared" si="0"/>
        <v>3</v>
      </c>
      <c r="L5" s="201"/>
      <c r="M5" s="201"/>
      <c r="N5" s="201">
        <v>1</v>
      </c>
      <c r="O5" s="202"/>
      <c r="P5" s="203"/>
      <c r="Q5" s="204"/>
      <c r="R5" s="204"/>
      <c r="S5" s="205"/>
      <c r="T5" s="528"/>
      <c r="U5" s="528"/>
      <c r="V5" s="528"/>
      <c r="W5" s="528">
        <v>9</v>
      </c>
      <c r="X5" s="529">
        <v>1</v>
      </c>
      <c r="Y5" s="530">
        <v>3</v>
      </c>
      <c r="Z5" s="209">
        <f t="shared" si="1"/>
        <v>33</v>
      </c>
      <c r="AA5" s="531">
        <f t="shared" si="2"/>
        <v>140000</v>
      </c>
      <c r="AB5" s="136"/>
      <c r="AC5" s="210">
        <f>IFERROR(VLOOKUP($I$22&amp;D5,'Development-Hidden'!$C$2:$E$118,3,FALSE),"")</f>
        <v>80000</v>
      </c>
      <c r="AD5" s="206">
        <v>3</v>
      </c>
      <c r="AE5" s="207"/>
      <c r="AF5" s="207"/>
      <c r="AG5" s="207"/>
      <c r="AH5" s="207"/>
      <c r="AI5" s="207"/>
      <c r="AJ5" s="211"/>
      <c r="AK5" s="136"/>
      <c r="AL5" s="212" t="s">
        <v>256</v>
      </c>
      <c r="AM5" s="213" t="s">
        <v>257</v>
      </c>
      <c r="AN5" s="214" t="s">
        <v>258</v>
      </c>
      <c r="AO5" s="215" t="s">
        <v>259</v>
      </c>
      <c r="AP5" s="216" t="s">
        <v>260</v>
      </c>
      <c r="AQ5" s="214" t="s">
        <v>261</v>
      </c>
      <c r="AR5" s="217" t="s">
        <v>33</v>
      </c>
      <c r="AS5" s="217" t="s">
        <v>262</v>
      </c>
      <c r="AT5" s="218" t="s">
        <v>221</v>
      </c>
      <c r="AU5" s="144"/>
    </row>
    <row r="6" spans="1:47" ht="15.75" customHeight="1">
      <c r="A6" s="137"/>
      <c r="B6" s="192">
        <v>3</v>
      </c>
      <c r="C6" s="527" t="s">
        <v>156</v>
      </c>
      <c r="D6" s="194" t="s">
        <v>69</v>
      </c>
      <c r="E6" s="195">
        <f>IFERROR(VLOOKUP($I$22&amp;$D6,'Development-Hidden'!$C$2:$J$118,4,FALSE)-P6+AF6,"")</f>
        <v>6</v>
      </c>
      <c r="F6" s="196">
        <f>IFERROR(VLOOKUP($I$22&amp;$D6,'Development-Hidden'!$C$2:$J$118,5,FALSE)-Q6+AG6,"")</f>
        <v>4</v>
      </c>
      <c r="G6" s="196">
        <f>IFERROR(VLOOKUP($I$22&amp;$D6,'Development-Hidden'!$C$2:$J$118,6,FALSE)-R6+AH6,"")</f>
        <v>1</v>
      </c>
      <c r="H6" s="197">
        <f>IFERROR(VLOOKUP($I$22&amp;$D6,'Development-Hidden'!$C$2:$J$118,7,FALSE)-S6+AI6,"")</f>
        <v>9</v>
      </c>
      <c r="I6" s="198">
        <f>IFERROR(VLOOKUP($I$22&amp;$D6,'Development-Hidden'!$C$2:$J$118,8,FALSE),"")</f>
        <v>0</v>
      </c>
      <c r="J6" s="199" t="s">
        <v>529</v>
      </c>
      <c r="K6" s="200">
        <f t="shared" si="0"/>
        <v>2</v>
      </c>
      <c r="L6" s="201"/>
      <c r="M6" s="201"/>
      <c r="N6" s="201">
        <v>1</v>
      </c>
      <c r="O6" s="202"/>
      <c r="P6" s="203"/>
      <c r="Q6" s="204"/>
      <c r="R6" s="204"/>
      <c r="S6" s="205"/>
      <c r="T6" s="528"/>
      <c r="U6" s="528"/>
      <c r="V6" s="528"/>
      <c r="W6" s="528">
        <v>2</v>
      </c>
      <c r="X6" s="529"/>
      <c r="Y6" s="530">
        <v>4</v>
      </c>
      <c r="Z6" s="209">
        <f t="shared" si="1"/>
        <v>24</v>
      </c>
      <c r="AA6" s="531">
        <f t="shared" si="2"/>
        <v>120000</v>
      </c>
      <c r="AB6" s="136"/>
      <c r="AC6" s="210">
        <f>IFERROR(VLOOKUP($I$22&amp;D6,'Development-Hidden'!$C$2:$E$118,3,FALSE),"")</f>
        <v>80000</v>
      </c>
      <c r="AD6" s="206">
        <v>2</v>
      </c>
      <c r="AE6" s="207"/>
      <c r="AF6" s="207"/>
      <c r="AG6" s="207"/>
      <c r="AH6" s="207"/>
      <c r="AI6" s="207"/>
      <c r="AJ6" s="211"/>
      <c r="AK6" s="136"/>
      <c r="AL6" s="219" t="s">
        <v>267</v>
      </c>
      <c r="AM6" s="220">
        <v>40000</v>
      </c>
      <c r="AN6" s="221" t="s">
        <v>424</v>
      </c>
      <c r="AO6" s="222" t="s">
        <v>424</v>
      </c>
      <c r="AP6" s="223" t="s">
        <v>530</v>
      </c>
      <c r="AQ6" s="221" t="s">
        <v>434</v>
      </c>
      <c r="AR6" s="224">
        <v>1</v>
      </c>
      <c r="AS6" s="225">
        <v>2</v>
      </c>
      <c r="AT6" s="226">
        <v>0</v>
      </c>
      <c r="AU6" s="136"/>
    </row>
    <row r="7" spans="1:47" ht="15.75" customHeight="1">
      <c r="A7" s="137"/>
      <c r="B7" s="192">
        <v>4</v>
      </c>
      <c r="C7" s="527" t="s">
        <v>186</v>
      </c>
      <c r="D7" s="194" t="s">
        <v>69</v>
      </c>
      <c r="E7" s="195">
        <f>IFERROR(VLOOKUP($I$22&amp;$D7,'Development-Hidden'!$C$2:$J$118,4,FALSE)-P7+AF7,"")</f>
        <v>6</v>
      </c>
      <c r="F7" s="196">
        <f>IFERROR(VLOOKUP($I$22&amp;$D7,'Development-Hidden'!$C$2:$J$118,5,FALSE)-Q7+AG7,"")</f>
        <v>4</v>
      </c>
      <c r="G7" s="196">
        <f>IFERROR(VLOOKUP($I$22&amp;$D7,'Development-Hidden'!$C$2:$J$118,6,FALSE)-R7+AH7,"")</f>
        <v>1</v>
      </c>
      <c r="H7" s="197">
        <f>IFERROR(VLOOKUP($I$22&amp;$D7,'Development-Hidden'!$C$2:$J$118,7,FALSE)-S7+AI7,"")</f>
        <v>9</v>
      </c>
      <c r="I7" s="198">
        <f>IFERROR(VLOOKUP($I$22&amp;$D7,'Development-Hidden'!$C$2:$J$118,8,FALSE),"")</f>
        <v>0</v>
      </c>
      <c r="J7" s="199" t="s">
        <v>527</v>
      </c>
      <c r="K7" s="200">
        <f t="shared" si="0"/>
        <v>3</v>
      </c>
      <c r="L7" s="201"/>
      <c r="M7" s="201"/>
      <c r="N7" s="201">
        <v>1</v>
      </c>
      <c r="O7" s="202"/>
      <c r="P7" s="203"/>
      <c r="Q7" s="204"/>
      <c r="R7" s="204"/>
      <c r="S7" s="205"/>
      <c r="T7" s="528"/>
      <c r="U7" s="528"/>
      <c r="V7" s="528"/>
      <c r="W7" s="528">
        <v>10</v>
      </c>
      <c r="X7" s="529"/>
      <c r="Y7" s="530">
        <v>3</v>
      </c>
      <c r="Z7" s="209">
        <f t="shared" si="1"/>
        <v>35</v>
      </c>
      <c r="AA7" s="531">
        <f t="shared" si="2"/>
        <v>140000</v>
      </c>
      <c r="AB7" s="136"/>
      <c r="AC7" s="210">
        <f>IFERROR(VLOOKUP($I$22&amp;D7,'Development-Hidden'!$C$2:$E$118,3,FALSE),"")</f>
        <v>80000</v>
      </c>
      <c r="AD7" s="206">
        <v>3</v>
      </c>
      <c r="AE7" s="207"/>
      <c r="AF7" s="207"/>
      <c r="AG7" s="207"/>
      <c r="AH7" s="207"/>
      <c r="AI7" s="207"/>
      <c r="AJ7" s="211"/>
      <c r="AK7" s="136"/>
      <c r="AL7" s="227" t="s">
        <v>278</v>
      </c>
      <c r="AM7" s="228">
        <v>40000</v>
      </c>
      <c r="AN7" s="229" t="s">
        <v>424</v>
      </c>
      <c r="AO7" s="230" t="s">
        <v>424</v>
      </c>
      <c r="AP7" s="231" t="s">
        <v>15</v>
      </c>
      <c r="AQ7" s="229" t="s">
        <v>434</v>
      </c>
      <c r="AR7" s="232">
        <v>2</v>
      </c>
      <c r="AS7" s="233">
        <v>4</v>
      </c>
      <c r="AT7" s="234">
        <v>-1</v>
      </c>
      <c r="AU7" s="136"/>
    </row>
    <row r="8" spans="1:47" ht="15.75" customHeight="1">
      <c r="A8" s="137"/>
      <c r="B8" s="192">
        <v>5</v>
      </c>
      <c r="C8" s="527" t="s">
        <v>191</v>
      </c>
      <c r="D8" s="194" t="s">
        <v>69</v>
      </c>
      <c r="E8" s="195">
        <f>IFERROR(VLOOKUP($I$22&amp;$D8,'Development-Hidden'!$C$2:$J$118,4,FALSE)-P8+AF8,"")</f>
        <v>5</v>
      </c>
      <c r="F8" s="196">
        <f>IFERROR(VLOOKUP($I$22&amp;$D8,'Development-Hidden'!$C$2:$J$118,5,FALSE)-Q8+AG8,"")</f>
        <v>4</v>
      </c>
      <c r="G8" s="196">
        <f>IFERROR(VLOOKUP($I$22&amp;$D8,'Development-Hidden'!$C$2:$J$118,6,FALSE)-R8+AH8,"")</f>
        <v>1</v>
      </c>
      <c r="H8" s="197">
        <f>IFERROR(VLOOKUP($I$22&amp;$D8,'Development-Hidden'!$C$2:$J$118,7,FALSE)-S8+AI8,"")</f>
        <v>9</v>
      </c>
      <c r="I8" s="198">
        <f>IFERROR(VLOOKUP($I$22&amp;$D8,'Development-Hidden'!$C$2:$J$118,8,FALSE),"")</f>
        <v>0</v>
      </c>
      <c r="J8" s="199" t="s">
        <v>529</v>
      </c>
      <c r="K8" s="200">
        <f t="shared" si="0"/>
        <v>2</v>
      </c>
      <c r="L8" s="201"/>
      <c r="M8" s="201"/>
      <c r="N8" s="201">
        <v>1</v>
      </c>
      <c r="O8" s="202"/>
      <c r="P8" s="203">
        <v>1</v>
      </c>
      <c r="Q8" s="204"/>
      <c r="R8" s="204"/>
      <c r="S8" s="205"/>
      <c r="T8" s="528"/>
      <c r="U8" s="528"/>
      <c r="V8" s="528"/>
      <c r="W8" s="528">
        <v>3</v>
      </c>
      <c r="X8" s="529"/>
      <c r="Y8" s="530">
        <v>3</v>
      </c>
      <c r="Z8" s="209">
        <f t="shared" si="1"/>
        <v>21</v>
      </c>
      <c r="AA8" s="531">
        <f t="shared" si="2"/>
        <v>120000</v>
      </c>
      <c r="AB8" s="136"/>
      <c r="AC8" s="210">
        <f>IFERROR(VLOOKUP($I$22&amp;D8,'Development-Hidden'!$C$2:$E$118,3,FALSE),"")</f>
        <v>80000</v>
      </c>
      <c r="AD8" s="206">
        <v>2</v>
      </c>
      <c r="AE8" s="207"/>
      <c r="AF8" s="207"/>
      <c r="AG8" s="207"/>
      <c r="AH8" s="207"/>
      <c r="AI8" s="207"/>
      <c r="AJ8" s="211"/>
      <c r="AK8" s="136"/>
      <c r="AL8" s="227" t="s">
        <v>289</v>
      </c>
      <c r="AM8" s="228">
        <v>70000</v>
      </c>
      <c r="AN8" s="229" t="s">
        <v>424</v>
      </c>
      <c r="AO8" s="230" t="s">
        <v>424</v>
      </c>
      <c r="AP8" s="231" t="s">
        <v>531</v>
      </c>
      <c r="AQ8" s="229" t="s">
        <v>407</v>
      </c>
      <c r="AR8" s="232">
        <v>2</v>
      </c>
      <c r="AS8" s="233">
        <v>1</v>
      </c>
      <c r="AT8" s="234">
        <v>1</v>
      </c>
      <c r="AU8" s="136"/>
    </row>
    <row r="9" spans="1:47" ht="15.75" customHeight="1">
      <c r="A9" s="137"/>
      <c r="B9" s="192">
        <v>6</v>
      </c>
      <c r="C9" s="527" t="s">
        <v>68</v>
      </c>
      <c r="D9" s="194" t="s">
        <v>69</v>
      </c>
      <c r="E9" s="195">
        <f>IFERROR(VLOOKUP($I$22&amp;$D9,'Development-Hidden'!$C$2:$J$118,4,FALSE)-P9+AF9,"")</f>
        <v>6</v>
      </c>
      <c r="F9" s="196">
        <f>IFERROR(VLOOKUP($I$22&amp;$D9,'Development-Hidden'!$C$2:$J$118,5,FALSE)-Q9+AG9,"")</f>
        <v>4</v>
      </c>
      <c r="G9" s="196">
        <f>IFERROR(VLOOKUP($I$22&amp;$D9,'Development-Hidden'!$C$2:$J$118,6,FALSE)-R9+AH9,"")</f>
        <v>1</v>
      </c>
      <c r="H9" s="197">
        <f>IFERROR(VLOOKUP($I$22&amp;$D9,'Development-Hidden'!$C$2:$J$118,7,FALSE)-S9+AI9,"")</f>
        <v>9</v>
      </c>
      <c r="I9" s="198">
        <f>IFERROR(VLOOKUP($I$22&amp;$D9,'Development-Hidden'!$C$2:$J$118,8,FALSE),"")</f>
        <v>0</v>
      </c>
      <c r="J9" s="199" t="s">
        <v>277</v>
      </c>
      <c r="K9" s="200">
        <f t="shared" si="0"/>
        <v>1</v>
      </c>
      <c r="L9" s="201"/>
      <c r="M9" s="201"/>
      <c r="N9" s="201">
        <v>1</v>
      </c>
      <c r="O9" s="202"/>
      <c r="P9" s="203"/>
      <c r="Q9" s="204"/>
      <c r="R9" s="204"/>
      <c r="S9" s="205"/>
      <c r="T9" s="528"/>
      <c r="U9" s="528"/>
      <c r="V9" s="528"/>
      <c r="W9" s="528">
        <v>2</v>
      </c>
      <c r="X9" s="529">
        <v>1</v>
      </c>
      <c r="Y9" s="530">
        <v>2</v>
      </c>
      <c r="Z9" s="209">
        <f t="shared" si="1"/>
        <v>14</v>
      </c>
      <c r="AA9" s="531">
        <f t="shared" si="2"/>
        <v>100000</v>
      </c>
      <c r="AB9" s="136"/>
      <c r="AC9" s="210">
        <f>IFERROR(VLOOKUP($I$22&amp;D9,'Development-Hidden'!$C$2:$E$118,3,FALSE),"")</f>
        <v>80000</v>
      </c>
      <c r="AD9" s="206">
        <v>1</v>
      </c>
      <c r="AE9" s="207"/>
      <c r="AF9" s="207"/>
      <c r="AG9" s="207"/>
      <c r="AH9" s="207"/>
      <c r="AI9" s="207"/>
      <c r="AJ9" s="211"/>
      <c r="AK9" s="136"/>
      <c r="AL9" s="227" t="s">
        <v>296</v>
      </c>
      <c r="AM9" s="228">
        <v>40000</v>
      </c>
      <c r="AN9" s="229" t="s">
        <v>424</v>
      </c>
      <c r="AO9" s="230">
        <v>20000</v>
      </c>
      <c r="AP9" s="231" t="s">
        <v>23</v>
      </c>
      <c r="AQ9" s="229" t="s">
        <v>407</v>
      </c>
      <c r="AR9" s="232">
        <v>2</v>
      </c>
      <c r="AS9" s="233">
        <v>3</v>
      </c>
      <c r="AT9" s="234">
        <v>1</v>
      </c>
      <c r="AU9" s="136"/>
    </row>
    <row r="10" spans="1:47" ht="15.75" customHeight="1">
      <c r="A10" s="137"/>
      <c r="B10" s="192">
        <v>7</v>
      </c>
      <c r="C10" s="527" t="s">
        <v>173</v>
      </c>
      <c r="D10" s="194" t="s">
        <v>69</v>
      </c>
      <c r="E10" s="195">
        <f>IFERROR(VLOOKUP($I$22&amp;$D10,'Development-Hidden'!$C$2:$J$118,4,FALSE)-P10+AF10,"")</f>
        <v>6</v>
      </c>
      <c r="F10" s="196">
        <f>IFERROR(VLOOKUP($I$22&amp;$D10,'Development-Hidden'!$C$2:$J$118,5,FALSE)-Q10+AG10,"")</f>
        <v>4</v>
      </c>
      <c r="G10" s="196">
        <f>IFERROR(VLOOKUP($I$22&amp;$D10,'Development-Hidden'!$C$2:$J$118,6,FALSE)-R10+AH10,"")</f>
        <v>1</v>
      </c>
      <c r="H10" s="197">
        <f>IFERROR(VLOOKUP($I$22&amp;$D10,'Development-Hidden'!$C$2:$J$118,7,FALSE)-S10+AI10,"")</f>
        <v>9</v>
      </c>
      <c r="I10" s="198">
        <f>IFERROR(VLOOKUP($I$22&amp;$D10,'Development-Hidden'!$C$2:$J$118,8,FALSE),"")</f>
        <v>0</v>
      </c>
      <c r="J10" s="199" t="s">
        <v>533</v>
      </c>
      <c r="K10" s="200">
        <f t="shared" si="0"/>
        <v>2</v>
      </c>
      <c r="L10" s="201"/>
      <c r="M10" s="201"/>
      <c r="N10" s="201">
        <v>1</v>
      </c>
      <c r="O10" s="202"/>
      <c r="P10" s="203"/>
      <c r="Q10" s="204"/>
      <c r="R10" s="204"/>
      <c r="S10" s="205"/>
      <c r="T10" s="528">
        <v>1</v>
      </c>
      <c r="U10" s="528"/>
      <c r="V10" s="528">
        <v>3</v>
      </c>
      <c r="W10" s="528">
        <v>4</v>
      </c>
      <c r="X10" s="529"/>
      <c r="Y10" s="530">
        <v>2</v>
      </c>
      <c r="Z10" s="209">
        <f t="shared" si="1"/>
        <v>29</v>
      </c>
      <c r="AA10" s="531">
        <f t="shared" si="2"/>
        <v>130000</v>
      </c>
      <c r="AB10" s="136"/>
      <c r="AC10" s="210">
        <f>IFERROR(VLOOKUP($I$22&amp;D10,'Development-Hidden'!$C$2:$E$118,3,FALSE),"")</f>
        <v>80000</v>
      </c>
      <c r="AD10" s="206">
        <v>1</v>
      </c>
      <c r="AE10" s="207">
        <v>1</v>
      </c>
      <c r="AF10" s="207"/>
      <c r="AG10" s="207"/>
      <c r="AH10" s="207"/>
      <c r="AI10" s="207"/>
      <c r="AJ10" s="211"/>
      <c r="AK10" s="136"/>
      <c r="AL10" s="227" t="s">
        <v>306</v>
      </c>
      <c r="AM10" s="228">
        <v>80000</v>
      </c>
      <c r="AN10" s="229" t="s">
        <v>424</v>
      </c>
      <c r="AO10" s="230" t="s">
        <v>424</v>
      </c>
      <c r="AP10" s="231" t="s">
        <v>47</v>
      </c>
      <c r="AQ10" s="229" t="s">
        <v>407</v>
      </c>
      <c r="AR10" s="232">
        <v>3</v>
      </c>
      <c r="AS10" s="233">
        <v>0</v>
      </c>
      <c r="AT10" s="234">
        <v>1</v>
      </c>
      <c r="AU10" s="136"/>
    </row>
    <row r="11" spans="1:47" ht="15.75" customHeight="1">
      <c r="A11" s="137"/>
      <c r="B11" s="192">
        <v>8</v>
      </c>
      <c r="C11" s="527" t="s">
        <v>167</v>
      </c>
      <c r="D11" s="194" t="s">
        <v>168</v>
      </c>
      <c r="E11" s="195">
        <f>IFERROR(VLOOKUP($I$22&amp;$D11,'Development-Hidden'!$C$2:$J$118,4,FALSE)-P11+AF11,"")</f>
        <v>9</v>
      </c>
      <c r="F11" s="196">
        <f>IFERROR(VLOOKUP($I$22&amp;$D11,'Development-Hidden'!$C$2:$J$118,5,FALSE)-Q11+AG11,"")</f>
        <v>2</v>
      </c>
      <c r="G11" s="196">
        <f>IFERROR(VLOOKUP($I$22&amp;$D11,'Development-Hidden'!$C$2:$J$118,6,FALSE)-R11+AH11,"")</f>
        <v>3</v>
      </c>
      <c r="H11" s="197">
        <f>IFERROR(VLOOKUP($I$22&amp;$D11,'Development-Hidden'!$C$2:$J$118,7,FALSE)-S11+AI11,"")</f>
        <v>7</v>
      </c>
      <c r="I11" s="198" t="str">
        <f>IFERROR(VLOOKUP($I$22&amp;$D11,'Development-Hidden'!$C$2:$J$118,8,FALSE),"")</f>
        <v>Dodge, Stunty</v>
      </c>
      <c r="J11" s="199" t="s">
        <v>534</v>
      </c>
      <c r="K11" s="200">
        <f t="shared" si="0"/>
        <v>3</v>
      </c>
      <c r="L11" s="201"/>
      <c r="M11" s="201">
        <v>1</v>
      </c>
      <c r="N11" s="201">
        <v>1</v>
      </c>
      <c r="O11" s="202"/>
      <c r="P11" s="203"/>
      <c r="Q11" s="204"/>
      <c r="R11" s="204"/>
      <c r="S11" s="205"/>
      <c r="T11" s="528"/>
      <c r="U11" s="528">
        <v>1</v>
      </c>
      <c r="V11" s="528">
        <v>12</v>
      </c>
      <c r="W11" s="528">
        <v>2</v>
      </c>
      <c r="X11" s="529"/>
      <c r="Y11" s="530"/>
      <c r="Z11" s="209">
        <f t="shared" si="1"/>
        <v>41</v>
      </c>
      <c r="AA11" s="531">
        <f t="shared" si="2"/>
        <v>140000</v>
      </c>
      <c r="AB11" s="136"/>
      <c r="AC11" s="210">
        <f>IFERROR(VLOOKUP($I$22&amp;D11,'Development-Hidden'!$C$2:$E$118,3,FALSE),"")</f>
        <v>60000</v>
      </c>
      <c r="AD11" s="206">
        <v>1</v>
      </c>
      <c r="AE11" s="207">
        <v>1</v>
      </c>
      <c r="AF11" s="207">
        <v>1</v>
      </c>
      <c r="AG11" s="207"/>
      <c r="AH11" s="207"/>
      <c r="AI11" s="207"/>
      <c r="AJ11" s="211"/>
      <c r="AK11" s="136"/>
      <c r="AL11" s="227" t="s">
        <v>316</v>
      </c>
      <c r="AM11" s="228">
        <v>40000</v>
      </c>
      <c r="AN11" s="229" t="s">
        <v>424</v>
      </c>
      <c r="AO11" s="230">
        <v>20000</v>
      </c>
      <c r="AP11" s="231" t="s">
        <v>6</v>
      </c>
      <c r="AQ11" s="229" t="s">
        <v>361</v>
      </c>
      <c r="AR11" s="232">
        <v>1</v>
      </c>
      <c r="AS11" s="233">
        <v>1</v>
      </c>
      <c r="AT11" s="234">
        <v>-1</v>
      </c>
      <c r="AU11" s="136"/>
    </row>
    <row r="12" spans="1:47" ht="15.75" customHeight="1">
      <c r="A12" s="137"/>
      <c r="B12" s="192">
        <v>9</v>
      </c>
      <c r="C12" s="527" t="s">
        <v>169</v>
      </c>
      <c r="D12" s="194" t="s">
        <v>168</v>
      </c>
      <c r="E12" s="195">
        <f>IFERROR(VLOOKUP($I$22&amp;$D12,'Development-Hidden'!$C$2:$J$118,4,FALSE)-P12+AF12,"")</f>
        <v>8</v>
      </c>
      <c r="F12" s="196">
        <f>IFERROR(VLOOKUP($I$22&amp;$D12,'Development-Hidden'!$C$2:$J$118,5,FALSE)-Q12+AG12,"")</f>
        <v>2</v>
      </c>
      <c r="G12" s="196">
        <f>IFERROR(VLOOKUP($I$22&amp;$D12,'Development-Hidden'!$C$2:$J$118,6,FALSE)-R12+AH12,"")</f>
        <v>4</v>
      </c>
      <c r="H12" s="197">
        <f>IFERROR(VLOOKUP($I$22&amp;$D12,'Development-Hidden'!$C$2:$J$118,7,FALSE)-S12+AI12,"")</f>
        <v>7</v>
      </c>
      <c r="I12" s="198" t="str">
        <f>IFERROR(VLOOKUP($I$22&amp;$D12,'Development-Hidden'!$C$2:$J$118,8,FALSE),"")</f>
        <v>Dodge, Stunty</v>
      </c>
      <c r="J12" s="199" t="s">
        <v>208</v>
      </c>
      <c r="K12" s="200">
        <f t="shared" si="0"/>
        <v>1</v>
      </c>
      <c r="L12" s="201"/>
      <c r="M12" s="201"/>
      <c r="N12" s="201">
        <v>0</v>
      </c>
      <c r="O12" s="202"/>
      <c r="P12" s="203"/>
      <c r="Q12" s="204"/>
      <c r="R12" s="204"/>
      <c r="S12" s="205"/>
      <c r="T12" s="528"/>
      <c r="U12" s="528"/>
      <c r="V12" s="528">
        <v>3</v>
      </c>
      <c r="W12" s="528"/>
      <c r="X12" s="529"/>
      <c r="Y12" s="530">
        <v>1</v>
      </c>
      <c r="Z12" s="209">
        <f t="shared" si="1"/>
        <v>14</v>
      </c>
      <c r="AA12" s="531">
        <f t="shared" si="2"/>
        <v>100000</v>
      </c>
      <c r="AB12" s="136"/>
      <c r="AC12" s="210">
        <f>IFERROR(VLOOKUP($I$22&amp;D12,'Development-Hidden'!$C$2:$E$118,3,FALSE),"")</f>
        <v>60000</v>
      </c>
      <c r="AD12" s="206"/>
      <c r="AE12" s="207"/>
      <c r="AF12" s="207"/>
      <c r="AG12" s="207"/>
      <c r="AH12" s="207">
        <v>1</v>
      </c>
      <c r="AI12" s="207"/>
      <c r="AJ12" s="211"/>
      <c r="AK12" s="136"/>
      <c r="AL12" s="227" t="s">
        <v>330</v>
      </c>
      <c r="AM12" s="228">
        <v>30000</v>
      </c>
      <c r="AN12" s="229">
        <v>60000</v>
      </c>
      <c r="AO12" s="230">
        <v>0</v>
      </c>
      <c r="AP12" s="231" t="s">
        <v>535</v>
      </c>
      <c r="AQ12" s="229" t="s">
        <v>361</v>
      </c>
      <c r="AR12" s="232">
        <v>1</v>
      </c>
      <c r="AS12" s="233">
        <v>6</v>
      </c>
      <c r="AT12" s="234">
        <v>0</v>
      </c>
      <c r="AU12" s="136"/>
    </row>
    <row r="13" spans="1:47" ht="15.75" customHeight="1">
      <c r="A13" s="137"/>
      <c r="B13" s="192">
        <v>10</v>
      </c>
      <c r="C13" s="527" t="s">
        <v>174</v>
      </c>
      <c r="D13" s="194" t="s">
        <v>168</v>
      </c>
      <c r="E13" s="195">
        <f>IFERROR(VLOOKUP($I$22&amp;$D13,'Development-Hidden'!$C$2:$J$118,4,FALSE)-P13+AF13,"")</f>
        <v>9</v>
      </c>
      <c r="F13" s="196">
        <f>IFERROR(VLOOKUP($I$22&amp;$D13,'Development-Hidden'!$C$2:$J$118,5,FALSE)-Q13+AG13,"")</f>
        <v>2</v>
      </c>
      <c r="G13" s="196">
        <f>IFERROR(VLOOKUP($I$22&amp;$D13,'Development-Hidden'!$C$2:$J$118,6,FALSE)-R13+AH13,"")</f>
        <v>3</v>
      </c>
      <c r="H13" s="197">
        <f>IFERROR(VLOOKUP($I$22&amp;$D13,'Development-Hidden'!$C$2:$J$118,7,FALSE)-S13+AI13,"")</f>
        <v>6</v>
      </c>
      <c r="I13" s="198" t="str">
        <f>IFERROR(VLOOKUP($I$22&amp;$D13,'Development-Hidden'!$C$2:$J$118,8,FALSE),"")</f>
        <v>Dodge, Stunty</v>
      </c>
      <c r="J13" s="199" t="s">
        <v>536</v>
      </c>
      <c r="K13" s="200">
        <f t="shared" si="0"/>
        <v>2</v>
      </c>
      <c r="L13" s="201"/>
      <c r="M13" s="201"/>
      <c r="N13" s="201">
        <v>1</v>
      </c>
      <c r="O13" s="202"/>
      <c r="P13" s="203"/>
      <c r="Q13" s="204"/>
      <c r="R13" s="204"/>
      <c r="S13" s="205">
        <v>1</v>
      </c>
      <c r="T13" s="528"/>
      <c r="U13" s="528"/>
      <c r="V13" s="528">
        <v>7</v>
      </c>
      <c r="W13" s="528"/>
      <c r="X13" s="529"/>
      <c r="Y13" s="530"/>
      <c r="Z13" s="209">
        <f t="shared" si="1"/>
        <v>21</v>
      </c>
      <c r="AA13" s="531">
        <f t="shared" si="2"/>
        <v>110000</v>
      </c>
      <c r="AB13" s="136"/>
      <c r="AC13" s="210">
        <f>IFERROR(VLOOKUP($I$22&amp;D13,'Development-Hidden'!$C$2:$E$118,3,FALSE),"")</f>
        <v>60000</v>
      </c>
      <c r="AD13" s="206">
        <v>1</v>
      </c>
      <c r="AE13" s="207"/>
      <c r="AF13" s="207">
        <v>1</v>
      </c>
      <c r="AG13" s="207"/>
      <c r="AH13" s="207"/>
      <c r="AI13" s="207"/>
      <c r="AJ13" s="211"/>
      <c r="AK13" s="136"/>
      <c r="AL13" s="227" t="s">
        <v>342</v>
      </c>
      <c r="AM13" s="228">
        <v>80000</v>
      </c>
      <c r="AN13" s="229">
        <v>60000</v>
      </c>
      <c r="AO13" s="230">
        <v>10000</v>
      </c>
      <c r="AP13" s="231" t="s">
        <v>8</v>
      </c>
      <c r="AQ13" s="229" t="s">
        <v>434</v>
      </c>
      <c r="AR13" s="232">
        <v>2</v>
      </c>
      <c r="AS13" s="233">
        <v>3</v>
      </c>
      <c r="AT13" s="234">
        <v>0</v>
      </c>
      <c r="AU13" s="136"/>
    </row>
    <row r="14" spans="1:47" ht="15.75" customHeight="1">
      <c r="A14" s="137"/>
      <c r="B14" s="192">
        <v>11</v>
      </c>
      <c r="C14" s="527" t="s">
        <v>537</v>
      </c>
      <c r="D14" s="194" t="s">
        <v>168</v>
      </c>
      <c r="E14" s="195">
        <f>IFERROR(VLOOKUP($I$22&amp;$D14,'Development-Hidden'!$C$2:$J$118,4,FALSE)-P14+AF14,"")</f>
        <v>8</v>
      </c>
      <c r="F14" s="196">
        <f>IFERROR(VLOOKUP($I$22&amp;$D14,'Development-Hidden'!$C$2:$J$118,5,FALSE)-Q14+AG14,"")</f>
        <v>2</v>
      </c>
      <c r="G14" s="196">
        <f>IFERROR(VLOOKUP($I$22&amp;$D14,'Development-Hidden'!$C$2:$J$118,6,FALSE)-R14+AH14,"")</f>
        <v>3</v>
      </c>
      <c r="H14" s="197">
        <f>IFERROR(VLOOKUP($I$22&amp;$D14,'Development-Hidden'!$C$2:$J$118,7,FALSE)-S14+AI14,"")</f>
        <v>7</v>
      </c>
      <c r="I14" s="198" t="str">
        <f>IFERROR(VLOOKUP($I$22&amp;$D14,'Development-Hidden'!$C$2:$J$118,8,FALSE),"")</f>
        <v>Dodge, Stunty</v>
      </c>
      <c r="J14" s="199" t="s">
        <v>509</v>
      </c>
      <c r="K14" s="200">
        <f t="shared" si="0"/>
        <v>1</v>
      </c>
      <c r="L14" s="201"/>
      <c r="M14" s="201">
        <v>2</v>
      </c>
      <c r="N14" s="201">
        <v>1</v>
      </c>
      <c r="O14" s="202"/>
      <c r="P14" s="203"/>
      <c r="Q14" s="204"/>
      <c r="R14" s="204"/>
      <c r="S14" s="205"/>
      <c r="T14" s="528"/>
      <c r="U14" s="528">
        <v>2</v>
      </c>
      <c r="V14" s="528">
        <v>3</v>
      </c>
      <c r="W14" s="528"/>
      <c r="X14" s="529"/>
      <c r="Y14" s="530"/>
      <c r="Z14" s="209">
        <f t="shared" si="1"/>
        <v>11</v>
      </c>
      <c r="AA14" s="531">
        <f t="shared" si="2"/>
        <v>80000</v>
      </c>
      <c r="AB14" s="136"/>
      <c r="AC14" s="210">
        <f>IFERROR(VLOOKUP($I$22&amp;D14,'Development-Hidden'!$C$2:$E$118,3,FALSE),"")</f>
        <v>60000</v>
      </c>
      <c r="AD14" s="206">
        <v>1</v>
      </c>
      <c r="AE14" s="207"/>
      <c r="AF14" s="207"/>
      <c r="AG14" s="207"/>
      <c r="AH14" s="207"/>
      <c r="AI14" s="207"/>
      <c r="AJ14" s="211"/>
      <c r="AK14" s="136"/>
      <c r="AL14" s="227" t="s">
        <v>354</v>
      </c>
      <c r="AM14" s="228"/>
      <c r="AN14" s="229"/>
      <c r="AO14" s="230"/>
      <c r="AP14" s="231"/>
      <c r="AQ14" s="229"/>
      <c r="AR14" s="232"/>
      <c r="AS14" s="233"/>
      <c r="AT14" s="234"/>
      <c r="AU14" s="136"/>
    </row>
    <row r="15" spans="1:47" ht="15.75" customHeight="1">
      <c r="A15" s="137"/>
      <c r="B15" s="192">
        <v>12</v>
      </c>
      <c r="C15" s="527" t="s">
        <v>171</v>
      </c>
      <c r="D15" s="194" t="s">
        <v>168</v>
      </c>
      <c r="E15" s="195">
        <f>IFERROR(VLOOKUP($I$22&amp;$D15,'Development-Hidden'!$C$2:$J$118,4,FALSE)-P15+AF15,"")</f>
        <v>8</v>
      </c>
      <c r="F15" s="196">
        <f>IFERROR(VLOOKUP($I$22&amp;$D15,'Development-Hidden'!$C$2:$J$118,5,FALSE)-Q15+AG15,"")</f>
        <v>2</v>
      </c>
      <c r="G15" s="196">
        <f>IFERROR(VLOOKUP($I$22&amp;$D15,'Development-Hidden'!$C$2:$J$118,6,FALSE)-R15+AH15,"")</f>
        <v>3</v>
      </c>
      <c r="H15" s="197">
        <f>IFERROR(VLOOKUP($I$22&amp;$D15,'Development-Hidden'!$C$2:$J$118,7,FALSE)-S15+AI15,"")</f>
        <v>7</v>
      </c>
      <c r="I15" s="198" t="str">
        <f>IFERROR(VLOOKUP($I$22&amp;$D15,'Development-Hidden'!$C$2:$J$118,8,FALSE),"")</f>
        <v>Dodge, Stunty</v>
      </c>
      <c r="J15" s="199" t="s">
        <v>509</v>
      </c>
      <c r="K15" s="200">
        <f t="shared" si="0"/>
        <v>1</v>
      </c>
      <c r="L15" s="201"/>
      <c r="M15" s="201"/>
      <c r="N15" s="201">
        <v>0</v>
      </c>
      <c r="O15" s="202"/>
      <c r="P15" s="203"/>
      <c r="Q15" s="204"/>
      <c r="R15" s="204"/>
      <c r="S15" s="205"/>
      <c r="T15" s="206"/>
      <c r="U15" s="207"/>
      <c r="V15" s="207">
        <v>2</v>
      </c>
      <c r="W15" s="207"/>
      <c r="X15" s="204"/>
      <c r="Y15" s="208"/>
      <c r="Z15" s="209">
        <f t="shared" si="1"/>
        <v>6</v>
      </c>
      <c r="AA15" s="531">
        <f t="shared" si="2"/>
        <v>80000</v>
      </c>
      <c r="AB15" s="136"/>
      <c r="AC15" s="210">
        <f>IFERROR(VLOOKUP($I$22&amp;D15,'Development-Hidden'!$C$2:$E$118,3,FALSE),"")</f>
        <v>60000</v>
      </c>
      <c r="AD15" s="206">
        <v>1</v>
      </c>
      <c r="AE15" s="207"/>
      <c r="AF15" s="207"/>
      <c r="AG15" s="207"/>
      <c r="AH15" s="207"/>
      <c r="AI15" s="207"/>
      <c r="AJ15" s="211"/>
      <c r="AK15" s="136"/>
      <c r="AL15" s="227" t="s">
        <v>355</v>
      </c>
      <c r="AM15" s="228"/>
      <c r="AN15" s="229"/>
      <c r="AO15" s="230"/>
      <c r="AP15" s="231"/>
      <c r="AQ15" s="229"/>
      <c r="AR15" s="232"/>
      <c r="AS15" s="233"/>
      <c r="AT15" s="234"/>
      <c r="AU15" s="136"/>
    </row>
    <row r="16" spans="1:47" ht="15.75" customHeight="1">
      <c r="A16" s="137"/>
      <c r="B16" s="192">
        <v>13</v>
      </c>
      <c r="C16" s="193" t="s">
        <v>541</v>
      </c>
      <c r="D16" s="194" t="s">
        <v>168</v>
      </c>
      <c r="E16" s="195">
        <f>IFERROR(VLOOKUP($I$22&amp;$D16,'Development-Hidden'!$C$2:$J$118,4,FALSE)-P16+AF16,"")</f>
        <v>8</v>
      </c>
      <c r="F16" s="196">
        <f>IFERROR(VLOOKUP($I$22&amp;$D16,'Development-Hidden'!$C$2:$J$118,5,FALSE)-Q16+AG16,"")</f>
        <v>2</v>
      </c>
      <c r="G16" s="196">
        <f>IFERROR(VLOOKUP($I$22&amp;$D16,'Development-Hidden'!$C$2:$J$118,6,FALSE)-R16+AH16,"")</f>
        <v>3</v>
      </c>
      <c r="H16" s="197">
        <f>IFERROR(VLOOKUP($I$22&amp;$D16,'Development-Hidden'!$C$2:$J$118,7,FALSE)-S16+AI16,"")</f>
        <v>7</v>
      </c>
      <c r="I16" s="198" t="str">
        <f>IFERROR(VLOOKUP($I$22&amp;$D16,'Development-Hidden'!$C$2:$J$118,8,FALSE),"")</f>
        <v>Dodge, Stunty</v>
      </c>
      <c r="J16" s="199"/>
      <c r="K16" s="200">
        <f t="shared" si="0"/>
        <v>0</v>
      </c>
      <c r="L16" s="201"/>
      <c r="M16" s="201"/>
      <c r="N16" s="201">
        <v>0</v>
      </c>
      <c r="O16" s="202"/>
      <c r="P16" s="203"/>
      <c r="Q16" s="204"/>
      <c r="R16" s="204"/>
      <c r="S16" s="205"/>
      <c r="T16" s="206"/>
      <c r="U16" s="207"/>
      <c r="V16" s="207"/>
      <c r="W16" s="207"/>
      <c r="X16" s="204"/>
      <c r="Y16" s="208"/>
      <c r="Z16" s="209">
        <f t="shared" si="1"/>
        <v>0</v>
      </c>
      <c r="AA16" s="531">
        <f t="shared" si="2"/>
        <v>60000</v>
      </c>
      <c r="AB16" s="136"/>
      <c r="AC16" s="210">
        <f>IFERROR(VLOOKUP($I$22&amp;D16,'Development-Hidden'!$C$2:$E$118,3,FALSE),"")</f>
        <v>60000</v>
      </c>
      <c r="AD16" s="206"/>
      <c r="AE16" s="207"/>
      <c r="AF16" s="207"/>
      <c r="AG16" s="207"/>
      <c r="AH16" s="207"/>
      <c r="AI16" s="207"/>
      <c r="AJ16" s="211"/>
      <c r="AK16" s="136"/>
      <c r="AL16" s="227" t="s">
        <v>357</v>
      </c>
      <c r="AM16" s="228"/>
      <c r="AN16" s="229"/>
      <c r="AO16" s="230"/>
      <c r="AP16" s="231"/>
      <c r="AQ16" s="229"/>
      <c r="AR16" s="232"/>
      <c r="AS16" s="233"/>
      <c r="AT16" s="234"/>
      <c r="AU16" s="136"/>
    </row>
    <row r="17" spans="1:47" ht="15.75" customHeight="1">
      <c r="A17" s="137"/>
      <c r="B17" s="192">
        <v>14</v>
      </c>
      <c r="C17" s="193" t="s">
        <v>542</v>
      </c>
      <c r="D17" s="194" t="s">
        <v>168</v>
      </c>
      <c r="E17" s="195">
        <f>IFERROR(VLOOKUP($I$22&amp;$D17,'Development-Hidden'!$C$2:$J$118,4,FALSE)-P17+AF17,"")</f>
        <v>8</v>
      </c>
      <c r="F17" s="196">
        <f>IFERROR(VLOOKUP($I$22&amp;$D17,'Development-Hidden'!$C$2:$J$118,5,FALSE)-Q17+AG17,"")</f>
        <v>2</v>
      </c>
      <c r="G17" s="196">
        <f>IFERROR(VLOOKUP($I$22&amp;$D17,'Development-Hidden'!$C$2:$J$118,6,FALSE)-R17+AH17,"")</f>
        <v>3</v>
      </c>
      <c r="H17" s="197">
        <f>IFERROR(VLOOKUP($I$22&amp;$D17,'Development-Hidden'!$C$2:$J$118,7,FALSE)-S17+AI17,"")</f>
        <v>7</v>
      </c>
      <c r="I17" s="198" t="str">
        <f>IFERROR(VLOOKUP($I$22&amp;$D17,'Development-Hidden'!$C$2:$J$118,8,FALSE),"")</f>
        <v>Dodge, Stunty</v>
      </c>
      <c r="J17" s="199"/>
      <c r="K17" s="200">
        <f t="shared" si="0"/>
        <v>0</v>
      </c>
      <c r="L17" s="201"/>
      <c r="M17" s="201"/>
      <c r="N17" s="201"/>
      <c r="O17" s="202"/>
      <c r="P17" s="203"/>
      <c r="Q17" s="204"/>
      <c r="R17" s="204"/>
      <c r="S17" s="205"/>
      <c r="T17" s="206"/>
      <c r="U17" s="207"/>
      <c r="V17" s="207"/>
      <c r="W17" s="207"/>
      <c r="X17" s="204"/>
      <c r="Y17" s="208"/>
      <c r="Z17" s="209">
        <f t="shared" si="1"/>
        <v>0</v>
      </c>
      <c r="AA17" s="531">
        <f t="shared" si="2"/>
        <v>60000</v>
      </c>
      <c r="AB17" s="136"/>
      <c r="AC17" s="210">
        <f>IFERROR(VLOOKUP($I$22&amp;D17,'Development-Hidden'!$C$2:$E$118,3,FALSE),"")</f>
        <v>60000</v>
      </c>
      <c r="AD17" s="206"/>
      <c r="AE17" s="207"/>
      <c r="AF17" s="207"/>
      <c r="AG17" s="207"/>
      <c r="AH17" s="207"/>
      <c r="AI17" s="207"/>
      <c r="AJ17" s="211"/>
      <c r="AK17" s="136"/>
      <c r="AL17" s="235" t="s">
        <v>359</v>
      </c>
      <c r="AM17" s="236"/>
      <c r="AN17" s="237"/>
      <c r="AO17" s="238"/>
      <c r="AP17" s="239"/>
      <c r="AQ17" s="237"/>
      <c r="AR17" s="240"/>
      <c r="AS17" s="241"/>
      <c r="AT17" s="242"/>
      <c r="AU17" s="136"/>
    </row>
    <row r="18" spans="1:47" ht="15.75" customHeight="1">
      <c r="A18" s="137"/>
      <c r="B18" s="192">
        <v>15</v>
      </c>
      <c r="C18" s="193"/>
      <c r="D18" s="194"/>
      <c r="E18" s="195" t="str">
        <f>IFERROR(VLOOKUP($I$22&amp;$D18,'Development-Hidden'!$C$2:$J$118,4,FALSE)-P18+AF18,"")</f>
        <v/>
      </c>
      <c r="F18" s="196" t="str">
        <f>IFERROR(VLOOKUP($I$22&amp;$D18,'Development-Hidden'!$C$2:$J$118,5,FALSE)-Q18+AG18,"")</f>
        <v/>
      </c>
      <c r="G18" s="196" t="str">
        <f>IFERROR(VLOOKUP($I$22&amp;$D18,'Development-Hidden'!$C$2:$J$118,6,FALSE)-R18+AH18,"")</f>
        <v/>
      </c>
      <c r="H18" s="197" t="str">
        <f>IFERROR(VLOOKUP($I$22&amp;$D18,'Development-Hidden'!$C$2:$J$118,7,FALSE)-S18+AI18,"")</f>
        <v/>
      </c>
      <c r="I18" s="198" t="str">
        <f>IFERROR(VLOOKUP($I$22&amp;$D18,'Development-Hidden'!$C$2:$J$118,8,FALSE),"")</f>
        <v/>
      </c>
      <c r="J18" s="199"/>
      <c r="K18" s="200">
        <f t="shared" si="0"/>
        <v>0</v>
      </c>
      <c r="L18" s="201"/>
      <c r="M18" s="201"/>
      <c r="N18" s="201"/>
      <c r="O18" s="202"/>
      <c r="P18" s="203"/>
      <c r="Q18" s="204"/>
      <c r="R18" s="204"/>
      <c r="S18" s="205"/>
      <c r="T18" s="206"/>
      <c r="U18" s="207"/>
      <c r="V18" s="207"/>
      <c r="W18" s="207"/>
      <c r="X18" s="204"/>
      <c r="Y18" s="208"/>
      <c r="Z18" s="209">
        <f t="shared" si="1"/>
        <v>0</v>
      </c>
      <c r="AA18" s="531">
        <f t="shared" si="2"/>
        <v>0</v>
      </c>
      <c r="AB18" s="136"/>
      <c r="AC18" s="210" t="str">
        <f>IFERROR(VLOOKUP($I$22&amp;D18,'Development-Hidden'!$C$2:$E$118,3,FALSE),"0")</f>
        <v>0</v>
      </c>
      <c r="AD18" s="206"/>
      <c r="AE18" s="207"/>
      <c r="AF18" s="207"/>
      <c r="AG18" s="207"/>
      <c r="AH18" s="207"/>
      <c r="AI18" s="207"/>
      <c r="AJ18" s="211"/>
      <c r="AK18" s="136"/>
      <c r="AL18" s="243" t="s">
        <v>219</v>
      </c>
      <c r="AM18" s="244">
        <f>AM4+SUM(AM6:AM17)-SUM(AN6:AN17)-SUM(AO6:AO17)</f>
        <v>250000</v>
      </c>
      <c r="AN18" s="136"/>
      <c r="AO18" s="136"/>
      <c r="AP18" s="189"/>
      <c r="AQ18" s="243" t="s">
        <v>219</v>
      </c>
      <c r="AR18" s="245">
        <f t="shared" ref="AR18:AS18" si="3">SUM(AR6:AR17)</f>
        <v>14</v>
      </c>
      <c r="AS18" s="246">
        <f t="shared" si="3"/>
        <v>20</v>
      </c>
      <c r="AT18" s="247">
        <f>AT4+SUM(AT6:AT17)</f>
        <v>7</v>
      </c>
      <c r="AU18" s="140"/>
    </row>
    <row r="19" spans="1:47" ht="15.75" customHeight="1">
      <c r="A19" s="137"/>
      <c r="B19" s="248">
        <v>16</v>
      </c>
      <c r="C19" s="249"/>
      <c r="D19" s="250"/>
      <c r="E19" s="251" t="str">
        <f>IFERROR(VLOOKUP($I$22&amp;$D19,'Development-Hidden'!$C$2:$J$118,4,FALSE)-P19+AF19,"")</f>
        <v/>
      </c>
      <c r="F19" s="252" t="str">
        <f>IFERROR(VLOOKUP($I$22&amp;$D19,'Development-Hidden'!$C$2:$J$118,5,FALSE)-Q19+AG19,"")</f>
        <v/>
      </c>
      <c r="G19" s="252" t="str">
        <f>IFERROR(VLOOKUP($I$22&amp;$D19,'Development-Hidden'!$C$2:$J$118,6,FALSE)-R19+AH19,"")</f>
        <v/>
      </c>
      <c r="H19" s="253" t="str">
        <f>IFERROR(VLOOKUP($I$22&amp;$D19,'Development-Hidden'!$C$2:$J$118,7,FALSE)-S19+AI19,"")</f>
        <v/>
      </c>
      <c r="I19" s="254" t="str">
        <f>IFERROR(VLOOKUP($I$22&amp;$D19,'Development-Hidden'!$C$2:$J$118,8,FALSE),"")</f>
        <v/>
      </c>
      <c r="J19" s="255"/>
      <c r="K19" s="256">
        <f t="shared" si="0"/>
        <v>0</v>
      </c>
      <c r="L19" s="257"/>
      <c r="M19" s="257"/>
      <c r="N19" s="257"/>
      <c r="O19" s="258"/>
      <c r="P19" s="259"/>
      <c r="Q19" s="260"/>
      <c r="R19" s="260"/>
      <c r="S19" s="261"/>
      <c r="T19" s="262"/>
      <c r="U19" s="263"/>
      <c r="V19" s="263"/>
      <c r="W19" s="263"/>
      <c r="X19" s="260"/>
      <c r="Y19" s="264"/>
      <c r="Z19" s="265">
        <f t="shared" si="1"/>
        <v>0</v>
      </c>
      <c r="AA19" s="531">
        <f t="shared" si="2"/>
        <v>0</v>
      </c>
      <c r="AB19" s="136"/>
      <c r="AC19" s="210" t="str">
        <f>IFERROR(VLOOKUP($I$22&amp;D19,'Development-Hidden'!$C$2:$E$118,3,FALSE),"0")</f>
        <v>0</v>
      </c>
      <c r="AD19" s="267"/>
      <c r="AE19" s="268"/>
      <c r="AF19" s="268"/>
      <c r="AG19" s="268"/>
      <c r="AH19" s="268"/>
      <c r="AI19" s="268"/>
      <c r="AJ19" s="269"/>
      <c r="AK19" s="136"/>
    </row>
    <row r="20" spans="1:47" ht="15.75" customHeight="1">
      <c r="A20" s="137"/>
      <c r="B20" s="571"/>
      <c r="C20" s="572"/>
      <c r="D20" s="573"/>
      <c r="E20" s="586" t="s">
        <v>364</v>
      </c>
      <c r="F20" s="587"/>
      <c r="G20" s="587"/>
      <c r="H20" s="587"/>
      <c r="I20" s="587"/>
      <c r="J20" s="587"/>
      <c r="K20" s="587"/>
      <c r="L20" s="587"/>
      <c r="M20" s="587"/>
      <c r="N20" s="587"/>
      <c r="O20" s="587"/>
      <c r="P20" s="587"/>
      <c r="Q20" s="587"/>
      <c r="R20" s="587"/>
      <c r="S20" s="587"/>
      <c r="T20" s="587"/>
      <c r="U20" s="587"/>
      <c r="V20" s="587"/>
      <c r="W20" s="587"/>
      <c r="X20" s="587"/>
      <c r="Y20" s="587"/>
      <c r="Z20" s="588"/>
      <c r="AA20" s="270">
        <f>SUM(AA4:AA19)</f>
        <v>1560000</v>
      </c>
      <c r="AB20" s="136"/>
      <c r="AC20" s="136"/>
      <c r="AD20" s="136"/>
      <c r="AE20" s="136"/>
      <c r="AF20" s="136"/>
      <c r="AG20" s="136"/>
      <c r="AH20" s="136"/>
      <c r="AI20" s="136"/>
      <c r="AJ20" s="136"/>
      <c r="AK20" s="136"/>
      <c r="AL20" s="189"/>
      <c r="AM20" s="189"/>
      <c r="AN20" s="189"/>
      <c r="AO20" s="189"/>
      <c r="AP20" s="189"/>
      <c r="AQ20" s="189"/>
      <c r="AR20" s="189"/>
      <c r="AS20" s="189"/>
      <c r="AT20" s="189"/>
      <c r="AU20" s="189"/>
    </row>
    <row r="21" spans="1:47" ht="15.75" customHeight="1">
      <c r="A21" s="137"/>
      <c r="B21" s="574"/>
      <c r="C21" s="575"/>
      <c r="D21" s="576"/>
      <c r="E21" s="580" t="s">
        <v>365</v>
      </c>
      <c r="F21" s="581"/>
      <c r="G21" s="581"/>
      <c r="H21" s="581"/>
      <c r="I21" s="589" t="s">
        <v>10</v>
      </c>
      <c r="J21" s="581"/>
      <c r="K21" s="590"/>
      <c r="L21" s="584" t="s">
        <v>366</v>
      </c>
      <c r="M21" s="581"/>
      <c r="N21" s="581"/>
      <c r="O21" s="581"/>
      <c r="P21" s="581"/>
      <c r="Q21" s="581"/>
      <c r="R21" s="581"/>
      <c r="S21" s="585"/>
      <c r="T21" s="271">
        <v>4</v>
      </c>
      <c r="U21" s="272" t="s">
        <v>220</v>
      </c>
      <c r="V21" s="580">
        <f>IFERROR(VLOOKUP(I22,'Development-Hidden'!N2:O28,2,FALSE),"")</f>
        <v>60000</v>
      </c>
      <c r="W21" s="581"/>
      <c r="X21" s="581"/>
      <c r="Y21" s="581"/>
      <c r="Z21" s="590"/>
      <c r="AA21" s="273">
        <f t="shared" ref="AA21:AA25" si="4">T21*V21</f>
        <v>240000</v>
      </c>
      <c r="AB21" s="136"/>
      <c r="AC21" s="136"/>
      <c r="AD21" s="136"/>
      <c r="AE21" s="136"/>
      <c r="AF21" s="136"/>
      <c r="AG21" s="136"/>
      <c r="AH21" s="136"/>
      <c r="AI21" s="136"/>
      <c r="AJ21" s="136"/>
      <c r="AK21" s="136"/>
      <c r="AL21" s="604" t="s">
        <v>367</v>
      </c>
      <c r="AM21" s="588"/>
      <c r="AN21" s="136"/>
      <c r="AO21" s="136"/>
      <c r="AP21" s="136"/>
      <c r="AQ21" s="136"/>
      <c r="AR21" s="136"/>
      <c r="AS21" s="136"/>
      <c r="AT21" s="136"/>
      <c r="AU21" s="136"/>
    </row>
    <row r="22" spans="1:47" ht="15.75" customHeight="1">
      <c r="A22" s="137"/>
      <c r="B22" s="574"/>
      <c r="C22" s="575"/>
      <c r="D22" s="576"/>
      <c r="E22" s="582" t="s">
        <v>368</v>
      </c>
      <c r="F22" s="583"/>
      <c r="G22" s="583"/>
      <c r="H22" s="583"/>
      <c r="I22" s="598" t="s">
        <v>547</v>
      </c>
      <c r="J22" s="583"/>
      <c r="K22" s="597"/>
      <c r="L22" s="591" t="s">
        <v>369</v>
      </c>
      <c r="M22" s="583"/>
      <c r="N22" s="583"/>
      <c r="O22" s="583"/>
      <c r="P22" s="583"/>
      <c r="Q22" s="583"/>
      <c r="R22" s="583"/>
      <c r="S22" s="592"/>
      <c r="T22" s="274">
        <f>AT18</f>
        <v>7</v>
      </c>
      <c r="U22" s="275" t="s">
        <v>220</v>
      </c>
      <c r="V22" s="582">
        <v>10000</v>
      </c>
      <c r="W22" s="583"/>
      <c r="X22" s="583"/>
      <c r="Y22" s="583"/>
      <c r="Z22" s="597"/>
      <c r="AA22" s="276">
        <f t="shared" si="4"/>
        <v>70000</v>
      </c>
      <c r="AB22" s="136"/>
      <c r="AC22" s="136"/>
      <c r="AD22" s="136"/>
      <c r="AE22" s="136"/>
      <c r="AF22" s="136"/>
      <c r="AG22" s="136"/>
      <c r="AH22" s="136"/>
      <c r="AI22" s="136"/>
      <c r="AJ22" s="136"/>
      <c r="AK22" s="136"/>
      <c r="AL22" s="277" t="s">
        <v>370</v>
      </c>
      <c r="AM22" s="278">
        <f>AM18</f>
        <v>250000</v>
      </c>
      <c r="AN22" s="136"/>
      <c r="AO22" s="136"/>
      <c r="AP22" s="136"/>
      <c r="AQ22" s="136"/>
      <c r="AR22" s="136"/>
      <c r="AS22" s="136"/>
      <c r="AT22" s="136"/>
      <c r="AU22" s="136"/>
    </row>
    <row r="23" spans="1:47" ht="15.75" customHeight="1">
      <c r="A23" s="137"/>
      <c r="B23" s="574"/>
      <c r="C23" s="575"/>
      <c r="D23" s="576"/>
      <c r="E23" s="582" t="str">
        <f>IFERROR(IF(VLOOKUP(I22,'Development-Hidden'!X2:Y28,2,FALSE)="Yes","NECROMANCER","HEAD COACH"),"HEAD COACH")</f>
        <v>HEAD COACH</v>
      </c>
      <c r="F23" s="583"/>
      <c r="G23" s="583"/>
      <c r="H23" s="583"/>
      <c r="I23" s="598" t="s">
        <v>548</v>
      </c>
      <c r="J23" s="583"/>
      <c r="K23" s="597"/>
      <c r="L23" s="591" t="s">
        <v>371</v>
      </c>
      <c r="M23" s="583"/>
      <c r="N23" s="583"/>
      <c r="O23" s="583"/>
      <c r="P23" s="583"/>
      <c r="Q23" s="583"/>
      <c r="R23" s="583"/>
      <c r="S23" s="592"/>
      <c r="T23" s="274">
        <v>0</v>
      </c>
      <c r="U23" s="275" t="s">
        <v>220</v>
      </c>
      <c r="V23" s="582">
        <v>10000</v>
      </c>
      <c r="W23" s="583"/>
      <c r="X23" s="583"/>
      <c r="Y23" s="583"/>
      <c r="Z23" s="597"/>
      <c r="AA23" s="276">
        <f t="shared" si="4"/>
        <v>0</v>
      </c>
      <c r="AB23" s="136"/>
      <c r="AC23" s="136"/>
      <c r="AD23" s="136"/>
      <c r="AE23" s="136"/>
      <c r="AF23" s="136"/>
      <c r="AG23" s="136"/>
      <c r="AH23" s="136"/>
      <c r="AI23" s="136"/>
      <c r="AJ23" s="136"/>
      <c r="AK23" s="136"/>
      <c r="AL23" s="279" t="s">
        <v>372</v>
      </c>
      <c r="AM23" s="280">
        <f>COUNTA(AP6:AP17)*10000</f>
        <v>80000</v>
      </c>
      <c r="AN23" s="136"/>
      <c r="AO23" s="136"/>
      <c r="AP23" s="136"/>
      <c r="AQ23" s="136"/>
      <c r="AR23" s="136"/>
      <c r="AS23" s="136"/>
      <c r="AT23" s="136"/>
      <c r="AU23" s="136"/>
    </row>
    <row r="24" spans="1:47" ht="15.75" customHeight="1">
      <c r="A24" s="137"/>
      <c r="B24" s="574"/>
      <c r="C24" s="575"/>
      <c r="D24" s="576"/>
      <c r="E24" s="582" t="s">
        <v>373</v>
      </c>
      <c r="F24" s="583"/>
      <c r="G24" s="583"/>
      <c r="H24" s="583"/>
      <c r="I24" s="599">
        <f>AA20+AA26</f>
        <v>1920000</v>
      </c>
      <c r="J24" s="583"/>
      <c r="K24" s="597"/>
      <c r="L24" s="591" t="s">
        <v>375</v>
      </c>
      <c r="M24" s="583"/>
      <c r="N24" s="583"/>
      <c r="O24" s="583"/>
      <c r="P24" s="583"/>
      <c r="Q24" s="583"/>
      <c r="R24" s="583"/>
      <c r="S24" s="592"/>
      <c r="T24" s="274">
        <v>0</v>
      </c>
      <c r="U24" s="275" t="s">
        <v>220</v>
      </c>
      <c r="V24" s="582">
        <v>10000</v>
      </c>
      <c r="W24" s="583"/>
      <c r="X24" s="583"/>
      <c r="Y24" s="583"/>
      <c r="Z24" s="597"/>
      <c r="AA24" s="276">
        <f t="shared" si="4"/>
        <v>0</v>
      </c>
      <c r="AB24" s="136"/>
      <c r="AC24" s="136"/>
      <c r="AD24" s="136"/>
      <c r="AE24" s="136"/>
      <c r="AF24" s="136"/>
      <c r="AG24" s="136"/>
      <c r="AH24" s="136"/>
      <c r="AI24" s="136"/>
      <c r="AJ24" s="136"/>
      <c r="AK24" s="136"/>
      <c r="AL24" s="279" t="s">
        <v>33</v>
      </c>
      <c r="AM24" s="280">
        <f>AR18*5000</f>
        <v>70000</v>
      </c>
      <c r="AN24" s="136"/>
      <c r="AO24" s="136"/>
      <c r="AP24" s="136"/>
      <c r="AQ24" s="136"/>
      <c r="AR24" s="136"/>
      <c r="AS24" s="136"/>
      <c r="AT24" s="136"/>
      <c r="AU24" s="136"/>
    </row>
    <row r="25" spans="1:47" ht="15.75" customHeight="1">
      <c r="A25" s="137"/>
      <c r="B25" s="574"/>
      <c r="C25" s="575"/>
      <c r="D25" s="576"/>
      <c r="E25" s="595" t="s">
        <v>376</v>
      </c>
      <c r="F25" s="594"/>
      <c r="G25" s="594"/>
      <c r="H25" s="596"/>
      <c r="I25" s="600">
        <f>AM18</f>
        <v>250000</v>
      </c>
      <c r="J25" s="594"/>
      <c r="K25" s="596"/>
      <c r="L25" s="593" t="str">
        <f>IFERROR(IF(VLOOKUP(I22,'Development-Hidden'!X2:Y28,1,FALSE)&lt;&gt;"","",""),"APOTHECARY")</f>
        <v>APOTHECARY</v>
      </c>
      <c r="M25" s="594"/>
      <c r="N25" s="594"/>
      <c r="O25" s="594"/>
      <c r="P25" s="594"/>
      <c r="Q25" s="594"/>
      <c r="R25" s="594"/>
      <c r="S25" s="594"/>
      <c r="T25" s="281">
        <v>1</v>
      </c>
      <c r="U25" s="275" t="str">
        <f>IF(L25&lt;&gt;"","x","")</f>
        <v>x</v>
      </c>
      <c r="V25" s="595">
        <f>IF(L25&lt;&gt;"",50000,"")</f>
        <v>50000</v>
      </c>
      <c r="W25" s="594"/>
      <c r="X25" s="594"/>
      <c r="Y25" s="594"/>
      <c r="Z25" s="596"/>
      <c r="AA25" s="276">
        <f t="shared" si="4"/>
        <v>50000</v>
      </c>
      <c r="AB25" s="136"/>
      <c r="AC25" s="136"/>
      <c r="AD25" s="136"/>
      <c r="AE25" s="136"/>
      <c r="AF25" s="136"/>
      <c r="AG25" s="136"/>
      <c r="AH25" s="136"/>
      <c r="AI25" s="136"/>
      <c r="AJ25" s="136"/>
      <c r="AK25" s="136"/>
      <c r="AL25" s="282" t="s">
        <v>34</v>
      </c>
      <c r="AM25" s="283">
        <f>AS18*5000</f>
        <v>100000</v>
      </c>
      <c r="AN25" s="136"/>
      <c r="AO25" s="136"/>
      <c r="AP25" s="136"/>
      <c r="AQ25" s="136"/>
      <c r="AR25" s="136"/>
      <c r="AS25" s="136"/>
      <c r="AT25" s="136"/>
      <c r="AU25" s="136"/>
    </row>
    <row r="26" spans="1:47" ht="15.75" customHeight="1">
      <c r="A26" s="137"/>
      <c r="B26" s="577"/>
      <c r="C26" s="578"/>
      <c r="D26" s="579"/>
      <c r="E26" s="586" t="s">
        <v>379</v>
      </c>
      <c r="F26" s="587"/>
      <c r="G26" s="587"/>
      <c r="H26" s="587"/>
      <c r="I26" s="587"/>
      <c r="J26" s="587"/>
      <c r="K26" s="587"/>
      <c r="L26" s="587"/>
      <c r="M26" s="587"/>
      <c r="N26" s="587"/>
      <c r="O26" s="587"/>
      <c r="P26" s="587"/>
      <c r="Q26" s="587"/>
      <c r="R26" s="587"/>
      <c r="S26" s="587"/>
      <c r="T26" s="587"/>
      <c r="U26" s="587"/>
      <c r="V26" s="587"/>
      <c r="W26" s="587"/>
      <c r="X26" s="587"/>
      <c r="Y26" s="587"/>
      <c r="Z26" s="588"/>
      <c r="AA26" s="270">
        <f>SUM(AA21:AA25)</f>
        <v>360000</v>
      </c>
      <c r="AB26" s="136"/>
      <c r="AC26" s="136"/>
      <c r="AD26" s="136"/>
      <c r="AE26" s="136"/>
      <c r="AF26" s="136"/>
      <c r="AG26" s="136"/>
      <c r="AH26" s="136"/>
      <c r="AI26" s="136"/>
      <c r="AJ26" s="136"/>
      <c r="AK26" s="136"/>
      <c r="AL26" s="284" t="s">
        <v>219</v>
      </c>
      <c r="AM26" s="285">
        <f>SUM(AM22:AM25)</f>
        <v>500000</v>
      </c>
      <c r="AN26" s="136"/>
      <c r="AO26" s="136"/>
      <c r="AP26" s="136"/>
      <c r="AQ26" s="136"/>
      <c r="AR26" s="136"/>
      <c r="AS26" s="136"/>
      <c r="AT26" s="136"/>
      <c r="AU26" s="136"/>
    </row>
    <row r="27" spans="1:47" ht="8.25" customHeight="1">
      <c r="A27" s="136"/>
      <c r="B27" s="140"/>
      <c r="C27" s="286"/>
      <c r="D27" s="286"/>
      <c r="E27" s="287"/>
      <c r="F27" s="136"/>
      <c r="G27" s="136"/>
      <c r="H27" s="136"/>
      <c r="I27" s="288"/>
      <c r="J27" s="289"/>
      <c r="K27" s="136"/>
      <c r="L27" s="290"/>
      <c r="M27" s="290"/>
      <c r="N27" s="290"/>
      <c r="O27" s="290"/>
      <c r="P27" s="290"/>
      <c r="Q27" s="290"/>
      <c r="R27" s="290"/>
      <c r="S27" s="290"/>
      <c r="T27" s="291"/>
      <c r="U27" s="292"/>
      <c r="V27" s="143"/>
      <c r="W27" s="293"/>
      <c r="X27" s="293"/>
      <c r="Y27" s="293"/>
      <c r="Z27" s="293"/>
      <c r="AA27" s="294"/>
      <c r="AB27" s="136"/>
      <c r="AC27" s="136"/>
      <c r="AD27" s="136"/>
      <c r="AE27" s="136"/>
      <c r="AF27" s="136"/>
      <c r="AG27" s="136"/>
      <c r="AH27" s="136"/>
      <c r="AI27" s="136"/>
      <c r="AJ27" s="136"/>
      <c r="AK27" s="136"/>
      <c r="AL27" s="136"/>
      <c r="AM27" s="136"/>
      <c r="AN27" s="136"/>
      <c r="AO27" s="136"/>
      <c r="AP27" s="136"/>
      <c r="AQ27" s="136"/>
      <c r="AR27" s="136"/>
      <c r="AS27" s="136"/>
      <c r="AT27" s="136"/>
      <c r="AU27" s="136"/>
    </row>
    <row r="28" spans="1:47" ht="17.25" hidden="1" customHeight="1">
      <c r="A28" s="295"/>
      <c r="B28" s="296"/>
      <c r="C28" s="297">
        <f>MATCH(I22,'Development-Hidden'!A2:A118,0)</f>
        <v>61</v>
      </c>
      <c r="D28" s="297" t="str">
        <f t="array" ref="D28">IFERROR(IF(INDEX('Development-Hidden'!$A$2:$B$118,$C28,1)=$I$22,INDEX('Development-Hidden'!$A$2:$B$118,$C28,2),""),"")</f>
        <v>Skink</v>
      </c>
      <c r="E28" s="298"/>
      <c r="F28" s="298"/>
      <c r="G28" s="298"/>
      <c r="H28" s="298"/>
      <c r="I28" s="298"/>
      <c r="J28" s="299"/>
      <c r="K28" s="295"/>
      <c r="L28" s="300"/>
      <c r="M28" s="300"/>
      <c r="N28" s="300"/>
      <c r="O28" s="300"/>
      <c r="P28" s="300"/>
      <c r="Q28" s="300"/>
      <c r="R28" s="300"/>
      <c r="S28" s="300"/>
      <c r="T28" s="301"/>
      <c r="U28" s="302"/>
      <c r="V28" s="301"/>
      <c r="W28" s="303"/>
      <c r="X28" s="303"/>
      <c r="Y28" s="303"/>
      <c r="Z28" s="303"/>
      <c r="AA28" s="298"/>
      <c r="AB28" s="295"/>
      <c r="AC28" s="295"/>
      <c r="AD28" s="295"/>
      <c r="AE28" s="295"/>
      <c r="AF28" s="295"/>
      <c r="AG28" s="295"/>
      <c r="AH28" s="295"/>
      <c r="AI28" s="295"/>
      <c r="AJ28" s="295"/>
      <c r="AK28" s="295"/>
      <c r="AL28" s="295"/>
      <c r="AM28" s="295"/>
      <c r="AN28" s="295"/>
      <c r="AO28" s="295"/>
      <c r="AP28" s="295"/>
      <c r="AQ28" s="295"/>
      <c r="AR28" s="295"/>
      <c r="AS28" s="295"/>
      <c r="AT28" s="295"/>
      <c r="AU28" s="295"/>
    </row>
    <row r="29" spans="1:47" ht="17.25" hidden="1" customHeight="1">
      <c r="A29" s="295"/>
      <c r="B29" s="296"/>
      <c r="C29" s="297">
        <f t="shared" ref="C29:C37" si="5">C28+1</f>
        <v>62</v>
      </c>
      <c r="D29" s="297" t="str">
        <f t="array" ref="D29">IFERROR(IF(INDEX('Development-Hidden'!$A$2:$B$118,$C29,1)=$I$22,INDEX('Development-Hidden'!$A$2:$B$118,$C29,2),""),"")</f>
        <v>Saurus</v>
      </c>
      <c r="E29" s="298"/>
      <c r="F29" s="298"/>
      <c r="G29" s="298"/>
      <c r="H29" s="298"/>
      <c r="I29" s="298"/>
      <c r="J29" s="299"/>
      <c r="K29" s="295"/>
      <c r="L29" s="300"/>
      <c r="M29" s="300"/>
      <c r="N29" s="300"/>
      <c r="O29" s="300"/>
      <c r="P29" s="300"/>
      <c r="Q29" s="300"/>
      <c r="R29" s="300"/>
      <c r="S29" s="300"/>
      <c r="T29" s="301"/>
      <c r="U29" s="302"/>
      <c r="V29" s="301"/>
      <c r="W29" s="303"/>
      <c r="X29" s="303"/>
      <c r="Y29" s="303"/>
      <c r="Z29" s="303"/>
      <c r="AA29" s="298"/>
      <c r="AB29" s="295"/>
      <c r="AC29" s="295"/>
      <c r="AD29" s="295"/>
      <c r="AE29" s="295"/>
      <c r="AF29" s="295"/>
      <c r="AG29" s="295"/>
      <c r="AH29" s="295"/>
      <c r="AI29" s="295"/>
      <c r="AJ29" s="295"/>
      <c r="AK29" s="295"/>
      <c r="AL29" s="295"/>
      <c r="AM29" s="295"/>
      <c r="AN29" s="295"/>
      <c r="AO29" s="295"/>
      <c r="AP29" s="295"/>
      <c r="AQ29" s="295"/>
      <c r="AR29" s="295"/>
      <c r="AS29" s="295"/>
      <c r="AT29" s="295"/>
      <c r="AU29" s="295"/>
    </row>
    <row r="30" spans="1:47" ht="17.25" hidden="1" customHeight="1">
      <c r="A30" s="295"/>
      <c r="B30" s="296"/>
      <c r="C30" s="297">
        <f t="shared" si="5"/>
        <v>63</v>
      </c>
      <c r="D30" s="297" t="str">
        <f t="array" ref="D30">IFERROR(IF(INDEX('Development-Hidden'!$A$2:$B$118,$C30,1)=$I$22,INDEX('Development-Hidden'!$A$2:$B$118,$C30,2),""),"")</f>
        <v>Kroxigor</v>
      </c>
      <c r="E30" s="298"/>
      <c r="F30" s="298"/>
      <c r="G30" s="298"/>
      <c r="H30" s="298"/>
      <c r="I30" s="298"/>
      <c r="J30" s="299"/>
      <c r="K30" s="295"/>
      <c r="L30" s="300"/>
      <c r="M30" s="300"/>
      <c r="N30" s="300"/>
      <c r="O30" s="300"/>
      <c r="P30" s="300"/>
      <c r="Q30" s="300"/>
      <c r="R30" s="300"/>
      <c r="S30" s="300"/>
      <c r="T30" s="301"/>
      <c r="U30" s="302"/>
      <c r="V30" s="301"/>
      <c r="W30" s="303"/>
      <c r="X30" s="303"/>
      <c r="Y30" s="303"/>
      <c r="Z30" s="303"/>
      <c r="AA30" s="298"/>
      <c r="AB30" s="295"/>
      <c r="AC30" s="295"/>
      <c r="AD30" s="295"/>
      <c r="AE30" s="295"/>
      <c r="AF30" s="295"/>
      <c r="AG30" s="295"/>
      <c r="AH30" s="295"/>
      <c r="AI30" s="295"/>
      <c r="AJ30" s="295"/>
      <c r="AK30" s="295"/>
      <c r="AL30" s="295"/>
      <c r="AM30" s="295"/>
      <c r="AN30" s="295"/>
      <c r="AO30" s="295"/>
      <c r="AP30" s="295"/>
      <c r="AQ30" s="295"/>
      <c r="AR30" s="295"/>
      <c r="AS30" s="295"/>
      <c r="AT30" s="295"/>
      <c r="AU30" s="295"/>
    </row>
    <row r="31" spans="1:47" ht="17.25" hidden="1" customHeight="1">
      <c r="A31" s="295"/>
      <c r="B31" s="296"/>
      <c r="C31" s="297">
        <f t="shared" si="5"/>
        <v>64</v>
      </c>
      <c r="D31" s="297" t="str">
        <f t="array" ref="D31">IFERROR(IF(INDEX('Development-Hidden'!$A$2:$B$118,$C31,1)=$I$22,INDEX('Development-Hidden'!$A$2:$B$118,$C31,2),""),"")</f>
        <v/>
      </c>
      <c r="E31" s="298"/>
      <c r="F31" s="298"/>
      <c r="G31" s="298"/>
      <c r="H31" s="298"/>
      <c r="I31" s="298"/>
      <c r="J31" s="299"/>
      <c r="K31" s="295"/>
      <c r="L31" s="300"/>
      <c r="M31" s="300"/>
      <c r="N31" s="300"/>
      <c r="O31" s="300"/>
      <c r="P31" s="300"/>
      <c r="Q31" s="300"/>
      <c r="R31" s="300"/>
      <c r="S31" s="300"/>
      <c r="T31" s="301"/>
      <c r="U31" s="302"/>
      <c r="V31" s="301"/>
      <c r="W31" s="303"/>
      <c r="X31" s="303"/>
      <c r="Y31" s="303"/>
      <c r="Z31" s="303"/>
      <c r="AA31" s="298"/>
      <c r="AB31" s="295"/>
      <c r="AC31" s="295"/>
      <c r="AD31" s="295"/>
      <c r="AE31" s="295"/>
      <c r="AF31" s="295"/>
      <c r="AG31" s="295"/>
      <c r="AH31" s="295"/>
      <c r="AI31" s="295"/>
      <c r="AJ31" s="295"/>
      <c r="AK31" s="295"/>
      <c r="AL31" s="295"/>
      <c r="AM31" s="295"/>
      <c r="AN31" s="295"/>
      <c r="AO31" s="295"/>
      <c r="AP31" s="295"/>
      <c r="AQ31" s="295"/>
      <c r="AR31" s="295"/>
      <c r="AS31" s="295"/>
      <c r="AT31" s="295"/>
      <c r="AU31" s="295"/>
    </row>
    <row r="32" spans="1:47" ht="17.25" hidden="1" customHeight="1">
      <c r="A32" s="295"/>
      <c r="B32" s="296"/>
      <c r="C32" s="297">
        <f t="shared" si="5"/>
        <v>65</v>
      </c>
      <c r="D32" s="297" t="str">
        <f t="array" ref="D32">IFERROR(IF(INDEX('Development-Hidden'!$A$2:$B$118,$C32,1)=$I$22,INDEX('Development-Hidden'!$A$2:$B$118,$C32,2),""),"")</f>
        <v/>
      </c>
      <c r="E32" s="298"/>
      <c r="F32" s="298"/>
      <c r="G32" s="298"/>
      <c r="H32" s="298"/>
      <c r="I32" s="298"/>
      <c r="J32" s="299"/>
      <c r="K32" s="295"/>
      <c r="L32" s="300"/>
      <c r="M32" s="300"/>
      <c r="N32" s="300"/>
      <c r="O32" s="300"/>
      <c r="P32" s="300"/>
      <c r="Q32" s="300"/>
      <c r="R32" s="300"/>
      <c r="S32" s="300"/>
      <c r="T32" s="301"/>
      <c r="U32" s="302"/>
      <c r="V32" s="301"/>
      <c r="W32" s="303"/>
      <c r="X32" s="303"/>
      <c r="Y32" s="303"/>
      <c r="Z32" s="303"/>
      <c r="AA32" s="298"/>
      <c r="AB32" s="295"/>
      <c r="AC32" s="295"/>
      <c r="AD32" s="295"/>
      <c r="AE32" s="295"/>
      <c r="AF32" s="295"/>
      <c r="AG32" s="295"/>
      <c r="AH32" s="295"/>
      <c r="AI32" s="295"/>
      <c r="AJ32" s="295"/>
      <c r="AK32" s="295"/>
      <c r="AL32" s="295"/>
      <c r="AM32" s="295"/>
      <c r="AN32" s="295"/>
      <c r="AO32" s="295"/>
      <c r="AP32" s="295"/>
      <c r="AQ32" s="295"/>
      <c r="AR32" s="295"/>
      <c r="AS32" s="295"/>
      <c r="AT32" s="295"/>
      <c r="AU32" s="295"/>
    </row>
    <row r="33" spans="1:47" ht="17.25" hidden="1" customHeight="1">
      <c r="A33" s="295"/>
      <c r="B33" s="296"/>
      <c r="C33" s="297">
        <f t="shared" si="5"/>
        <v>66</v>
      </c>
      <c r="D33" s="297" t="str">
        <f t="array" ref="D33">IFERROR(IF(INDEX('Development-Hidden'!$A$2:$B$118,$C33,1)=$I$22,INDEX('Development-Hidden'!$A$2:$B$118,$C33,2),""),"")</f>
        <v/>
      </c>
      <c r="E33" s="298"/>
      <c r="F33" s="298"/>
      <c r="G33" s="298"/>
      <c r="H33" s="298"/>
      <c r="I33" s="298"/>
      <c r="J33" s="299"/>
      <c r="K33" s="295"/>
      <c r="L33" s="300"/>
      <c r="M33" s="300"/>
      <c r="N33" s="300"/>
      <c r="O33" s="300"/>
      <c r="P33" s="300"/>
      <c r="Q33" s="300"/>
      <c r="R33" s="300"/>
      <c r="S33" s="300"/>
      <c r="T33" s="301"/>
      <c r="U33" s="302"/>
      <c r="V33" s="301"/>
      <c r="W33" s="303"/>
      <c r="X33" s="303"/>
      <c r="Y33" s="303"/>
      <c r="Z33" s="303"/>
      <c r="AA33" s="298"/>
      <c r="AB33" s="295"/>
      <c r="AC33" s="295"/>
      <c r="AD33" s="295"/>
      <c r="AE33" s="295"/>
      <c r="AF33" s="295"/>
      <c r="AG33" s="295"/>
      <c r="AH33" s="295"/>
      <c r="AI33" s="295"/>
      <c r="AJ33" s="295"/>
      <c r="AK33" s="295"/>
      <c r="AL33" s="295"/>
      <c r="AM33" s="295"/>
      <c r="AN33" s="295"/>
      <c r="AO33" s="295"/>
      <c r="AP33" s="295"/>
      <c r="AQ33" s="295"/>
      <c r="AR33" s="295"/>
      <c r="AS33" s="295"/>
      <c r="AT33" s="295"/>
      <c r="AU33" s="295"/>
    </row>
    <row r="34" spans="1:47" ht="17.25" hidden="1" customHeight="1">
      <c r="A34" s="295"/>
      <c r="B34" s="296"/>
      <c r="C34" s="297">
        <f t="shared" si="5"/>
        <v>67</v>
      </c>
      <c r="D34" s="297" t="str">
        <f t="array" ref="D34">IFERROR(IF(INDEX('Development-Hidden'!$A$2:$B$118,$C34,1)=$I$22,INDEX('Development-Hidden'!$A$2:$B$118,$C34,2),""),"")</f>
        <v/>
      </c>
      <c r="E34" s="298"/>
      <c r="F34" s="298"/>
      <c r="G34" s="298"/>
      <c r="H34" s="298"/>
      <c r="I34" s="298"/>
      <c r="J34" s="299"/>
      <c r="K34" s="295"/>
      <c r="L34" s="300"/>
      <c r="M34" s="300"/>
      <c r="N34" s="300"/>
      <c r="O34" s="300"/>
      <c r="P34" s="300"/>
      <c r="Q34" s="300"/>
      <c r="R34" s="300"/>
      <c r="S34" s="300"/>
      <c r="T34" s="301"/>
      <c r="U34" s="302"/>
      <c r="V34" s="301"/>
      <c r="W34" s="303"/>
      <c r="X34" s="303"/>
      <c r="Y34" s="303"/>
      <c r="Z34" s="303"/>
      <c r="AA34" s="298"/>
      <c r="AB34" s="295"/>
      <c r="AC34" s="295"/>
      <c r="AD34" s="295"/>
      <c r="AE34" s="295"/>
      <c r="AF34" s="295"/>
      <c r="AG34" s="295"/>
      <c r="AH34" s="295"/>
      <c r="AI34" s="295"/>
      <c r="AJ34" s="295"/>
      <c r="AK34" s="295"/>
      <c r="AL34" s="295"/>
      <c r="AM34" s="295"/>
      <c r="AN34" s="295"/>
      <c r="AO34" s="295"/>
      <c r="AP34" s="295"/>
      <c r="AQ34" s="295"/>
      <c r="AR34" s="295"/>
      <c r="AS34" s="295"/>
      <c r="AT34" s="295"/>
      <c r="AU34" s="295"/>
    </row>
    <row r="35" spans="1:47" ht="17.25" hidden="1" customHeight="1">
      <c r="A35" s="295"/>
      <c r="B35" s="296"/>
      <c r="C35" s="297">
        <f t="shared" si="5"/>
        <v>68</v>
      </c>
      <c r="D35" s="297" t="str">
        <f t="array" ref="D35">IFERROR(IF(INDEX('Development-Hidden'!$A$2:$B$118,$C35,1)=$I$22,INDEX('Development-Hidden'!$A$2:$B$118,$C35,2),""),"")</f>
        <v/>
      </c>
      <c r="E35" s="298"/>
      <c r="F35" s="298"/>
      <c r="G35" s="298"/>
      <c r="H35" s="298"/>
      <c r="I35" s="298"/>
      <c r="J35" s="299"/>
      <c r="K35" s="295"/>
      <c r="L35" s="300"/>
      <c r="M35" s="300"/>
      <c r="N35" s="300"/>
      <c r="O35" s="300"/>
      <c r="P35" s="300"/>
      <c r="Q35" s="300"/>
      <c r="R35" s="300"/>
      <c r="S35" s="300"/>
      <c r="T35" s="301"/>
      <c r="U35" s="302"/>
      <c r="V35" s="301"/>
      <c r="W35" s="303"/>
      <c r="X35" s="303"/>
      <c r="Y35" s="303"/>
      <c r="Z35" s="303"/>
      <c r="AA35" s="298"/>
      <c r="AB35" s="295"/>
      <c r="AC35" s="295"/>
      <c r="AD35" s="295"/>
      <c r="AE35" s="295"/>
      <c r="AF35" s="295"/>
      <c r="AG35" s="295"/>
      <c r="AH35" s="295"/>
      <c r="AI35" s="295"/>
      <c r="AJ35" s="295"/>
      <c r="AK35" s="295"/>
      <c r="AL35" s="295"/>
      <c r="AM35" s="295"/>
      <c r="AN35" s="295"/>
      <c r="AO35" s="295"/>
      <c r="AP35" s="295"/>
      <c r="AQ35" s="295"/>
      <c r="AR35" s="295"/>
      <c r="AS35" s="295"/>
      <c r="AT35" s="295"/>
      <c r="AU35" s="295"/>
    </row>
    <row r="36" spans="1:47" ht="17.25" hidden="1" customHeight="1">
      <c r="A36" s="295"/>
      <c r="B36" s="296"/>
      <c r="C36" s="297">
        <f t="shared" si="5"/>
        <v>69</v>
      </c>
      <c r="D36" s="297" t="str">
        <f t="array" ref="D36">IFERROR(IF(INDEX('Development-Hidden'!$A$2:$B$118,$C36,1)=$I$22,INDEX('Development-Hidden'!$A$2:$B$118,$C36,2),""),"")</f>
        <v/>
      </c>
      <c r="E36" s="298"/>
      <c r="F36" s="298"/>
      <c r="G36" s="298"/>
      <c r="H36" s="298"/>
      <c r="I36" s="298"/>
      <c r="J36" s="299"/>
      <c r="K36" s="295"/>
      <c r="L36" s="300"/>
      <c r="M36" s="300"/>
      <c r="N36" s="300"/>
      <c r="O36" s="300"/>
      <c r="P36" s="300"/>
      <c r="Q36" s="300"/>
      <c r="R36" s="300"/>
      <c r="S36" s="300"/>
      <c r="T36" s="301"/>
      <c r="U36" s="302"/>
      <c r="V36" s="301"/>
      <c r="W36" s="303"/>
      <c r="X36" s="303"/>
      <c r="Y36" s="303"/>
      <c r="Z36" s="303"/>
      <c r="AA36" s="298"/>
      <c r="AB36" s="295"/>
      <c r="AC36" s="295"/>
      <c r="AD36" s="295"/>
      <c r="AE36" s="295"/>
      <c r="AF36" s="295"/>
      <c r="AG36" s="295"/>
      <c r="AH36" s="295"/>
      <c r="AI36" s="295"/>
      <c r="AJ36" s="295"/>
      <c r="AK36" s="295"/>
      <c r="AL36" s="295"/>
      <c r="AM36" s="295"/>
      <c r="AN36" s="295"/>
      <c r="AO36" s="295"/>
      <c r="AP36" s="295"/>
      <c r="AQ36" s="295"/>
      <c r="AR36" s="295"/>
      <c r="AS36" s="295"/>
      <c r="AT36" s="295"/>
      <c r="AU36" s="295"/>
    </row>
    <row r="37" spans="1:47" ht="17.25" hidden="1" customHeight="1">
      <c r="A37" s="295"/>
      <c r="B37" s="296"/>
      <c r="C37" s="297">
        <f t="shared" si="5"/>
        <v>70</v>
      </c>
      <c r="D37" s="297" t="str">
        <f t="array" ref="D37">IFERROR(IF(INDEX('Development-Hidden'!$A$2:$B$118,$C37,1)=$I$22,INDEX('Development-Hidden'!$A$2:$B$118,$C37,2),""),"")</f>
        <v/>
      </c>
      <c r="E37" s="298"/>
      <c r="F37" s="298"/>
      <c r="G37" s="298"/>
      <c r="H37" s="298"/>
      <c r="I37" s="298"/>
      <c r="J37" s="299"/>
      <c r="K37" s="295"/>
      <c r="L37" s="300"/>
      <c r="M37" s="300"/>
      <c r="N37" s="300"/>
      <c r="O37" s="300"/>
      <c r="P37" s="300"/>
      <c r="Q37" s="300"/>
      <c r="R37" s="300"/>
      <c r="S37" s="300"/>
      <c r="T37" s="301"/>
      <c r="U37" s="302"/>
      <c r="V37" s="301"/>
      <c r="W37" s="303"/>
      <c r="X37" s="303"/>
      <c r="Y37" s="303"/>
      <c r="Z37" s="303"/>
      <c r="AA37" s="298"/>
      <c r="AB37" s="295"/>
      <c r="AC37" s="295"/>
      <c r="AD37" s="295"/>
      <c r="AE37" s="295"/>
      <c r="AF37" s="295"/>
      <c r="AG37" s="295"/>
      <c r="AH37" s="295"/>
      <c r="AI37" s="295"/>
      <c r="AJ37" s="295"/>
      <c r="AK37" s="295"/>
      <c r="AL37" s="295"/>
      <c r="AM37" s="295"/>
      <c r="AN37" s="295"/>
      <c r="AO37" s="295"/>
      <c r="AP37" s="295"/>
      <c r="AQ37" s="295"/>
      <c r="AR37" s="295"/>
      <c r="AS37" s="295"/>
      <c r="AT37" s="295"/>
      <c r="AU37" s="295"/>
    </row>
  </sheetData>
  <mergeCells count="27">
    <mergeCell ref="V25:Z25"/>
    <mergeCell ref="L25:S25"/>
    <mergeCell ref="E26:Z26"/>
    <mergeCell ref="E25:H25"/>
    <mergeCell ref="L24:S24"/>
    <mergeCell ref="V24:Z24"/>
    <mergeCell ref="E24:H24"/>
    <mergeCell ref="I25:K25"/>
    <mergeCell ref="B20:D26"/>
    <mergeCell ref="E23:H23"/>
    <mergeCell ref="I23:K23"/>
    <mergeCell ref="I24:K24"/>
    <mergeCell ref="E22:H22"/>
    <mergeCell ref="E21:H21"/>
    <mergeCell ref="AL3:AO3"/>
    <mergeCell ref="AP3:AT3"/>
    <mergeCell ref="P2:S2"/>
    <mergeCell ref="V22:Z22"/>
    <mergeCell ref="V23:Z23"/>
    <mergeCell ref="AL21:AM21"/>
    <mergeCell ref="V21:Z21"/>
    <mergeCell ref="E20:Z20"/>
    <mergeCell ref="L23:S23"/>
    <mergeCell ref="L22:S22"/>
    <mergeCell ref="L21:S21"/>
    <mergeCell ref="I21:K21"/>
    <mergeCell ref="I22:K22"/>
  </mergeCells>
  <conditionalFormatting sqref="AA4:AA19">
    <cfRule type="cellIs" dxfId="169" priority="1" operator="equal">
      <formula>0</formula>
    </cfRule>
  </conditionalFormatting>
  <conditionalFormatting sqref="K4:K19">
    <cfRule type="cellIs" dxfId="168" priority="2" operator="equal">
      <formula>0</formula>
    </cfRule>
  </conditionalFormatting>
  <conditionalFormatting sqref="J4">
    <cfRule type="expression" dxfId="167" priority="3">
      <formula>K4&lt;&gt;SUM(AD4:AI4)</formula>
    </cfRule>
  </conditionalFormatting>
  <conditionalFormatting sqref="I4:I19">
    <cfRule type="cellIs" dxfId="166" priority="4" stopIfTrue="1" operator="equal">
      <formula>"Player type quantity surpassed"</formula>
    </cfRule>
  </conditionalFormatting>
  <conditionalFormatting sqref="J5">
    <cfRule type="expression" dxfId="165" priority="5">
      <formula>K5&lt;&gt;SUM(AD5:AI5)</formula>
    </cfRule>
  </conditionalFormatting>
  <conditionalFormatting sqref="J6">
    <cfRule type="expression" dxfId="164" priority="6">
      <formula>K6&lt;&gt;SUM(AD6:AI6)</formula>
    </cfRule>
  </conditionalFormatting>
  <conditionalFormatting sqref="J7">
    <cfRule type="expression" dxfId="163" priority="7">
      <formula>K7&lt;&gt;SUM(AD7:AI7)</formula>
    </cfRule>
  </conditionalFormatting>
  <conditionalFormatting sqref="J8">
    <cfRule type="expression" dxfId="162" priority="8">
      <formula>K8&lt;&gt;SUM(AD8:AI8)</formula>
    </cfRule>
  </conditionalFormatting>
  <conditionalFormatting sqref="J9">
    <cfRule type="expression" dxfId="161" priority="9">
      <formula>K9&lt;&gt;SUM(AD9:AI9)</formula>
    </cfRule>
  </conditionalFormatting>
  <conditionalFormatting sqref="J10">
    <cfRule type="expression" dxfId="160" priority="10">
      <formula>K10&lt;&gt;SUM(AD10:AI10)</formula>
    </cfRule>
  </conditionalFormatting>
  <conditionalFormatting sqref="J11">
    <cfRule type="expression" dxfId="159" priority="11">
      <formula>K11&lt;&gt;SUM(AD11:AI11)</formula>
    </cfRule>
  </conditionalFormatting>
  <conditionalFormatting sqref="J12">
    <cfRule type="expression" dxfId="158" priority="12">
      <formula>K12&lt;&gt;SUM(AD12:AI12)</formula>
    </cfRule>
  </conditionalFormatting>
  <conditionalFormatting sqref="J13">
    <cfRule type="expression" dxfId="157" priority="13">
      <formula>K13&lt;&gt;SUM(AD13:AI13)</formula>
    </cfRule>
  </conditionalFormatting>
  <conditionalFormatting sqref="J14">
    <cfRule type="expression" dxfId="156" priority="14">
      <formula>K14&lt;&gt;SUM(AD14:AI14)</formula>
    </cfRule>
  </conditionalFormatting>
  <conditionalFormatting sqref="J15">
    <cfRule type="expression" dxfId="155" priority="15">
      <formula>K15&lt;&gt;SUM(AD15:AI15)</formula>
    </cfRule>
  </conditionalFormatting>
  <conditionalFormatting sqref="J16">
    <cfRule type="expression" dxfId="154" priority="16">
      <formula>K16&lt;&gt;SUM(AD16:AI16)</formula>
    </cfRule>
  </conditionalFormatting>
  <conditionalFormatting sqref="J17">
    <cfRule type="expression" dxfId="153" priority="17">
      <formula>K17&lt;&gt;SUM(AD17:AI17)</formula>
    </cfRule>
  </conditionalFormatting>
  <conditionalFormatting sqref="J18">
    <cfRule type="expression" dxfId="152" priority="18">
      <formula>K18&lt;&gt;SUM(AD18:AI18)</formula>
    </cfRule>
  </conditionalFormatting>
  <conditionalFormatting sqref="J19">
    <cfRule type="expression" dxfId="151" priority="19">
      <formula>K19&lt;&gt;SUM(AD19:AI19)</formula>
    </cfRule>
  </conditionalFormatting>
  <conditionalFormatting sqref="E4:H19">
    <cfRule type="expression" dxfId="150" priority="20">
      <formula>AF4&gt;0</formula>
    </cfRule>
  </conditionalFormatting>
  <conditionalFormatting sqref="E4:H19">
    <cfRule type="expression" dxfId="149" priority="21">
      <formula>P4&gt;0</formula>
    </cfRule>
  </conditionalFormatting>
  <conditionalFormatting sqref="I4:I19 T4:W19 Y4:Y19 U27:U37">
    <cfRule type="cellIs" dxfId="148" priority="22" stopIfTrue="1" operator="equal">
      <formula>0</formula>
    </cfRule>
  </conditionalFormatting>
  <conditionalFormatting sqref="AA27">
    <cfRule type="cellIs" dxfId="147" priority="23" stopIfTrue="1" operator="equal">
      <formula>"0,0"</formula>
    </cfRule>
  </conditionalFormatting>
  <conditionalFormatting sqref="P4:S19">
    <cfRule type="cellIs" dxfId="146" priority="24" stopIfTrue="1" operator="lessThanOrEqual">
      <formula>-1</formula>
    </cfRule>
  </conditionalFormatting>
  <conditionalFormatting sqref="V25:W25">
    <cfRule type="cellIs" dxfId="145" priority="25" stopIfTrue="1" operator="equal">
      <formula>-500</formula>
    </cfRule>
  </conditionalFormatting>
  <conditionalFormatting sqref="T25">
    <cfRule type="cellIs" dxfId="144" priority="26" stopIfTrue="1" operator="greaterThan">
      <formula>$V$25</formula>
    </cfRule>
  </conditionalFormatting>
  <conditionalFormatting sqref="Z4:Z19">
    <cfRule type="cellIs" dxfId="143" priority="27" stopIfTrue="1" operator="equal">
      <formula>"Star"</formula>
    </cfRule>
  </conditionalFormatting>
  <conditionalFormatting sqref="Z4:Z19">
    <cfRule type="cellIs" dxfId="142" priority="28" stopIfTrue="1" operator="equal">
      <formula>AA4</formula>
    </cfRule>
  </conditionalFormatting>
  <dataValidations count="2">
    <dataValidation type="list" allowBlank="1" showErrorMessage="1" sqref="D4:D19">
      <formula1>'RC1'!$D$28:$D$37</formula1>
    </dataValidation>
    <dataValidation type="list" allowBlank="1" showErrorMessage="1" sqref="I22">
      <formula1>'Development-Hidden'!$N$2:$N$28</formula1>
    </dataValidation>
  </dataValidation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W37"/>
  <sheetViews>
    <sheetView workbookViewId="0">
      <selection sqref="A1:A1048576"/>
    </sheetView>
  </sheetViews>
  <sheetFormatPr defaultColWidth="14.42578125" defaultRowHeight="15.75" customHeight="1"/>
  <cols>
    <col min="1" max="1" width="1.85546875" style="139" customWidth="1"/>
    <col min="2" max="2" width="3.140625" style="139" customWidth="1"/>
    <col min="3" max="3" width="19.28515625" style="139" customWidth="1"/>
    <col min="4" max="4" width="21.28515625" style="139" customWidth="1"/>
    <col min="5" max="8" width="3" style="139" customWidth="1"/>
    <col min="9" max="9" width="30.85546875" style="139" customWidth="1"/>
    <col min="10" max="10" width="23" style="139" customWidth="1"/>
    <col min="11" max="11" width="1.85546875" style="139" customWidth="1"/>
    <col min="12" max="13" width="2.42578125" style="139" customWidth="1"/>
    <col min="14" max="16" width="2.140625" style="139" customWidth="1"/>
    <col min="17" max="17" width="2" style="139" customWidth="1"/>
    <col min="18" max="18" width="1.85546875" style="139" customWidth="1"/>
    <col min="19" max="19" width="2" style="139" customWidth="1"/>
    <col min="20" max="21" width="3.28515625" style="139" customWidth="1"/>
    <col min="22" max="22" width="2.42578125" style="139" customWidth="1"/>
    <col min="23" max="23" width="3.28515625" style="139" customWidth="1"/>
    <col min="24" max="24" width="2.7109375" style="139" customWidth="1"/>
    <col min="25" max="25" width="3.28515625" style="139" customWidth="1"/>
    <col min="26" max="26" width="4.42578125" style="139" customWidth="1"/>
    <col min="27" max="27" width="9.5703125" style="139" customWidth="1"/>
    <col min="28" max="28" width="5.5703125" style="139" customWidth="1"/>
    <col min="29" max="29" width="8.7109375" style="139" customWidth="1"/>
    <col min="30" max="30" width="5.42578125" style="139" customWidth="1"/>
    <col min="31" max="31" width="5.28515625" style="139" customWidth="1"/>
    <col min="32" max="32" width="4.28515625" style="139" customWidth="1"/>
    <col min="33" max="33" width="3.85546875" style="139" customWidth="1"/>
    <col min="34" max="34" width="4.140625" style="139" customWidth="1"/>
    <col min="35" max="35" width="3.85546875" style="139" customWidth="1"/>
    <col min="36" max="37" width="6.42578125" style="139" customWidth="1"/>
    <col min="38" max="38" width="14.42578125" style="139" customWidth="1"/>
    <col min="39" max="39" width="11.42578125" style="139" customWidth="1"/>
    <col min="40" max="41" width="10.7109375" style="139" customWidth="1"/>
    <col min="42" max="42" width="5.140625" style="139" customWidth="1"/>
    <col min="43" max="43" width="8.140625" style="139" customWidth="1"/>
    <col min="44" max="44" width="26.140625" style="139" customWidth="1"/>
    <col min="45" max="49" width="10.7109375" style="139" customWidth="1"/>
    <col min="50" max="16384" width="14.42578125" style="139"/>
  </cols>
  <sheetData>
    <row r="1" spans="1:49" ht="8.25" customHeight="1">
      <c r="A1" s="440"/>
      <c r="B1" s="137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318"/>
      <c r="AA1" s="318"/>
      <c r="AB1" s="318"/>
      <c r="AC1" s="318"/>
      <c r="AD1" s="318"/>
      <c r="AE1" s="318"/>
      <c r="AF1" s="318"/>
      <c r="AG1" s="318"/>
      <c r="AH1" s="318"/>
      <c r="AI1" s="318"/>
      <c r="AJ1" s="318"/>
      <c r="AK1" s="318"/>
      <c r="AL1" s="318"/>
      <c r="AM1" s="318"/>
      <c r="AN1" s="318"/>
      <c r="AO1" s="318"/>
      <c r="AP1" s="318"/>
      <c r="AQ1" s="318"/>
      <c r="AR1" s="318"/>
      <c r="AS1" s="318"/>
      <c r="AT1" s="318"/>
      <c r="AU1" s="318"/>
      <c r="AV1" s="318"/>
      <c r="AW1" s="318"/>
    </row>
    <row r="2" spans="1:49" ht="8.25" customHeight="1">
      <c r="A2" s="136"/>
      <c r="B2" s="140"/>
      <c r="C2" s="140"/>
      <c r="D2" s="141"/>
      <c r="E2" s="140"/>
      <c r="F2" s="140"/>
      <c r="G2" s="140"/>
      <c r="H2" s="140"/>
      <c r="I2" s="140"/>
      <c r="J2" s="140"/>
      <c r="K2" s="136"/>
      <c r="L2" s="140"/>
      <c r="M2" s="140"/>
      <c r="N2" s="140"/>
      <c r="O2" s="140"/>
      <c r="P2" s="602" t="s">
        <v>218</v>
      </c>
      <c r="Q2" s="572"/>
      <c r="R2" s="572"/>
      <c r="S2" s="573"/>
      <c r="T2" s="142"/>
      <c r="U2" s="142"/>
      <c r="V2" s="142"/>
      <c r="W2" s="142"/>
      <c r="X2" s="143"/>
      <c r="Y2" s="142"/>
      <c r="Z2" s="140"/>
      <c r="AA2" s="140"/>
      <c r="AB2" s="318"/>
      <c r="AC2" s="318"/>
      <c r="AD2" s="318"/>
      <c r="AE2" s="318"/>
      <c r="AF2" s="318"/>
      <c r="AG2" s="318"/>
      <c r="AH2" s="318"/>
      <c r="AI2" s="318"/>
      <c r="AJ2" s="318"/>
      <c r="AK2" s="318"/>
      <c r="AL2" s="318"/>
      <c r="AM2" s="318"/>
      <c r="AN2" s="318"/>
      <c r="AO2" s="318"/>
      <c r="AP2" s="318"/>
      <c r="AQ2" s="318"/>
      <c r="AR2" s="318"/>
      <c r="AS2" s="318"/>
      <c r="AT2" s="318"/>
      <c r="AU2" s="318"/>
      <c r="AV2" s="318"/>
      <c r="AW2" s="318"/>
    </row>
    <row r="3" spans="1:49" ht="21.75" customHeight="1">
      <c r="A3" s="137"/>
      <c r="B3" s="146" t="s">
        <v>203</v>
      </c>
      <c r="C3" s="147" t="s">
        <v>32</v>
      </c>
      <c r="D3" s="148" t="s">
        <v>229</v>
      </c>
      <c r="E3" s="149" t="s">
        <v>206</v>
      </c>
      <c r="F3" s="150" t="s">
        <v>207</v>
      </c>
      <c r="G3" s="151" t="s">
        <v>208</v>
      </c>
      <c r="H3" s="152" t="s">
        <v>209</v>
      </c>
      <c r="I3" s="153" t="s">
        <v>230</v>
      </c>
      <c r="J3" s="152" t="s">
        <v>231</v>
      </c>
      <c r="K3" s="154" t="s">
        <v>203</v>
      </c>
      <c r="L3" s="155" t="s">
        <v>232</v>
      </c>
      <c r="M3" s="156" t="s">
        <v>233</v>
      </c>
      <c r="N3" s="156" t="s">
        <v>234</v>
      </c>
      <c r="O3" s="157" t="s">
        <v>235</v>
      </c>
      <c r="P3" s="158" t="s">
        <v>206</v>
      </c>
      <c r="Q3" s="159" t="s">
        <v>207</v>
      </c>
      <c r="R3" s="159" t="s">
        <v>208</v>
      </c>
      <c r="S3" s="160" t="s">
        <v>209</v>
      </c>
      <c r="T3" s="161" t="s">
        <v>236</v>
      </c>
      <c r="U3" s="156" t="s">
        <v>237</v>
      </c>
      <c r="V3" s="156" t="s">
        <v>210</v>
      </c>
      <c r="W3" s="156" t="s">
        <v>240</v>
      </c>
      <c r="X3" s="162" t="s">
        <v>35</v>
      </c>
      <c r="Y3" s="157" t="s">
        <v>211</v>
      </c>
      <c r="Z3" s="153" t="s">
        <v>212</v>
      </c>
      <c r="AA3" s="163" t="s">
        <v>241</v>
      </c>
      <c r="AB3" s="136"/>
      <c r="AC3" s="146" t="s">
        <v>242</v>
      </c>
      <c r="AD3" s="153" t="s">
        <v>233</v>
      </c>
      <c r="AE3" s="150" t="s">
        <v>243</v>
      </c>
      <c r="AF3" s="164" t="str">
        <f>"+MA"</f>
        <v>+MA</v>
      </c>
      <c r="AG3" s="150" t="str">
        <f>"+ST"</f>
        <v>+ST</v>
      </c>
      <c r="AH3" s="150" t="str">
        <f>"+AG"</f>
        <v>+AG</v>
      </c>
      <c r="AI3" s="150" t="str">
        <f>"+AV"</f>
        <v>+AV</v>
      </c>
      <c r="AJ3" s="163" t="s">
        <v>244</v>
      </c>
      <c r="AK3" s="136"/>
      <c r="AL3" s="136"/>
      <c r="AM3" s="601" t="s">
        <v>245</v>
      </c>
      <c r="AN3" s="575"/>
      <c r="AO3" s="136"/>
      <c r="AP3" s="136"/>
      <c r="AQ3" s="136"/>
      <c r="AR3" s="601" t="s">
        <v>246</v>
      </c>
      <c r="AS3" s="575"/>
      <c r="AT3" s="575"/>
      <c r="AU3" s="575"/>
      <c r="AV3" s="136"/>
      <c r="AW3" s="136"/>
    </row>
    <row r="4" spans="1:49" ht="22.5" customHeight="1">
      <c r="A4" s="321"/>
      <c r="B4" s="532">
        <v>1</v>
      </c>
      <c r="C4" s="533" t="s">
        <v>538</v>
      </c>
      <c r="D4" s="534" t="s">
        <v>539</v>
      </c>
      <c r="E4" s="168">
        <f>IFERROR(VLOOKUP($I$22&amp;$D4,'Development-Hidden'!$C$2:$J$118,4,FALSE)-P4+AF4,"")</f>
        <v>4</v>
      </c>
      <c r="F4" s="169">
        <f>IFERROR(VLOOKUP($I$22&amp;$D4,'Development-Hidden'!$C$2:$J$118,5,FALSE)-Q4+AG4,"")</f>
        <v>5</v>
      </c>
      <c r="G4" s="169">
        <f>IFERROR(VLOOKUP($I$22&amp;$D4,'Development-Hidden'!$C$2:$J$118,6,FALSE)-R4+AH4,"")</f>
        <v>1</v>
      </c>
      <c r="H4" s="170">
        <f>IFERROR(VLOOKUP($I$22&amp;$D4,'Development-Hidden'!$C$2:$J$118,7,FALSE)-S4+AI4,"")</f>
        <v>9</v>
      </c>
      <c r="I4" s="171" t="s">
        <v>545</v>
      </c>
      <c r="J4" s="172" t="s">
        <v>540</v>
      </c>
      <c r="K4" s="173">
        <f t="shared" ref="K4:K19" si="0">IF(Z4&gt;175,6,IF(Z4&gt;75,5,IF(Z4&gt;50,4,IF(Z4&gt;30,3,IF(Z4&gt;15,2,IF(Z4&gt;5,1,0))))))</f>
        <v>1</v>
      </c>
      <c r="L4" s="327"/>
      <c r="M4" s="327"/>
      <c r="N4" s="327">
        <v>0</v>
      </c>
      <c r="O4" s="327"/>
      <c r="P4" s="328"/>
      <c r="Q4" s="329"/>
      <c r="R4" s="330"/>
      <c r="S4" s="331"/>
      <c r="T4" s="524"/>
      <c r="U4" s="524"/>
      <c r="V4" s="524"/>
      <c r="W4" s="524">
        <v>1</v>
      </c>
      <c r="X4" s="525"/>
      <c r="Y4" s="526">
        <v>1</v>
      </c>
      <c r="Z4" s="184">
        <f t="shared" ref="Z4:Z19" si="1">2*T4+U4+3*V4+2*W4+5*Y4</f>
        <v>7</v>
      </c>
      <c r="AA4" s="183">
        <f t="shared" ref="AA4:AA19" si="2">IF(L4=1,0,AC4+(20000*O4)+(20000*AD4)+(30000*AE4)+(30000*AF4)+(50000*AG4)+(40000*AH4)+(50000*AI4)+AJ4)</f>
        <v>160000</v>
      </c>
      <c r="AB4" s="318"/>
      <c r="AC4" s="184">
        <f>IFERROR(VLOOKUP($I$22&amp;D4,'Development-Hidden'!$C$2:$E$118,3,FALSE),"")</f>
        <v>140000</v>
      </c>
      <c r="AD4" s="179">
        <v>1</v>
      </c>
      <c r="AE4" s="180"/>
      <c r="AF4" s="180"/>
      <c r="AG4" s="180"/>
      <c r="AH4" s="180"/>
      <c r="AI4" s="180"/>
      <c r="AJ4" s="185"/>
      <c r="AK4" s="318"/>
      <c r="AL4" s="336" t="s">
        <v>252</v>
      </c>
      <c r="AM4" s="337">
        <v>0</v>
      </c>
      <c r="AN4" s="318"/>
      <c r="AO4" s="318"/>
      <c r="AP4" s="318"/>
      <c r="AQ4" s="338" t="s">
        <v>391</v>
      </c>
      <c r="AR4" s="339"/>
    </row>
    <row r="5" spans="1:49" ht="18" customHeight="1">
      <c r="A5" s="321"/>
      <c r="B5" s="535">
        <v>2</v>
      </c>
      <c r="C5" s="536" t="s">
        <v>543</v>
      </c>
      <c r="D5" s="537" t="s">
        <v>544</v>
      </c>
      <c r="E5" s="195">
        <f>IFERROR(VLOOKUP($I$22&amp;$D5,'Development-Hidden'!$C$2:$J$118,4,FALSE)-P5+AF5,"")</f>
        <v>4</v>
      </c>
      <c r="F5" s="196">
        <f>IFERROR(VLOOKUP($I$22&amp;$D5,'Development-Hidden'!$C$2:$J$118,5,FALSE)-Q5+AG5,"")</f>
        <v>4</v>
      </c>
      <c r="G5" s="196">
        <f>IFERROR(VLOOKUP($I$22&amp;$D5,'Development-Hidden'!$C$2:$J$118,6,FALSE)-R5+AH5,"")</f>
        <v>2</v>
      </c>
      <c r="H5" s="197">
        <f>IFERROR(VLOOKUP($I$22&amp;$D5,'Development-Hidden'!$C$2:$J$118,7,FALSE)-S5+AI5,"")</f>
        <v>9</v>
      </c>
      <c r="I5" s="198" t="s">
        <v>546</v>
      </c>
      <c r="J5" s="199"/>
      <c r="K5" s="200">
        <f t="shared" si="0"/>
        <v>0</v>
      </c>
      <c r="L5" s="344"/>
      <c r="M5" s="344"/>
      <c r="N5" s="344">
        <v>0</v>
      </c>
      <c r="O5" s="344"/>
      <c r="P5" s="345"/>
      <c r="Q5" s="346"/>
      <c r="R5" s="347"/>
      <c r="S5" s="348"/>
      <c r="T5" s="528"/>
      <c r="U5" s="528"/>
      <c r="V5" s="528"/>
      <c r="W5" s="528"/>
      <c r="X5" s="529"/>
      <c r="Y5" s="530"/>
      <c r="Z5" s="210">
        <f t="shared" si="1"/>
        <v>0</v>
      </c>
      <c r="AA5" s="183">
        <f t="shared" si="2"/>
        <v>110000</v>
      </c>
      <c r="AB5" s="318"/>
      <c r="AC5" s="210">
        <f>IFERROR(VLOOKUP($I$22&amp;D5,'Development-Hidden'!$C$2:$E$118,3,FALSE),"")</f>
        <v>110000</v>
      </c>
      <c r="AD5" s="206"/>
      <c r="AE5" s="207"/>
      <c r="AF5" s="207"/>
      <c r="AG5" s="207"/>
      <c r="AH5" s="207"/>
      <c r="AI5" s="207"/>
      <c r="AJ5" s="211"/>
      <c r="AK5" s="318"/>
      <c r="AL5" s="353"/>
      <c r="AM5" s="353"/>
      <c r="AN5" s="353"/>
      <c r="AO5" s="353"/>
      <c r="AP5" s="353"/>
    </row>
    <row r="6" spans="1:49" ht="18" customHeight="1">
      <c r="A6" s="321"/>
      <c r="B6" s="532">
        <v>3</v>
      </c>
      <c r="C6" s="536" t="s">
        <v>72</v>
      </c>
      <c r="D6" s="537" t="s">
        <v>544</v>
      </c>
      <c r="E6" s="195">
        <f>IFERROR(VLOOKUP($I$22&amp;$D6,'Development-Hidden'!$C$2:$J$118,4,FALSE)-P6+AF6,"")</f>
        <v>4</v>
      </c>
      <c r="F6" s="196">
        <f>IFERROR(VLOOKUP($I$22&amp;$D6,'Development-Hidden'!$C$2:$J$118,5,FALSE)-Q6+AG6,"")</f>
        <v>4</v>
      </c>
      <c r="G6" s="196">
        <f>IFERROR(VLOOKUP($I$22&amp;$D6,'Development-Hidden'!$C$2:$J$118,6,FALSE)-R6+AH6,"")</f>
        <v>2</v>
      </c>
      <c r="H6" s="197">
        <f>IFERROR(VLOOKUP($I$22&amp;$D6,'Development-Hidden'!$C$2:$J$118,7,FALSE)-S6+AI6,"")</f>
        <v>9</v>
      </c>
      <c r="I6" s="198" t="s">
        <v>546</v>
      </c>
      <c r="J6" s="199" t="s">
        <v>277</v>
      </c>
      <c r="K6" s="200">
        <f t="shared" si="0"/>
        <v>1</v>
      </c>
      <c r="L6" s="344"/>
      <c r="M6" s="344"/>
      <c r="N6" s="344">
        <v>0</v>
      </c>
      <c r="O6" s="344"/>
      <c r="P6" s="345"/>
      <c r="Q6" s="346"/>
      <c r="R6" s="347"/>
      <c r="S6" s="348"/>
      <c r="T6" s="528"/>
      <c r="U6" s="528"/>
      <c r="V6" s="528"/>
      <c r="W6" s="528">
        <v>1</v>
      </c>
      <c r="X6" s="529"/>
      <c r="Y6" s="530">
        <v>1</v>
      </c>
      <c r="Z6" s="210">
        <f t="shared" si="1"/>
        <v>7</v>
      </c>
      <c r="AA6" s="183">
        <f t="shared" si="2"/>
        <v>130000</v>
      </c>
      <c r="AB6" s="318"/>
      <c r="AC6" s="210">
        <f>IFERROR(VLOOKUP($I$22&amp;D6,'Development-Hidden'!$C$2:$E$118,3,FALSE),"")</f>
        <v>110000</v>
      </c>
      <c r="AD6" s="206">
        <v>1</v>
      </c>
      <c r="AE6" s="207"/>
      <c r="AF6" s="207"/>
      <c r="AG6" s="207"/>
      <c r="AH6" s="207"/>
      <c r="AI6" s="207"/>
      <c r="AJ6" s="211"/>
      <c r="AK6" s="318"/>
      <c r="AL6" s="212" t="s">
        <v>256</v>
      </c>
      <c r="AM6" s="212" t="s">
        <v>257</v>
      </c>
      <c r="AN6" s="212" t="s">
        <v>258</v>
      </c>
      <c r="AO6" s="354" t="s">
        <v>400</v>
      </c>
      <c r="AP6" s="353"/>
      <c r="AQ6" s="212" t="s">
        <v>256</v>
      </c>
      <c r="AR6" s="212" t="s">
        <v>260</v>
      </c>
      <c r="AS6" s="212" t="s">
        <v>261</v>
      </c>
      <c r="AT6" s="354" t="s">
        <v>401</v>
      </c>
      <c r="AU6" s="354" t="s">
        <v>262</v>
      </c>
      <c r="AV6" s="355" t="s">
        <v>402</v>
      </c>
      <c r="AW6" s="447"/>
    </row>
    <row r="7" spans="1:49" ht="18" customHeight="1">
      <c r="A7" s="321"/>
      <c r="B7" s="535">
        <v>4</v>
      </c>
      <c r="C7" s="536" t="s">
        <v>50</v>
      </c>
      <c r="D7" s="537" t="s">
        <v>544</v>
      </c>
      <c r="E7" s="195">
        <f>IFERROR(VLOOKUP($I$22&amp;$D7,'Development-Hidden'!$C$2:$J$118,4,FALSE)-P7+AF7,"")</f>
        <v>4</v>
      </c>
      <c r="F7" s="196">
        <f>IFERROR(VLOOKUP($I$22&amp;$D7,'Development-Hidden'!$C$2:$J$118,5,FALSE)-Q7+AG7,"")</f>
        <v>4</v>
      </c>
      <c r="G7" s="196">
        <f>IFERROR(VLOOKUP($I$22&amp;$D7,'Development-Hidden'!$C$2:$J$118,6,FALSE)-R7+AH7,"")</f>
        <v>2</v>
      </c>
      <c r="H7" s="197">
        <f>IFERROR(VLOOKUP($I$22&amp;$D7,'Development-Hidden'!$C$2:$J$118,7,FALSE)-S7+AI7,"")</f>
        <v>9</v>
      </c>
      <c r="I7" s="198" t="s">
        <v>546</v>
      </c>
      <c r="J7" s="199" t="s">
        <v>277</v>
      </c>
      <c r="K7" s="200">
        <f t="shared" si="0"/>
        <v>1</v>
      </c>
      <c r="L7" s="344"/>
      <c r="M7" s="344"/>
      <c r="N7" s="344">
        <v>0</v>
      </c>
      <c r="O7" s="344"/>
      <c r="P7" s="345"/>
      <c r="Q7" s="346"/>
      <c r="R7" s="347"/>
      <c r="S7" s="348"/>
      <c r="T7" s="528"/>
      <c r="U7" s="528"/>
      <c r="V7" s="528"/>
      <c r="W7" s="528"/>
      <c r="X7" s="529"/>
      <c r="Y7" s="530">
        <v>2</v>
      </c>
      <c r="Z7" s="210">
        <f t="shared" si="1"/>
        <v>10</v>
      </c>
      <c r="AA7" s="183">
        <f t="shared" si="2"/>
        <v>130000</v>
      </c>
      <c r="AB7" s="318"/>
      <c r="AC7" s="210">
        <f>IFERROR(VLOOKUP($I$22&amp;D7,'Development-Hidden'!$C$2:$E$118,3,FALSE),"")</f>
        <v>110000</v>
      </c>
      <c r="AD7" s="206">
        <v>1</v>
      </c>
      <c r="AE7" s="207"/>
      <c r="AF7" s="207"/>
      <c r="AG7" s="207"/>
      <c r="AH7" s="207"/>
      <c r="AI7" s="207"/>
      <c r="AJ7" s="211"/>
      <c r="AK7" s="318"/>
      <c r="AL7" s="357" t="s">
        <v>267</v>
      </c>
      <c r="AM7" s="187">
        <v>10000</v>
      </c>
      <c r="AN7" s="358"/>
      <c r="AO7" s="359"/>
      <c r="AP7" s="318"/>
      <c r="AQ7" s="357" t="s">
        <v>267</v>
      </c>
      <c r="AR7" s="358" t="s">
        <v>17</v>
      </c>
      <c r="AS7" s="358" t="s">
        <v>467</v>
      </c>
      <c r="AT7" s="187">
        <v>1</v>
      </c>
      <c r="AU7" s="359">
        <v>1</v>
      </c>
      <c r="AV7" s="360"/>
      <c r="AW7" s="448"/>
    </row>
    <row r="8" spans="1:49" ht="18" customHeight="1">
      <c r="A8" s="321"/>
      <c r="B8" s="532">
        <v>5</v>
      </c>
      <c r="C8" s="536" t="s">
        <v>112</v>
      </c>
      <c r="D8" s="537" t="s">
        <v>113</v>
      </c>
      <c r="E8" s="195">
        <f>IFERROR(VLOOKUP($I$22&amp;$D8,'Development-Hidden'!$C$2:$J$118,4,FALSE)-P8+AF8,"")</f>
        <v>6</v>
      </c>
      <c r="F8" s="196">
        <f>IFERROR(VLOOKUP($I$22&amp;$D8,'Development-Hidden'!$C$2:$J$118,5,FALSE)-Q8+AG8,"")</f>
        <v>3</v>
      </c>
      <c r="G8" s="196">
        <f>IFERROR(VLOOKUP($I$22&amp;$D8,'Development-Hidden'!$C$2:$J$118,6,FALSE)-R8+AH8,"")</f>
        <v>3</v>
      </c>
      <c r="H8" s="197">
        <f>IFERROR(VLOOKUP($I$22&amp;$D8,'Development-Hidden'!$C$2:$J$118,7,FALSE)-S8+AI8,"")</f>
        <v>8</v>
      </c>
      <c r="I8" s="198" t="s">
        <v>549</v>
      </c>
      <c r="J8" s="199"/>
      <c r="K8" s="200">
        <f t="shared" si="0"/>
        <v>0</v>
      </c>
      <c r="L8" s="344"/>
      <c r="M8" s="344"/>
      <c r="N8" s="344">
        <v>0</v>
      </c>
      <c r="O8" s="344"/>
      <c r="P8" s="345"/>
      <c r="Q8" s="346"/>
      <c r="R8" s="347"/>
      <c r="S8" s="348"/>
      <c r="T8" s="528"/>
      <c r="U8" s="528">
        <v>1</v>
      </c>
      <c r="V8" s="528">
        <v>1</v>
      </c>
      <c r="W8" s="528"/>
      <c r="X8" s="529"/>
      <c r="Y8" s="530"/>
      <c r="Z8" s="210">
        <f t="shared" si="1"/>
        <v>4</v>
      </c>
      <c r="AA8" s="183">
        <f t="shared" si="2"/>
        <v>80000</v>
      </c>
      <c r="AB8" s="318"/>
      <c r="AC8" s="210">
        <f>IFERROR(VLOOKUP($I$22&amp;D8,'Development-Hidden'!$C$2:$E$118,3,FALSE),"")</f>
        <v>80000</v>
      </c>
      <c r="AD8" s="206"/>
      <c r="AE8" s="207"/>
      <c r="AF8" s="207"/>
      <c r="AG8" s="207"/>
      <c r="AH8" s="207"/>
      <c r="AI8" s="207"/>
      <c r="AJ8" s="211"/>
      <c r="AK8" s="318"/>
      <c r="AL8" s="357" t="s">
        <v>278</v>
      </c>
      <c r="AM8" s="187">
        <v>30000</v>
      </c>
      <c r="AN8" s="358"/>
      <c r="AO8" s="359"/>
      <c r="AP8" s="318"/>
      <c r="AQ8" s="357" t="s">
        <v>278</v>
      </c>
      <c r="AR8" s="358" t="s">
        <v>47</v>
      </c>
      <c r="AS8" s="358" t="s">
        <v>467</v>
      </c>
      <c r="AT8" s="187">
        <v>1</v>
      </c>
      <c r="AU8" s="359">
        <v>0</v>
      </c>
      <c r="AV8" s="360"/>
      <c r="AW8" s="448"/>
    </row>
    <row r="9" spans="1:49" ht="18" customHeight="1">
      <c r="A9" s="321"/>
      <c r="B9" s="535">
        <v>6</v>
      </c>
      <c r="C9" s="536" t="s">
        <v>340</v>
      </c>
      <c r="D9" s="537" t="s">
        <v>123</v>
      </c>
      <c r="E9" s="195">
        <f>IFERROR(VLOOKUP($I$22&amp;$D9,'Development-Hidden'!$C$2:$J$118,4,FALSE)-P9+AF9,"")</f>
        <v>5</v>
      </c>
      <c r="F9" s="196">
        <f>IFERROR(VLOOKUP($I$22&amp;$D9,'Development-Hidden'!$C$2:$J$118,5,FALSE)-Q9+AG9,"")</f>
        <v>3</v>
      </c>
      <c r="G9" s="196">
        <f>IFERROR(VLOOKUP($I$22&amp;$D9,'Development-Hidden'!$C$2:$J$118,6,FALSE)-R9+AH9,"")</f>
        <v>3</v>
      </c>
      <c r="H9" s="197">
        <f>IFERROR(VLOOKUP($I$22&amp;$D9,'Development-Hidden'!$C$2:$J$118,7,FALSE)-S9+AI9,"")</f>
        <v>8</v>
      </c>
      <c r="I9" s="198" t="s">
        <v>551</v>
      </c>
      <c r="J9" s="199"/>
      <c r="K9" s="200">
        <f t="shared" si="0"/>
        <v>0</v>
      </c>
      <c r="L9" s="344"/>
      <c r="M9" s="344"/>
      <c r="N9" s="344">
        <v>0</v>
      </c>
      <c r="O9" s="344"/>
      <c r="P9" s="345"/>
      <c r="Q9" s="346"/>
      <c r="R9" s="347"/>
      <c r="S9" s="348"/>
      <c r="T9" s="528"/>
      <c r="U9" s="528"/>
      <c r="V9" s="528"/>
      <c r="W9" s="528"/>
      <c r="X9" s="529"/>
      <c r="Y9" s="530"/>
      <c r="Z9" s="210">
        <f t="shared" si="1"/>
        <v>0</v>
      </c>
      <c r="AA9" s="183">
        <f t="shared" si="2"/>
        <v>40000</v>
      </c>
      <c r="AB9" s="318"/>
      <c r="AC9" s="210">
        <f>IFERROR(VLOOKUP($I$22&amp;D9,'Development-Hidden'!$C$2:$E$118,3,FALSE),"")</f>
        <v>40000</v>
      </c>
      <c r="AD9" s="206"/>
      <c r="AE9" s="207"/>
      <c r="AF9" s="207"/>
      <c r="AG9" s="207"/>
      <c r="AH9" s="207"/>
      <c r="AI9" s="207"/>
      <c r="AJ9" s="211"/>
      <c r="AK9" s="318"/>
      <c r="AL9" s="357" t="s">
        <v>289</v>
      </c>
      <c r="AM9" s="187">
        <v>40000</v>
      </c>
      <c r="AN9" s="358"/>
      <c r="AO9" s="359"/>
      <c r="AP9" s="318"/>
      <c r="AQ9" s="357" t="s">
        <v>289</v>
      </c>
      <c r="AR9" s="358" t="s">
        <v>11</v>
      </c>
      <c r="AS9" s="358" t="s">
        <v>461</v>
      </c>
      <c r="AT9" s="187">
        <v>0</v>
      </c>
      <c r="AU9" s="359">
        <v>1</v>
      </c>
      <c r="AV9" s="360"/>
      <c r="AW9" s="448"/>
    </row>
    <row r="10" spans="1:49" ht="18" customHeight="1">
      <c r="A10" s="321"/>
      <c r="B10" s="532">
        <v>7</v>
      </c>
      <c r="C10" s="536" t="s">
        <v>341</v>
      </c>
      <c r="D10" s="537" t="s">
        <v>123</v>
      </c>
      <c r="E10" s="195">
        <f>IFERROR(VLOOKUP($I$22&amp;$D10,'Development-Hidden'!$C$2:$J$118,4,FALSE)-P10+AF10,"")</f>
        <v>5</v>
      </c>
      <c r="F10" s="196">
        <f>IFERROR(VLOOKUP($I$22&amp;$D10,'Development-Hidden'!$C$2:$J$118,5,FALSE)-Q10+AG10,"")</f>
        <v>3</v>
      </c>
      <c r="G10" s="196">
        <f>IFERROR(VLOOKUP($I$22&amp;$D10,'Development-Hidden'!$C$2:$J$118,6,FALSE)-R10+AH10,"")</f>
        <v>3</v>
      </c>
      <c r="H10" s="197">
        <f>IFERROR(VLOOKUP($I$22&amp;$D10,'Development-Hidden'!$C$2:$J$118,7,FALSE)-S10+AI10,"")</f>
        <v>8</v>
      </c>
      <c r="I10" s="198" t="s">
        <v>551</v>
      </c>
      <c r="J10" s="199"/>
      <c r="K10" s="200">
        <f t="shared" si="0"/>
        <v>0</v>
      </c>
      <c r="L10" s="344"/>
      <c r="M10" s="344"/>
      <c r="N10" s="344">
        <v>0</v>
      </c>
      <c r="O10" s="344"/>
      <c r="P10" s="345"/>
      <c r="Q10" s="346"/>
      <c r="R10" s="347"/>
      <c r="S10" s="348"/>
      <c r="T10" s="528"/>
      <c r="U10" s="528"/>
      <c r="V10" s="528"/>
      <c r="W10" s="528"/>
      <c r="X10" s="529"/>
      <c r="Y10" s="530"/>
      <c r="Z10" s="210">
        <f t="shared" si="1"/>
        <v>0</v>
      </c>
      <c r="AA10" s="183">
        <f t="shared" si="2"/>
        <v>40000</v>
      </c>
      <c r="AB10" s="318"/>
      <c r="AC10" s="210">
        <f>IFERROR(VLOOKUP($I$22&amp;D10,'Development-Hidden'!$C$2:$E$118,3,FALSE),"")</f>
        <v>40000</v>
      </c>
      <c r="AD10" s="206"/>
      <c r="AE10" s="207"/>
      <c r="AF10" s="207"/>
      <c r="AG10" s="207"/>
      <c r="AH10" s="207"/>
      <c r="AI10" s="207"/>
      <c r="AJ10" s="211"/>
      <c r="AK10" s="318"/>
      <c r="AL10" s="357" t="s">
        <v>296</v>
      </c>
      <c r="AM10" s="187">
        <v>70000</v>
      </c>
      <c r="AN10" s="358"/>
      <c r="AO10" s="359"/>
      <c r="AP10" s="318"/>
      <c r="AQ10" s="357" t="s">
        <v>296</v>
      </c>
      <c r="AR10" s="358" t="s">
        <v>553</v>
      </c>
      <c r="AS10" s="358" t="s">
        <v>462</v>
      </c>
      <c r="AT10" s="187">
        <v>0</v>
      </c>
      <c r="AU10" s="359">
        <v>0</v>
      </c>
      <c r="AV10" s="360"/>
      <c r="AW10" s="448"/>
    </row>
    <row r="11" spans="1:49" ht="18" customHeight="1">
      <c r="A11" s="321"/>
      <c r="B11" s="535">
        <v>8</v>
      </c>
      <c r="C11" s="538"/>
      <c r="D11" s="537"/>
      <c r="E11" s="195" t="str">
        <f>IFERROR(VLOOKUP($I$22&amp;$D11,'Development-Hidden'!$C$2:$J$118,4,FALSE)-P11+AF11,"")</f>
        <v/>
      </c>
      <c r="F11" s="196" t="str">
        <f>IFERROR(VLOOKUP($I$22&amp;$D11,'Development-Hidden'!$C$2:$J$118,5,FALSE)-Q11+AG11,"")</f>
        <v/>
      </c>
      <c r="G11" s="196" t="str">
        <f>IFERROR(VLOOKUP($I$22&amp;$D11,'Development-Hidden'!$C$2:$J$118,6,FALSE)-R11+AH11,"")</f>
        <v/>
      </c>
      <c r="H11" s="197" t="str">
        <f>IFERROR(VLOOKUP($I$22&amp;$D11,'Development-Hidden'!$C$2:$J$118,7,FALSE)-S11+AI11,"")</f>
        <v/>
      </c>
      <c r="I11" s="198"/>
      <c r="J11" s="199"/>
      <c r="K11" s="200">
        <f t="shared" si="0"/>
        <v>0</v>
      </c>
      <c r="L11" s="344"/>
      <c r="M11" s="344"/>
      <c r="N11" s="344"/>
      <c r="O11" s="344"/>
      <c r="P11" s="345"/>
      <c r="Q11" s="346"/>
      <c r="R11" s="347"/>
      <c r="S11" s="348"/>
      <c r="T11" s="528"/>
      <c r="U11" s="528"/>
      <c r="V11" s="528"/>
      <c r="W11" s="528"/>
      <c r="X11" s="529"/>
      <c r="Y11" s="530"/>
      <c r="Z11" s="210">
        <f t="shared" si="1"/>
        <v>0</v>
      </c>
      <c r="AA11" s="183">
        <f t="shared" si="2"/>
        <v>0</v>
      </c>
      <c r="AB11" s="318"/>
      <c r="AC11" s="210" t="str">
        <f>IFERROR(VLOOKUP($I$22&amp;D11,'Development-Hidden'!$C$2:$E$118,3,FALSE),"0")</f>
        <v>0</v>
      </c>
      <c r="AD11" s="206"/>
      <c r="AE11" s="207"/>
      <c r="AF11" s="207"/>
      <c r="AG11" s="207"/>
      <c r="AH11" s="207"/>
      <c r="AI11" s="207"/>
      <c r="AJ11" s="211"/>
      <c r="AK11" s="318"/>
      <c r="AL11" s="357" t="s">
        <v>306</v>
      </c>
      <c r="AM11" s="187"/>
      <c r="AN11" s="358"/>
      <c r="AO11" s="359"/>
      <c r="AP11" s="318"/>
      <c r="AQ11" s="357" t="s">
        <v>306</v>
      </c>
      <c r="AR11" s="358"/>
      <c r="AS11" s="358"/>
      <c r="AT11" s="187"/>
      <c r="AU11" s="359"/>
      <c r="AV11" s="360"/>
      <c r="AW11" s="448"/>
    </row>
    <row r="12" spans="1:49" ht="18" customHeight="1">
      <c r="A12" s="321"/>
      <c r="B12" s="532">
        <v>9</v>
      </c>
      <c r="C12" s="536" t="s">
        <v>550</v>
      </c>
      <c r="D12" s="537" t="s">
        <v>123</v>
      </c>
      <c r="E12" s="195">
        <f>IFERROR(VLOOKUP($I$22&amp;$D12,'Development-Hidden'!$C$2:$J$118,4,FALSE)-P12+AF12,"")</f>
        <v>5</v>
      </c>
      <c r="F12" s="196">
        <f>IFERROR(VLOOKUP($I$22&amp;$D12,'Development-Hidden'!$C$2:$J$118,5,FALSE)-Q12+AG12,"")</f>
        <v>3</v>
      </c>
      <c r="G12" s="196">
        <f>IFERROR(VLOOKUP($I$22&amp;$D12,'Development-Hidden'!$C$2:$J$118,6,FALSE)-R12+AH12,"")</f>
        <v>3</v>
      </c>
      <c r="H12" s="197">
        <f>IFERROR(VLOOKUP($I$22&amp;$D12,'Development-Hidden'!$C$2:$J$118,7,FALSE)-S12+AI12,"")</f>
        <v>8</v>
      </c>
      <c r="I12" s="198" t="s">
        <v>551</v>
      </c>
      <c r="J12" s="199"/>
      <c r="K12" s="200">
        <f t="shared" si="0"/>
        <v>0</v>
      </c>
      <c r="L12" s="344"/>
      <c r="M12" s="344"/>
      <c r="N12" s="344">
        <v>0</v>
      </c>
      <c r="O12" s="344"/>
      <c r="P12" s="345"/>
      <c r="Q12" s="346"/>
      <c r="R12" s="347"/>
      <c r="S12" s="348"/>
      <c r="T12" s="528"/>
      <c r="U12" s="528"/>
      <c r="V12" s="528">
        <v>1</v>
      </c>
      <c r="W12" s="528"/>
      <c r="X12" s="529"/>
      <c r="Y12" s="530"/>
      <c r="Z12" s="210">
        <f t="shared" si="1"/>
        <v>3</v>
      </c>
      <c r="AA12" s="183">
        <f t="shared" si="2"/>
        <v>40000</v>
      </c>
      <c r="AB12" s="318"/>
      <c r="AC12" s="210">
        <f>IFERROR(VLOOKUP($I$22&amp;D12,'Development-Hidden'!$C$2:$E$118,3,FALSE),"")</f>
        <v>40000</v>
      </c>
      <c r="AD12" s="206"/>
      <c r="AE12" s="207"/>
      <c r="AF12" s="207"/>
      <c r="AG12" s="207"/>
      <c r="AH12" s="207"/>
      <c r="AI12" s="207"/>
      <c r="AJ12" s="211"/>
      <c r="AK12" s="318"/>
      <c r="AL12" s="357" t="s">
        <v>316</v>
      </c>
      <c r="AM12" s="187"/>
      <c r="AN12" s="358"/>
      <c r="AO12" s="359"/>
      <c r="AP12" s="318"/>
      <c r="AQ12" s="357" t="s">
        <v>316</v>
      </c>
      <c r="AR12" s="358"/>
      <c r="AS12" s="358"/>
      <c r="AT12" s="187"/>
      <c r="AU12" s="359"/>
      <c r="AV12" s="360"/>
      <c r="AW12" s="448"/>
    </row>
    <row r="13" spans="1:49" ht="18" customHeight="1">
      <c r="A13" s="321"/>
      <c r="B13" s="535">
        <v>10</v>
      </c>
      <c r="C13" s="538" t="s">
        <v>552</v>
      </c>
      <c r="D13" s="537" t="s">
        <v>123</v>
      </c>
      <c r="E13" s="195">
        <f>IFERROR(VLOOKUP($I$22&amp;$D13,'Development-Hidden'!$C$2:$J$118,4,FALSE)-P13+AF13,"")</f>
        <v>5</v>
      </c>
      <c r="F13" s="196">
        <f>IFERROR(VLOOKUP($I$22&amp;$D13,'Development-Hidden'!$C$2:$J$118,5,FALSE)-Q13+AG13,"")</f>
        <v>3</v>
      </c>
      <c r="G13" s="196">
        <f>IFERROR(VLOOKUP($I$22&amp;$D13,'Development-Hidden'!$C$2:$J$118,6,FALSE)-R13+AH13,"")</f>
        <v>3</v>
      </c>
      <c r="H13" s="197">
        <f>IFERROR(VLOOKUP($I$22&amp;$D13,'Development-Hidden'!$C$2:$J$118,7,FALSE)-S13+AI13,"")</f>
        <v>8</v>
      </c>
      <c r="I13" s="198" t="s">
        <v>551</v>
      </c>
      <c r="J13" s="199"/>
      <c r="K13" s="200">
        <f t="shared" si="0"/>
        <v>0</v>
      </c>
      <c r="L13" s="344"/>
      <c r="M13" s="344"/>
      <c r="N13" s="344">
        <v>0</v>
      </c>
      <c r="O13" s="344"/>
      <c r="P13" s="345"/>
      <c r="Q13" s="346"/>
      <c r="R13" s="347"/>
      <c r="S13" s="348"/>
      <c r="T13" s="349"/>
      <c r="U13" s="274"/>
      <c r="V13" s="349"/>
      <c r="W13" s="274"/>
      <c r="X13" s="350"/>
      <c r="Y13" s="351"/>
      <c r="Z13" s="210">
        <f t="shared" si="1"/>
        <v>0</v>
      </c>
      <c r="AA13" s="183">
        <f t="shared" si="2"/>
        <v>40000</v>
      </c>
      <c r="AB13" s="318"/>
      <c r="AC13" s="210">
        <f>IFERROR(VLOOKUP($I$22&amp;D13,'Development-Hidden'!$C$2:$E$118,3,FALSE),"")</f>
        <v>40000</v>
      </c>
      <c r="AD13" s="206"/>
      <c r="AE13" s="207"/>
      <c r="AF13" s="207"/>
      <c r="AG13" s="207"/>
      <c r="AH13" s="207"/>
      <c r="AI13" s="207"/>
      <c r="AJ13" s="211"/>
      <c r="AK13" s="318"/>
      <c r="AL13" s="357" t="s">
        <v>330</v>
      </c>
      <c r="AM13" s="187"/>
      <c r="AN13" s="358"/>
      <c r="AO13" s="359"/>
      <c r="AP13" s="318"/>
      <c r="AQ13" s="357" t="s">
        <v>330</v>
      </c>
      <c r="AR13" s="358"/>
      <c r="AS13" s="358"/>
      <c r="AT13" s="187"/>
      <c r="AU13" s="359"/>
      <c r="AV13" s="360"/>
      <c r="AW13" s="448"/>
    </row>
    <row r="14" spans="1:49" ht="18" customHeight="1">
      <c r="A14" s="321"/>
      <c r="B14" s="532">
        <v>11</v>
      </c>
      <c r="C14" s="536" t="s">
        <v>343</v>
      </c>
      <c r="D14" s="537" t="s">
        <v>123</v>
      </c>
      <c r="E14" s="195">
        <f>IFERROR(VLOOKUP($I$22&amp;$D14,'Development-Hidden'!$C$2:$J$118,4,FALSE)-P14+AF14,"")</f>
        <v>5</v>
      </c>
      <c r="F14" s="196">
        <f>IFERROR(VLOOKUP($I$22&amp;$D14,'Development-Hidden'!$C$2:$J$118,5,FALSE)-Q14+AG14,"")</f>
        <v>3</v>
      </c>
      <c r="G14" s="196">
        <f>IFERROR(VLOOKUP($I$22&amp;$D14,'Development-Hidden'!$C$2:$J$118,6,FALSE)-R14+AH14,"")</f>
        <v>3</v>
      </c>
      <c r="H14" s="197">
        <f>IFERROR(VLOOKUP($I$22&amp;$D14,'Development-Hidden'!$C$2:$J$118,7,FALSE)-S14+AI14,"")</f>
        <v>8</v>
      </c>
      <c r="I14" s="198" t="s">
        <v>551</v>
      </c>
      <c r="J14" s="199"/>
      <c r="K14" s="200">
        <f t="shared" si="0"/>
        <v>0</v>
      </c>
      <c r="L14" s="344"/>
      <c r="M14" s="344"/>
      <c r="N14" s="344">
        <v>0</v>
      </c>
      <c r="O14" s="344"/>
      <c r="P14" s="345"/>
      <c r="Q14" s="346"/>
      <c r="R14" s="347"/>
      <c r="S14" s="348"/>
      <c r="T14" s="349"/>
      <c r="U14" s="274"/>
      <c r="V14" s="349"/>
      <c r="W14" s="274"/>
      <c r="X14" s="350"/>
      <c r="Y14" s="351"/>
      <c r="Z14" s="210">
        <f t="shared" si="1"/>
        <v>0</v>
      </c>
      <c r="AA14" s="183">
        <f t="shared" si="2"/>
        <v>40000</v>
      </c>
      <c r="AB14" s="318"/>
      <c r="AC14" s="210">
        <f>IFERROR(VLOOKUP($I$22&amp;D14,'Development-Hidden'!$C$2:$E$118,3,FALSE),"")</f>
        <v>40000</v>
      </c>
      <c r="AD14" s="206"/>
      <c r="AE14" s="207"/>
      <c r="AF14" s="207"/>
      <c r="AG14" s="207"/>
      <c r="AH14" s="207"/>
      <c r="AI14" s="207"/>
      <c r="AJ14" s="211"/>
      <c r="AK14" s="318"/>
      <c r="AL14" s="357" t="s">
        <v>342</v>
      </c>
      <c r="AM14" s="187"/>
      <c r="AN14" s="358"/>
      <c r="AO14" s="359"/>
      <c r="AP14" s="318"/>
      <c r="AQ14" s="357" t="s">
        <v>342</v>
      </c>
      <c r="AR14" s="358"/>
      <c r="AS14" s="358"/>
      <c r="AT14" s="187"/>
      <c r="AU14" s="359"/>
      <c r="AV14" s="360"/>
      <c r="AW14" s="448"/>
    </row>
    <row r="15" spans="1:49" ht="18" customHeight="1">
      <c r="A15" s="321"/>
      <c r="B15" s="535">
        <v>12</v>
      </c>
      <c r="C15" s="539"/>
      <c r="D15" s="194"/>
      <c r="E15" s="195" t="str">
        <f>IFERROR(VLOOKUP($I$22&amp;$D15,'Development-Hidden'!$C$2:$J$118,4,FALSE)-P15+AF15,"")</f>
        <v/>
      </c>
      <c r="F15" s="196" t="str">
        <f>IFERROR(VLOOKUP($I$22&amp;$D15,'Development-Hidden'!$C$2:$J$118,5,FALSE)-Q15+AG15,"")</f>
        <v/>
      </c>
      <c r="G15" s="196" t="str">
        <f>IFERROR(VLOOKUP($I$22&amp;$D15,'Development-Hidden'!$C$2:$J$118,6,FALSE)-R15+AH15,"")</f>
        <v/>
      </c>
      <c r="H15" s="197" t="str">
        <f>IFERROR(VLOOKUP($I$22&amp;$D15,'Development-Hidden'!$C$2:$J$118,7,FALSE)-S15+AI15,"")</f>
        <v/>
      </c>
      <c r="I15" s="198"/>
      <c r="J15" s="199"/>
      <c r="K15" s="200">
        <f t="shared" si="0"/>
        <v>0</v>
      </c>
      <c r="L15" s="344"/>
      <c r="M15" s="344"/>
      <c r="N15" s="344"/>
      <c r="O15" s="344"/>
      <c r="P15" s="345"/>
      <c r="Q15" s="346"/>
      <c r="R15" s="347"/>
      <c r="S15" s="348"/>
      <c r="T15" s="349"/>
      <c r="U15" s="274"/>
      <c r="V15" s="349"/>
      <c r="W15" s="274"/>
      <c r="X15" s="350"/>
      <c r="Y15" s="351"/>
      <c r="Z15" s="210">
        <f t="shared" si="1"/>
        <v>0</v>
      </c>
      <c r="AA15" s="183">
        <f t="shared" si="2"/>
        <v>0</v>
      </c>
      <c r="AB15" s="318"/>
      <c r="AC15" s="210" t="str">
        <f>IFERROR(VLOOKUP($I$22&amp;D15,'Development-Hidden'!$C$2:$E$118,3,FALSE),"0")</f>
        <v>0</v>
      </c>
      <c r="AD15" s="206"/>
      <c r="AE15" s="207"/>
      <c r="AF15" s="207"/>
      <c r="AG15" s="207"/>
      <c r="AH15" s="207"/>
      <c r="AI15" s="207"/>
      <c r="AJ15" s="211"/>
      <c r="AK15" s="318"/>
      <c r="AL15" s="357" t="s">
        <v>354</v>
      </c>
      <c r="AM15" s="187"/>
      <c r="AN15" s="358"/>
      <c r="AO15" s="359"/>
      <c r="AP15" s="318"/>
      <c r="AQ15" s="357" t="s">
        <v>354</v>
      </c>
      <c r="AR15" s="358"/>
      <c r="AS15" s="358"/>
      <c r="AT15" s="187"/>
      <c r="AU15" s="359"/>
      <c r="AV15" s="360"/>
      <c r="AW15" s="448"/>
    </row>
    <row r="16" spans="1:49" ht="18" customHeight="1">
      <c r="A16" s="321"/>
      <c r="B16" s="532">
        <v>13</v>
      </c>
      <c r="C16" s="539"/>
      <c r="D16" s="194"/>
      <c r="E16" s="195" t="str">
        <f>IFERROR(VLOOKUP($I$22&amp;$D16,'Development-Hidden'!$C$2:$J$118,4,FALSE)-P16+AF16,"")</f>
        <v/>
      </c>
      <c r="F16" s="196" t="str">
        <f>IFERROR(VLOOKUP($I$22&amp;$D16,'Development-Hidden'!$C$2:$J$118,5,FALSE)-Q16+AG16,"")</f>
        <v/>
      </c>
      <c r="G16" s="196" t="str">
        <f>IFERROR(VLOOKUP($I$22&amp;$D16,'Development-Hidden'!$C$2:$J$118,6,FALSE)-R16+AH16,"")</f>
        <v/>
      </c>
      <c r="H16" s="197" t="str">
        <f>IFERROR(VLOOKUP($I$22&amp;$D16,'Development-Hidden'!$C$2:$J$118,7,FALSE)-S16+AI16,"")</f>
        <v/>
      </c>
      <c r="I16" s="198"/>
      <c r="J16" s="199"/>
      <c r="K16" s="200">
        <f t="shared" si="0"/>
        <v>0</v>
      </c>
      <c r="L16" s="344"/>
      <c r="M16" s="344"/>
      <c r="N16" s="344"/>
      <c r="O16" s="344"/>
      <c r="P16" s="345"/>
      <c r="Q16" s="346"/>
      <c r="R16" s="347"/>
      <c r="S16" s="348"/>
      <c r="T16" s="349"/>
      <c r="U16" s="274"/>
      <c r="V16" s="349"/>
      <c r="W16" s="274"/>
      <c r="X16" s="350"/>
      <c r="Y16" s="351"/>
      <c r="Z16" s="210">
        <f t="shared" si="1"/>
        <v>0</v>
      </c>
      <c r="AA16" s="183">
        <f t="shared" si="2"/>
        <v>0</v>
      </c>
      <c r="AB16" s="318"/>
      <c r="AC16" s="210" t="str">
        <f>IFERROR(VLOOKUP($I$22&amp;D16,'Development-Hidden'!$C$2:$E$118,3,FALSE),"0")</f>
        <v>0</v>
      </c>
      <c r="AD16" s="206"/>
      <c r="AE16" s="207"/>
      <c r="AF16" s="207"/>
      <c r="AG16" s="207"/>
      <c r="AH16" s="207"/>
      <c r="AI16" s="207"/>
      <c r="AJ16" s="211"/>
      <c r="AK16" s="318"/>
      <c r="AL16" s="357" t="s">
        <v>355</v>
      </c>
      <c r="AM16" s="187"/>
      <c r="AN16" s="358"/>
      <c r="AO16" s="359"/>
      <c r="AP16" s="318"/>
      <c r="AQ16" s="357" t="s">
        <v>355</v>
      </c>
      <c r="AR16" s="358"/>
      <c r="AS16" s="358"/>
      <c r="AT16" s="187"/>
      <c r="AU16" s="359"/>
      <c r="AV16" s="360"/>
      <c r="AW16" s="448"/>
    </row>
    <row r="17" spans="1:49" ht="18" customHeight="1">
      <c r="A17" s="321"/>
      <c r="B17" s="535">
        <v>14</v>
      </c>
      <c r="C17" s="539"/>
      <c r="D17" s="194"/>
      <c r="E17" s="195" t="str">
        <f>IFERROR(VLOOKUP($I$22&amp;$D17,'Development-Hidden'!$C$2:$J$118,4,FALSE)-P17+AF17,"")</f>
        <v/>
      </c>
      <c r="F17" s="196" t="str">
        <f>IFERROR(VLOOKUP($I$22&amp;$D17,'Development-Hidden'!$C$2:$J$118,5,FALSE)-Q17+AG17,"")</f>
        <v/>
      </c>
      <c r="G17" s="196" t="str">
        <f>IFERROR(VLOOKUP($I$22&amp;$D17,'Development-Hidden'!$C$2:$J$118,6,FALSE)-R17+AH17,"")</f>
        <v/>
      </c>
      <c r="H17" s="197" t="str">
        <f>IFERROR(VLOOKUP($I$22&amp;$D17,'Development-Hidden'!$C$2:$J$118,7,FALSE)-S17+AI17,"")</f>
        <v/>
      </c>
      <c r="I17" s="198"/>
      <c r="J17" s="199"/>
      <c r="K17" s="200">
        <f t="shared" si="0"/>
        <v>0</v>
      </c>
      <c r="L17" s="344"/>
      <c r="M17" s="344"/>
      <c r="N17" s="344"/>
      <c r="O17" s="344"/>
      <c r="P17" s="345"/>
      <c r="Q17" s="346"/>
      <c r="R17" s="347"/>
      <c r="S17" s="348"/>
      <c r="T17" s="349"/>
      <c r="U17" s="274"/>
      <c r="V17" s="349"/>
      <c r="W17" s="274"/>
      <c r="X17" s="350"/>
      <c r="Y17" s="351"/>
      <c r="Z17" s="210">
        <f t="shared" si="1"/>
        <v>0</v>
      </c>
      <c r="AA17" s="183">
        <f t="shared" si="2"/>
        <v>0</v>
      </c>
      <c r="AB17" s="318"/>
      <c r="AC17" s="210" t="str">
        <f>IFERROR(VLOOKUP($I$22&amp;D17,'Development-Hidden'!$C$2:$E$118,3,FALSE),"0")</f>
        <v>0</v>
      </c>
      <c r="AD17" s="206"/>
      <c r="AE17" s="207"/>
      <c r="AF17" s="207"/>
      <c r="AG17" s="207"/>
      <c r="AH17" s="207"/>
      <c r="AI17" s="207"/>
      <c r="AJ17" s="211"/>
      <c r="AK17" s="318"/>
      <c r="AL17" s="357" t="s">
        <v>357</v>
      </c>
      <c r="AM17" s="187"/>
      <c r="AN17" s="358"/>
      <c r="AO17" s="359"/>
      <c r="AP17" s="318"/>
      <c r="AQ17" s="357" t="s">
        <v>357</v>
      </c>
      <c r="AR17" s="358"/>
      <c r="AS17" s="358"/>
      <c r="AT17" s="187"/>
      <c r="AU17" s="359"/>
      <c r="AV17" s="360"/>
      <c r="AW17" s="448"/>
    </row>
    <row r="18" spans="1:49" ht="18" customHeight="1">
      <c r="A18" s="321"/>
      <c r="B18" s="532">
        <v>15</v>
      </c>
      <c r="C18" s="539"/>
      <c r="D18" s="194"/>
      <c r="E18" s="195" t="str">
        <f>IFERROR(VLOOKUP($I$22&amp;$D18,'Development-Hidden'!$C$2:$J$118,4,FALSE)-P18+AF18,"")</f>
        <v/>
      </c>
      <c r="F18" s="196" t="str">
        <f>IFERROR(VLOOKUP($I$22&amp;$D18,'Development-Hidden'!$C$2:$J$118,5,FALSE)-Q18+AG18,"")</f>
        <v/>
      </c>
      <c r="G18" s="196" t="str">
        <f>IFERROR(VLOOKUP($I$22&amp;$D18,'Development-Hidden'!$C$2:$J$118,6,FALSE)-R18+AH18,"")</f>
        <v/>
      </c>
      <c r="H18" s="197" t="str">
        <f>IFERROR(VLOOKUP($I$22&amp;$D18,'Development-Hidden'!$C$2:$J$118,7,FALSE)-S18+AI18,"")</f>
        <v/>
      </c>
      <c r="I18" s="198"/>
      <c r="J18" s="199"/>
      <c r="K18" s="200">
        <f t="shared" si="0"/>
        <v>0</v>
      </c>
      <c r="L18" s="344"/>
      <c r="M18" s="344"/>
      <c r="N18" s="344"/>
      <c r="O18" s="344"/>
      <c r="P18" s="345"/>
      <c r="Q18" s="346"/>
      <c r="R18" s="347"/>
      <c r="S18" s="348"/>
      <c r="T18" s="349"/>
      <c r="U18" s="274"/>
      <c r="V18" s="349"/>
      <c r="W18" s="274"/>
      <c r="X18" s="350"/>
      <c r="Y18" s="351"/>
      <c r="Z18" s="210">
        <f t="shared" si="1"/>
        <v>0</v>
      </c>
      <c r="AA18" s="183">
        <f t="shared" si="2"/>
        <v>0</v>
      </c>
      <c r="AB18" s="318"/>
      <c r="AC18" s="210" t="str">
        <f>IFERROR(VLOOKUP($I$22&amp;D18,'Development-Hidden'!$C$2:$E$118,3,FALSE),"0")</f>
        <v>0</v>
      </c>
      <c r="AD18" s="206"/>
      <c r="AE18" s="207"/>
      <c r="AF18" s="207"/>
      <c r="AG18" s="207"/>
      <c r="AH18" s="207"/>
      <c r="AI18" s="207"/>
      <c r="AJ18" s="211"/>
      <c r="AK18" s="318"/>
      <c r="AL18" s="357" t="s">
        <v>359</v>
      </c>
      <c r="AM18" s="187"/>
      <c r="AN18" s="358"/>
      <c r="AO18" s="359"/>
      <c r="AP18" s="318"/>
      <c r="AQ18" s="357" t="s">
        <v>359</v>
      </c>
      <c r="AR18" s="358"/>
      <c r="AS18" s="358"/>
      <c r="AT18" s="187"/>
      <c r="AU18" s="359"/>
      <c r="AV18" s="360"/>
      <c r="AW18" s="448"/>
    </row>
    <row r="19" spans="1:49" ht="18" customHeight="1">
      <c r="A19" s="321"/>
      <c r="B19" s="532">
        <v>16</v>
      </c>
      <c r="C19" s="540"/>
      <c r="D19" s="385"/>
      <c r="E19" s="251" t="str">
        <f>IFERROR(VLOOKUP($I$22&amp;$D19,'Development-Hidden'!$C$2:$J$118,4,FALSE)-P19+AF19,"")</f>
        <v/>
      </c>
      <c r="F19" s="252" t="str">
        <f>IFERROR(VLOOKUP($I$22&amp;$D19,'Development-Hidden'!$C$2:$J$118,5,FALSE)-Q19+AG19,"")</f>
        <v/>
      </c>
      <c r="G19" s="252" t="str">
        <f>IFERROR(VLOOKUP($I$22&amp;$D19,'Development-Hidden'!$C$2:$J$118,6,FALSE)-R19+AH19,"")</f>
        <v/>
      </c>
      <c r="H19" s="253" t="str">
        <f>IFERROR(VLOOKUP($I$22&amp;$D19,'Development-Hidden'!$C$2:$J$118,7,FALSE)-S19+AI19,"")</f>
        <v/>
      </c>
      <c r="I19" s="254"/>
      <c r="J19" s="255"/>
      <c r="K19" s="256">
        <f t="shared" si="0"/>
        <v>0</v>
      </c>
      <c r="L19" s="390"/>
      <c r="M19" s="390"/>
      <c r="N19" s="390"/>
      <c r="O19" s="390"/>
      <c r="P19" s="391"/>
      <c r="Q19" s="392"/>
      <c r="R19" s="393"/>
      <c r="S19" s="394"/>
      <c r="T19" s="395"/>
      <c r="U19" s="281"/>
      <c r="V19" s="395"/>
      <c r="W19" s="281"/>
      <c r="X19" s="396"/>
      <c r="Y19" s="397"/>
      <c r="Z19" s="266">
        <f t="shared" si="1"/>
        <v>0</v>
      </c>
      <c r="AA19" s="183">
        <f t="shared" si="2"/>
        <v>0</v>
      </c>
      <c r="AB19" s="318"/>
      <c r="AC19" s="210" t="str">
        <f>IFERROR(VLOOKUP($I$22&amp;D19,'Development-Hidden'!$C$2:$E$118,3,FALSE),"0")</f>
        <v>0</v>
      </c>
      <c r="AD19" s="267"/>
      <c r="AE19" s="268"/>
      <c r="AF19" s="268"/>
      <c r="AG19" s="268"/>
      <c r="AH19" s="268"/>
      <c r="AI19" s="268"/>
      <c r="AJ19" s="269"/>
      <c r="AK19" s="318"/>
      <c r="AL19" s="318"/>
      <c r="AM19" s="318"/>
      <c r="AN19" s="318"/>
      <c r="AO19" s="318"/>
      <c r="AP19" s="318"/>
      <c r="AQ19" s="318"/>
      <c r="AR19" s="318"/>
      <c r="AS19" s="318"/>
      <c r="AT19" s="318"/>
      <c r="AU19" s="318"/>
      <c r="AV19" s="318"/>
      <c r="AW19" s="318"/>
    </row>
    <row r="20" spans="1:49" ht="18" customHeight="1">
      <c r="A20" s="321"/>
      <c r="B20" s="399"/>
      <c r="C20" s="635"/>
      <c r="D20" s="573"/>
      <c r="E20" s="641"/>
      <c r="F20" s="587"/>
      <c r="G20" s="642"/>
      <c r="H20" s="588"/>
      <c r="I20" s="441"/>
      <c r="J20" s="652"/>
      <c r="K20" s="587"/>
      <c r="L20" s="401"/>
      <c r="M20" s="402"/>
      <c r="N20" s="402"/>
      <c r="O20" s="402"/>
      <c r="P20" s="402"/>
      <c r="Q20" s="402"/>
      <c r="R20" s="402"/>
      <c r="S20" s="402"/>
      <c r="T20" s="402"/>
      <c r="U20" s="403"/>
      <c r="V20" s="404"/>
      <c r="W20" s="402"/>
      <c r="X20" s="405" t="s">
        <v>364</v>
      </c>
      <c r="Y20" s="651"/>
      <c r="Z20" s="588"/>
      <c r="AA20" s="270">
        <f>SUM(AA4:AA19)</f>
        <v>810000</v>
      </c>
      <c r="AB20" s="318"/>
      <c r="AC20" s="318"/>
      <c r="AD20" s="318"/>
      <c r="AE20" s="318"/>
      <c r="AF20" s="318"/>
      <c r="AG20" s="318"/>
      <c r="AH20" s="318"/>
      <c r="AI20" s="318"/>
      <c r="AJ20" s="318"/>
      <c r="AK20" s="318"/>
      <c r="AL20" s="406" t="s">
        <v>219</v>
      </c>
      <c r="AM20" s="187">
        <f>AM4+SUM(AM7:AM18)-SUM(AN7:AN18)-SUM(AO7:AO18)</f>
        <v>150000</v>
      </c>
      <c r="AN20" s="318"/>
      <c r="AO20" s="318"/>
      <c r="AP20" s="318"/>
      <c r="AS20" s="406" t="s">
        <v>219</v>
      </c>
      <c r="AT20" s="187">
        <f t="shared" ref="AT20:AU20" si="3">SUM(AT7:AT18)</f>
        <v>2</v>
      </c>
      <c r="AU20" s="407">
        <f t="shared" si="3"/>
        <v>2</v>
      </c>
      <c r="AV20" s="408">
        <f>AR4+SUM(AV7:AV18)</f>
        <v>0</v>
      </c>
      <c r="AW20" s="453"/>
    </row>
    <row r="21" spans="1:49" ht="17.25" customHeight="1">
      <c r="A21" s="321"/>
      <c r="B21" s="409"/>
      <c r="C21" s="574"/>
      <c r="D21" s="576"/>
      <c r="E21" s="643" t="s">
        <v>365</v>
      </c>
      <c r="F21" s="581"/>
      <c r="G21" s="581"/>
      <c r="H21" s="581"/>
      <c r="I21" s="609" t="s">
        <v>24</v>
      </c>
      <c r="J21" s="636"/>
      <c r="K21" s="637"/>
      <c r="L21" s="649" t="s">
        <v>366</v>
      </c>
      <c r="M21" s="636"/>
      <c r="N21" s="636"/>
      <c r="O21" s="636"/>
      <c r="P21" s="636"/>
      <c r="Q21" s="636"/>
      <c r="R21" s="636"/>
      <c r="S21" s="650"/>
      <c r="T21" s="410">
        <v>3</v>
      </c>
      <c r="U21" s="411" t="s">
        <v>220</v>
      </c>
      <c r="V21" s="648">
        <v>70000</v>
      </c>
      <c r="W21" s="636"/>
      <c r="X21" s="636"/>
      <c r="Y21" s="636"/>
      <c r="Z21" s="412" t="s">
        <v>406</v>
      </c>
      <c r="AA21" s="273">
        <f t="shared" ref="AA21:AA25" si="4">T21*V21</f>
        <v>210000</v>
      </c>
      <c r="AB21" s="318"/>
      <c r="AC21" s="318"/>
      <c r="AD21" s="318"/>
      <c r="AE21" s="318"/>
      <c r="AF21" s="318"/>
      <c r="AG21" s="318"/>
      <c r="AH21" s="318"/>
      <c r="AI21" s="318"/>
      <c r="AJ21" s="318"/>
      <c r="AK21" s="318"/>
      <c r="AL21" s="318"/>
      <c r="AM21" s="318"/>
      <c r="AN21" s="318"/>
      <c r="AO21" s="318"/>
      <c r="AP21" s="318"/>
      <c r="AQ21" s="318"/>
      <c r="AR21" s="318"/>
      <c r="AS21" s="318"/>
      <c r="AT21" s="318"/>
      <c r="AU21" s="318"/>
      <c r="AV21" s="318"/>
      <c r="AW21" s="318"/>
    </row>
    <row r="22" spans="1:49" ht="17.25" customHeight="1">
      <c r="A22" s="321"/>
      <c r="B22" s="409"/>
      <c r="C22" s="574"/>
      <c r="D22" s="576"/>
      <c r="E22" s="621" t="s">
        <v>368</v>
      </c>
      <c r="F22" s="583"/>
      <c r="G22" s="583"/>
      <c r="H22" s="583"/>
      <c r="I22" s="658" t="s">
        <v>25</v>
      </c>
      <c r="J22" s="583"/>
      <c r="K22" s="597"/>
      <c r="L22" s="591" t="s">
        <v>369</v>
      </c>
      <c r="M22" s="583"/>
      <c r="N22" s="583"/>
      <c r="O22" s="583"/>
      <c r="P22" s="583"/>
      <c r="Q22" s="583"/>
      <c r="R22" s="583"/>
      <c r="S22" s="592"/>
      <c r="T22" s="274">
        <f>AV20</f>
        <v>0</v>
      </c>
      <c r="U22" s="413" t="s">
        <v>220</v>
      </c>
      <c r="V22" s="647">
        <v>10000</v>
      </c>
      <c r="W22" s="583"/>
      <c r="X22" s="583"/>
      <c r="Y22" s="583"/>
      <c r="Z22" s="414" t="s">
        <v>406</v>
      </c>
      <c r="AA22" s="276">
        <f t="shared" si="4"/>
        <v>0</v>
      </c>
      <c r="AB22" s="318"/>
      <c r="AC22" s="318"/>
      <c r="AD22" s="318"/>
      <c r="AE22" s="318"/>
      <c r="AF22" s="318"/>
      <c r="AG22" s="318"/>
      <c r="AH22" s="318"/>
      <c r="AI22" s="318"/>
      <c r="AJ22" s="318"/>
      <c r="AK22" s="318"/>
      <c r="AL22" s="604" t="s">
        <v>367</v>
      </c>
      <c r="AM22" s="588"/>
      <c r="AN22" s="318"/>
      <c r="AO22" s="318"/>
      <c r="AP22" s="318"/>
      <c r="AQ22" s="318"/>
      <c r="AR22" s="318"/>
      <c r="AS22" s="318"/>
      <c r="AT22" s="318"/>
      <c r="AU22" s="318"/>
      <c r="AV22" s="318"/>
      <c r="AW22" s="318"/>
    </row>
    <row r="23" spans="1:49" ht="17.25" customHeight="1">
      <c r="A23" s="321"/>
      <c r="B23" s="409"/>
      <c r="C23" s="574"/>
      <c r="D23" s="576"/>
      <c r="E23" s="621" t="s">
        <v>408</v>
      </c>
      <c r="F23" s="583"/>
      <c r="G23" s="583"/>
      <c r="H23" s="583"/>
      <c r="I23" s="598" t="s">
        <v>548</v>
      </c>
      <c r="J23" s="583"/>
      <c r="K23" s="597"/>
      <c r="L23" s="591" t="s">
        <v>409</v>
      </c>
      <c r="M23" s="583"/>
      <c r="N23" s="583"/>
      <c r="O23" s="583"/>
      <c r="P23" s="583"/>
      <c r="Q23" s="583"/>
      <c r="R23" s="583"/>
      <c r="S23" s="592"/>
      <c r="T23" s="274">
        <v>0</v>
      </c>
      <c r="U23" s="413" t="s">
        <v>220</v>
      </c>
      <c r="V23" s="647">
        <v>10000</v>
      </c>
      <c r="W23" s="583"/>
      <c r="X23" s="583"/>
      <c r="Y23" s="583"/>
      <c r="Z23" s="414" t="s">
        <v>406</v>
      </c>
      <c r="AA23" s="276">
        <f t="shared" si="4"/>
        <v>0</v>
      </c>
      <c r="AB23" s="318"/>
      <c r="AC23" s="318"/>
      <c r="AD23" s="318"/>
      <c r="AE23" s="318"/>
      <c r="AF23" s="318"/>
      <c r="AG23" s="318"/>
      <c r="AH23" s="318"/>
      <c r="AI23" s="318"/>
      <c r="AJ23" s="318"/>
      <c r="AK23" s="318"/>
      <c r="AL23" s="277" t="s">
        <v>370</v>
      </c>
      <c r="AM23" s="278">
        <f>AM20</f>
        <v>150000</v>
      </c>
      <c r="AN23" s="318"/>
      <c r="AO23" s="318"/>
      <c r="AP23" s="318"/>
      <c r="AQ23" s="318"/>
      <c r="AR23" s="318"/>
      <c r="AS23" s="318"/>
      <c r="AT23" s="318"/>
      <c r="AU23" s="318"/>
      <c r="AV23" s="318"/>
      <c r="AW23" s="318"/>
    </row>
    <row r="24" spans="1:49" ht="17.25" customHeight="1">
      <c r="A24" s="321"/>
      <c r="B24" s="409"/>
      <c r="C24" s="574"/>
      <c r="D24" s="576"/>
      <c r="E24" s="621" t="s">
        <v>373</v>
      </c>
      <c r="F24" s="583"/>
      <c r="G24" s="583"/>
      <c r="H24" s="583"/>
      <c r="I24" s="415">
        <f>(AA20+AA26)/1000</f>
        <v>1020</v>
      </c>
      <c r="J24" s="416" t="s">
        <v>410</v>
      </c>
      <c r="K24" s="417"/>
      <c r="L24" s="591" t="s">
        <v>375</v>
      </c>
      <c r="M24" s="583"/>
      <c r="N24" s="583"/>
      <c r="O24" s="583"/>
      <c r="P24" s="583"/>
      <c r="Q24" s="583"/>
      <c r="R24" s="583"/>
      <c r="S24" s="592"/>
      <c r="T24" s="274">
        <v>0</v>
      </c>
      <c r="U24" s="413" t="s">
        <v>220</v>
      </c>
      <c r="V24" s="647">
        <v>10000</v>
      </c>
      <c r="W24" s="583"/>
      <c r="X24" s="583"/>
      <c r="Y24" s="583"/>
      <c r="Z24" s="414" t="s">
        <v>406</v>
      </c>
      <c r="AA24" s="276">
        <f t="shared" si="4"/>
        <v>0</v>
      </c>
      <c r="AB24" s="318"/>
      <c r="AC24" s="318"/>
      <c r="AD24" s="318"/>
      <c r="AE24" s="318"/>
      <c r="AF24" s="318"/>
      <c r="AG24" s="318"/>
      <c r="AH24" s="318"/>
      <c r="AI24" s="318"/>
      <c r="AJ24" s="318"/>
      <c r="AK24" s="318"/>
      <c r="AL24" s="279" t="s">
        <v>372</v>
      </c>
      <c r="AM24" s="280">
        <f>COUNTA(AM7:AM18)*10000</f>
        <v>40000</v>
      </c>
      <c r="AN24" s="318"/>
      <c r="AO24" s="318"/>
      <c r="AP24" s="318"/>
      <c r="AQ24" s="318"/>
      <c r="AR24" s="318"/>
      <c r="AS24" s="318"/>
      <c r="AT24" s="318"/>
      <c r="AU24" s="318"/>
      <c r="AV24" s="318"/>
      <c r="AW24" s="318"/>
    </row>
    <row r="25" spans="1:49" ht="17.25" customHeight="1">
      <c r="A25" s="321"/>
      <c r="B25" s="409"/>
      <c r="C25" s="574"/>
      <c r="D25" s="576"/>
      <c r="E25" s="623" t="s">
        <v>376</v>
      </c>
      <c r="F25" s="594"/>
      <c r="G25" s="594"/>
      <c r="H25" s="596"/>
      <c r="I25" s="418">
        <f>AM20/1000</f>
        <v>150</v>
      </c>
      <c r="J25" s="419" t="s">
        <v>410</v>
      </c>
      <c r="K25" s="420"/>
      <c r="L25" s="593" t="s">
        <v>411</v>
      </c>
      <c r="M25" s="594"/>
      <c r="N25" s="594"/>
      <c r="O25" s="594"/>
      <c r="P25" s="594"/>
      <c r="Q25" s="594"/>
      <c r="R25" s="594"/>
      <c r="S25" s="594"/>
      <c r="T25" s="281">
        <v>0</v>
      </c>
      <c r="U25" s="413" t="s">
        <v>220</v>
      </c>
      <c r="V25" s="645">
        <v>50000</v>
      </c>
      <c r="W25" s="594"/>
      <c r="X25" s="594"/>
      <c r="Y25" s="594"/>
      <c r="Z25" s="414" t="s">
        <v>406</v>
      </c>
      <c r="AA25" s="276">
        <f t="shared" si="4"/>
        <v>0</v>
      </c>
      <c r="AB25" s="318"/>
      <c r="AC25" s="318"/>
      <c r="AD25" s="318"/>
      <c r="AE25" s="318"/>
      <c r="AF25" s="318"/>
      <c r="AG25" s="318"/>
      <c r="AH25" s="318"/>
      <c r="AI25" s="318"/>
      <c r="AJ25" s="318"/>
      <c r="AK25" s="318"/>
      <c r="AL25" s="279" t="s">
        <v>33</v>
      </c>
      <c r="AM25" s="280">
        <f>AT20*5000</f>
        <v>10000</v>
      </c>
      <c r="AN25" s="318"/>
      <c r="AO25" s="318"/>
      <c r="AP25" s="318"/>
      <c r="AQ25" s="318"/>
      <c r="AR25" s="318"/>
      <c r="AS25" s="318"/>
      <c r="AT25" s="318"/>
      <c r="AU25" s="318"/>
      <c r="AV25" s="318"/>
      <c r="AW25" s="318"/>
    </row>
    <row r="26" spans="1:49" ht="17.25" customHeight="1">
      <c r="A26" s="321"/>
      <c r="B26" s="421"/>
      <c r="C26" s="577"/>
      <c r="D26" s="579"/>
      <c r="E26" s="422" t="s">
        <v>412</v>
      </c>
      <c r="F26" s="423"/>
      <c r="G26" s="423"/>
      <c r="H26" s="423"/>
      <c r="I26" s="424" t="s">
        <v>413</v>
      </c>
      <c r="J26" s="425" t="str">
        <f>HYPERLINK("http://www.arosbb.dk/","www.arosbb.dk")</f>
        <v>www.arosbb.dk</v>
      </c>
      <c r="K26" s="423"/>
      <c r="L26" s="644"/>
      <c r="M26" s="587"/>
      <c r="N26" s="587"/>
      <c r="O26" s="587"/>
      <c r="P26" s="587"/>
      <c r="Q26" s="587"/>
      <c r="R26" s="587"/>
      <c r="S26" s="587"/>
      <c r="T26" s="426"/>
      <c r="U26" s="403"/>
      <c r="V26" s="427"/>
      <c r="W26" s="646" t="s">
        <v>379</v>
      </c>
      <c r="X26" s="587"/>
      <c r="Y26" s="587"/>
      <c r="Z26" s="588"/>
      <c r="AA26" s="270">
        <f>SUM(AA21:AA25)</f>
        <v>210000</v>
      </c>
      <c r="AB26" s="318"/>
      <c r="AC26" s="318"/>
      <c r="AD26" s="318"/>
      <c r="AE26" s="318"/>
      <c r="AF26" s="318"/>
      <c r="AG26" s="318"/>
      <c r="AH26" s="318"/>
      <c r="AI26" s="318"/>
      <c r="AJ26" s="318"/>
      <c r="AK26" s="318"/>
      <c r="AL26" s="282" t="s">
        <v>34</v>
      </c>
      <c r="AM26" s="283">
        <f>AU20*5000</f>
        <v>10000</v>
      </c>
      <c r="AN26" s="318"/>
      <c r="AO26" s="318"/>
      <c r="AP26" s="318"/>
      <c r="AQ26" s="318"/>
      <c r="AR26" s="318"/>
      <c r="AS26" s="318"/>
      <c r="AT26" s="318"/>
      <c r="AU26" s="318"/>
      <c r="AV26" s="318"/>
      <c r="AW26" s="318"/>
    </row>
    <row r="27" spans="1:49" ht="9.75" customHeight="1">
      <c r="A27" s="353"/>
      <c r="B27" s="353"/>
      <c r="C27" s="353"/>
      <c r="D27" s="353"/>
      <c r="E27" s="519"/>
      <c r="F27" s="353"/>
      <c r="G27" s="353"/>
      <c r="H27" s="353"/>
      <c r="I27" s="520"/>
      <c r="J27" s="520"/>
      <c r="K27" s="353"/>
      <c r="L27" s="353"/>
      <c r="M27" s="353"/>
      <c r="N27" s="353"/>
      <c r="O27" s="353"/>
      <c r="P27" s="353"/>
      <c r="Q27" s="353"/>
      <c r="R27" s="353"/>
      <c r="S27" s="353"/>
      <c r="T27" s="353"/>
      <c r="U27" s="520"/>
      <c r="V27" s="519"/>
      <c r="W27" s="520"/>
      <c r="X27" s="520"/>
      <c r="Y27" s="520"/>
      <c r="Z27" s="520"/>
      <c r="AA27" s="353"/>
      <c r="AB27" s="353"/>
      <c r="AC27" s="353"/>
      <c r="AD27" s="353"/>
      <c r="AE27" s="353"/>
      <c r="AF27" s="353"/>
      <c r="AG27" s="353"/>
      <c r="AH27" s="353"/>
      <c r="AI27" s="353"/>
      <c r="AJ27" s="353"/>
      <c r="AK27" s="353"/>
      <c r="AL27" s="284" t="s">
        <v>219</v>
      </c>
      <c r="AM27" s="285">
        <f>SUM(AM23:AM26)</f>
        <v>210000</v>
      </c>
      <c r="AN27" s="353"/>
      <c r="AO27" s="353"/>
      <c r="AP27" s="353"/>
      <c r="AQ27" s="353"/>
      <c r="AR27" s="353"/>
      <c r="AS27" s="353"/>
      <c r="AT27" s="353"/>
      <c r="AU27" s="353"/>
      <c r="AV27" s="353"/>
      <c r="AW27" s="353"/>
    </row>
    <row r="28" spans="1:49" ht="9.75" hidden="1" customHeight="1">
      <c r="A28" s="500"/>
      <c r="B28" s="500"/>
      <c r="C28" s="521">
        <f>MATCH(I22,'Development-Hidden'!A2:A118,0)</f>
        <v>75</v>
      </c>
      <c r="D28" s="522" t="str">
        <f t="array" ref="D28">IFERROR(IF(INDEX('Development-Hidden'!$A$2:$B$118,$C28,1)=$I$22,INDEX('Development-Hidden'!$A$2:$B$118,$C28,2),""),"")</f>
        <v>Rotter</v>
      </c>
      <c r="E28" s="500"/>
      <c r="F28" s="500"/>
      <c r="G28" s="500"/>
      <c r="H28" s="500"/>
      <c r="I28" s="500"/>
      <c r="J28" s="500"/>
      <c r="K28" s="500"/>
      <c r="L28" s="500"/>
      <c r="M28" s="500"/>
      <c r="N28" s="500"/>
      <c r="O28" s="500"/>
      <c r="P28" s="500"/>
      <c r="Q28" s="500"/>
      <c r="R28" s="500"/>
      <c r="S28" s="500"/>
      <c r="T28" s="500"/>
      <c r="U28" s="500"/>
      <c r="V28" s="500"/>
      <c r="W28" s="500"/>
      <c r="X28" s="500"/>
      <c r="Y28" s="500"/>
      <c r="Z28" s="500"/>
      <c r="AA28" s="500"/>
      <c r="AB28" s="500"/>
      <c r="AC28" s="500"/>
      <c r="AD28" s="500"/>
      <c r="AE28" s="500"/>
      <c r="AF28" s="500"/>
      <c r="AG28" s="500"/>
      <c r="AH28" s="500"/>
      <c r="AI28" s="500"/>
      <c r="AJ28" s="500"/>
      <c r="AK28" s="500"/>
      <c r="AL28" s="500"/>
      <c r="AM28" s="500"/>
      <c r="AN28" s="500"/>
      <c r="AO28" s="500"/>
      <c r="AP28" s="500"/>
      <c r="AQ28" s="500"/>
      <c r="AR28" s="500"/>
      <c r="AS28" s="500"/>
      <c r="AT28" s="500"/>
      <c r="AU28" s="500"/>
      <c r="AV28" s="500"/>
      <c r="AW28" s="500"/>
    </row>
    <row r="29" spans="1:49" ht="9.75" hidden="1" customHeight="1">
      <c r="A29" s="500"/>
      <c r="B29" s="500"/>
      <c r="C29" s="521">
        <f t="shared" ref="C29:C37" si="5">C28+1</f>
        <v>76</v>
      </c>
      <c r="D29" s="522" t="str">
        <f t="array" ref="D29">IFERROR(IF(INDEX('Development-Hidden'!$A$2:$B$118,$C29,1)=$I$22,INDEX('Development-Hidden'!$A$2:$B$118,$C29,2),""),"")</f>
        <v>Pestigor</v>
      </c>
      <c r="E29" s="500"/>
      <c r="F29" s="500"/>
      <c r="G29" s="500"/>
      <c r="H29" s="500"/>
      <c r="I29" s="500"/>
      <c r="J29" s="500"/>
      <c r="K29" s="500"/>
      <c r="L29" s="500"/>
      <c r="M29" s="500"/>
      <c r="N29" s="500"/>
      <c r="O29" s="500"/>
      <c r="P29" s="500"/>
      <c r="Q29" s="500"/>
      <c r="R29" s="500"/>
      <c r="S29" s="500"/>
      <c r="T29" s="500"/>
      <c r="U29" s="500"/>
      <c r="V29" s="500"/>
      <c r="W29" s="500"/>
      <c r="X29" s="500"/>
      <c r="Y29" s="500"/>
      <c r="Z29" s="500"/>
      <c r="AA29" s="500"/>
      <c r="AB29" s="500"/>
      <c r="AC29" s="500"/>
      <c r="AD29" s="500"/>
      <c r="AE29" s="500"/>
      <c r="AF29" s="500"/>
      <c r="AG29" s="500"/>
      <c r="AH29" s="500"/>
      <c r="AI29" s="500"/>
      <c r="AJ29" s="500"/>
      <c r="AK29" s="500"/>
      <c r="AL29" s="500"/>
      <c r="AM29" s="500"/>
      <c r="AN29" s="500"/>
      <c r="AO29" s="500"/>
      <c r="AP29" s="500"/>
      <c r="AQ29" s="500"/>
      <c r="AR29" s="500"/>
      <c r="AS29" s="500"/>
      <c r="AT29" s="500"/>
      <c r="AU29" s="500"/>
      <c r="AV29" s="500"/>
      <c r="AW29" s="500"/>
    </row>
    <row r="30" spans="1:49" ht="9.75" hidden="1" customHeight="1">
      <c r="A30" s="500"/>
      <c r="B30" s="500"/>
      <c r="C30" s="521">
        <f t="shared" si="5"/>
        <v>77</v>
      </c>
      <c r="D30" s="522" t="str">
        <f t="array" ref="D30">IFERROR(IF(INDEX('Development-Hidden'!$A$2:$B$118,$C30,1)=$I$22,INDEX('Development-Hidden'!$A$2:$B$118,$C30,2),""),"")</f>
        <v>Warrior</v>
      </c>
      <c r="E30" s="500"/>
      <c r="F30" s="500"/>
      <c r="G30" s="500"/>
      <c r="H30" s="500"/>
      <c r="I30" s="500"/>
      <c r="J30" s="500"/>
      <c r="K30" s="500"/>
      <c r="L30" s="500"/>
      <c r="M30" s="500"/>
      <c r="N30" s="500"/>
      <c r="O30" s="500"/>
      <c r="P30" s="500"/>
      <c r="Q30" s="500"/>
      <c r="R30" s="500"/>
      <c r="S30" s="500"/>
      <c r="T30" s="500"/>
      <c r="U30" s="500"/>
      <c r="V30" s="500"/>
      <c r="W30" s="500"/>
      <c r="X30" s="500"/>
      <c r="Y30" s="500"/>
      <c r="Z30" s="500"/>
      <c r="AA30" s="500"/>
      <c r="AB30" s="500"/>
      <c r="AC30" s="500"/>
      <c r="AD30" s="500"/>
      <c r="AE30" s="500"/>
      <c r="AF30" s="500"/>
      <c r="AG30" s="500"/>
      <c r="AH30" s="500"/>
      <c r="AI30" s="500"/>
      <c r="AJ30" s="500"/>
      <c r="AK30" s="500"/>
      <c r="AL30" s="500"/>
      <c r="AM30" s="500"/>
      <c r="AN30" s="500"/>
      <c r="AO30" s="500"/>
      <c r="AP30" s="500"/>
      <c r="AQ30" s="500"/>
      <c r="AR30" s="500"/>
      <c r="AS30" s="500"/>
      <c r="AT30" s="500"/>
      <c r="AU30" s="500"/>
      <c r="AV30" s="500"/>
      <c r="AW30" s="500"/>
    </row>
    <row r="31" spans="1:49" ht="9.75" hidden="1" customHeight="1">
      <c r="A31" s="500"/>
      <c r="B31" s="500"/>
      <c r="C31" s="521">
        <f t="shared" si="5"/>
        <v>78</v>
      </c>
      <c r="D31" s="522" t="str">
        <f t="array" ref="D31">IFERROR(IF(INDEX('Development-Hidden'!$A$2:$B$118,$C31,1)=$I$22,INDEX('Development-Hidden'!$A$2:$B$118,$C31,2),""),"")</f>
        <v>Beast</v>
      </c>
      <c r="E31" s="500"/>
      <c r="F31" s="500"/>
      <c r="G31" s="500"/>
      <c r="H31" s="500"/>
      <c r="I31" s="500"/>
      <c r="J31" s="500"/>
      <c r="K31" s="500"/>
      <c r="L31" s="500"/>
      <c r="M31" s="500"/>
      <c r="N31" s="500"/>
      <c r="O31" s="500"/>
      <c r="P31" s="500"/>
      <c r="Q31" s="500"/>
      <c r="R31" s="500"/>
      <c r="S31" s="500"/>
      <c r="T31" s="500"/>
      <c r="U31" s="500"/>
      <c r="V31" s="500"/>
      <c r="W31" s="500"/>
      <c r="X31" s="500"/>
      <c r="Y31" s="500"/>
      <c r="Z31" s="500"/>
      <c r="AA31" s="500"/>
      <c r="AB31" s="500"/>
      <c r="AC31" s="500"/>
      <c r="AD31" s="500"/>
      <c r="AE31" s="500"/>
      <c r="AF31" s="500"/>
      <c r="AG31" s="500"/>
      <c r="AH31" s="500"/>
      <c r="AI31" s="500"/>
      <c r="AJ31" s="500"/>
      <c r="AK31" s="500"/>
      <c r="AL31" s="500"/>
      <c r="AM31" s="500"/>
      <c r="AN31" s="500"/>
      <c r="AO31" s="500"/>
      <c r="AP31" s="500"/>
      <c r="AQ31" s="500"/>
      <c r="AR31" s="500"/>
      <c r="AS31" s="500"/>
      <c r="AT31" s="500"/>
      <c r="AU31" s="500"/>
      <c r="AV31" s="500"/>
      <c r="AW31" s="500"/>
    </row>
    <row r="32" spans="1:49" ht="9.75" hidden="1" customHeight="1">
      <c r="A32" s="500"/>
      <c r="B32" s="500"/>
      <c r="C32" s="521">
        <f t="shared" si="5"/>
        <v>79</v>
      </c>
      <c r="D32" s="522" t="str">
        <f t="array" ref="D32">IFERROR(IF(INDEX('Development-Hidden'!$A$2:$B$118,$C32,1)=$I$22,INDEX('Development-Hidden'!$A$2:$B$118,$C32,2),""),"")</f>
        <v/>
      </c>
      <c r="E32" s="500"/>
      <c r="F32" s="500"/>
      <c r="G32" s="500"/>
      <c r="H32" s="500"/>
      <c r="I32" s="500"/>
      <c r="J32" s="500"/>
      <c r="K32" s="500"/>
      <c r="L32" s="500"/>
      <c r="M32" s="500"/>
      <c r="N32" s="500"/>
      <c r="O32" s="500"/>
      <c r="P32" s="500"/>
      <c r="Q32" s="500"/>
      <c r="R32" s="500"/>
      <c r="S32" s="500"/>
      <c r="T32" s="500"/>
      <c r="U32" s="500"/>
      <c r="V32" s="500"/>
      <c r="W32" s="500"/>
      <c r="X32" s="500"/>
      <c r="Y32" s="500"/>
      <c r="Z32" s="500"/>
      <c r="AA32" s="500"/>
      <c r="AB32" s="500"/>
      <c r="AC32" s="500"/>
      <c r="AD32" s="500"/>
      <c r="AE32" s="500"/>
      <c r="AF32" s="500"/>
      <c r="AG32" s="500"/>
      <c r="AH32" s="500"/>
      <c r="AI32" s="500"/>
      <c r="AJ32" s="500"/>
      <c r="AK32" s="500"/>
      <c r="AL32" s="500"/>
      <c r="AM32" s="500"/>
      <c r="AN32" s="500"/>
      <c r="AO32" s="500"/>
      <c r="AP32" s="500"/>
      <c r="AQ32" s="500"/>
      <c r="AR32" s="500"/>
      <c r="AS32" s="500"/>
      <c r="AT32" s="500"/>
      <c r="AU32" s="500"/>
      <c r="AV32" s="500"/>
      <c r="AW32" s="500"/>
    </row>
    <row r="33" spans="1:49" ht="9.75" hidden="1" customHeight="1">
      <c r="A33" s="500"/>
      <c r="B33" s="500"/>
      <c r="C33" s="521">
        <f t="shared" si="5"/>
        <v>80</v>
      </c>
      <c r="D33" s="522" t="str">
        <f t="array" ref="D33">IFERROR(IF(INDEX('Development-Hidden'!$A$2:$B$118,$C33,1)=$I$22,INDEX('Development-Hidden'!$A$2:$B$118,$C33,2),""),"")</f>
        <v/>
      </c>
      <c r="E33" s="500"/>
      <c r="F33" s="500"/>
      <c r="G33" s="500"/>
      <c r="H33" s="500"/>
      <c r="I33" s="500"/>
      <c r="J33" s="500"/>
      <c r="K33" s="500"/>
      <c r="L33" s="500"/>
      <c r="M33" s="500"/>
      <c r="N33" s="500"/>
      <c r="O33" s="500"/>
      <c r="P33" s="500"/>
      <c r="Q33" s="500"/>
      <c r="R33" s="500"/>
      <c r="S33" s="500"/>
      <c r="T33" s="500"/>
      <c r="U33" s="500"/>
      <c r="V33" s="500"/>
      <c r="W33" s="500"/>
      <c r="X33" s="500"/>
      <c r="Y33" s="500"/>
      <c r="Z33" s="500"/>
      <c r="AA33" s="500"/>
      <c r="AB33" s="500"/>
      <c r="AC33" s="500"/>
      <c r="AD33" s="500"/>
      <c r="AE33" s="500"/>
      <c r="AF33" s="500"/>
      <c r="AG33" s="500"/>
      <c r="AH33" s="500"/>
      <c r="AI33" s="500"/>
      <c r="AJ33" s="500"/>
      <c r="AK33" s="500"/>
      <c r="AL33" s="500"/>
      <c r="AM33" s="500"/>
      <c r="AN33" s="500"/>
      <c r="AO33" s="500"/>
      <c r="AP33" s="500"/>
      <c r="AQ33" s="500"/>
      <c r="AR33" s="500"/>
      <c r="AS33" s="500"/>
      <c r="AT33" s="500"/>
      <c r="AU33" s="500"/>
      <c r="AV33" s="500"/>
      <c r="AW33" s="500"/>
    </row>
    <row r="34" spans="1:49" ht="9.75" hidden="1" customHeight="1">
      <c r="A34" s="500"/>
      <c r="B34" s="500"/>
      <c r="C34" s="521">
        <f t="shared" si="5"/>
        <v>81</v>
      </c>
      <c r="D34" s="500" t="str">
        <f t="array" ref="D34">IFERROR(IF(INDEX('Development-Hidden'!$A$2:$B$118,$C34,1)=$I$22,INDEX('Development-Hidden'!$A$2:$B$118,$C34,2),""),"")</f>
        <v/>
      </c>
      <c r="E34" s="500"/>
      <c r="F34" s="500"/>
      <c r="G34" s="500"/>
      <c r="H34" s="500"/>
      <c r="I34" s="500"/>
      <c r="J34" s="500"/>
      <c r="K34" s="500"/>
      <c r="L34" s="500"/>
      <c r="M34" s="500"/>
      <c r="N34" s="500"/>
      <c r="O34" s="500"/>
      <c r="P34" s="500"/>
      <c r="Q34" s="500"/>
      <c r="R34" s="500"/>
      <c r="S34" s="500"/>
      <c r="T34" s="500"/>
      <c r="U34" s="500"/>
      <c r="V34" s="500"/>
      <c r="W34" s="500"/>
      <c r="X34" s="500"/>
      <c r="Y34" s="500"/>
      <c r="Z34" s="500"/>
      <c r="AA34" s="500"/>
      <c r="AB34" s="500"/>
      <c r="AC34" s="500"/>
      <c r="AD34" s="500"/>
      <c r="AE34" s="500"/>
      <c r="AF34" s="500"/>
      <c r="AG34" s="500"/>
      <c r="AH34" s="500"/>
      <c r="AI34" s="500"/>
      <c r="AJ34" s="500"/>
      <c r="AK34" s="500"/>
      <c r="AL34" s="500"/>
      <c r="AM34" s="500"/>
      <c r="AN34" s="500"/>
      <c r="AO34" s="500"/>
      <c r="AP34" s="500"/>
      <c r="AQ34" s="500"/>
      <c r="AR34" s="500"/>
      <c r="AS34" s="500"/>
      <c r="AT34" s="500"/>
      <c r="AU34" s="500"/>
      <c r="AV34" s="500"/>
      <c r="AW34" s="500"/>
    </row>
    <row r="35" spans="1:49" ht="9.75" hidden="1" customHeight="1">
      <c r="A35" s="500"/>
      <c r="B35" s="500"/>
      <c r="C35" s="521">
        <f t="shared" si="5"/>
        <v>82</v>
      </c>
      <c r="D35" s="500" t="str">
        <f t="array" ref="D35">IFERROR(IF(INDEX('Development-Hidden'!$A$2:$B$118,$C35,1)=$I$22,INDEX('Development-Hidden'!$A$2:$B$118,$C35,2),""),"")</f>
        <v/>
      </c>
      <c r="E35" s="500"/>
      <c r="F35" s="500"/>
      <c r="G35" s="500"/>
      <c r="H35" s="500"/>
      <c r="I35" s="500"/>
      <c r="J35" s="500"/>
      <c r="K35" s="500"/>
      <c r="L35" s="500"/>
      <c r="M35" s="500"/>
      <c r="N35" s="500"/>
      <c r="O35" s="500"/>
      <c r="P35" s="500"/>
      <c r="Q35" s="500"/>
      <c r="R35" s="500"/>
      <c r="S35" s="500"/>
      <c r="T35" s="500"/>
      <c r="U35" s="500"/>
      <c r="V35" s="500"/>
      <c r="W35" s="500"/>
      <c r="X35" s="500"/>
      <c r="Y35" s="500"/>
      <c r="Z35" s="500"/>
      <c r="AA35" s="500"/>
      <c r="AB35" s="500"/>
      <c r="AC35" s="500"/>
      <c r="AD35" s="500"/>
      <c r="AE35" s="500"/>
      <c r="AF35" s="500"/>
      <c r="AG35" s="500"/>
      <c r="AH35" s="500"/>
      <c r="AI35" s="500"/>
      <c r="AJ35" s="500"/>
      <c r="AK35" s="500"/>
      <c r="AL35" s="500"/>
      <c r="AM35" s="500"/>
      <c r="AN35" s="500"/>
      <c r="AO35" s="500"/>
      <c r="AP35" s="500"/>
      <c r="AQ35" s="500"/>
      <c r="AR35" s="500"/>
      <c r="AS35" s="500"/>
      <c r="AT35" s="500"/>
      <c r="AU35" s="500"/>
      <c r="AV35" s="500"/>
      <c r="AW35" s="500"/>
    </row>
    <row r="36" spans="1:49" ht="9.75" hidden="1" customHeight="1">
      <c r="A36" s="500"/>
      <c r="B36" s="500"/>
      <c r="C36" s="521">
        <f t="shared" si="5"/>
        <v>83</v>
      </c>
      <c r="D36" s="500" t="str">
        <f t="array" ref="D36">IFERROR(IF(INDEX('Development-Hidden'!$A$2:$B$118,$C36,1)=$I$22,INDEX('Development-Hidden'!$A$2:$B$118,$C36,2),""),"")</f>
        <v/>
      </c>
      <c r="E36" s="500"/>
      <c r="F36" s="500"/>
      <c r="G36" s="500"/>
      <c r="H36" s="500"/>
      <c r="I36" s="500"/>
      <c r="J36" s="500"/>
      <c r="K36" s="500"/>
      <c r="L36" s="500"/>
      <c r="M36" s="500"/>
      <c r="N36" s="500"/>
      <c r="O36" s="500"/>
      <c r="P36" s="500"/>
      <c r="Q36" s="500"/>
      <c r="R36" s="500"/>
      <c r="S36" s="500"/>
      <c r="T36" s="500"/>
      <c r="U36" s="500"/>
      <c r="V36" s="500"/>
      <c r="W36" s="500"/>
      <c r="X36" s="500"/>
      <c r="Y36" s="500"/>
      <c r="Z36" s="500"/>
      <c r="AA36" s="500"/>
      <c r="AB36" s="500"/>
      <c r="AC36" s="500"/>
      <c r="AD36" s="500"/>
      <c r="AE36" s="500"/>
      <c r="AF36" s="500"/>
      <c r="AG36" s="500"/>
      <c r="AH36" s="500"/>
      <c r="AI36" s="500"/>
      <c r="AJ36" s="500"/>
      <c r="AK36" s="500"/>
      <c r="AL36" s="500"/>
      <c r="AM36" s="500"/>
      <c r="AN36" s="500"/>
      <c r="AO36" s="500"/>
      <c r="AP36" s="500"/>
      <c r="AQ36" s="500"/>
      <c r="AR36" s="500"/>
      <c r="AS36" s="500"/>
      <c r="AT36" s="500"/>
      <c r="AU36" s="500"/>
      <c r="AV36" s="500"/>
      <c r="AW36" s="500"/>
    </row>
    <row r="37" spans="1:49" ht="9.75" hidden="1" customHeight="1">
      <c r="A37" s="500"/>
      <c r="B37" s="500"/>
      <c r="C37" s="521">
        <f t="shared" si="5"/>
        <v>84</v>
      </c>
      <c r="D37" s="500" t="str">
        <f t="array" ref="D37">IFERROR(IF(INDEX('Development-Hidden'!$A$2:$B$118,$C37,1)=$I$22,INDEX('Development-Hidden'!$A$2:$B$118,$C37,2),""),"")</f>
        <v/>
      </c>
      <c r="E37" s="500"/>
      <c r="F37" s="500"/>
      <c r="G37" s="500"/>
      <c r="H37" s="500"/>
      <c r="I37" s="500"/>
      <c r="J37" s="500"/>
      <c r="K37" s="500"/>
      <c r="L37" s="500"/>
      <c r="M37" s="500"/>
      <c r="N37" s="500"/>
      <c r="O37" s="500"/>
      <c r="P37" s="500"/>
      <c r="Q37" s="500"/>
      <c r="R37" s="500"/>
      <c r="S37" s="500"/>
      <c r="T37" s="500"/>
      <c r="U37" s="500"/>
      <c r="V37" s="500"/>
      <c r="W37" s="500"/>
      <c r="X37" s="500"/>
      <c r="Y37" s="500"/>
      <c r="Z37" s="500"/>
      <c r="AA37" s="500"/>
      <c r="AB37" s="500"/>
      <c r="AC37" s="500"/>
      <c r="AD37" s="500"/>
      <c r="AE37" s="500"/>
      <c r="AF37" s="500"/>
      <c r="AG37" s="500"/>
      <c r="AH37" s="500"/>
      <c r="AI37" s="500"/>
      <c r="AJ37" s="500"/>
      <c r="AK37" s="500"/>
      <c r="AL37" s="500"/>
      <c r="AM37" s="500"/>
      <c r="AN37" s="500"/>
      <c r="AO37" s="500"/>
      <c r="AP37" s="500"/>
      <c r="AQ37" s="500"/>
      <c r="AR37" s="500"/>
      <c r="AS37" s="500"/>
      <c r="AT37" s="500"/>
      <c r="AU37" s="500"/>
      <c r="AV37" s="500"/>
      <c r="AW37" s="500"/>
    </row>
  </sheetData>
  <mergeCells count="29">
    <mergeCell ref="W26:Z26"/>
    <mergeCell ref="V23:Y23"/>
    <mergeCell ref="V22:Y22"/>
    <mergeCell ref="C20:D26"/>
    <mergeCell ref="G20:H20"/>
    <mergeCell ref="L21:S21"/>
    <mergeCell ref="I21:K21"/>
    <mergeCell ref="V21:Y21"/>
    <mergeCell ref="Y20:Z20"/>
    <mergeCell ref="I23:K23"/>
    <mergeCell ref="L23:S23"/>
    <mergeCell ref="L26:S26"/>
    <mergeCell ref="E22:H22"/>
    <mergeCell ref="E24:H24"/>
    <mergeCell ref="E23:H23"/>
    <mergeCell ref="E21:H21"/>
    <mergeCell ref="P2:S2"/>
    <mergeCell ref="AM3:AN3"/>
    <mergeCell ref="AR3:AU3"/>
    <mergeCell ref="E25:H25"/>
    <mergeCell ref="L25:S25"/>
    <mergeCell ref="L24:S24"/>
    <mergeCell ref="L22:S22"/>
    <mergeCell ref="I22:K22"/>
    <mergeCell ref="J20:K20"/>
    <mergeCell ref="AL22:AM22"/>
    <mergeCell ref="V24:Y24"/>
    <mergeCell ref="V25:Y25"/>
    <mergeCell ref="E20:F20"/>
  </mergeCells>
  <conditionalFormatting sqref="AA4:AA19">
    <cfRule type="cellIs" dxfId="141" priority="1" operator="equal">
      <formula>0</formula>
    </cfRule>
  </conditionalFormatting>
  <conditionalFormatting sqref="J4">
    <cfRule type="expression" dxfId="140" priority="2">
      <formula>K4&lt;&gt;SUM(AD4:AI4)</formula>
    </cfRule>
  </conditionalFormatting>
  <conditionalFormatting sqref="I4:I19">
    <cfRule type="cellIs" dxfId="139" priority="3" stopIfTrue="1" operator="equal">
      <formula>"Player type quantity surpassed"</formula>
    </cfRule>
  </conditionalFormatting>
  <conditionalFormatting sqref="J5">
    <cfRule type="expression" dxfId="138" priority="4">
      <formula>K5&lt;&gt;SUM(AD5:AI5)</formula>
    </cfRule>
  </conditionalFormatting>
  <conditionalFormatting sqref="J6">
    <cfRule type="expression" dxfId="137" priority="5">
      <formula>K6&lt;&gt;SUM(AD6:AI6)</formula>
    </cfRule>
  </conditionalFormatting>
  <conditionalFormatting sqref="J7">
    <cfRule type="expression" dxfId="136" priority="6">
      <formula>K7&lt;&gt;SUM(AD7:AI7)</formula>
    </cfRule>
  </conditionalFormatting>
  <conditionalFormatting sqref="J8">
    <cfRule type="expression" dxfId="135" priority="7">
      <formula>K8&lt;&gt;SUM(AD8:AI8)</formula>
    </cfRule>
  </conditionalFormatting>
  <conditionalFormatting sqref="J9">
    <cfRule type="expression" dxfId="134" priority="8">
      <formula>K9&lt;&gt;SUM(AD9:AI9)</formula>
    </cfRule>
  </conditionalFormatting>
  <conditionalFormatting sqref="J10">
    <cfRule type="expression" dxfId="133" priority="9">
      <formula>K10&lt;&gt;SUM(AD10:AI10)</formula>
    </cfRule>
  </conditionalFormatting>
  <conditionalFormatting sqref="J11">
    <cfRule type="expression" dxfId="132" priority="10">
      <formula>K11&lt;&gt;SUM(AD11:AI11)</formula>
    </cfRule>
  </conditionalFormatting>
  <conditionalFormatting sqref="J12">
    <cfRule type="expression" dxfId="131" priority="11">
      <formula>K12&lt;&gt;SUM(AD12:AI12)</formula>
    </cfRule>
  </conditionalFormatting>
  <conditionalFormatting sqref="J13">
    <cfRule type="expression" dxfId="130" priority="12">
      <formula>K13&lt;&gt;SUM(AD13:AI13)</formula>
    </cfRule>
  </conditionalFormatting>
  <conditionalFormatting sqref="J14">
    <cfRule type="expression" dxfId="129" priority="13">
      <formula>K14&lt;&gt;SUM(AD14:AI14)</formula>
    </cfRule>
  </conditionalFormatting>
  <conditionalFormatting sqref="J15">
    <cfRule type="expression" dxfId="128" priority="14">
      <formula>K15&lt;&gt;SUM(AD15:AI15)</formula>
    </cfRule>
  </conditionalFormatting>
  <conditionalFormatting sqref="J16">
    <cfRule type="expression" dxfId="127" priority="15">
      <formula>K16&lt;&gt;SUM(AD16:AI16)</formula>
    </cfRule>
  </conditionalFormatting>
  <conditionalFormatting sqref="J17">
    <cfRule type="expression" dxfId="126" priority="16">
      <formula>K17&lt;&gt;SUM(AD17:AI17)</formula>
    </cfRule>
  </conditionalFormatting>
  <conditionalFormatting sqref="J18">
    <cfRule type="expression" dxfId="125" priority="17">
      <formula>K18&lt;&gt;SUM(AD18:AI18)</formula>
    </cfRule>
  </conditionalFormatting>
  <conditionalFormatting sqref="J19">
    <cfRule type="expression" dxfId="124" priority="18">
      <formula>K19&lt;&gt;SUM(AD19:AI19)</formula>
    </cfRule>
  </conditionalFormatting>
  <conditionalFormatting sqref="K4:K19">
    <cfRule type="cellIs" dxfId="123" priority="19" operator="equal">
      <formula>0</formula>
    </cfRule>
  </conditionalFormatting>
  <conditionalFormatting sqref="E4:H19">
    <cfRule type="expression" dxfId="122" priority="20">
      <formula>AF4&gt;0</formula>
    </cfRule>
  </conditionalFormatting>
  <conditionalFormatting sqref="E4:H19">
    <cfRule type="expression" dxfId="121" priority="21">
      <formula>P4&gt;0</formula>
    </cfRule>
  </conditionalFormatting>
  <conditionalFormatting sqref="I4:I19 T4:T19 U4:U20 V4:W19 Y4:Y19 U26:U37">
    <cfRule type="cellIs" dxfId="120" priority="22" stopIfTrue="1" operator="equal">
      <formula>0</formula>
    </cfRule>
  </conditionalFormatting>
  <conditionalFormatting sqref="Y27:Y37">
    <cfRule type="cellIs" dxfId="119" priority="23" stopIfTrue="1" operator="equal">
      <formula>"0,0"</formula>
    </cfRule>
  </conditionalFormatting>
  <conditionalFormatting sqref="L20:T20">
    <cfRule type="cellIs" dxfId="118" priority="24" stopIfTrue="1" operator="equal">
      <formula>0</formula>
    </cfRule>
  </conditionalFormatting>
  <conditionalFormatting sqref="P4:S19">
    <cfRule type="cellIs" dxfId="117" priority="25" stopIfTrue="1" operator="lessThanOrEqual">
      <formula>-1</formula>
    </cfRule>
  </conditionalFormatting>
  <conditionalFormatting sqref="V25:W25">
    <cfRule type="cellIs" dxfId="116" priority="26" stopIfTrue="1" operator="equal">
      <formula>-500</formula>
    </cfRule>
  </conditionalFormatting>
  <conditionalFormatting sqref="T25">
    <cfRule type="cellIs" dxfId="115" priority="27" stopIfTrue="1" operator="greaterThan">
      <formula>$V$25</formula>
    </cfRule>
  </conditionalFormatting>
  <conditionalFormatting sqref="Z4:Z19">
    <cfRule type="cellIs" dxfId="114" priority="28" stopIfTrue="1" operator="equal">
      <formula>"Star"</formula>
    </cfRule>
  </conditionalFormatting>
  <conditionalFormatting sqref="Z4:Z19">
    <cfRule type="cellIs" dxfId="113" priority="29" stopIfTrue="1" operator="equal">
      <formula>AA4</formula>
    </cfRule>
  </conditionalFormatting>
  <dataValidations count="1">
    <dataValidation type="list" allowBlank="1" showErrorMessage="1" sqref="D4:D19">
      <formula1>'RC2'!$D$28:$D$37</formula1>
    </dataValidation>
  </dataValidation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W37"/>
  <sheetViews>
    <sheetView workbookViewId="0">
      <selection sqref="A1:A1048576"/>
    </sheetView>
  </sheetViews>
  <sheetFormatPr defaultColWidth="14.42578125" defaultRowHeight="15.75" customHeight="1"/>
  <cols>
    <col min="1" max="1" width="1.85546875" style="139" customWidth="1"/>
    <col min="2" max="2" width="3.140625" style="139" customWidth="1"/>
    <col min="3" max="3" width="19.28515625" style="139" customWidth="1"/>
    <col min="4" max="4" width="21.28515625" style="139" customWidth="1"/>
    <col min="5" max="8" width="3" style="139" customWidth="1"/>
    <col min="9" max="9" width="30.85546875" style="139" customWidth="1"/>
    <col min="10" max="10" width="23" style="139" customWidth="1"/>
    <col min="11" max="11" width="1.85546875" style="139" customWidth="1"/>
    <col min="12" max="13" width="2.42578125" style="139" customWidth="1"/>
    <col min="14" max="16" width="2.140625" style="139" customWidth="1"/>
    <col min="17" max="17" width="2" style="139" customWidth="1"/>
    <col min="18" max="18" width="1.85546875" style="139" customWidth="1"/>
    <col min="19" max="19" width="2" style="139" customWidth="1"/>
    <col min="20" max="21" width="3.28515625" style="139" customWidth="1"/>
    <col min="22" max="22" width="2.42578125" style="139" customWidth="1"/>
    <col min="23" max="23" width="3.28515625" style="139" customWidth="1"/>
    <col min="24" max="24" width="2.7109375" style="139" customWidth="1"/>
    <col min="25" max="25" width="3.28515625" style="139" customWidth="1"/>
    <col min="26" max="26" width="4.42578125" style="139" customWidth="1"/>
    <col min="27" max="27" width="10" style="139" customWidth="1"/>
    <col min="28" max="28" width="5.5703125" style="139" customWidth="1"/>
    <col min="29" max="29" width="7.7109375" style="139" customWidth="1"/>
    <col min="30" max="30" width="5.42578125" style="139" customWidth="1"/>
    <col min="31" max="31" width="5.28515625" style="139" customWidth="1"/>
    <col min="32" max="32" width="4.28515625" style="139" customWidth="1"/>
    <col min="33" max="33" width="3.85546875" style="139" customWidth="1"/>
    <col min="34" max="34" width="4.140625" style="139" customWidth="1"/>
    <col min="35" max="35" width="3.85546875" style="139" customWidth="1"/>
    <col min="36" max="36" width="13" style="139" customWidth="1"/>
    <col min="37" max="37" width="6.42578125" style="139" customWidth="1"/>
    <col min="38" max="38" width="14.42578125" style="139" customWidth="1"/>
    <col min="39" max="39" width="11.42578125" style="139" customWidth="1"/>
    <col min="40" max="41" width="10.7109375" style="139" customWidth="1"/>
    <col min="42" max="42" width="5.140625" style="139" customWidth="1"/>
    <col min="43" max="43" width="5.85546875" style="139" customWidth="1"/>
    <col min="44" max="44" width="26.140625" style="139" customWidth="1"/>
    <col min="45" max="49" width="10.7109375" style="139" customWidth="1"/>
    <col min="50" max="16384" width="14.42578125" style="139"/>
  </cols>
  <sheetData>
    <row r="1" spans="1:49" ht="8.25" customHeight="1">
      <c r="A1" s="440"/>
      <c r="B1" s="137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318"/>
      <c r="AA1" s="318"/>
      <c r="AB1" s="318"/>
      <c r="AC1" s="318"/>
      <c r="AD1" s="318"/>
      <c r="AE1" s="318"/>
      <c r="AF1" s="318"/>
      <c r="AG1" s="318"/>
      <c r="AH1" s="318"/>
      <c r="AI1" s="318"/>
      <c r="AJ1" s="318"/>
      <c r="AK1" s="318"/>
      <c r="AL1" s="318"/>
      <c r="AM1" s="318"/>
      <c r="AN1" s="318"/>
      <c r="AO1" s="318"/>
      <c r="AP1" s="318"/>
      <c r="AQ1" s="318"/>
      <c r="AR1" s="318"/>
      <c r="AS1" s="318"/>
      <c r="AT1" s="318"/>
      <c r="AU1" s="318"/>
      <c r="AV1" s="318"/>
      <c r="AW1" s="318"/>
    </row>
    <row r="2" spans="1:49" ht="8.25" customHeight="1">
      <c r="A2" s="136"/>
      <c r="B2" s="140"/>
      <c r="C2" s="140"/>
      <c r="D2" s="141"/>
      <c r="E2" s="140"/>
      <c r="F2" s="140"/>
      <c r="G2" s="140"/>
      <c r="H2" s="140"/>
      <c r="I2" s="140"/>
      <c r="J2" s="140"/>
      <c r="K2" s="136"/>
      <c r="L2" s="140"/>
      <c r="M2" s="140"/>
      <c r="N2" s="140"/>
      <c r="O2" s="140"/>
      <c r="P2" s="602" t="s">
        <v>218</v>
      </c>
      <c r="Q2" s="572"/>
      <c r="R2" s="572"/>
      <c r="S2" s="573"/>
      <c r="T2" s="142"/>
      <c r="U2" s="142"/>
      <c r="V2" s="142"/>
      <c r="W2" s="142"/>
      <c r="X2" s="143"/>
      <c r="Y2" s="142"/>
      <c r="Z2" s="140"/>
      <c r="AA2" s="140"/>
      <c r="AB2" s="318"/>
      <c r="AC2" s="318"/>
      <c r="AD2" s="318"/>
      <c r="AE2" s="318"/>
      <c r="AF2" s="318"/>
      <c r="AG2" s="318"/>
      <c r="AH2" s="318"/>
      <c r="AI2" s="318"/>
      <c r="AJ2" s="318"/>
      <c r="AK2" s="318"/>
      <c r="AL2" s="318"/>
      <c r="AM2" s="318"/>
      <c r="AN2" s="318"/>
      <c r="AO2" s="318"/>
      <c r="AP2" s="318"/>
      <c r="AQ2" s="318"/>
      <c r="AR2" s="318"/>
      <c r="AS2" s="318"/>
      <c r="AT2" s="318"/>
      <c r="AU2" s="318"/>
      <c r="AV2" s="318"/>
      <c r="AW2" s="318"/>
    </row>
    <row r="3" spans="1:49" ht="21.75" customHeight="1">
      <c r="A3" s="137"/>
      <c r="B3" s="146" t="s">
        <v>203</v>
      </c>
      <c r="C3" s="147" t="s">
        <v>32</v>
      </c>
      <c r="D3" s="148" t="s">
        <v>229</v>
      </c>
      <c r="E3" s="149" t="s">
        <v>206</v>
      </c>
      <c r="F3" s="150" t="s">
        <v>207</v>
      </c>
      <c r="G3" s="151" t="s">
        <v>208</v>
      </c>
      <c r="H3" s="152" t="s">
        <v>209</v>
      </c>
      <c r="I3" s="153" t="s">
        <v>230</v>
      </c>
      <c r="J3" s="152" t="s">
        <v>231</v>
      </c>
      <c r="K3" s="154" t="s">
        <v>203</v>
      </c>
      <c r="L3" s="155" t="s">
        <v>232</v>
      </c>
      <c r="M3" s="156" t="s">
        <v>233</v>
      </c>
      <c r="N3" s="156" t="s">
        <v>234</v>
      </c>
      <c r="O3" s="157" t="s">
        <v>235</v>
      </c>
      <c r="P3" s="158" t="s">
        <v>206</v>
      </c>
      <c r="Q3" s="159" t="s">
        <v>207</v>
      </c>
      <c r="R3" s="159" t="s">
        <v>208</v>
      </c>
      <c r="S3" s="160" t="s">
        <v>209</v>
      </c>
      <c r="T3" s="161" t="s">
        <v>236</v>
      </c>
      <c r="U3" s="156" t="s">
        <v>237</v>
      </c>
      <c r="V3" s="156" t="s">
        <v>210</v>
      </c>
      <c r="W3" s="156" t="s">
        <v>240</v>
      </c>
      <c r="X3" s="162" t="s">
        <v>35</v>
      </c>
      <c r="Y3" s="157" t="s">
        <v>211</v>
      </c>
      <c r="Z3" s="153" t="s">
        <v>212</v>
      </c>
      <c r="AA3" s="163" t="s">
        <v>241</v>
      </c>
      <c r="AB3" s="136"/>
      <c r="AC3" s="146" t="s">
        <v>242</v>
      </c>
      <c r="AD3" s="153" t="s">
        <v>233</v>
      </c>
      <c r="AE3" s="150" t="s">
        <v>243</v>
      </c>
      <c r="AF3" s="164" t="str">
        <f>"+MA"</f>
        <v>+MA</v>
      </c>
      <c r="AG3" s="150" t="str">
        <f>"+ST"</f>
        <v>+ST</v>
      </c>
      <c r="AH3" s="150" t="str">
        <f>"+AG"</f>
        <v>+AG</v>
      </c>
      <c r="AI3" s="150" t="str">
        <f>"+AV"</f>
        <v>+AV</v>
      </c>
      <c r="AJ3" s="163" t="s">
        <v>244</v>
      </c>
      <c r="AK3" s="136"/>
      <c r="AL3" s="136"/>
      <c r="AM3" s="601" t="s">
        <v>245</v>
      </c>
      <c r="AN3" s="575"/>
      <c r="AO3" s="136"/>
      <c r="AP3" s="136"/>
      <c r="AQ3" s="136"/>
      <c r="AR3" s="601" t="s">
        <v>246</v>
      </c>
      <c r="AS3" s="575"/>
      <c r="AT3" s="136"/>
      <c r="AU3" s="136"/>
      <c r="AV3" s="136"/>
      <c r="AW3" s="136"/>
    </row>
    <row r="4" spans="1:49" ht="18" customHeight="1">
      <c r="A4" s="321"/>
      <c r="B4" s="541">
        <v>1</v>
      </c>
      <c r="C4" s="542" t="s">
        <v>554</v>
      </c>
      <c r="D4" s="534" t="s">
        <v>77</v>
      </c>
      <c r="E4" s="168">
        <f>IFERROR(VLOOKUP($I$22&amp;$D4,'Development-Hidden'!$C$2:$J$118,4,FALSE)-P4+AF4,"")</f>
        <v>5</v>
      </c>
      <c r="F4" s="169">
        <f>IFERROR(VLOOKUP($I$22&amp;$D4,'Development-Hidden'!$C$2:$J$118,5,FALSE)-Q4+AG4,"")</f>
        <v>5</v>
      </c>
      <c r="G4" s="169">
        <f>IFERROR(VLOOKUP($I$22&amp;$D4,'Development-Hidden'!$C$2:$J$118,6,FALSE)-R4+AH4,"")</f>
        <v>2</v>
      </c>
      <c r="H4" s="170">
        <f>IFERROR(VLOOKUP($I$22&amp;$D4,'Development-Hidden'!$C$2:$J$118,7,FALSE)-S4+AI4,"")</f>
        <v>9</v>
      </c>
      <c r="I4" s="171" t="s">
        <v>555</v>
      </c>
      <c r="J4" s="172" t="s">
        <v>556</v>
      </c>
      <c r="K4" s="173">
        <f t="shared" ref="K4:K19" si="0">IF(Z4&gt;175,6,IF(Z4&gt;75,5,IF(Z4&gt;50,4,IF(Z4&gt;30,3,IF(Z4&gt;15,2,IF(Z4&gt;5,1,0))))))</f>
        <v>2</v>
      </c>
      <c r="L4" s="327"/>
      <c r="M4" s="327"/>
      <c r="N4" s="327">
        <v>1</v>
      </c>
      <c r="O4" s="327"/>
      <c r="P4" s="328"/>
      <c r="Q4" s="329"/>
      <c r="R4" s="330"/>
      <c r="S4" s="331"/>
      <c r="T4" s="543"/>
      <c r="U4" s="543"/>
      <c r="V4" s="543"/>
      <c r="W4" s="524">
        <v>3</v>
      </c>
      <c r="X4" s="544"/>
      <c r="Y4" s="526">
        <v>2</v>
      </c>
      <c r="Z4" s="184">
        <v>16</v>
      </c>
      <c r="AA4" s="183">
        <f t="shared" ref="AA4:AA19" si="1">IF(L4=1,0,AC4+(20000*O4)+(20000*AD4)+(30000*AE4)+(30000*AF4)+(50000*AG4)+(40000*AH4)+(50000*AI4)+AJ4)</f>
        <v>180000</v>
      </c>
      <c r="AB4" s="318"/>
      <c r="AC4" s="184">
        <f>IFERROR(VLOOKUP($I$22&amp;D4,'Development-Hidden'!$C$2:$E$118,3,FALSE),"")</f>
        <v>140000</v>
      </c>
      <c r="AD4" s="179">
        <v>2</v>
      </c>
      <c r="AE4" s="180"/>
      <c r="AF4" s="180"/>
      <c r="AG4" s="180"/>
      <c r="AH4" s="180"/>
      <c r="AI4" s="180"/>
      <c r="AJ4" s="185"/>
      <c r="AK4" s="318"/>
      <c r="AL4" s="336" t="s">
        <v>252</v>
      </c>
      <c r="AM4" s="337"/>
      <c r="AN4" s="318"/>
      <c r="AO4" s="318"/>
      <c r="AP4" s="318"/>
      <c r="AQ4" s="212" t="s">
        <v>256</v>
      </c>
      <c r="AR4" s="212" t="s">
        <v>260</v>
      </c>
      <c r="AS4" s="212" t="s">
        <v>261</v>
      </c>
      <c r="AT4" s="354" t="s">
        <v>401</v>
      </c>
      <c r="AU4" s="354" t="s">
        <v>262</v>
      </c>
      <c r="AV4" s="355" t="s">
        <v>402</v>
      </c>
      <c r="AW4" s="447"/>
    </row>
    <row r="5" spans="1:49" ht="18" customHeight="1">
      <c r="A5" s="321"/>
      <c r="B5" s="545">
        <v>2</v>
      </c>
      <c r="C5" s="546" t="s">
        <v>225</v>
      </c>
      <c r="D5" s="537" t="s">
        <v>49</v>
      </c>
      <c r="E5" s="195">
        <f>IFERROR(VLOOKUP($I$22&amp;$D5,'Development-Hidden'!$C$2:$J$118,4,FALSE)-P5+AF5,"")</f>
        <v>7</v>
      </c>
      <c r="F5" s="196">
        <f>IFERROR(VLOOKUP($I$22&amp;$D5,'Development-Hidden'!$C$2:$J$118,5,FALSE)-Q5+AG5,"")</f>
        <v>3</v>
      </c>
      <c r="G5" s="196">
        <f>IFERROR(VLOOKUP($I$22&amp;$D5,'Development-Hidden'!$C$2:$J$118,6,FALSE)-R5+AH5,"")</f>
        <v>3</v>
      </c>
      <c r="H5" s="197">
        <f>IFERROR(VLOOKUP($I$22&amp;$D5,'Development-Hidden'!$C$2:$J$118,7,FALSE)-S5+AI5,"")</f>
        <v>8</v>
      </c>
      <c r="I5" s="198" t="s">
        <v>277</v>
      </c>
      <c r="J5" s="199" t="s">
        <v>399</v>
      </c>
      <c r="K5" s="200">
        <f t="shared" si="0"/>
        <v>1</v>
      </c>
      <c r="L5" s="344"/>
      <c r="M5" s="344"/>
      <c r="N5" s="344">
        <v>1</v>
      </c>
      <c r="O5" s="344"/>
      <c r="P5" s="345"/>
      <c r="Q5" s="346"/>
      <c r="R5" s="347"/>
      <c r="S5" s="348"/>
      <c r="T5" s="547"/>
      <c r="U5" s="528">
        <v>1</v>
      </c>
      <c r="V5" s="547"/>
      <c r="W5" s="528">
        <v>3</v>
      </c>
      <c r="X5" s="529">
        <v>1</v>
      </c>
      <c r="Y5" s="548"/>
      <c r="Z5" s="210">
        <v>7</v>
      </c>
      <c r="AA5" s="183">
        <f t="shared" si="1"/>
        <v>110000</v>
      </c>
      <c r="AB5" s="318"/>
      <c r="AC5" s="210">
        <f>IFERROR(VLOOKUP($I$22&amp;D5,'Development-Hidden'!$C$2:$E$118,3,FALSE),"")</f>
        <v>90000</v>
      </c>
      <c r="AD5" s="206">
        <v>1</v>
      </c>
      <c r="AE5" s="207"/>
      <c r="AF5" s="207"/>
      <c r="AG5" s="207"/>
      <c r="AH5" s="207"/>
      <c r="AI5" s="207"/>
      <c r="AJ5" s="211"/>
      <c r="AK5" s="318"/>
      <c r="AL5" s="353"/>
      <c r="AM5" s="353"/>
      <c r="AN5" s="353"/>
      <c r="AO5" s="353"/>
      <c r="AP5" s="353"/>
      <c r="AQ5" s="357" t="s">
        <v>267</v>
      </c>
      <c r="AR5" s="358"/>
      <c r="AS5" s="358"/>
      <c r="AT5" s="187"/>
      <c r="AU5" s="359"/>
      <c r="AV5" s="360"/>
      <c r="AW5" s="448"/>
    </row>
    <row r="6" spans="1:49" ht="18" customHeight="1">
      <c r="A6" s="321"/>
      <c r="B6" s="545">
        <v>3</v>
      </c>
      <c r="C6" s="546" t="s">
        <v>224</v>
      </c>
      <c r="D6" s="537" t="s">
        <v>49</v>
      </c>
      <c r="E6" s="195">
        <f>IFERROR(VLOOKUP($I$22&amp;$D6,'Development-Hidden'!$C$2:$J$118,4,FALSE)-P6+AF6,"")</f>
        <v>7</v>
      </c>
      <c r="F6" s="196">
        <f>IFERROR(VLOOKUP($I$22&amp;$D6,'Development-Hidden'!$C$2:$J$118,5,FALSE)-Q6+AG6,"")</f>
        <v>3</v>
      </c>
      <c r="G6" s="196">
        <f>IFERROR(VLOOKUP($I$22&amp;$D6,'Development-Hidden'!$C$2:$J$118,6,FALSE)-R6+AH6,"")</f>
        <v>3</v>
      </c>
      <c r="H6" s="197">
        <f>IFERROR(VLOOKUP($I$22&amp;$D6,'Development-Hidden'!$C$2:$J$118,7,FALSE)-S6+AI6,"")</f>
        <v>8</v>
      </c>
      <c r="I6" s="198" t="s">
        <v>277</v>
      </c>
      <c r="J6" s="199" t="s">
        <v>399</v>
      </c>
      <c r="K6" s="200">
        <f t="shared" si="0"/>
        <v>1</v>
      </c>
      <c r="L6" s="344"/>
      <c r="M6" s="344"/>
      <c r="N6" s="344">
        <v>1</v>
      </c>
      <c r="O6" s="344"/>
      <c r="P6" s="345"/>
      <c r="Q6" s="346"/>
      <c r="R6" s="347"/>
      <c r="S6" s="348"/>
      <c r="T6" s="547"/>
      <c r="U6" s="547"/>
      <c r="V6" s="528">
        <v>2</v>
      </c>
      <c r="W6" s="528">
        <v>1</v>
      </c>
      <c r="X6" s="549"/>
      <c r="Y6" s="548"/>
      <c r="Z6" s="210">
        <f t="shared" ref="Z6:Z12" si="2">2*T6+U6+3*V6+2*W6+5*Y6</f>
        <v>8</v>
      </c>
      <c r="AA6" s="183">
        <f t="shared" si="1"/>
        <v>110000</v>
      </c>
      <c r="AB6" s="318"/>
      <c r="AC6" s="210">
        <f>IFERROR(VLOOKUP($I$22&amp;D6,'Development-Hidden'!$C$2:$E$118,3,FALSE),"")</f>
        <v>90000</v>
      </c>
      <c r="AD6" s="206">
        <v>1</v>
      </c>
      <c r="AE6" s="207"/>
      <c r="AF6" s="207"/>
      <c r="AG6" s="207"/>
      <c r="AH6" s="207"/>
      <c r="AI6" s="207"/>
      <c r="AJ6" s="211"/>
      <c r="AK6" s="318"/>
      <c r="AL6" s="212" t="s">
        <v>256</v>
      </c>
      <c r="AM6" s="212" t="s">
        <v>257</v>
      </c>
      <c r="AN6" s="212" t="s">
        <v>258</v>
      </c>
      <c r="AO6" s="354" t="s">
        <v>400</v>
      </c>
      <c r="AP6" s="353"/>
      <c r="AQ6" s="357" t="s">
        <v>278</v>
      </c>
      <c r="AR6" s="358"/>
      <c r="AS6" s="358"/>
      <c r="AT6" s="187"/>
      <c r="AU6" s="359"/>
      <c r="AV6" s="360"/>
      <c r="AW6" s="448"/>
    </row>
    <row r="7" spans="1:49" ht="18" customHeight="1">
      <c r="A7" s="321"/>
      <c r="B7" s="545">
        <v>4</v>
      </c>
      <c r="C7" s="546" t="s">
        <v>226</v>
      </c>
      <c r="D7" s="537" t="s">
        <v>49</v>
      </c>
      <c r="E7" s="195">
        <f>IFERROR(VLOOKUP($I$22&amp;$D7,'Development-Hidden'!$C$2:$J$118,4,FALSE)-P7+AF7,"")</f>
        <v>7</v>
      </c>
      <c r="F7" s="196">
        <f>IFERROR(VLOOKUP($I$22&amp;$D7,'Development-Hidden'!$C$2:$J$118,5,FALSE)-Q7+AG7,"")</f>
        <v>3</v>
      </c>
      <c r="G7" s="196">
        <f>IFERROR(VLOOKUP($I$22&amp;$D7,'Development-Hidden'!$C$2:$J$118,6,FALSE)-R7+AH7,"")</f>
        <v>3</v>
      </c>
      <c r="H7" s="197">
        <f>IFERROR(VLOOKUP($I$22&amp;$D7,'Development-Hidden'!$C$2:$J$118,7,FALSE)-S7+AI7,"")</f>
        <v>8</v>
      </c>
      <c r="I7" s="198" t="s">
        <v>277</v>
      </c>
      <c r="J7" s="199" t="s">
        <v>399</v>
      </c>
      <c r="K7" s="200">
        <f t="shared" si="0"/>
        <v>1</v>
      </c>
      <c r="L7" s="344"/>
      <c r="M7" s="344"/>
      <c r="N7" s="344">
        <v>1</v>
      </c>
      <c r="O7" s="344"/>
      <c r="P7" s="345"/>
      <c r="Q7" s="346"/>
      <c r="R7" s="347"/>
      <c r="S7" s="348"/>
      <c r="T7" s="547"/>
      <c r="U7" s="528">
        <v>1</v>
      </c>
      <c r="V7" s="547"/>
      <c r="W7" s="528">
        <v>3</v>
      </c>
      <c r="X7" s="549"/>
      <c r="Y7" s="530">
        <v>1</v>
      </c>
      <c r="Z7" s="210">
        <f t="shared" si="2"/>
        <v>12</v>
      </c>
      <c r="AA7" s="183">
        <f t="shared" si="1"/>
        <v>110000</v>
      </c>
      <c r="AB7" s="318"/>
      <c r="AC7" s="210">
        <f>IFERROR(VLOOKUP($I$22&amp;D7,'Development-Hidden'!$C$2:$E$118,3,FALSE),"")</f>
        <v>90000</v>
      </c>
      <c r="AD7" s="206">
        <v>1</v>
      </c>
      <c r="AE7" s="207"/>
      <c r="AF7" s="207"/>
      <c r="AG7" s="207"/>
      <c r="AH7" s="207"/>
      <c r="AI7" s="207"/>
      <c r="AJ7" s="211"/>
      <c r="AK7" s="318"/>
      <c r="AL7" s="357" t="s">
        <v>267</v>
      </c>
      <c r="AM7" s="187"/>
      <c r="AN7" s="358"/>
      <c r="AO7" s="359"/>
      <c r="AP7" s="318"/>
      <c r="AQ7" s="357" t="s">
        <v>289</v>
      </c>
      <c r="AR7" s="358"/>
      <c r="AS7" s="358"/>
      <c r="AT7" s="187"/>
      <c r="AU7" s="359"/>
      <c r="AV7" s="360"/>
      <c r="AW7" s="448"/>
    </row>
    <row r="8" spans="1:49" ht="18" customHeight="1">
      <c r="A8" s="321"/>
      <c r="B8" s="545">
        <v>5</v>
      </c>
      <c r="C8" s="546" t="s">
        <v>239</v>
      </c>
      <c r="D8" s="537" t="s">
        <v>49</v>
      </c>
      <c r="E8" s="195">
        <f>IFERROR(VLOOKUP($I$22&amp;$D8,'Development-Hidden'!$C$2:$J$118,4,FALSE)-P8+AF8,"")</f>
        <v>7</v>
      </c>
      <c r="F8" s="196">
        <f>IFERROR(VLOOKUP($I$22&amp;$D8,'Development-Hidden'!$C$2:$J$118,5,FALSE)-Q8+AG8,"")</f>
        <v>3</v>
      </c>
      <c r="G8" s="196">
        <f>IFERROR(VLOOKUP($I$22&amp;$D8,'Development-Hidden'!$C$2:$J$118,6,FALSE)-R8+AH8,"")</f>
        <v>3</v>
      </c>
      <c r="H8" s="197">
        <f>IFERROR(VLOOKUP($I$22&amp;$D8,'Development-Hidden'!$C$2:$J$118,7,FALSE)-S8+AI8,"")</f>
        <v>8</v>
      </c>
      <c r="I8" s="198" t="s">
        <v>277</v>
      </c>
      <c r="J8" s="199" t="s">
        <v>399</v>
      </c>
      <c r="K8" s="200">
        <f t="shared" si="0"/>
        <v>1</v>
      </c>
      <c r="L8" s="344"/>
      <c r="M8" s="344"/>
      <c r="N8" s="344">
        <v>1</v>
      </c>
      <c r="O8" s="344"/>
      <c r="P8" s="345"/>
      <c r="Q8" s="346"/>
      <c r="R8" s="347"/>
      <c r="S8" s="348"/>
      <c r="T8" s="547"/>
      <c r="U8" s="547"/>
      <c r="V8" s="528">
        <v>1</v>
      </c>
      <c r="W8" s="528">
        <v>1</v>
      </c>
      <c r="X8" s="549"/>
      <c r="Y8" s="530">
        <v>1</v>
      </c>
      <c r="Z8" s="210">
        <f t="shared" si="2"/>
        <v>10</v>
      </c>
      <c r="AA8" s="183">
        <f t="shared" si="1"/>
        <v>110000</v>
      </c>
      <c r="AB8" s="318"/>
      <c r="AC8" s="210">
        <f>IFERROR(VLOOKUP($I$22&amp;D8,'Development-Hidden'!$C$2:$E$118,3,FALSE),"")</f>
        <v>90000</v>
      </c>
      <c r="AD8" s="206">
        <v>1</v>
      </c>
      <c r="AE8" s="207"/>
      <c r="AF8" s="207"/>
      <c r="AG8" s="207"/>
      <c r="AH8" s="207"/>
      <c r="AI8" s="207"/>
      <c r="AJ8" s="211"/>
      <c r="AK8" s="318"/>
      <c r="AL8" s="357" t="s">
        <v>278</v>
      </c>
      <c r="AM8" s="187"/>
      <c r="AN8" s="358"/>
      <c r="AO8" s="359"/>
      <c r="AP8" s="318"/>
      <c r="AQ8" s="357" t="s">
        <v>296</v>
      </c>
      <c r="AR8" s="358"/>
      <c r="AS8" s="358"/>
      <c r="AT8" s="187"/>
      <c r="AU8" s="359"/>
      <c r="AV8" s="360"/>
      <c r="AW8" s="448"/>
    </row>
    <row r="9" spans="1:49" ht="18" customHeight="1">
      <c r="A9" s="321"/>
      <c r="B9" s="545">
        <v>6</v>
      </c>
      <c r="C9" s="546" t="s">
        <v>204</v>
      </c>
      <c r="D9" s="537" t="s">
        <v>83</v>
      </c>
      <c r="E9" s="195">
        <f>IFERROR(VLOOKUP($I$22&amp;$D9,'Development-Hidden'!$C$2:$J$118,4,FALSE)-P9+AF9,"")</f>
        <v>6</v>
      </c>
      <c r="F9" s="196">
        <f>IFERROR(VLOOKUP($I$22&amp;$D9,'Development-Hidden'!$C$2:$J$118,5,FALSE)-Q9+AG9,"")</f>
        <v>3</v>
      </c>
      <c r="G9" s="196">
        <f>IFERROR(VLOOKUP($I$22&amp;$D9,'Development-Hidden'!$C$2:$J$118,6,FALSE)-R9+AH9,"")</f>
        <v>3</v>
      </c>
      <c r="H9" s="197">
        <f>IFERROR(VLOOKUP($I$22&amp;$D9,'Development-Hidden'!$C$2:$J$118,7,FALSE)-S9+AI9,"")</f>
        <v>8</v>
      </c>
      <c r="I9" s="198" t="s">
        <v>416</v>
      </c>
      <c r="J9" s="199" t="s">
        <v>557</v>
      </c>
      <c r="K9" s="200">
        <f t="shared" si="0"/>
        <v>2</v>
      </c>
      <c r="L9" s="344"/>
      <c r="M9" s="344"/>
      <c r="N9" s="344">
        <v>1</v>
      </c>
      <c r="O9" s="344"/>
      <c r="P9" s="345"/>
      <c r="Q9" s="346"/>
      <c r="R9" s="347"/>
      <c r="S9" s="348"/>
      <c r="T9" s="547"/>
      <c r="U9" s="528">
        <v>12</v>
      </c>
      <c r="V9" s="547"/>
      <c r="W9" s="547"/>
      <c r="X9" s="549"/>
      <c r="Y9" s="530">
        <v>1</v>
      </c>
      <c r="Z9" s="210">
        <f t="shared" si="2"/>
        <v>17</v>
      </c>
      <c r="AA9" s="183">
        <f t="shared" si="1"/>
        <v>110000</v>
      </c>
      <c r="AB9" s="318"/>
      <c r="AC9" s="210">
        <f>IFERROR(VLOOKUP($I$22&amp;D9,'Development-Hidden'!$C$2:$E$118,3,FALSE),"")</f>
        <v>70000</v>
      </c>
      <c r="AD9" s="206">
        <v>2</v>
      </c>
      <c r="AE9" s="207"/>
      <c r="AF9" s="207"/>
      <c r="AG9" s="207"/>
      <c r="AH9" s="207"/>
      <c r="AI9" s="207"/>
      <c r="AJ9" s="211"/>
      <c r="AK9" s="318"/>
      <c r="AL9" s="357" t="s">
        <v>289</v>
      </c>
      <c r="AM9" s="187"/>
      <c r="AN9" s="358"/>
      <c r="AO9" s="359"/>
      <c r="AP9" s="318"/>
      <c r="AQ9" s="357" t="s">
        <v>306</v>
      </c>
      <c r="AR9" s="358"/>
      <c r="AS9" s="358"/>
      <c r="AT9" s="187"/>
      <c r="AU9" s="359"/>
      <c r="AV9" s="360"/>
      <c r="AW9" s="448"/>
    </row>
    <row r="10" spans="1:49" ht="18" customHeight="1">
      <c r="A10" s="321"/>
      <c r="B10" s="545">
        <v>7</v>
      </c>
      <c r="C10" s="546" t="s">
        <v>213</v>
      </c>
      <c r="D10" s="537" t="s">
        <v>42</v>
      </c>
      <c r="E10" s="195">
        <f>IFERROR(VLOOKUP($I$22&amp;$D10,'Development-Hidden'!$C$2:$J$118,4,FALSE)-P10+AF10,"")</f>
        <v>8</v>
      </c>
      <c r="F10" s="196">
        <f>IFERROR(VLOOKUP($I$22&amp;$D10,'Development-Hidden'!$C$2:$J$118,5,FALSE)-Q10+AG10,"")</f>
        <v>2</v>
      </c>
      <c r="G10" s="196">
        <f>IFERROR(VLOOKUP($I$22&amp;$D10,'Development-Hidden'!$C$2:$J$118,6,FALSE)-R10+AH10,"")</f>
        <v>3</v>
      </c>
      <c r="H10" s="197">
        <f>IFERROR(VLOOKUP($I$22&amp;$D10,'Development-Hidden'!$C$2:$J$118,7,FALSE)-S10+AI10,"")</f>
        <v>7</v>
      </c>
      <c r="I10" s="198" t="s">
        <v>558</v>
      </c>
      <c r="J10" s="199" t="s">
        <v>277</v>
      </c>
      <c r="K10" s="200">
        <f t="shared" si="0"/>
        <v>1</v>
      </c>
      <c r="L10" s="344"/>
      <c r="M10" s="344"/>
      <c r="N10" s="344">
        <v>1</v>
      </c>
      <c r="O10" s="344"/>
      <c r="P10" s="345"/>
      <c r="Q10" s="346"/>
      <c r="R10" s="347"/>
      <c r="S10" s="348"/>
      <c r="T10" s="547"/>
      <c r="U10" s="528">
        <v>1</v>
      </c>
      <c r="V10" s="528">
        <v>3</v>
      </c>
      <c r="W10" s="547"/>
      <c r="X10" s="549"/>
      <c r="Y10" s="548"/>
      <c r="Z10" s="210">
        <f t="shared" si="2"/>
        <v>10</v>
      </c>
      <c r="AA10" s="183">
        <f t="shared" si="1"/>
        <v>80000</v>
      </c>
      <c r="AB10" s="318"/>
      <c r="AC10" s="210">
        <f>IFERROR(VLOOKUP($I$22&amp;D10,'Development-Hidden'!$C$2:$E$118,3,FALSE),"")</f>
        <v>60000</v>
      </c>
      <c r="AD10" s="206">
        <v>1</v>
      </c>
      <c r="AE10" s="207"/>
      <c r="AF10" s="207"/>
      <c r="AG10" s="207"/>
      <c r="AH10" s="207"/>
      <c r="AI10" s="207"/>
      <c r="AJ10" s="211"/>
      <c r="AK10" s="318"/>
      <c r="AL10" s="357" t="s">
        <v>296</v>
      </c>
      <c r="AM10" s="187"/>
      <c r="AN10" s="358"/>
      <c r="AO10" s="359"/>
      <c r="AP10" s="318"/>
      <c r="AQ10" s="357" t="s">
        <v>316</v>
      </c>
      <c r="AR10" s="358"/>
      <c r="AS10" s="358"/>
      <c r="AT10" s="187"/>
      <c r="AU10" s="359"/>
      <c r="AV10" s="360"/>
      <c r="AW10" s="448"/>
    </row>
    <row r="11" spans="1:49" ht="18" customHeight="1">
      <c r="A11" s="321"/>
      <c r="B11" s="545">
        <v>8</v>
      </c>
      <c r="C11" s="546" t="s">
        <v>269</v>
      </c>
      <c r="D11" s="537" t="s">
        <v>58</v>
      </c>
      <c r="E11" s="195">
        <f>IFERROR(VLOOKUP($I$22&amp;$D11,'Development-Hidden'!$C$2:$J$118,4,FALSE)-P11+AF11,"")</f>
        <v>6</v>
      </c>
      <c r="F11" s="196">
        <f>IFERROR(VLOOKUP($I$22&amp;$D11,'Development-Hidden'!$C$2:$J$118,5,FALSE)-Q11+AG11,"")</f>
        <v>3</v>
      </c>
      <c r="G11" s="196">
        <f>IFERROR(VLOOKUP($I$22&amp;$D11,'Development-Hidden'!$C$2:$J$118,6,FALSE)-R11+AH11,"")</f>
        <v>3</v>
      </c>
      <c r="H11" s="197">
        <f>IFERROR(VLOOKUP($I$22&amp;$D11,'Development-Hidden'!$C$2:$J$118,7,FALSE)-S11+AI11,"")</f>
        <v>8</v>
      </c>
      <c r="I11" s="198"/>
      <c r="J11" s="199" t="s">
        <v>277</v>
      </c>
      <c r="K11" s="200">
        <f t="shared" si="0"/>
        <v>1</v>
      </c>
      <c r="L11" s="344"/>
      <c r="M11" s="344"/>
      <c r="N11" s="344">
        <v>1</v>
      </c>
      <c r="O11" s="344"/>
      <c r="P11" s="345"/>
      <c r="Q11" s="346"/>
      <c r="R11" s="347"/>
      <c r="S11" s="348"/>
      <c r="T11" s="547"/>
      <c r="U11" s="547"/>
      <c r="V11" s="547"/>
      <c r="W11" s="528">
        <v>1</v>
      </c>
      <c r="X11" s="549"/>
      <c r="Y11" s="530">
        <v>1</v>
      </c>
      <c r="Z11" s="210">
        <f t="shared" si="2"/>
        <v>7</v>
      </c>
      <c r="AA11" s="183">
        <f t="shared" si="1"/>
        <v>70000</v>
      </c>
      <c r="AB11" s="318"/>
      <c r="AC11" s="210">
        <f>IFERROR(VLOOKUP($I$22&amp;D11,'Development-Hidden'!$C$2:$E$118,3,FALSE),"")</f>
        <v>50000</v>
      </c>
      <c r="AD11" s="206">
        <v>1</v>
      </c>
      <c r="AE11" s="207"/>
      <c r="AF11" s="207"/>
      <c r="AG11" s="207"/>
      <c r="AH11" s="207"/>
      <c r="AI11" s="207"/>
      <c r="AJ11" s="211"/>
      <c r="AK11" s="318"/>
      <c r="AL11" s="357" t="s">
        <v>306</v>
      </c>
      <c r="AM11" s="187"/>
      <c r="AN11" s="358"/>
      <c r="AO11" s="359"/>
      <c r="AP11" s="318"/>
      <c r="AQ11" s="357" t="s">
        <v>330</v>
      </c>
      <c r="AR11" s="358"/>
      <c r="AS11" s="358"/>
      <c r="AT11" s="187"/>
      <c r="AU11" s="359"/>
      <c r="AV11" s="360"/>
      <c r="AW11" s="448"/>
    </row>
    <row r="12" spans="1:49" ht="18" customHeight="1">
      <c r="A12" s="321"/>
      <c r="B12" s="545">
        <v>9</v>
      </c>
      <c r="C12" s="546" t="s">
        <v>279</v>
      </c>
      <c r="D12" s="537" t="s">
        <v>58</v>
      </c>
      <c r="E12" s="195">
        <f>IFERROR(VLOOKUP($I$22&amp;$D12,'Development-Hidden'!$C$2:$J$118,4,FALSE)-P12+AF12,"")</f>
        <v>6</v>
      </c>
      <c r="F12" s="196">
        <f>IFERROR(VLOOKUP($I$22&amp;$D12,'Development-Hidden'!$C$2:$J$118,5,FALSE)-Q12+AG12,"")</f>
        <v>3</v>
      </c>
      <c r="G12" s="196">
        <f>IFERROR(VLOOKUP($I$22&amp;$D12,'Development-Hidden'!$C$2:$J$118,6,FALSE)-R12+AH12,"")</f>
        <v>3</v>
      </c>
      <c r="H12" s="197">
        <f>IFERROR(VLOOKUP($I$22&amp;$D12,'Development-Hidden'!$C$2:$J$118,7,FALSE)-S12+AI12,"")</f>
        <v>8</v>
      </c>
      <c r="I12" s="198"/>
      <c r="J12" s="199"/>
      <c r="K12" s="200">
        <f t="shared" si="0"/>
        <v>0</v>
      </c>
      <c r="L12" s="344"/>
      <c r="M12" s="344"/>
      <c r="N12" s="344">
        <v>1</v>
      </c>
      <c r="O12" s="344"/>
      <c r="P12" s="345"/>
      <c r="Q12" s="346"/>
      <c r="R12" s="347"/>
      <c r="S12" s="348"/>
      <c r="T12" s="547"/>
      <c r="U12" s="547"/>
      <c r="V12" s="547"/>
      <c r="W12" s="528">
        <v>1</v>
      </c>
      <c r="X12" s="549"/>
      <c r="Y12" s="548"/>
      <c r="Z12" s="210">
        <f t="shared" si="2"/>
        <v>2</v>
      </c>
      <c r="AA12" s="183">
        <f t="shared" si="1"/>
        <v>50000</v>
      </c>
      <c r="AB12" s="318"/>
      <c r="AC12" s="210">
        <f>IFERROR(VLOOKUP($I$22&amp;D12,'Development-Hidden'!$C$2:$E$118,3,FALSE),"")</f>
        <v>50000</v>
      </c>
      <c r="AD12" s="206">
        <v>0</v>
      </c>
      <c r="AE12" s="207"/>
      <c r="AF12" s="207"/>
      <c r="AG12" s="207"/>
      <c r="AH12" s="207"/>
      <c r="AI12" s="207"/>
      <c r="AJ12" s="211"/>
      <c r="AK12" s="318"/>
      <c r="AL12" s="357" t="s">
        <v>316</v>
      </c>
      <c r="AM12" s="187"/>
      <c r="AN12" s="358"/>
      <c r="AO12" s="359"/>
      <c r="AP12" s="318"/>
      <c r="AQ12" s="357" t="s">
        <v>342</v>
      </c>
      <c r="AR12" s="358"/>
      <c r="AS12" s="358"/>
      <c r="AT12" s="187"/>
      <c r="AU12" s="359"/>
      <c r="AV12" s="360"/>
      <c r="AW12" s="448"/>
    </row>
    <row r="13" spans="1:49" ht="18" customHeight="1">
      <c r="A13" s="321"/>
      <c r="B13" s="545">
        <v>10</v>
      </c>
      <c r="C13" s="546" t="s">
        <v>280</v>
      </c>
      <c r="D13" s="537" t="s">
        <v>58</v>
      </c>
      <c r="E13" s="195">
        <f>IFERROR(VLOOKUP($I$22&amp;$D13,'Development-Hidden'!$C$2:$J$118,4,FALSE)-P13+AF13,"")</f>
        <v>6</v>
      </c>
      <c r="F13" s="196">
        <f>IFERROR(VLOOKUP($I$22&amp;$D13,'Development-Hidden'!$C$2:$J$118,5,FALSE)-Q13+AG13,"")</f>
        <v>3</v>
      </c>
      <c r="G13" s="196">
        <f>IFERROR(VLOOKUP($I$22&amp;$D13,'Development-Hidden'!$C$2:$J$118,6,FALSE)-R13+AH13,"")</f>
        <v>3</v>
      </c>
      <c r="H13" s="197">
        <f>IFERROR(VLOOKUP($I$22&amp;$D13,'Development-Hidden'!$C$2:$J$118,7,FALSE)-S13+AI13,"")</f>
        <v>8</v>
      </c>
      <c r="I13" s="198"/>
      <c r="J13" s="199"/>
      <c r="K13" s="550">
        <f t="shared" si="0"/>
        <v>0</v>
      </c>
      <c r="L13" s="551"/>
      <c r="M13" s="551"/>
      <c r="N13" s="551">
        <v>1</v>
      </c>
      <c r="O13" s="551"/>
      <c r="P13" s="549"/>
      <c r="Q13" s="552"/>
      <c r="R13" s="553"/>
      <c r="S13" s="554"/>
      <c r="T13" s="547"/>
      <c r="U13" s="547"/>
      <c r="V13" s="547"/>
      <c r="W13" s="528">
        <v>1</v>
      </c>
      <c r="X13" s="549"/>
      <c r="Y13" s="548"/>
      <c r="Z13" s="210">
        <v>2</v>
      </c>
      <c r="AA13" s="183">
        <f t="shared" si="1"/>
        <v>50000</v>
      </c>
      <c r="AB13" s="318"/>
      <c r="AC13" s="210">
        <f>IFERROR(VLOOKUP($I$22&amp;D13,'Development-Hidden'!$C$2:$E$118,3,FALSE),"")</f>
        <v>50000</v>
      </c>
      <c r="AD13" s="206">
        <v>0</v>
      </c>
      <c r="AE13" s="207"/>
      <c r="AF13" s="207"/>
      <c r="AG13" s="207"/>
      <c r="AH13" s="207"/>
      <c r="AI13" s="207"/>
      <c r="AJ13" s="211"/>
      <c r="AK13" s="318"/>
      <c r="AL13" s="357" t="s">
        <v>330</v>
      </c>
      <c r="AM13" s="187"/>
      <c r="AN13" s="358"/>
      <c r="AO13" s="359"/>
      <c r="AP13" s="318"/>
      <c r="AQ13" s="357" t="s">
        <v>354</v>
      </c>
      <c r="AR13" s="358"/>
      <c r="AS13" s="358"/>
      <c r="AT13" s="187"/>
      <c r="AU13" s="359"/>
      <c r="AV13" s="360"/>
      <c r="AW13" s="448"/>
    </row>
    <row r="14" spans="1:49" ht="18" customHeight="1">
      <c r="A14" s="321"/>
      <c r="B14" s="545">
        <v>11</v>
      </c>
      <c r="C14" s="555" t="s">
        <v>217</v>
      </c>
      <c r="D14" s="537" t="s">
        <v>42</v>
      </c>
      <c r="E14" s="195">
        <f>IFERROR(VLOOKUP($I$22&amp;$D14,'Development-Hidden'!$C$2:$J$118,4,FALSE)-P14+AF14,"")</f>
        <v>8</v>
      </c>
      <c r="F14" s="196">
        <f>IFERROR(VLOOKUP($I$22&amp;$D14,'Development-Hidden'!$C$2:$J$118,5,FALSE)-Q14+AG14,"")</f>
        <v>2</v>
      </c>
      <c r="G14" s="196">
        <f>IFERROR(VLOOKUP($I$22&amp;$D14,'Development-Hidden'!$C$2:$J$118,6,FALSE)-R14+AH14,"")</f>
        <v>3</v>
      </c>
      <c r="H14" s="197">
        <f>IFERROR(VLOOKUP($I$22&amp;$D14,'Development-Hidden'!$C$2:$J$118,7,FALSE)-S14+AI14,"")</f>
        <v>7</v>
      </c>
      <c r="I14" s="198" t="s">
        <v>558</v>
      </c>
      <c r="J14" s="199" t="s">
        <v>277</v>
      </c>
      <c r="K14" s="200">
        <f t="shared" si="0"/>
        <v>1</v>
      </c>
      <c r="L14" s="344"/>
      <c r="M14" s="344"/>
      <c r="N14" s="344">
        <v>1</v>
      </c>
      <c r="O14" s="344"/>
      <c r="P14" s="345"/>
      <c r="Q14" s="346"/>
      <c r="R14" s="347"/>
      <c r="S14" s="348"/>
      <c r="T14" s="547"/>
      <c r="U14" s="547"/>
      <c r="V14" s="528">
        <v>3</v>
      </c>
      <c r="W14" s="547"/>
      <c r="X14" s="549"/>
      <c r="Y14" s="548"/>
      <c r="Z14" s="210">
        <f>2*T14+U14+3*V14+2*W14+5*Y14</f>
        <v>9</v>
      </c>
      <c r="AA14" s="183">
        <f t="shared" si="1"/>
        <v>80000</v>
      </c>
      <c r="AB14" s="318"/>
      <c r="AC14" s="210">
        <f>IFERROR(VLOOKUP($I$22&amp;D14,'Development-Hidden'!$C$2:$E$118,3,FALSE),"")</f>
        <v>60000</v>
      </c>
      <c r="AD14" s="206">
        <v>1</v>
      </c>
      <c r="AE14" s="207"/>
      <c r="AF14" s="207"/>
      <c r="AG14" s="207"/>
      <c r="AH14" s="207"/>
      <c r="AI14" s="207"/>
      <c r="AJ14" s="211"/>
      <c r="AK14" s="318"/>
      <c r="AL14" s="357" t="s">
        <v>342</v>
      </c>
      <c r="AM14" s="187"/>
      <c r="AN14" s="358"/>
      <c r="AO14" s="359"/>
      <c r="AP14" s="318"/>
      <c r="AQ14" s="357" t="s">
        <v>355</v>
      </c>
      <c r="AR14" s="358"/>
      <c r="AS14" s="358"/>
      <c r="AT14" s="187"/>
      <c r="AU14" s="359"/>
      <c r="AV14" s="360"/>
      <c r="AW14" s="448"/>
    </row>
    <row r="15" spans="1:49" ht="18" customHeight="1">
      <c r="A15" s="321"/>
      <c r="B15" s="545">
        <v>12</v>
      </c>
      <c r="C15" s="546"/>
      <c r="D15" s="537"/>
      <c r="E15" s="195" t="str">
        <f>IFERROR(VLOOKUP($I$22&amp;$D15,'Development-Hidden'!$C$2:$J$118,4,FALSE)-P15+AF15,"")</f>
        <v/>
      </c>
      <c r="F15" s="196" t="str">
        <f>IFERROR(VLOOKUP($I$22&amp;$D15,'Development-Hidden'!$C$2:$J$118,5,FALSE)-Q15+AG15,"")</f>
        <v/>
      </c>
      <c r="G15" s="196" t="str">
        <f>IFERROR(VLOOKUP($I$22&amp;$D15,'Development-Hidden'!$C$2:$J$118,6,FALSE)-R15+AH15,"")</f>
        <v/>
      </c>
      <c r="H15" s="197" t="str">
        <f>IFERROR(VLOOKUP($I$22&amp;$D15,'Development-Hidden'!$C$2:$J$118,7,FALSE)-S15+AI15,"")</f>
        <v/>
      </c>
      <c r="I15" s="198"/>
      <c r="J15" s="199"/>
      <c r="K15" s="200">
        <f t="shared" si="0"/>
        <v>0</v>
      </c>
      <c r="L15" s="344"/>
      <c r="M15" s="344"/>
      <c r="N15" s="344"/>
      <c r="O15" s="344"/>
      <c r="P15" s="345"/>
      <c r="Q15" s="346"/>
      <c r="R15" s="347"/>
      <c r="S15" s="348"/>
      <c r="T15" s="547"/>
      <c r="U15" s="528"/>
      <c r="V15" s="547"/>
      <c r="W15" s="547"/>
      <c r="X15" s="549"/>
      <c r="Y15" s="548"/>
      <c r="Z15" s="210"/>
      <c r="AA15" s="183">
        <f t="shared" si="1"/>
        <v>0</v>
      </c>
      <c r="AB15" s="318"/>
      <c r="AC15" s="210" t="str">
        <f>IFERROR(VLOOKUP($I$22&amp;D15,'Development-Hidden'!$C$2:$E$118,3,FALSE),"0")</f>
        <v>0</v>
      </c>
      <c r="AD15" s="206"/>
      <c r="AE15" s="207"/>
      <c r="AF15" s="207"/>
      <c r="AG15" s="207"/>
      <c r="AH15" s="207"/>
      <c r="AI15" s="207"/>
      <c r="AJ15" s="211"/>
      <c r="AK15" s="318"/>
      <c r="AL15" s="357" t="s">
        <v>354</v>
      </c>
      <c r="AM15" s="187"/>
      <c r="AN15" s="358"/>
      <c r="AO15" s="359"/>
      <c r="AP15" s="318"/>
      <c r="AQ15" s="357" t="s">
        <v>357</v>
      </c>
      <c r="AR15" s="358"/>
      <c r="AS15" s="358"/>
      <c r="AT15" s="187"/>
      <c r="AU15" s="359"/>
      <c r="AV15" s="360"/>
      <c r="AW15" s="448"/>
    </row>
    <row r="16" spans="1:49" ht="18" customHeight="1">
      <c r="A16" s="321"/>
      <c r="B16" s="340">
        <v>13</v>
      </c>
      <c r="C16" s="314"/>
      <c r="D16" s="194"/>
      <c r="E16" s="195" t="str">
        <f>IFERROR(VLOOKUP($I$22&amp;$D16,'Development-Hidden'!$C$2:$J$118,4,FALSE)-P16+AF16,"")</f>
        <v/>
      </c>
      <c r="F16" s="196" t="str">
        <f>IFERROR(VLOOKUP($I$22&amp;$D16,'Development-Hidden'!$C$2:$J$118,5,FALSE)-Q16+AG16,"")</f>
        <v/>
      </c>
      <c r="G16" s="196" t="str">
        <f>IFERROR(VLOOKUP($I$22&amp;$D16,'Development-Hidden'!$C$2:$J$118,6,FALSE)-R16+AH16,"")</f>
        <v/>
      </c>
      <c r="H16" s="197" t="str">
        <f>IFERROR(VLOOKUP($I$22&amp;$D16,'Development-Hidden'!$C$2:$J$118,7,FALSE)-S16+AI16,"")</f>
        <v/>
      </c>
      <c r="I16" s="198"/>
      <c r="J16" s="199"/>
      <c r="K16" s="200">
        <f t="shared" si="0"/>
        <v>0</v>
      </c>
      <c r="L16" s="344"/>
      <c r="M16" s="344"/>
      <c r="N16" s="344"/>
      <c r="O16" s="344"/>
      <c r="P16" s="345"/>
      <c r="Q16" s="346"/>
      <c r="R16" s="347"/>
      <c r="S16" s="348"/>
      <c r="T16" s="547"/>
      <c r="U16" s="547"/>
      <c r="V16" s="547"/>
      <c r="W16" s="547"/>
      <c r="X16" s="549"/>
      <c r="Y16" s="548"/>
      <c r="Z16" s="210">
        <f t="shared" ref="Z16:Z19" si="3">2*T16+U16+3*V16+2*W16+5*Y16</f>
        <v>0</v>
      </c>
      <c r="AA16" s="183">
        <f t="shared" si="1"/>
        <v>0</v>
      </c>
      <c r="AB16" s="318"/>
      <c r="AC16" s="210" t="str">
        <f>IFERROR(VLOOKUP($I$22&amp;D16,'Development-Hidden'!$C$2:$E$118,3,FALSE),"0")</f>
        <v>0</v>
      </c>
      <c r="AD16" s="206"/>
      <c r="AE16" s="207"/>
      <c r="AF16" s="207"/>
      <c r="AG16" s="207"/>
      <c r="AH16" s="207"/>
      <c r="AI16" s="207"/>
      <c r="AJ16" s="211"/>
      <c r="AK16" s="318"/>
      <c r="AL16" s="357" t="s">
        <v>355</v>
      </c>
      <c r="AM16" s="187"/>
      <c r="AN16" s="358"/>
      <c r="AO16" s="359"/>
      <c r="AP16" s="318"/>
      <c r="AQ16" s="357" t="s">
        <v>359</v>
      </c>
      <c r="AR16" s="358"/>
      <c r="AS16" s="358"/>
      <c r="AT16" s="187"/>
      <c r="AU16" s="359"/>
      <c r="AV16" s="360"/>
      <c r="AW16" s="448"/>
    </row>
    <row r="17" spans="1:49" ht="18" customHeight="1">
      <c r="A17" s="321"/>
      <c r="B17" s="340">
        <v>14</v>
      </c>
      <c r="C17" s="314"/>
      <c r="D17" s="194"/>
      <c r="E17" s="195" t="str">
        <f>IFERROR(VLOOKUP($I$22&amp;$D17,'Development-Hidden'!$C$2:$J$118,4,FALSE)-P17+AF17,"")</f>
        <v/>
      </c>
      <c r="F17" s="196" t="str">
        <f>IFERROR(VLOOKUP($I$22&amp;$D17,'Development-Hidden'!$C$2:$J$118,5,FALSE)-Q17+AG17,"")</f>
        <v/>
      </c>
      <c r="G17" s="196" t="str">
        <f>IFERROR(VLOOKUP($I$22&amp;$D17,'Development-Hidden'!$C$2:$J$118,6,FALSE)-R17+AH17,"")</f>
        <v/>
      </c>
      <c r="H17" s="197" t="str">
        <f>IFERROR(VLOOKUP($I$22&amp;$D17,'Development-Hidden'!$C$2:$J$118,7,FALSE)-S17+AI17,"")</f>
        <v/>
      </c>
      <c r="I17" s="198"/>
      <c r="J17" s="199"/>
      <c r="K17" s="200">
        <f t="shared" si="0"/>
        <v>0</v>
      </c>
      <c r="L17" s="344"/>
      <c r="M17" s="344"/>
      <c r="N17" s="344"/>
      <c r="O17" s="344"/>
      <c r="P17" s="345"/>
      <c r="Q17" s="346"/>
      <c r="R17" s="347"/>
      <c r="S17" s="348"/>
      <c r="T17" s="547"/>
      <c r="U17" s="547"/>
      <c r="V17" s="547"/>
      <c r="W17" s="547"/>
      <c r="X17" s="549"/>
      <c r="Y17" s="548"/>
      <c r="Z17" s="210">
        <f t="shared" si="3"/>
        <v>0</v>
      </c>
      <c r="AA17" s="183">
        <f t="shared" si="1"/>
        <v>0</v>
      </c>
      <c r="AB17" s="318"/>
      <c r="AC17" s="210" t="str">
        <f>IFERROR(VLOOKUP($I$22&amp;D17,'Development-Hidden'!$C$2:$E$118,3,FALSE),"0")</f>
        <v>0</v>
      </c>
      <c r="AD17" s="206"/>
      <c r="AE17" s="207"/>
      <c r="AF17" s="207"/>
      <c r="AG17" s="207"/>
      <c r="AH17" s="207"/>
      <c r="AI17" s="207"/>
      <c r="AJ17" s="211"/>
      <c r="AK17" s="318"/>
      <c r="AL17" s="357" t="s">
        <v>357</v>
      </c>
      <c r="AM17" s="187"/>
      <c r="AN17" s="358"/>
      <c r="AO17" s="359"/>
      <c r="AP17" s="318"/>
      <c r="AQ17" s="318"/>
      <c r="AR17" s="318"/>
      <c r="AS17" s="318"/>
      <c r="AT17" s="318"/>
      <c r="AU17" s="318"/>
      <c r="AV17" s="318"/>
      <c r="AW17" s="318"/>
    </row>
    <row r="18" spans="1:49" ht="18" customHeight="1">
      <c r="A18" s="321"/>
      <c r="B18" s="340">
        <v>15</v>
      </c>
      <c r="C18" s="314"/>
      <c r="D18" s="194"/>
      <c r="E18" s="195" t="str">
        <f>IFERROR(VLOOKUP($I$22&amp;$D18,'Development-Hidden'!$C$2:$J$118,4,FALSE)-P18+AF18,"")</f>
        <v/>
      </c>
      <c r="F18" s="196" t="str">
        <f>IFERROR(VLOOKUP($I$22&amp;$D18,'Development-Hidden'!$C$2:$J$118,5,FALSE)-Q18+AG18,"")</f>
        <v/>
      </c>
      <c r="G18" s="196" t="str">
        <f>IFERROR(VLOOKUP($I$22&amp;$D18,'Development-Hidden'!$C$2:$J$118,6,FALSE)-R18+AH18,"")</f>
        <v/>
      </c>
      <c r="H18" s="197" t="str">
        <f>IFERROR(VLOOKUP($I$22&amp;$D18,'Development-Hidden'!$C$2:$J$118,7,FALSE)-S18+AI18,"")</f>
        <v/>
      </c>
      <c r="I18" s="198"/>
      <c r="J18" s="199"/>
      <c r="K18" s="200">
        <f t="shared" si="0"/>
        <v>0</v>
      </c>
      <c r="L18" s="344"/>
      <c r="M18" s="344"/>
      <c r="N18" s="344"/>
      <c r="O18" s="344"/>
      <c r="P18" s="345"/>
      <c r="Q18" s="346"/>
      <c r="R18" s="347"/>
      <c r="S18" s="348"/>
      <c r="T18" s="547"/>
      <c r="U18" s="547"/>
      <c r="V18" s="547"/>
      <c r="W18" s="547"/>
      <c r="X18" s="549"/>
      <c r="Y18" s="548"/>
      <c r="Z18" s="210">
        <f t="shared" si="3"/>
        <v>0</v>
      </c>
      <c r="AA18" s="183">
        <f t="shared" si="1"/>
        <v>0</v>
      </c>
      <c r="AB18" s="318"/>
      <c r="AC18" s="210" t="str">
        <f>IFERROR(VLOOKUP($I$22&amp;D18,'Development-Hidden'!$C$2:$E$118,3,FALSE),"0")</f>
        <v>0</v>
      </c>
      <c r="AD18" s="206"/>
      <c r="AE18" s="207"/>
      <c r="AF18" s="207"/>
      <c r="AG18" s="207"/>
      <c r="AH18" s="207"/>
      <c r="AI18" s="207"/>
      <c r="AJ18" s="211"/>
      <c r="AK18" s="318"/>
      <c r="AL18" s="357" t="s">
        <v>359</v>
      </c>
      <c r="AM18" s="187"/>
      <c r="AN18" s="358"/>
      <c r="AO18" s="359"/>
      <c r="AP18" s="318"/>
      <c r="AS18" s="406" t="s">
        <v>219</v>
      </c>
      <c r="AT18" s="187">
        <f t="shared" ref="AT18:AU18" si="4">SUM(AT5:AT16)</f>
        <v>0</v>
      </c>
      <c r="AU18" s="407">
        <f t="shared" si="4"/>
        <v>0</v>
      </c>
    </row>
    <row r="19" spans="1:49" ht="18" customHeight="1">
      <c r="A19" s="321"/>
      <c r="B19" s="384">
        <v>16</v>
      </c>
      <c r="C19" s="315"/>
      <c r="D19" s="385"/>
      <c r="E19" s="251" t="str">
        <f>IFERROR(VLOOKUP($I$22&amp;$D19,'Development-Hidden'!$C$2:$J$118,4,FALSE)-P19+AF19,"")</f>
        <v/>
      </c>
      <c r="F19" s="252" t="str">
        <f>IFERROR(VLOOKUP($I$22&amp;$D19,'Development-Hidden'!$C$2:$J$118,5,FALSE)-Q19+AG19,"")</f>
        <v/>
      </c>
      <c r="G19" s="252" t="str">
        <f>IFERROR(VLOOKUP($I$22&amp;$D19,'Development-Hidden'!$C$2:$J$118,6,FALSE)-R19+AH19,"")</f>
        <v/>
      </c>
      <c r="H19" s="253" t="str">
        <f>IFERROR(VLOOKUP($I$22&amp;$D19,'Development-Hidden'!$C$2:$J$118,7,FALSE)-S19+AI19,"")</f>
        <v/>
      </c>
      <c r="I19" s="254"/>
      <c r="J19" s="255"/>
      <c r="K19" s="256">
        <f t="shared" si="0"/>
        <v>0</v>
      </c>
      <c r="L19" s="390"/>
      <c r="M19" s="390"/>
      <c r="N19" s="390"/>
      <c r="O19" s="390"/>
      <c r="P19" s="391"/>
      <c r="Q19" s="392"/>
      <c r="R19" s="393"/>
      <c r="S19" s="394"/>
      <c r="T19" s="556"/>
      <c r="U19" s="556"/>
      <c r="V19" s="556"/>
      <c r="W19" s="556"/>
      <c r="X19" s="557"/>
      <c r="Y19" s="558"/>
      <c r="Z19" s="266">
        <f t="shared" si="3"/>
        <v>0</v>
      </c>
      <c r="AA19" s="183">
        <f t="shared" si="1"/>
        <v>0</v>
      </c>
      <c r="AB19" s="318"/>
      <c r="AC19" s="210" t="str">
        <f>IFERROR(VLOOKUP($I$22&amp;D19,'Development-Hidden'!$C$2:$E$118,3,FALSE),"0")</f>
        <v>0</v>
      </c>
      <c r="AD19" s="267"/>
      <c r="AE19" s="268"/>
      <c r="AF19" s="268"/>
      <c r="AG19" s="268"/>
      <c r="AH19" s="268"/>
      <c r="AI19" s="268"/>
      <c r="AJ19" s="269"/>
      <c r="AK19" s="318"/>
      <c r="AL19" s="318"/>
      <c r="AM19" s="318"/>
      <c r="AN19" s="318"/>
      <c r="AO19" s="318"/>
      <c r="AP19" s="318"/>
      <c r="AQ19" s="318"/>
      <c r="AR19" s="318"/>
      <c r="AS19" s="318"/>
      <c r="AT19" s="318"/>
      <c r="AU19" s="318"/>
      <c r="AV19" s="318"/>
      <c r="AW19" s="318"/>
    </row>
    <row r="20" spans="1:49" ht="18" customHeight="1">
      <c r="A20" s="321"/>
      <c r="B20" s="399"/>
      <c r="C20" s="653"/>
      <c r="D20" s="573"/>
      <c r="E20" s="641"/>
      <c r="F20" s="587"/>
      <c r="G20" s="642"/>
      <c r="H20" s="588"/>
      <c r="I20" s="441"/>
      <c r="J20" s="652"/>
      <c r="K20" s="587"/>
      <c r="L20" s="401"/>
      <c r="M20" s="402"/>
      <c r="N20" s="402"/>
      <c r="O20" s="402"/>
      <c r="P20" s="402"/>
      <c r="Q20" s="402"/>
      <c r="R20" s="402"/>
      <c r="S20" s="402"/>
      <c r="T20" s="402"/>
      <c r="U20" s="403"/>
      <c r="V20" s="404"/>
      <c r="W20" s="402"/>
      <c r="X20" s="405" t="s">
        <v>364</v>
      </c>
      <c r="Y20" s="651"/>
      <c r="Z20" s="588"/>
      <c r="AA20" s="270">
        <f>SUM(AA4:AA19)</f>
        <v>1060000</v>
      </c>
      <c r="AB20" s="318"/>
      <c r="AC20" s="318"/>
      <c r="AD20" s="318"/>
      <c r="AE20" s="318"/>
      <c r="AF20" s="318"/>
      <c r="AG20" s="318"/>
      <c r="AH20" s="318"/>
      <c r="AI20" s="318"/>
      <c r="AJ20" s="318"/>
      <c r="AK20" s="318"/>
      <c r="AL20" s="406" t="s">
        <v>219</v>
      </c>
      <c r="AM20" s="187">
        <f>AM8+SUM(AM11:AM18)-SUM(AN11:AN18)-SUM(AO11:AO18)</f>
        <v>0</v>
      </c>
      <c r="AN20" s="318"/>
      <c r="AO20" s="318"/>
      <c r="AP20" s="318"/>
      <c r="AQ20" s="318"/>
      <c r="AR20" s="318"/>
      <c r="AS20" s="318"/>
      <c r="AT20" s="318"/>
      <c r="AU20" s="318"/>
      <c r="AV20" s="318"/>
      <c r="AW20" s="318"/>
    </row>
    <row r="21" spans="1:49" ht="17.25" customHeight="1">
      <c r="A21" s="321"/>
      <c r="B21" s="409"/>
      <c r="C21" s="574"/>
      <c r="D21" s="576"/>
      <c r="E21" s="643" t="s">
        <v>365</v>
      </c>
      <c r="F21" s="581"/>
      <c r="G21" s="581"/>
      <c r="H21" s="581"/>
      <c r="I21" s="609" t="s">
        <v>30</v>
      </c>
      <c r="J21" s="636"/>
      <c r="K21" s="637"/>
      <c r="L21" s="649" t="s">
        <v>366</v>
      </c>
      <c r="M21" s="636"/>
      <c r="N21" s="636"/>
      <c r="O21" s="636"/>
      <c r="P21" s="636"/>
      <c r="Q21" s="636"/>
      <c r="R21" s="636"/>
      <c r="S21" s="650"/>
      <c r="T21" s="410">
        <v>3</v>
      </c>
      <c r="U21" s="411" t="s">
        <v>220</v>
      </c>
      <c r="V21" s="648">
        <v>50000</v>
      </c>
      <c r="W21" s="636"/>
      <c r="X21" s="636"/>
      <c r="Y21" s="636"/>
      <c r="Z21" s="412" t="s">
        <v>406</v>
      </c>
      <c r="AA21" s="273">
        <f t="shared" ref="AA21:AA25" si="5">T21*V21</f>
        <v>150000</v>
      </c>
      <c r="AB21" s="318"/>
      <c r="AC21" s="318"/>
      <c r="AD21" s="318"/>
      <c r="AE21" s="318"/>
      <c r="AF21" s="318"/>
      <c r="AG21" s="318"/>
      <c r="AH21" s="318"/>
      <c r="AI21" s="318"/>
      <c r="AJ21" s="318"/>
      <c r="AK21" s="318"/>
      <c r="AL21" s="318"/>
      <c r="AM21" s="318"/>
      <c r="AN21" s="318"/>
      <c r="AO21" s="318"/>
      <c r="AP21" s="318"/>
      <c r="AQ21" s="318"/>
      <c r="AR21" s="318"/>
      <c r="AS21" s="318"/>
      <c r="AT21" s="318"/>
      <c r="AU21" s="318"/>
      <c r="AV21" s="318"/>
      <c r="AW21" s="318"/>
    </row>
    <row r="22" spans="1:49" ht="17.25" customHeight="1">
      <c r="A22" s="321"/>
      <c r="B22" s="409"/>
      <c r="C22" s="574"/>
      <c r="D22" s="576"/>
      <c r="E22" s="621" t="s">
        <v>368</v>
      </c>
      <c r="F22" s="583"/>
      <c r="G22" s="583"/>
      <c r="H22" s="583"/>
      <c r="I22" s="638" t="s">
        <v>532</v>
      </c>
      <c r="J22" s="583"/>
      <c r="K22" s="597"/>
      <c r="L22" s="591" t="s">
        <v>369</v>
      </c>
      <c r="M22" s="583"/>
      <c r="N22" s="583"/>
      <c r="O22" s="583"/>
      <c r="P22" s="583"/>
      <c r="Q22" s="583"/>
      <c r="R22" s="583"/>
      <c r="S22" s="592"/>
      <c r="T22" s="274">
        <v>4</v>
      </c>
      <c r="U22" s="413" t="s">
        <v>220</v>
      </c>
      <c r="V22" s="647">
        <v>10000</v>
      </c>
      <c r="W22" s="583"/>
      <c r="X22" s="583"/>
      <c r="Y22" s="583"/>
      <c r="Z22" s="414" t="s">
        <v>406</v>
      </c>
      <c r="AA22" s="276">
        <f t="shared" si="5"/>
        <v>40000</v>
      </c>
      <c r="AB22" s="318"/>
      <c r="AC22" s="318"/>
      <c r="AD22" s="318"/>
      <c r="AE22" s="318"/>
      <c r="AF22" s="318"/>
      <c r="AG22" s="318"/>
      <c r="AH22" s="318"/>
      <c r="AI22" s="318"/>
      <c r="AJ22" s="318"/>
      <c r="AK22" s="318"/>
      <c r="AL22" s="318"/>
      <c r="AM22" s="318"/>
      <c r="AN22" s="318"/>
      <c r="AO22" s="318"/>
      <c r="AP22" s="318"/>
      <c r="AQ22" s="318"/>
      <c r="AR22" s="318"/>
      <c r="AS22" s="318"/>
      <c r="AT22" s="318"/>
      <c r="AU22" s="318"/>
      <c r="AV22" s="318"/>
      <c r="AW22" s="318"/>
    </row>
    <row r="23" spans="1:49" ht="17.25" customHeight="1">
      <c r="A23" s="321"/>
      <c r="B23" s="409"/>
      <c r="C23" s="574"/>
      <c r="D23" s="576"/>
      <c r="E23" s="621" t="s">
        <v>408</v>
      </c>
      <c r="F23" s="583"/>
      <c r="G23" s="583"/>
      <c r="H23" s="583"/>
      <c r="I23" s="639" t="s">
        <v>560</v>
      </c>
      <c r="J23" s="583"/>
      <c r="K23" s="597"/>
      <c r="L23" s="591" t="s">
        <v>409</v>
      </c>
      <c r="M23" s="583"/>
      <c r="N23" s="583"/>
      <c r="O23" s="583"/>
      <c r="P23" s="583"/>
      <c r="Q23" s="583"/>
      <c r="R23" s="583"/>
      <c r="S23" s="592"/>
      <c r="T23" s="274">
        <v>0</v>
      </c>
      <c r="U23" s="413" t="s">
        <v>220</v>
      </c>
      <c r="V23" s="647">
        <v>10000</v>
      </c>
      <c r="W23" s="583"/>
      <c r="X23" s="583"/>
      <c r="Y23" s="583"/>
      <c r="Z23" s="414" t="s">
        <v>406</v>
      </c>
      <c r="AA23" s="276">
        <f t="shared" si="5"/>
        <v>0</v>
      </c>
      <c r="AB23" s="318"/>
      <c r="AC23" s="318"/>
      <c r="AD23" s="318"/>
      <c r="AE23" s="318"/>
      <c r="AF23" s="318"/>
      <c r="AG23" s="318"/>
      <c r="AH23" s="318"/>
      <c r="AI23" s="318"/>
      <c r="AJ23" s="318"/>
      <c r="AK23" s="318"/>
      <c r="AL23" s="318"/>
      <c r="AM23" s="318"/>
      <c r="AN23" s="318"/>
      <c r="AO23" s="318"/>
      <c r="AP23" s="318"/>
      <c r="AQ23" s="318"/>
      <c r="AR23" s="318"/>
      <c r="AS23" s="318"/>
      <c r="AT23" s="318"/>
      <c r="AU23" s="318"/>
      <c r="AV23" s="318"/>
      <c r="AW23" s="318"/>
    </row>
    <row r="24" spans="1:49" ht="17.25" customHeight="1">
      <c r="A24" s="321"/>
      <c r="B24" s="409"/>
      <c r="C24" s="574"/>
      <c r="D24" s="576"/>
      <c r="E24" s="621" t="s">
        <v>373</v>
      </c>
      <c r="F24" s="583"/>
      <c r="G24" s="583"/>
      <c r="H24" s="597"/>
      <c r="I24" s="559">
        <f>SUM(AA20+AA26)/1000</f>
        <v>1300</v>
      </c>
      <c r="J24" s="659" t="s">
        <v>561</v>
      </c>
      <c r="K24" s="597"/>
      <c r="L24" s="591" t="s">
        <v>375</v>
      </c>
      <c r="M24" s="583"/>
      <c r="N24" s="583"/>
      <c r="O24" s="583"/>
      <c r="P24" s="583"/>
      <c r="Q24" s="583"/>
      <c r="R24" s="583"/>
      <c r="S24" s="592"/>
      <c r="T24" s="274">
        <v>0</v>
      </c>
      <c r="U24" s="413" t="s">
        <v>220</v>
      </c>
      <c r="V24" s="647">
        <v>10000</v>
      </c>
      <c r="W24" s="583"/>
      <c r="X24" s="583"/>
      <c r="Y24" s="583"/>
      <c r="Z24" s="414" t="s">
        <v>406</v>
      </c>
      <c r="AA24" s="276">
        <f t="shared" si="5"/>
        <v>0</v>
      </c>
      <c r="AB24" s="318"/>
      <c r="AC24" s="318"/>
      <c r="AD24" s="318"/>
      <c r="AE24" s="318"/>
      <c r="AF24" s="318"/>
      <c r="AG24" s="318"/>
      <c r="AH24" s="318"/>
      <c r="AI24" s="318"/>
      <c r="AJ24" s="318"/>
      <c r="AK24" s="318"/>
      <c r="AL24" s="318"/>
      <c r="AM24" s="318"/>
      <c r="AN24" s="318"/>
      <c r="AO24" s="318"/>
      <c r="AP24" s="318"/>
      <c r="AQ24" s="318"/>
      <c r="AR24" s="318"/>
      <c r="AS24" s="318"/>
      <c r="AT24" s="318"/>
      <c r="AU24" s="318"/>
      <c r="AV24" s="318"/>
      <c r="AW24" s="318"/>
    </row>
    <row r="25" spans="1:49" ht="17.25" customHeight="1">
      <c r="A25" s="321"/>
      <c r="B25" s="409"/>
      <c r="C25" s="574"/>
      <c r="D25" s="576"/>
      <c r="E25" s="623" t="s">
        <v>376</v>
      </c>
      <c r="F25" s="594"/>
      <c r="G25" s="594"/>
      <c r="H25" s="596"/>
      <c r="I25" s="418">
        <f>AM16/10005</f>
        <v>0</v>
      </c>
      <c r="J25" s="419" t="s">
        <v>410</v>
      </c>
      <c r="K25" s="420"/>
      <c r="L25" s="593" t="s">
        <v>411</v>
      </c>
      <c r="M25" s="594"/>
      <c r="N25" s="594"/>
      <c r="O25" s="594"/>
      <c r="P25" s="594"/>
      <c r="Q25" s="594"/>
      <c r="R25" s="594"/>
      <c r="S25" s="594"/>
      <c r="T25" s="281">
        <v>1</v>
      </c>
      <c r="U25" s="413" t="s">
        <v>220</v>
      </c>
      <c r="V25" s="645">
        <v>50000</v>
      </c>
      <c r="W25" s="594"/>
      <c r="X25" s="594"/>
      <c r="Y25" s="594"/>
      <c r="Z25" s="414" t="s">
        <v>406</v>
      </c>
      <c r="AA25" s="276">
        <f t="shared" si="5"/>
        <v>50000</v>
      </c>
      <c r="AB25" s="318"/>
      <c r="AC25" s="318"/>
      <c r="AD25" s="318"/>
      <c r="AE25" s="318"/>
      <c r="AF25" s="318"/>
      <c r="AG25" s="318"/>
      <c r="AH25" s="318"/>
      <c r="AI25" s="318"/>
      <c r="AJ25" s="318"/>
      <c r="AK25" s="318"/>
      <c r="AL25" s="318"/>
      <c r="AM25" s="318"/>
      <c r="AN25" s="318"/>
      <c r="AO25" s="318"/>
      <c r="AP25" s="318"/>
      <c r="AQ25" s="318"/>
      <c r="AR25" s="318"/>
      <c r="AS25" s="318"/>
      <c r="AT25" s="318"/>
      <c r="AU25" s="318"/>
      <c r="AV25" s="318"/>
      <c r="AW25" s="318"/>
    </row>
    <row r="26" spans="1:49" ht="17.25" customHeight="1">
      <c r="A26" s="321"/>
      <c r="B26" s="421"/>
      <c r="C26" s="577"/>
      <c r="D26" s="579"/>
      <c r="E26" s="422" t="s">
        <v>412</v>
      </c>
      <c r="F26" s="423"/>
      <c r="G26" s="423"/>
      <c r="H26" s="423"/>
      <c r="I26" s="424" t="s">
        <v>413</v>
      </c>
      <c r="J26" s="425" t="str">
        <f>HYPERLINK("http://www.arosbb.dk/","www.arosbb.dk")</f>
        <v>www.arosbb.dk</v>
      </c>
      <c r="K26" s="423"/>
      <c r="L26" s="644"/>
      <c r="M26" s="587"/>
      <c r="N26" s="587"/>
      <c r="O26" s="587"/>
      <c r="P26" s="587"/>
      <c r="Q26" s="587"/>
      <c r="R26" s="587"/>
      <c r="S26" s="587"/>
      <c r="T26" s="426"/>
      <c r="U26" s="403"/>
      <c r="V26" s="427"/>
      <c r="W26" s="646" t="s">
        <v>379</v>
      </c>
      <c r="X26" s="587"/>
      <c r="Y26" s="587"/>
      <c r="Z26" s="588"/>
      <c r="AA26" s="270">
        <f>SUM(AA21:AA25)</f>
        <v>240000</v>
      </c>
      <c r="AB26" s="318"/>
      <c r="AC26" s="318"/>
      <c r="AD26" s="318"/>
      <c r="AE26" s="318"/>
      <c r="AF26" s="318"/>
      <c r="AG26" s="318"/>
      <c r="AH26" s="318"/>
      <c r="AI26" s="318"/>
      <c r="AJ26" s="318"/>
      <c r="AK26" s="318"/>
      <c r="AL26" s="318"/>
      <c r="AM26" s="318"/>
      <c r="AN26" s="318"/>
      <c r="AO26" s="318"/>
      <c r="AP26" s="318"/>
      <c r="AQ26" s="318"/>
      <c r="AR26" s="318"/>
      <c r="AS26" s="318"/>
      <c r="AT26" s="318"/>
      <c r="AU26" s="318"/>
      <c r="AV26" s="318"/>
      <c r="AW26" s="318"/>
    </row>
    <row r="27" spans="1:49" ht="17.25" customHeight="1">
      <c r="A27" s="318"/>
      <c r="B27" s="140"/>
      <c r="C27" s="286"/>
      <c r="D27" s="286"/>
      <c r="E27" s="428"/>
      <c r="F27" s="136"/>
      <c r="G27" s="136"/>
      <c r="H27" s="136"/>
      <c r="I27" s="429"/>
      <c r="J27" s="430"/>
      <c r="K27" s="136"/>
      <c r="L27" s="290"/>
      <c r="M27" s="290"/>
      <c r="N27" s="290"/>
      <c r="O27" s="290"/>
      <c r="P27" s="290"/>
      <c r="Q27" s="290"/>
      <c r="R27" s="290"/>
      <c r="S27" s="290"/>
      <c r="T27" s="291"/>
      <c r="U27" s="292"/>
      <c r="V27" s="143"/>
      <c r="W27" s="293"/>
      <c r="X27" s="293"/>
      <c r="Y27" s="293"/>
      <c r="Z27" s="293"/>
      <c r="AA27" s="294"/>
      <c r="AB27" s="318"/>
      <c r="AC27" s="318"/>
      <c r="AD27" s="318"/>
      <c r="AE27" s="318"/>
      <c r="AF27" s="318"/>
      <c r="AG27" s="318"/>
      <c r="AH27" s="318"/>
      <c r="AI27" s="318"/>
      <c r="AJ27" s="318"/>
      <c r="AK27" s="318"/>
      <c r="AL27" s="318"/>
      <c r="AM27" s="318"/>
      <c r="AN27" s="318"/>
      <c r="AO27" s="318"/>
      <c r="AP27" s="318"/>
      <c r="AQ27" s="318"/>
      <c r="AR27" s="318"/>
      <c r="AS27" s="318"/>
      <c r="AT27" s="318"/>
      <c r="AU27" s="318"/>
      <c r="AV27" s="318"/>
      <c r="AW27" s="318"/>
    </row>
    <row r="28" spans="1:49" ht="17.25" hidden="1" customHeight="1">
      <c r="A28" s="431"/>
      <c r="B28" s="296"/>
      <c r="C28" s="432">
        <f>MATCH(I22,'Development-Hidden'!A2:A118,0)</f>
        <v>52</v>
      </c>
      <c r="D28" s="432" t="str">
        <f t="array" ref="D28">IFERROR(IF(INDEX('Development-Hidden'!$A$2:$B$118,$C28,1)=$I$22,INDEX('Development-Hidden'!$A$2:$B$118,$C28,2),""),"")</f>
        <v>Lineman</v>
      </c>
      <c r="E28" s="433"/>
      <c r="F28" s="433"/>
      <c r="G28" s="433"/>
      <c r="H28" s="433"/>
      <c r="I28" s="433"/>
      <c r="J28" s="434"/>
      <c r="K28" s="295"/>
      <c r="L28" s="300"/>
      <c r="M28" s="300"/>
      <c r="N28" s="300"/>
      <c r="O28" s="300"/>
      <c r="P28" s="300"/>
      <c r="Q28" s="300"/>
      <c r="R28" s="300"/>
      <c r="S28" s="300"/>
      <c r="T28" s="301"/>
      <c r="U28" s="302"/>
      <c r="V28" s="301"/>
      <c r="W28" s="303"/>
      <c r="X28" s="303"/>
      <c r="Y28" s="303"/>
      <c r="Z28" s="303"/>
      <c r="AA28" s="433"/>
      <c r="AB28" s="431"/>
      <c r="AC28" s="431"/>
      <c r="AD28" s="431"/>
      <c r="AE28" s="431"/>
      <c r="AF28" s="431"/>
      <c r="AG28" s="431"/>
      <c r="AH28" s="431"/>
      <c r="AI28" s="431"/>
      <c r="AJ28" s="431"/>
      <c r="AK28" s="431"/>
      <c r="AL28" s="431"/>
      <c r="AM28" s="431"/>
      <c r="AN28" s="431"/>
      <c r="AO28" s="431"/>
      <c r="AP28" s="431"/>
      <c r="AQ28" s="431"/>
      <c r="AR28" s="431"/>
      <c r="AS28" s="431"/>
      <c r="AT28" s="431"/>
      <c r="AU28" s="431"/>
      <c r="AV28" s="431"/>
      <c r="AW28" s="431"/>
    </row>
    <row r="29" spans="1:49" ht="17.25" hidden="1" customHeight="1">
      <c r="A29" s="431"/>
      <c r="B29" s="296"/>
      <c r="C29" s="432">
        <f t="shared" ref="C29:C37" si="6">C28+1</f>
        <v>53</v>
      </c>
      <c r="D29" s="432" t="str">
        <f t="array" ref="D29">IFERROR(IF(INDEX('Development-Hidden'!$A$2:$B$118,$C29,1)=$I$22,INDEX('Development-Hidden'!$A$2:$B$118,$C29,2),""),"")</f>
        <v>Catcher</v>
      </c>
      <c r="E29" s="433"/>
      <c r="F29" s="433"/>
      <c r="G29" s="433"/>
      <c r="H29" s="433"/>
      <c r="I29" s="433"/>
      <c r="J29" s="434"/>
      <c r="K29" s="295"/>
      <c r="L29" s="300"/>
      <c r="M29" s="300"/>
      <c r="N29" s="300"/>
      <c r="O29" s="300"/>
      <c r="P29" s="300"/>
      <c r="Q29" s="300"/>
      <c r="R29" s="300"/>
      <c r="S29" s="300"/>
      <c r="T29" s="301"/>
      <c r="U29" s="302"/>
      <c r="V29" s="301"/>
      <c r="W29" s="303"/>
      <c r="X29" s="303"/>
      <c r="Y29" s="303"/>
      <c r="Z29" s="303"/>
      <c r="AA29" s="433"/>
      <c r="AB29" s="431"/>
      <c r="AC29" s="431"/>
      <c r="AD29" s="431"/>
      <c r="AE29" s="431"/>
      <c r="AF29" s="431"/>
      <c r="AG29" s="431"/>
      <c r="AH29" s="431"/>
      <c r="AI29" s="431"/>
      <c r="AJ29" s="431"/>
      <c r="AK29" s="431"/>
      <c r="AL29" s="431"/>
      <c r="AM29" s="431"/>
      <c r="AN29" s="431"/>
      <c r="AO29" s="431"/>
      <c r="AP29" s="431"/>
      <c r="AQ29" s="431"/>
      <c r="AR29" s="431"/>
      <c r="AS29" s="431"/>
      <c r="AT29" s="431"/>
      <c r="AU29" s="431"/>
      <c r="AV29" s="431"/>
      <c r="AW29" s="431"/>
    </row>
    <row r="30" spans="1:49" ht="17.25" hidden="1" customHeight="1">
      <c r="A30" s="431"/>
      <c r="B30" s="296"/>
      <c r="C30" s="432">
        <f t="shared" si="6"/>
        <v>54</v>
      </c>
      <c r="D30" s="432" t="str">
        <f t="array" ref="D30">IFERROR(IF(INDEX('Development-Hidden'!$A$2:$B$118,$C30,1)=$I$22,INDEX('Development-Hidden'!$A$2:$B$118,$C30,2),""),"")</f>
        <v>Thrower</v>
      </c>
      <c r="E30" s="433"/>
      <c r="F30" s="433"/>
      <c r="G30" s="433"/>
      <c r="H30" s="433"/>
      <c r="I30" s="433"/>
      <c r="J30" s="434"/>
      <c r="K30" s="295"/>
      <c r="L30" s="300"/>
      <c r="M30" s="300"/>
      <c r="N30" s="300"/>
      <c r="O30" s="300"/>
      <c r="P30" s="300"/>
      <c r="Q30" s="300"/>
      <c r="R30" s="300"/>
      <c r="S30" s="300"/>
      <c r="T30" s="301"/>
      <c r="U30" s="302"/>
      <c r="V30" s="301"/>
      <c r="W30" s="303"/>
      <c r="X30" s="303"/>
      <c r="Y30" s="303"/>
      <c r="Z30" s="303"/>
      <c r="AA30" s="433"/>
      <c r="AB30" s="431"/>
      <c r="AC30" s="431"/>
      <c r="AD30" s="431"/>
      <c r="AE30" s="431"/>
      <c r="AF30" s="431"/>
      <c r="AG30" s="431"/>
      <c r="AH30" s="431"/>
      <c r="AI30" s="431"/>
      <c r="AJ30" s="431"/>
      <c r="AK30" s="431"/>
      <c r="AL30" s="431"/>
      <c r="AM30" s="431"/>
      <c r="AN30" s="431"/>
      <c r="AO30" s="431"/>
      <c r="AP30" s="431"/>
      <c r="AQ30" s="431"/>
      <c r="AR30" s="431"/>
      <c r="AS30" s="431"/>
      <c r="AT30" s="431"/>
      <c r="AU30" s="431"/>
      <c r="AV30" s="431"/>
      <c r="AW30" s="431"/>
    </row>
    <row r="31" spans="1:49" ht="17.25" hidden="1" customHeight="1">
      <c r="A31" s="431"/>
      <c r="B31" s="296"/>
      <c r="C31" s="432">
        <f t="shared" si="6"/>
        <v>55</v>
      </c>
      <c r="D31" s="432" t="str">
        <f t="array" ref="D31">IFERROR(IF(INDEX('Development-Hidden'!$A$2:$B$118,$C31,1)=$I$22,INDEX('Development-Hidden'!$A$2:$B$118,$C31,2),""),"")</f>
        <v>Blitzer</v>
      </c>
      <c r="E31" s="433"/>
      <c r="F31" s="433"/>
      <c r="G31" s="433"/>
      <c r="H31" s="433"/>
      <c r="I31" s="433"/>
      <c r="J31" s="434"/>
      <c r="K31" s="295"/>
      <c r="L31" s="300"/>
      <c r="M31" s="300"/>
      <c r="N31" s="300"/>
      <c r="O31" s="300"/>
      <c r="P31" s="300"/>
      <c r="Q31" s="300"/>
      <c r="R31" s="300"/>
      <c r="S31" s="300"/>
      <c r="T31" s="301"/>
      <c r="U31" s="302"/>
      <c r="V31" s="301"/>
      <c r="W31" s="303"/>
      <c r="X31" s="303"/>
      <c r="Y31" s="303"/>
      <c r="Z31" s="303"/>
      <c r="AA31" s="433"/>
      <c r="AB31" s="431"/>
      <c r="AC31" s="431"/>
      <c r="AD31" s="431"/>
      <c r="AE31" s="431"/>
      <c r="AF31" s="431"/>
      <c r="AG31" s="431"/>
      <c r="AH31" s="431"/>
      <c r="AI31" s="431"/>
      <c r="AJ31" s="431"/>
      <c r="AK31" s="431"/>
      <c r="AL31" s="431"/>
      <c r="AM31" s="431"/>
      <c r="AN31" s="431"/>
      <c r="AO31" s="431"/>
      <c r="AP31" s="431"/>
      <c r="AQ31" s="431"/>
      <c r="AR31" s="431"/>
      <c r="AS31" s="431"/>
      <c r="AT31" s="431"/>
      <c r="AU31" s="431"/>
      <c r="AV31" s="431"/>
      <c r="AW31" s="431"/>
    </row>
    <row r="32" spans="1:49" ht="17.25" hidden="1" customHeight="1">
      <c r="A32" s="431"/>
      <c r="B32" s="296"/>
      <c r="C32" s="432">
        <f t="shared" si="6"/>
        <v>56</v>
      </c>
      <c r="D32" s="432" t="str">
        <f t="array" ref="D32">IFERROR(IF(INDEX('Development-Hidden'!$A$2:$B$118,$C32,1)=$I$22,INDEX('Development-Hidden'!$A$2:$B$118,$C32,2),""),"")</f>
        <v>Ogre</v>
      </c>
      <c r="E32" s="433"/>
      <c r="F32" s="433"/>
      <c r="G32" s="433"/>
      <c r="H32" s="433"/>
      <c r="I32" s="433"/>
      <c r="J32" s="434"/>
      <c r="K32" s="295"/>
      <c r="L32" s="300"/>
      <c r="M32" s="300"/>
      <c r="N32" s="300"/>
      <c r="O32" s="300"/>
      <c r="P32" s="300"/>
      <c r="Q32" s="300"/>
      <c r="R32" s="300"/>
      <c r="S32" s="300"/>
      <c r="T32" s="301"/>
      <c r="U32" s="302"/>
      <c r="V32" s="301"/>
      <c r="W32" s="303"/>
      <c r="X32" s="303"/>
      <c r="Y32" s="303"/>
      <c r="Z32" s="303"/>
      <c r="AA32" s="433"/>
      <c r="AB32" s="431"/>
      <c r="AC32" s="431"/>
      <c r="AD32" s="431"/>
      <c r="AE32" s="431"/>
      <c r="AF32" s="431"/>
      <c r="AG32" s="431"/>
      <c r="AH32" s="431"/>
      <c r="AI32" s="431"/>
      <c r="AJ32" s="431"/>
      <c r="AK32" s="431"/>
      <c r="AL32" s="431"/>
      <c r="AM32" s="431"/>
      <c r="AN32" s="431"/>
      <c r="AO32" s="431"/>
      <c r="AP32" s="431"/>
      <c r="AQ32" s="431"/>
      <c r="AR32" s="431"/>
      <c r="AS32" s="431"/>
      <c r="AT32" s="431"/>
      <c r="AU32" s="431"/>
      <c r="AV32" s="431"/>
      <c r="AW32" s="431"/>
    </row>
    <row r="33" spans="1:49" ht="17.25" hidden="1" customHeight="1">
      <c r="A33" s="431"/>
      <c r="B33" s="296"/>
      <c r="C33" s="432">
        <f t="shared" si="6"/>
        <v>57</v>
      </c>
      <c r="D33" s="432" t="str">
        <f t="array" ref="D33">IFERROR(IF(INDEX('Development-Hidden'!$A$2:$B$118,$C33,1)=$I$22,INDEX('Development-Hidden'!$A$2:$B$118,$C33,2),""),"")</f>
        <v/>
      </c>
      <c r="E33" s="433"/>
      <c r="F33" s="433"/>
      <c r="G33" s="433"/>
      <c r="H33" s="433"/>
      <c r="I33" s="433"/>
      <c r="J33" s="434"/>
      <c r="K33" s="295"/>
      <c r="L33" s="300"/>
      <c r="M33" s="300"/>
      <c r="N33" s="300"/>
      <c r="O33" s="300"/>
      <c r="P33" s="300"/>
      <c r="Q33" s="300"/>
      <c r="R33" s="300"/>
      <c r="S33" s="300"/>
      <c r="T33" s="301"/>
      <c r="U33" s="302"/>
      <c r="V33" s="301"/>
      <c r="W33" s="303"/>
      <c r="X33" s="303"/>
      <c r="Y33" s="303"/>
      <c r="Z33" s="303"/>
      <c r="AA33" s="433"/>
      <c r="AB33" s="431"/>
      <c r="AC33" s="431"/>
      <c r="AD33" s="431"/>
      <c r="AE33" s="431"/>
      <c r="AF33" s="431"/>
      <c r="AG33" s="431"/>
      <c r="AH33" s="431"/>
      <c r="AI33" s="431"/>
      <c r="AJ33" s="431"/>
      <c r="AK33" s="431"/>
      <c r="AL33" s="431"/>
      <c r="AM33" s="431"/>
      <c r="AN33" s="431"/>
      <c r="AO33" s="431"/>
      <c r="AP33" s="431"/>
      <c r="AQ33" s="431"/>
      <c r="AR33" s="431"/>
      <c r="AS33" s="431"/>
      <c r="AT33" s="431"/>
      <c r="AU33" s="431"/>
      <c r="AV33" s="431"/>
      <c r="AW33" s="431"/>
    </row>
    <row r="34" spans="1:49" ht="17.25" hidden="1" customHeight="1">
      <c r="A34" s="431"/>
      <c r="B34" s="296"/>
      <c r="C34" s="432">
        <f t="shared" si="6"/>
        <v>58</v>
      </c>
      <c r="D34" s="432" t="str">
        <f t="array" ref="D34">IFERROR(IF(INDEX('Development-Hidden'!$A$2:$B$118,$C34,1)=$I$22,INDEX('Development-Hidden'!$A$2:$B$118,$C34,2),""),"")</f>
        <v/>
      </c>
      <c r="E34" s="433"/>
      <c r="F34" s="433"/>
      <c r="G34" s="433"/>
      <c r="H34" s="433"/>
      <c r="I34" s="433"/>
      <c r="J34" s="434"/>
      <c r="K34" s="295"/>
      <c r="L34" s="300"/>
      <c r="M34" s="300"/>
      <c r="N34" s="300"/>
      <c r="O34" s="300"/>
      <c r="P34" s="300"/>
      <c r="Q34" s="300"/>
      <c r="R34" s="300"/>
      <c r="S34" s="300"/>
      <c r="T34" s="301"/>
      <c r="U34" s="302"/>
      <c r="V34" s="301"/>
      <c r="W34" s="303"/>
      <c r="X34" s="303"/>
      <c r="Y34" s="303"/>
      <c r="Z34" s="303"/>
      <c r="AA34" s="433"/>
      <c r="AB34" s="431"/>
      <c r="AC34" s="431"/>
      <c r="AD34" s="431"/>
      <c r="AE34" s="431"/>
      <c r="AF34" s="431"/>
      <c r="AG34" s="431"/>
      <c r="AH34" s="431"/>
      <c r="AI34" s="431"/>
      <c r="AJ34" s="431"/>
      <c r="AK34" s="431"/>
      <c r="AL34" s="431"/>
      <c r="AM34" s="431"/>
      <c r="AN34" s="431"/>
      <c r="AO34" s="431"/>
      <c r="AP34" s="431"/>
      <c r="AQ34" s="431"/>
      <c r="AR34" s="431"/>
      <c r="AS34" s="431"/>
      <c r="AT34" s="431"/>
      <c r="AU34" s="431"/>
      <c r="AV34" s="431"/>
      <c r="AW34" s="431"/>
    </row>
    <row r="35" spans="1:49" ht="17.25" hidden="1" customHeight="1">
      <c r="A35" s="431"/>
      <c r="B35" s="296"/>
      <c r="C35" s="432">
        <f t="shared" si="6"/>
        <v>59</v>
      </c>
      <c r="D35" s="432" t="str">
        <f t="array" ref="D35">IFERROR(IF(INDEX('Development-Hidden'!$A$2:$B$118,$C35,1)=$I$22,INDEX('Development-Hidden'!$A$2:$B$118,$C35,2),""),"")</f>
        <v/>
      </c>
      <c r="E35" s="433"/>
      <c r="F35" s="433"/>
      <c r="G35" s="433"/>
      <c r="H35" s="433"/>
      <c r="I35" s="433"/>
      <c r="J35" s="434"/>
      <c r="K35" s="295"/>
      <c r="L35" s="300"/>
      <c r="M35" s="300"/>
      <c r="N35" s="300"/>
      <c r="O35" s="300"/>
      <c r="P35" s="300"/>
      <c r="Q35" s="300"/>
      <c r="R35" s="300"/>
      <c r="S35" s="300"/>
      <c r="T35" s="301"/>
      <c r="U35" s="302"/>
      <c r="V35" s="301"/>
      <c r="W35" s="303"/>
      <c r="X35" s="303"/>
      <c r="Y35" s="303"/>
      <c r="Z35" s="303"/>
      <c r="AA35" s="433"/>
      <c r="AB35" s="431"/>
      <c r="AC35" s="431"/>
      <c r="AD35" s="431"/>
      <c r="AE35" s="431"/>
      <c r="AF35" s="431"/>
      <c r="AG35" s="431"/>
      <c r="AH35" s="431"/>
      <c r="AI35" s="431"/>
      <c r="AJ35" s="431"/>
      <c r="AK35" s="431"/>
      <c r="AL35" s="431"/>
      <c r="AM35" s="431"/>
      <c r="AN35" s="431"/>
      <c r="AO35" s="431"/>
      <c r="AP35" s="431"/>
      <c r="AQ35" s="431"/>
      <c r="AR35" s="431"/>
      <c r="AS35" s="431"/>
      <c r="AT35" s="431"/>
      <c r="AU35" s="431"/>
      <c r="AV35" s="431"/>
      <c r="AW35" s="431"/>
    </row>
    <row r="36" spans="1:49" ht="17.25" hidden="1" customHeight="1">
      <c r="A36" s="431"/>
      <c r="B36" s="296"/>
      <c r="C36" s="432">
        <f t="shared" si="6"/>
        <v>60</v>
      </c>
      <c r="D36" s="432" t="str">
        <f t="array" ref="D36">IFERROR(IF(INDEX('Development-Hidden'!$A$2:$B$118,$C36,1)=$I$22,INDEX('Development-Hidden'!$A$2:$B$118,$C36,2),""),"")</f>
        <v/>
      </c>
      <c r="E36" s="433"/>
      <c r="F36" s="433"/>
      <c r="G36" s="433"/>
      <c r="H36" s="433"/>
      <c r="I36" s="433"/>
      <c r="J36" s="434"/>
      <c r="K36" s="295"/>
      <c r="L36" s="300"/>
      <c r="M36" s="300"/>
      <c r="N36" s="300"/>
      <c r="O36" s="300"/>
      <c r="P36" s="300"/>
      <c r="Q36" s="300"/>
      <c r="R36" s="300"/>
      <c r="S36" s="300"/>
      <c r="T36" s="301"/>
      <c r="U36" s="302"/>
      <c r="V36" s="301"/>
      <c r="W36" s="303"/>
      <c r="X36" s="303"/>
      <c r="Y36" s="303"/>
      <c r="Z36" s="303"/>
      <c r="AA36" s="433"/>
      <c r="AB36" s="431"/>
      <c r="AC36" s="431"/>
      <c r="AD36" s="431"/>
      <c r="AE36" s="431"/>
      <c r="AF36" s="431"/>
      <c r="AG36" s="431"/>
      <c r="AH36" s="431"/>
      <c r="AI36" s="431"/>
      <c r="AJ36" s="431"/>
      <c r="AK36" s="431"/>
      <c r="AL36" s="431"/>
      <c r="AM36" s="431"/>
      <c r="AN36" s="431"/>
      <c r="AO36" s="431"/>
      <c r="AP36" s="431"/>
      <c r="AQ36" s="431"/>
      <c r="AR36" s="431"/>
      <c r="AS36" s="431"/>
      <c r="AT36" s="431"/>
      <c r="AU36" s="431"/>
      <c r="AV36" s="431"/>
      <c r="AW36" s="431"/>
    </row>
    <row r="37" spans="1:49" ht="17.25" hidden="1" customHeight="1">
      <c r="A37" s="431"/>
      <c r="B37" s="296"/>
      <c r="C37" s="432">
        <f t="shared" si="6"/>
        <v>61</v>
      </c>
      <c r="D37" s="432" t="str">
        <f t="array" ref="D37">IFERROR(IF(INDEX('Development-Hidden'!$A$2:$B$118,$C37,1)=$I$22,INDEX('Development-Hidden'!$A$2:$B$118,$C37,2),""),"")</f>
        <v/>
      </c>
      <c r="E37" s="433"/>
      <c r="F37" s="433"/>
      <c r="G37" s="433"/>
      <c r="H37" s="433"/>
      <c r="I37" s="433"/>
      <c r="J37" s="434"/>
      <c r="K37" s="295"/>
      <c r="L37" s="300"/>
      <c r="M37" s="300"/>
      <c r="N37" s="300"/>
      <c r="O37" s="300"/>
      <c r="P37" s="300"/>
      <c r="Q37" s="300"/>
      <c r="R37" s="300"/>
      <c r="S37" s="300"/>
      <c r="T37" s="301"/>
      <c r="U37" s="302"/>
      <c r="V37" s="301"/>
      <c r="W37" s="303"/>
      <c r="X37" s="303"/>
      <c r="Y37" s="303"/>
      <c r="Z37" s="303"/>
      <c r="AA37" s="433"/>
      <c r="AB37" s="431"/>
      <c r="AC37" s="431"/>
      <c r="AD37" s="431"/>
      <c r="AE37" s="431"/>
      <c r="AF37" s="431"/>
      <c r="AG37" s="431"/>
      <c r="AH37" s="431"/>
      <c r="AI37" s="431"/>
      <c r="AJ37" s="431"/>
      <c r="AK37" s="431"/>
      <c r="AL37" s="431"/>
      <c r="AM37" s="431"/>
      <c r="AN37" s="431"/>
      <c r="AO37" s="431"/>
      <c r="AP37" s="431"/>
      <c r="AQ37" s="431"/>
      <c r="AR37" s="431"/>
      <c r="AS37" s="431"/>
      <c r="AT37" s="431"/>
      <c r="AU37" s="431"/>
      <c r="AV37" s="431"/>
      <c r="AW37" s="431"/>
    </row>
  </sheetData>
  <mergeCells count="29">
    <mergeCell ref="AM3:AN3"/>
    <mergeCell ref="AR3:AS3"/>
    <mergeCell ref="V21:Y21"/>
    <mergeCell ref="Y20:Z20"/>
    <mergeCell ref="L21:S21"/>
    <mergeCell ref="L22:S22"/>
    <mergeCell ref="P2:S2"/>
    <mergeCell ref="V22:Y22"/>
    <mergeCell ref="V24:Y24"/>
    <mergeCell ref="V23:Y23"/>
    <mergeCell ref="L23:S23"/>
    <mergeCell ref="L25:S25"/>
    <mergeCell ref="V25:Y25"/>
    <mergeCell ref="W26:Z26"/>
    <mergeCell ref="L26:S26"/>
    <mergeCell ref="L24:S24"/>
    <mergeCell ref="J24:K24"/>
    <mergeCell ref="E20:F20"/>
    <mergeCell ref="G20:H20"/>
    <mergeCell ref="J20:K20"/>
    <mergeCell ref="C20:D26"/>
    <mergeCell ref="E25:H25"/>
    <mergeCell ref="E24:H24"/>
    <mergeCell ref="E22:H22"/>
    <mergeCell ref="I22:K22"/>
    <mergeCell ref="I23:K23"/>
    <mergeCell ref="E23:H23"/>
    <mergeCell ref="E21:H21"/>
    <mergeCell ref="I21:K21"/>
  </mergeCells>
  <conditionalFormatting sqref="AA4:AA19">
    <cfRule type="cellIs" dxfId="112" priority="1" operator="equal">
      <formula>0</formula>
    </cfRule>
  </conditionalFormatting>
  <conditionalFormatting sqref="J4">
    <cfRule type="expression" dxfId="111" priority="2">
      <formula>K4&lt;&gt;SUM(AD4:AI4)</formula>
    </cfRule>
  </conditionalFormatting>
  <conditionalFormatting sqref="I4:I19">
    <cfRule type="cellIs" dxfId="110" priority="3" stopIfTrue="1" operator="equal">
      <formula>"Player type quantity surpassed"</formula>
    </cfRule>
  </conditionalFormatting>
  <conditionalFormatting sqref="J5">
    <cfRule type="expression" dxfId="109" priority="4">
      <formula>K5&lt;&gt;SUM(AD5:AI5)</formula>
    </cfRule>
  </conditionalFormatting>
  <conditionalFormatting sqref="J6">
    <cfRule type="expression" dxfId="108" priority="5">
      <formula>K6&lt;&gt;SUM(AD6:AI6)</formula>
    </cfRule>
  </conditionalFormatting>
  <conditionalFormatting sqref="J7">
    <cfRule type="expression" dxfId="107" priority="6">
      <formula>K7&lt;&gt;SUM(AD7:AI7)</formula>
    </cfRule>
  </conditionalFormatting>
  <conditionalFormatting sqref="J8">
    <cfRule type="expression" dxfId="106" priority="7">
      <formula>K8&lt;&gt;SUM(AD8:AI8)</formula>
    </cfRule>
  </conditionalFormatting>
  <conditionalFormatting sqref="J9">
    <cfRule type="expression" dxfId="105" priority="8">
      <formula>K9&lt;&gt;SUM(AD9:AI9)</formula>
    </cfRule>
  </conditionalFormatting>
  <conditionalFormatting sqref="J10">
    <cfRule type="expression" dxfId="104" priority="9">
      <formula>K10&lt;&gt;SUM(AD10:AI10)</formula>
    </cfRule>
  </conditionalFormatting>
  <conditionalFormatting sqref="J11">
    <cfRule type="expression" dxfId="103" priority="10">
      <formula>K11&lt;&gt;SUM(AD11:AI11)</formula>
    </cfRule>
  </conditionalFormatting>
  <conditionalFormatting sqref="J12">
    <cfRule type="expression" dxfId="102" priority="11">
      <formula>K12&lt;&gt;SUM(AD12:AI12)</formula>
    </cfRule>
  </conditionalFormatting>
  <conditionalFormatting sqref="J13">
    <cfRule type="expression" dxfId="101" priority="12">
      <formula>K13&lt;&gt;SUM(AD13:AI13)</formula>
    </cfRule>
  </conditionalFormatting>
  <conditionalFormatting sqref="J14">
    <cfRule type="expression" dxfId="100" priority="13">
      <formula>K14&lt;&gt;SUM(AD14:AI14)</formula>
    </cfRule>
  </conditionalFormatting>
  <conditionalFormatting sqref="J15">
    <cfRule type="expression" dxfId="99" priority="14">
      <formula>K15&lt;&gt;SUM(AD15:AI15)</formula>
    </cfRule>
  </conditionalFormatting>
  <conditionalFormatting sqref="J16">
    <cfRule type="expression" dxfId="98" priority="15">
      <formula>K16&lt;&gt;SUM(AD16:AI16)</formula>
    </cfRule>
  </conditionalFormatting>
  <conditionalFormatting sqref="J17">
    <cfRule type="expression" dxfId="97" priority="16">
      <formula>K17&lt;&gt;SUM(AD17:AI17)</formula>
    </cfRule>
  </conditionalFormatting>
  <conditionalFormatting sqref="J18">
    <cfRule type="expression" dxfId="96" priority="17">
      <formula>K18&lt;&gt;SUM(AD18:AI18)</formula>
    </cfRule>
  </conditionalFormatting>
  <conditionalFormatting sqref="J19">
    <cfRule type="expression" dxfId="95" priority="18">
      <formula>K19&lt;&gt;SUM(AD19:AI19)</formula>
    </cfRule>
  </conditionalFormatting>
  <conditionalFormatting sqref="K4:K19">
    <cfRule type="cellIs" dxfId="94" priority="19" operator="equal">
      <formula>0</formula>
    </cfRule>
  </conditionalFormatting>
  <conditionalFormatting sqref="E4:H19">
    <cfRule type="expression" dxfId="93" priority="20">
      <formula>AF4&gt;0</formula>
    </cfRule>
  </conditionalFormatting>
  <conditionalFormatting sqref="E4:H19">
    <cfRule type="expression" dxfId="92" priority="21">
      <formula>P4&gt;0</formula>
    </cfRule>
  </conditionalFormatting>
  <conditionalFormatting sqref="I4:I19 T4:T19 U4:U20 V4:W19 Y4:Y19 U26:U37">
    <cfRule type="cellIs" dxfId="91" priority="22" stopIfTrue="1" operator="equal">
      <formula>0</formula>
    </cfRule>
  </conditionalFormatting>
  <conditionalFormatting sqref="Y27:Y37 AA27">
    <cfRule type="cellIs" dxfId="90" priority="23" stopIfTrue="1" operator="equal">
      <formula>"0,0"</formula>
    </cfRule>
  </conditionalFormatting>
  <conditionalFormatting sqref="L20:T20">
    <cfRule type="cellIs" dxfId="89" priority="24" stopIfTrue="1" operator="equal">
      <formula>0</formula>
    </cfRule>
  </conditionalFormatting>
  <conditionalFormatting sqref="P4:S19">
    <cfRule type="cellIs" dxfId="88" priority="25" stopIfTrue="1" operator="lessThanOrEqual">
      <formula>-1</formula>
    </cfRule>
  </conditionalFormatting>
  <conditionalFormatting sqref="V25:W25">
    <cfRule type="cellIs" dxfId="87" priority="26" stopIfTrue="1" operator="equal">
      <formula>-500</formula>
    </cfRule>
  </conditionalFormatting>
  <conditionalFormatting sqref="T25">
    <cfRule type="cellIs" dxfId="86" priority="27" stopIfTrue="1" operator="greaterThan">
      <formula>$V$25</formula>
    </cfRule>
  </conditionalFormatting>
  <conditionalFormatting sqref="Z4:Z19">
    <cfRule type="cellIs" dxfId="85" priority="28" stopIfTrue="1" operator="equal">
      <formula>"Star"</formula>
    </cfRule>
  </conditionalFormatting>
  <conditionalFormatting sqref="Z4:Z19">
    <cfRule type="cellIs" dxfId="84" priority="29" stopIfTrue="1" operator="equal">
      <formula>AA4</formula>
    </cfRule>
  </conditionalFormatting>
  <dataValidations count="1">
    <dataValidation type="list" allowBlank="1" showErrorMessage="1" sqref="D4:D19">
      <formula1>'TC1'!$D$28:$D$37</formula1>
    </dataValidation>
  </dataValidation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U37"/>
  <sheetViews>
    <sheetView showGridLines="0" workbookViewId="0">
      <selection activeCell="J13" sqref="J13"/>
    </sheetView>
  </sheetViews>
  <sheetFormatPr defaultColWidth="14.42578125" defaultRowHeight="15.75" customHeight="1"/>
  <cols>
    <col min="1" max="1" width="2.42578125" style="139" customWidth="1"/>
    <col min="2" max="2" width="3.140625" style="139" customWidth="1"/>
    <col min="3" max="3" width="20" style="139" customWidth="1"/>
    <col min="4" max="4" width="21.28515625" style="139" customWidth="1"/>
    <col min="5" max="8" width="3.42578125" style="139" customWidth="1"/>
    <col min="9" max="9" width="30.85546875" style="139" customWidth="1"/>
    <col min="10" max="10" width="23" style="139" customWidth="1"/>
    <col min="11" max="11" width="1.85546875" style="139" hidden="1" customWidth="1"/>
    <col min="12" max="19" width="2.28515625" style="139" customWidth="1"/>
    <col min="20" max="21" width="3.28515625" style="139" customWidth="1"/>
    <col min="22" max="22" width="2.42578125" style="139" customWidth="1"/>
    <col min="23" max="23" width="3.28515625" style="139" customWidth="1"/>
    <col min="24" max="24" width="2.7109375" style="139" customWidth="1"/>
    <col min="25" max="25" width="3.28515625" style="139" customWidth="1"/>
    <col min="26" max="26" width="4.42578125" style="139" customWidth="1"/>
    <col min="27" max="27" width="10.28515625" style="139" customWidth="1"/>
    <col min="28" max="28" width="5.5703125" style="139" customWidth="1"/>
    <col min="29" max="29" width="8.85546875" style="139" customWidth="1"/>
    <col min="30" max="35" width="4.140625" style="139" customWidth="1"/>
    <col min="36" max="36" width="12.28515625" style="139" customWidth="1"/>
    <col min="37" max="37" width="6.42578125" style="139" customWidth="1"/>
    <col min="38" max="38" width="12.7109375" style="139" customWidth="1"/>
    <col min="39" max="39" width="11.42578125" style="139" customWidth="1"/>
    <col min="40" max="41" width="10.7109375" style="139" customWidth="1"/>
    <col min="42" max="42" width="26.140625" style="139" customWidth="1"/>
    <col min="43" max="44" width="10.7109375" style="139" customWidth="1"/>
    <col min="45" max="45" width="12.28515625" style="139" customWidth="1"/>
    <col min="46" max="46" width="10.7109375" style="139" customWidth="1"/>
    <col min="47" max="47" width="2.28515625" style="139" customWidth="1"/>
    <col min="48" max="16384" width="14.42578125" style="139"/>
  </cols>
  <sheetData>
    <row r="1" spans="1:47" ht="9" customHeight="1">
      <c r="A1" s="136"/>
      <c r="B1" s="137"/>
      <c r="C1" s="137"/>
      <c r="D1" s="138"/>
      <c r="E1" s="137"/>
      <c r="F1" s="137"/>
      <c r="G1" s="137"/>
      <c r="H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</row>
    <row r="2" spans="1:47" ht="9.75" customHeight="1">
      <c r="A2" s="136"/>
      <c r="B2" s="140"/>
      <c r="C2" s="140"/>
      <c r="D2" s="141"/>
      <c r="E2" s="140"/>
      <c r="F2" s="140"/>
      <c r="G2" s="140"/>
      <c r="H2" s="140"/>
      <c r="I2" s="137"/>
      <c r="J2" s="140"/>
      <c r="K2" s="136"/>
      <c r="L2" s="140"/>
      <c r="M2" s="140"/>
      <c r="N2" s="140"/>
      <c r="O2" s="140"/>
      <c r="P2" s="602" t="s">
        <v>218</v>
      </c>
      <c r="Q2" s="572"/>
      <c r="R2" s="572"/>
      <c r="S2" s="573"/>
      <c r="T2" s="142"/>
      <c r="U2" s="142"/>
      <c r="V2" s="142"/>
      <c r="W2" s="142"/>
      <c r="X2" s="143"/>
      <c r="Y2" s="142"/>
      <c r="Z2" s="140"/>
      <c r="AA2" s="140"/>
      <c r="AB2" s="136"/>
      <c r="AC2" s="140"/>
      <c r="AD2" s="140"/>
      <c r="AE2" s="140"/>
      <c r="AF2" s="144"/>
      <c r="AG2" s="140"/>
      <c r="AH2" s="140"/>
      <c r="AI2" s="140"/>
      <c r="AJ2" s="140"/>
      <c r="AK2" s="136"/>
      <c r="AL2" s="145"/>
      <c r="AM2" s="145"/>
      <c r="AN2" s="145"/>
      <c r="AO2" s="145"/>
      <c r="AP2" s="145"/>
      <c r="AQ2" s="145"/>
      <c r="AR2" s="145"/>
      <c r="AS2" s="145"/>
      <c r="AT2" s="145"/>
      <c r="AU2" s="145"/>
    </row>
    <row r="3" spans="1:47" ht="8.25" customHeight="1">
      <c r="A3" s="137"/>
      <c r="B3" s="146" t="s">
        <v>203</v>
      </c>
      <c r="C3" s="147" t="s">
        <v>32</v>
      </c>
      <c r="D3" s="148" t="s">
        <v>229</v>
      </c>
      <c r="E3" s="149" t="s">
        <v>206</v>
      </c>
      <c r="F3" s="150" t="s">
        <v>207</v>
      </c>
      <c r="G3" s="151" t="s">
        <v>208</v>
      </c>
      <c r="H3" s="152" t="s">
        <v>209</v>
      </c>
      <c r="I3" s="153" t="s">
        <v>230</v>
      </c>
      <c r="J3" s="152" t="s">
        <v>231</v>
      </c>
      <c r="K3" s="154" t="s">
        <v>203</v>
      </c>
      <c r="L3" s="155" t="s">
        <v>232</v>
      </c>
      <c r="M3" s="156" t="s">
        <v>233</v>
      </c>
      <c r="N3" s="156" t="s">
        <v>234</v>
      </c>
      <c r="O3" s="157" t="s">
        <v>235</v>
      </c>
      <c r="P3" s="158" t="s">
        <v>206</v>
      </c>
      <c r="Q3" s="159" t="s">
        <v>207</v>
      </c>
      <c r="R3" s="159" t="s">
        <v>208</v>
      </c>
      <c r="S3" s="160" t="s">
        <v>209</v>
      </c>
      <c r="T3" s="161" t="s">
        <v>236</v>
      </c>
      <c r="U3" s="156" t="s">
        <v>237</v>
      </c>
      <c r="V3" s="156" t="s">
        <v>210</v>
      </c>
      <c r="W3" s="156" t="s">
        <v>240</v>
      </c>
      <c r="X3" s="162" t="s">
        <v>35</v>
      </c>
      <c r="Y3" s="157" t="s">
        <v>211</v>
      </c>
      <c r="Z3" s="153" t="s">
        <v>212</v>
      </c>
      <c r="AA3" s="163" t="s">
        <v>241</v>
      </c>
      <c r="AB3" s="136"/>
      <c r="AC3" s="146" t="s">
        <v>242</v>
      </c>
      <c r="AD3" s="153" t="s">
        <v>233</v>
      </c>
      <c r="AE3" s="150" t="s">
        <v>243</v>
      </c>
      <c r="AF3" s="164" t="str">
        <f>"+MA"</f>
        <v>+MA</v>
      </c>
      <c r="AG3" s="150" t="str">
        <f>"+ST"</f>
        <v>+ST</v>
      </c>
      <c r="AH3" s="150" t="str">
        <f>"+AG"</f>
        <v>+AG</v>
      </c>
      <c r="AI3" s="150" t="str">
        <f>"+AV"</f>
        <v>+AV</v>
      </c>
      <c r="AJ3" s="163" t="s">
        <v>244</v>
      </c>
      <c r="AK3" s="136"/>
      <c r="AL3" s="601" t="s">
        <v>245</v>
      </c>
      <c r="AM3" s="575"/>
      <c r="AN3" s="575"/>
      <c r="AO3" s="575"/>
      <c r="AP3" s="603" t="s">
        <v>246</v>
      </c>
      <c r="AQ3" s="575"/>
      <c r="AR3" s="575"/>
      <c r="AS3" s="575"/>
      <c r="AT3" s="575"/>
      <c r="AU3" s="145"/>
    </row>
    <row r="4" spans="1:47" ht="15.75" customHeight="1">
      <c r="A4" s="137"/>
      <c r="B4" s="165">
        <v>1</v>
      </c>
      <c r="C4" s="249" t="s">
        <v>165</v>
      </c>
      <c r="D4" s="167" t="s">
        <v>83</v>
      </c>
      <c r="E4" s="168">
        <f>IFERROR(VLOOKUP($I$22&amp;$D4,'Development-Hidden'!$C$2:$J$118,4,FALSE)-P4+AF4,"")</f>
        <v>6</v>
      </c>
      <c r="F4" s="169">
        <f>IFERROR(VLOOKUP($I$22&amp;$D4,'Development-Hidden'!$C$2:$J$118,5,FALSE)-Q4+AG4,"")</f>
        <v>3</v>
      </c>
      <c r="G4" s="169">
        <f>IFERROR(VLOOKUP($I$22&amp;$D4,'Development-Hidden'!$C$2:$J$118,6,FALSE)-R4+AH4,"")</f>
        <v>3</v>
      </c>
      <c r="H4" s="170">
        <f>IFERROR(VLOOKUP($I$22&amp;$D4,'Development-Hidden'!$C$2:$J$118,7,FALSE)-S4+AI4,"")</f>
        <v>7</v>
      </c>
      <c r="I4" s="171" t="str">
        <f>IFERROR(VLOOKUP($I$22&amp;$D4,'Development-Hidden'!$C$2:$J$118,8,FALSE),"")</f>
        <v>Dodge, Pass</v>
      </c>
      <c r="J4" s="172" t="s">
        <v>559</v>
      </c>
      <c r="K4" s="173">
        <f t="shared" ref="K4:K19" si="0">IF(Z4&gt;175,6,IF(Z4&gt;75,5,IF(Z4&gt;50,4,IF(Z4&gt;30,3,IF(Z4&gt;15,2,IF(Z4&gt;5,1,0))))))</f>
        <v>1</v>
      </c>
      <c r="L4" s="174"/>
      <c r="M4" s="174"/>
      <c r="N4" s="174"/>
      <c r="O4" s="175"/>
      <c r="P4" s="176"/>
      <c r="Q4" s="177"/>
      <c r="R4" s="177"/>
      <c r="S4" s="178"/>
      <c r="T4" s="179"/>
      <c r="U4" s="180">
        <v>3</v>
      </c>
      <c r="V4" s="180"/>
      <c r="W4" s="180"/>
      <c r="X4" s="177"/>
      <c r="Y4" s="181">
        <v>1</v>
      </c>
      <c r="Z4" s="182">
        <f t="shared" ref="Z4:Z19" si="1">2*T4+U4+3*V4+2*W4+5*Y4</f>
        <v>8</v>
      </c>
      <c r="AA4" s="183">
        <f t="shared" ref="AA4:AA5" si="2">IF(L4=1,0,AC4+(20000*O4)+(20000*AD4)+(30000*AE4)+(30000*AF4)+(50000*AG4)+(40000*AH4)+(30000*AI4)+AJ4)</f>
        <v>90000</v>
      </c>
      <c r="AB4" s="136"/>
      <c r="AC4" s="184">
        <f>IFERROR(VLOOKUP($I$22&amp;D4,'Development-Hidden'!$C$2:$E$118,3,FALSE),"")</f>
        <v>70000</v>
      </c>
      <c r="AD4" s="179">
        <v>1</v>
      </c>
      <c r="AE4" s="180"/>
      <c r="AF4" s="180"/>
      <c r="AG4" s="180"/>
      <c r="AH4" s="180"/>
      <c r="AI4" s="180"/>
      <c r="AJ4" s="185"/>
      <c r="AK4" s="136"/>
      <c r="AL4" s="186" t="s">
        <v>252</v>
      </c>
      <c r="AM4" s="187">
        <v>0</v>
      </c>
      <c r="AN4" s="136"/>
      <c r="AO4" s="136"/>
      <c r="AP4" s="188"/>
      <c r="AQ4" s="189"/>
      <c r="AR4" s="189"/>
      <c r="AS4" s="186" t="s">
        <v>253</v>
      </c>
      <c r="AT4" s="190">
        <v>1</v>
      </c>
      <c r="AU4" s="191"/>
    </row>
    <row r="5" spans="1:47" ht="15.75" customHeight="1">
      <c r="A5" s="137"/>
      <c r="B5" s="560">
        <v>2</v>
      </c>
      <c r="C5" s="561" t="s">
        <v>336</v>
      </c>
      <c r="D5" s="562" t="s">
        <v>49</v>
      </c>
      <c r="E5" s="195">
        <f>IFERROR(VLOOKUP($I$22&amp;$D5,'Development-Hidden'!$C$2:$J$118,4,FALSE)-P5+AF5,"")</f>
        <v>6</v>
      </c>
      <c r="F5" s="196">
        <f>IFERROR(VLOOKUP($I$22&amp;$D5,'Development-Hidden'!$C$2:$J$118,5,FALSE)-Q5+AG5,"")</f>
        <v>3</v>
      </c>
      <c r="G5" s="196">
        <f>IFERROR(VLOOKUP($I$22&amp;$D5,'Development-Hidden'!$C$2:$J$118,6,FALSE)-R5+AH5,"")</f>
        <v>3</v>
      </c>
      <c r="H5" s="197">
        <f>IFERROR(VLOOKUP($I$22&amp;$D5,'Development-Hidden'!$C$2:$J$118,7,FALSE)-S5+AI5,"")</f>
        <v>7</v>
      </c>
      <c r="I5" s="198" t="str">
        <f>IFERROR(VLOOKUP($I$22&amp;$D5,'Development-Hidden'!$C$2:$J$118,8,FALSE),"")</f>
        <v>Block, Dodge</v>
      </c>
      <c r="J5" s="199"/>
      <c r="K5" s="200">
        <f t="shared" si="0"/>
        <v>0</v>
      </c>
      <c r="L5" s="201"/>
      <c r="M5" s="201"/>
      <c r="N5" s="201"/>
      <c r="O5" s="202"/>
      <c r="P5" s="203"/>
      <c r="Q5" s="204"/>
      <c r="R5" s="204"/>
      <c r="S5" s="205"/>
      <c r="T5" s="206"/>
      <c r="U5" s="207"/>
      <c r="V5" s="207"/>
      <c r="W5" s="207"/>
      <c r="X5" s="204"/>
      <c r="Y5" s="208"/>
      <c r="Z5" s="209">
        <f t="shared" si="1"/>
        <v>0</v>
      </c>
      <c r="AA5" s="183">
        <f t="shared" si="2"/>
        <v>90000</v>
      </c>
      <c r="AB5" s="136"/>
      <c r="AC5" s="210">
        <f>IFERROR(VLOOKUP($I$22&amp;D5,'Development-Hidden'!$C$2:$E$118,3,FALSE),"")</f>
        <v>90000</v>
      </c>
      <c r="AD5" s="206"/>
      <c r="AE5" s="207"/>
      <c r="AF5" s="207"/>
      <c r="AG5" s="207"/>
      <c r="AH5" s="207"/>
      <c r="AI5" s="207"/>
      <c r="AJ5" s="211"/>
      <c r="AK5" s="136" t="s">
        <v>517</v>
      </c>
      <c r="AL5" s="212" t="s">
        <v>256</v>
      </c>
      <c r="AM5" s="213" t="s">
        <v>257</v>
      </c>
      <c r="AN5" s="214" t="s">
        <v>258</v>
      </c>
      <c r="AO5" s="215" t="s">
        <v>259</v>
      </c>
      <c r="AP5" s="216" t="s">
        <v>260</v>
      </c>
      <c r="AQ5" s="214" t="s">
        <v>261</v>
      </c>
      <c r="AR5" s="217" t="s">
        <v>33</v>
      </c>
      <c r="AS5" s="217" t="s">
        <v>262</v>
      </c>
      <c r="AT5" s="218" t="s">
        <v>221</v>
      </c>
      <c r="AU5" s="144"/>
    </row>
    <row r="6" spans="1:47" ht="15.75" customHeight="1">
      <c r="A6" s="137"/>
      <c r="B6" s="192">
        <v>3</v>
      </c>
      <c r="C6" s="563" t="s">
        <v>158</v>
      </c>
      <c r="D6" s="194" t="s">
        <v>49</v>
      </c>
      <c r="E6" s="195">
        <f>IFERROR(VLOOKUP($I$22&amp;$D6,'Development-Hidden'!$C$2:$J$118,4,FALSE)-P6+AF6,"")</f>
        <v>6</v>
      </c>
      <c r="F6" s="196">
        <f>IFERROR(VLOOKUP($I$22&amp;$D6,'Development-Hidden'!$C$2:$J$118,5,FALSE)-Q6+AG6,"")</f>
        <v>3</v>
      </c>
      <c r="G6" s="196">
        <f>IFERROR(VLOOKUP($I$22&amp;$D6,'Development-Hidden'!$C$2:$J$118,6,FALSE)-R6+AH6,"")</f>
        <v>3</v>
      </c>
      <c r="H6" s="197">
        <f>IFERROR(VLOOKUP($I$22&amp;$D6,'Development-Hidden'!$C$2:$J$118,7,FALSE)-S6+AI6,"")</f>
        <v>7</v>
      </c>
      <c r="I6" s="198" t="str">
        <f>IFERROR(VLOOKUP($I$22&amp;$D6,'Development-Hidden'!$C$2:$J$118,8,FALSE),"")</f>
        <v>Block, Dodge</v>
      </c>
      <c r="J6" s="199" t="s">
        <v>399</v>
      </c>
      <c r="K6" s="200">
        <f t="shared" si="0"/>
        <v>1</v>
      </c>
      <c r="L6" s="201"/>
      <c r="M6" s="201"/>
      <c r="N6" s="201"/>
      <c r="O6" s="202"/>
      <c r="P6" s="203"/>
      <c r="Q6" s="204"/>
      <c r="R6" s="204"/>
      <c r="S6" s="205"/>
      <c r="T6" s="206"/>
      <c r="U6" s="207">
        <v>1</v>
      </c>
      <c r="V6" s="207"/>
      <c r="W6" s="207">
        <v>1</v>
      </c>
      <c r="X6" s="204"/>
      <c r="Y6" s="208">
        <v>1</v>
      </c>
      <c r="Z6" s="209">
        <f t="shared" si="1"/>
        <v>8</v>
      </c>
      <c r="AA6" s="183">
        <f t="shared" ref="AA6:AA19" si="3">IF(L6=1,0,AC6+(20000*O6)+(20000*AD6)+(30000*AE6)+(30000*AF6)+(50000*AG6)+(40000*AH6)+(50000*AI6)+AJ6)</f>
        <v>110000</v>
      </c>
      <c r="AB6" s="136"/>
      <c r="AC6" s="210">
        <f>IFERROR(VLOOKUP($I$22&amp;D6,'Development-Hidden'!$C$2:$E$118,3,FALSE),"")</f>
        <v>90000</v>
      </c>
      <c r="AD6" s="206">
        <v>1</v>
      </c>
      <c r="AE6" s="207"/>
      <c r="AF6" s="207"/>
      <c r="AG6" s="207"/>
      <c r="AH6" s="207"/>
      <c r="AI6" s="207"/>
      <c r="AJ6" s="211"/>
      <c r="AK6" s="136">
        <v>5</v>
      </c>
      <c r="AL6" s="219" t="s">
        <v>267</v>
      </c>
      <c r="AM6" s="220">
        <v>40000</v>
      </c>
      <c r="AN6" s="221"/>
      <c r="AO6" s="222"/>
      <c r="AP6" s="223" t="s">
        <v>16</v>
      </c>
      <c r="AQ6" s="221" t="s">
        <v>361</v>
      </c>
      <c r="AR6" s="224">
        <v>0</v>
      </c>
      <c r="AS6" s="225">
        <v>0</v>
      </c>
      <c r="AT6" s="463">
        <v>0</v>
      </c>
      <c r="AU6" s="136"/>
    </row>
    <row r="7" spans="1:47" ht="15.75" customHeight="1">
      <c r="A7" s="137"/>
      <c r="B7" s="192">
        <v>4</v>
      </c>
      <c r="C7" s="314" t="s">
        <v>170</v>
      </c>
      <c r="D7" s="194" t="s">
        <v>49</v>
      </c>
      <c r="E7" s="195">
        <f>IFERROR(VLOOKUP($I$22&amp;$D7,'Development-Hidden'!$C$2:$J$118,4,FALSE)-P7+AF7,"")</f>
        <v>6</v>
      </c>
      <c r="F7" s="196">
        <f>IFERROR(VLOOKUP($I$22&amp;$D7,'Development-Hidden'!$C$2:$J$118,5,FALSE)-Q7+AG7,"")</f>
        <v>3</v>
      </c>
      <c r="G7" s="196">
        <f>IFERROR(VLOOKUP($I$22&amp;$D7,'Development-Hidden'!$C$2:$J$118,6,FALSE)-R7+AH7,"")</f>
        <v>3</v>
      </c>
      <c r="H7" s="197">
        <f>IFERROR(VLOOKUP($I$22&amp;$D7,'Development-Hidden'!$C$2:$J$118,7,FALSE)-S7+AI7,"")</f>
        <v>7</v>
      </c>
      <c r="I7" s="198" t="str">
        <f>IFERROR(VLOOKUP($I$22&amp;$D7,'Development-Hidden'!$C$2:$J$118,8,FALSE),"")</f>
        <v>Block, Dodge</v>
      </c>
      <c r="J7" s="199"/>
      <c r="K7" s="200">
        <f t="shared" si="0"/>
        <v>0</v>
      </c>
      <c r="L7" s="201"/>
      <c r="M7" s="201"/>
      <c r="N7" s="201"/>
      <c r="O7" s="202"/>
      <c r="P7" s="203"/>
      <c r="Q7" s="204"/>
      <c r="R7" s="204"/>
      <c r="S7" s="205"/>
      <c r="T7" s="206"/>
      <c r="U7" s="207"/>
      <c r="V7" s="207"/>
      <c r="W7" s="207"/>
      <c r="X7" s="204"/>
      <c r="Y7" s="208"/>
      <c r="Z7" s="209">
        <f t="shared" si="1"/>
        <v>0</v>
      </c>
      <c r="AA7" s="183">
        <f t="shared" si="3"/>
        <v>90000</v>
      </c>
      <c r="AB7" s="136"/>
      <c r="AC7" s="210">
        <f>IFERROR(VLOOKUP($I$22&amp;D7,'Development-Hidden'!$C$2:$E$118,3,FALSE),"")</f>
        <v>90000</v>
      </c>
      <c r="AD7" s="206"/>
      <c r="AE7" s="207"/>
      <c r="AF7" s="207"/>
      <c r="AG7" s="207"/>
      <c r="AH7" s="207"/>
      <c r="AI7" s="207"/>
      <c r="AJ7" s="211"/>
      <c r="AK7" s="136">
        <v>9</v>
      </c>
      <c r="AL7" s="227" t="s">
        <v>278</v>
      </c>
      <c r="AM7" s="228">
        <v>70000</v>
      </c>
      <c r="AN7" s="229">
        <v>60000</v>
      </c>
      <c r="AO7" s="230"/>
      <c r="AP7" s="231" t="s">
        <v>47</v>
      </c>
      <c r="AQ7" s="229" t="s">
        <v>434</v>
      </c>
      <c r="AR7" s="232">
        <v>1</v>
      </c>
      <c r="AS7" s="233">
        <v>0</v>
      </c>
      <c r="AT7" s="464">
        <v>1</v>
      </c>
      <c r="AU7" s="136"/>
    </row>
    <row r="8" spans="1:47" ht="15.75" customHeight="1">
      <c r="A8" s="137"/>
      <c r="B8" s="192">
        <v>5</v>
      </c>
      <c r="C8" s="314" t="s">
        <v>172</v>
      </c>
      <c r="D8" s="194" t="s">
        <v>49</v>
      </c>
      <c r="E8" s="195">
        <f>IFERROR(VLOOKUP($I$22&amp;$D8,'Development-Hidden'!$C$2:$J$118,4,FALSE)-P8+AF8,"")</f>
        <v>6</v>
      </c>
      <c r="F8" s="196">
        <f>IFERROR(VLOOKUP($I$22&amp;$D8,'Development-Hidden'!$C$2:$J$118,5,FALSE)-Q8+AG8,"")</f>
        <v>3</v>
      </c>
      <c r="G8" s="196">
        <f>IFERROR(VLOOKUP($I$22&amp;$D8,'Development-Hidden'!$C$2:$J$118,6,FALSE)-R8+AH8,"")</f>
        <v>3</v>
      </c>
      <c r="H8" s="197">
        <f>IFERROR(VLOOKUP($I$22&amp;$D8,'Development-Hidden'!$C$2:$J$118,7,FALSE)-S8+AI8,"")</f>
        <v>7</v>
      </c>
      <c r="I8" s="198" t="str">
        <f>IFERROR(VLOOKUP($I$22&amp;$D8,'Development-Hidden'!$C$2:$J$118,8,FALSE),"")</f>
        <v>Block, Dodge</v>
      </c>
      <c r="J8" s="199"/>
      <c r="K8" s="200">
        <f t="shared" si="0"/>
        <v>0</v>
      </c>
      <c r="L8" s="201"/>
      <c r="M8" s="201"/>
      <c r="N8" s="201"/>
      <c r="O8" s="202"/>
      <c r="P8" s="203"/>
      <c r="Q8" s="204"/>
      <c r="R8" s="204"/>
      <c r="S8" s="205"/>
      <c r="T8" s="206"/>
      <c r="U8" s="207"/>
      <c r="V8" s="207"/>
      <c r="W8" s="207">
        <v>1</v>
      </c>
      <c r="X8" s="204"/>
      <c r="Y8" s="208"/>
      <c r="Z8" s="209">
        <f t="shared" si="1"/>
        <v>2</v>
      </c>
      <c r="AA8" s="183">
        <f t="shared" si="3"/>
        <v>90000</v>
      </c>
      <c r="AB8" s="136"/>
      <c r="AC8" s="210">
        <f>IFERROR(VLOOKUP($I$22&amp;D8,'Development-Hidden'!$C$2:$E$118,3,FALSE),"")</f>
        <v>90000</v>
      </c>
      <c r="AD8" s="206"/>
      <c r="AE8" s="207"/>
      <c r="AF8" s="207"/>
      <c r="AG8" s="207"/>
      <c r="AH8" s="207"/>
      <c r="AI8" s="207"/>
      <c r="AJ8" s="211"/>
      <c r="AK8" s="136">
        <v>15</v>
      </c>
      <c r="AL8" s="227" t="s">
        <v>289</v>
      </c>
      <c r="AM8" s="228">
        <v>60000</v>
      </c>
      <c r="AN8" s="229">
        <v>70000</v>
      </c>
      <c r="AO8" s="230"/>
      <c r="AP8" s="231" t="s">
        <v>3</v>
      </c>
      <c r="AQ8" s="229" t="s">
        <v>407</v>
      </c>
      <c r="AR8" s="232">
        <v>1</v>
      </c>
      <c r="AS8" s="233">
        <v>0</v>
      </c>
      <c r="AT8" s="464">
        <v>1</v>
      </c>
      <c r="AU8" s="136"/>
    </row>
    <row r="9" spans="1:47" ht="15.75" customHeight="1">
      <c r="A9" s="137"/>
      <c r="B9" s="192">
        <v>6</v>
      </c>
      <c r="C9" s="314" t="s">
        <v>286</v>
      </c>
      <c r="D9" s="194" t="s">
        <v>83</v>
      </c>
      <c r="E9" s="195">
        <f>IFERROR(VLOOKUP($I$22&amp;$D9,'Development-Hidden'!$C$2:$J$118,4,FALSE)-P9+AF9,"")</f>
        <v>6</v>
      </c>
      <c r="F9" s="196">
        <f>IFERROR(VLOOKUP($I$22&amp;$D9,'Development-Hidden'!$C$2:$J$118,5,FALSE)-Q9+AG9,"")</f>
        <v>3</v>
      </c>
      <c r="G9" s="196">
        <f>IFERROR(VLOOKUP($I$22&amp;$D9,'Development-Hidden'!$C$2:$J$118,6,FALSE)-R9+AH9,"")</f>
        <v>3</v>
      </c>
      <c r="H9" s="197">
        <f>IFERROR(VLOOKUP($I$22&amp;$D9,'Development-Hidden'!$C$2:$J$118,7,FALSE)-S9+AI9,"")</f>
        <v>7</v>
      </c>
      <c r="I9" s="198" t="str">
        <f>IFERROR(VLOOKUP($I$22&amp;$D9,'Development-Hidden'!$C$2:$J$118,8,FALSE),"")</f>
        <v>Dodge, Pass</v>
      </c>
      <c r="J9" s="199" t="s">
        <v>392</v>
      </c>
      <c r="K9" s="200">
        <f t="shared" si="0"/>
        <v>1</v>
      </c>
      <c r="L9" s="201"/>
      <c r="M9" s="201"/>
      <c r="N9" s="201"/>
      <c r="O9" s="202"/>
      <c r="P9" s="203"/>
      <c r="Q9" s="204"/>
      <c r="R9" s="204"/>
      <c r="S9" s="205"/>
      <c r="T9" s="206"/>
      <c r="U9" s="207">
        <v>1</v>
      </c>
      <c r="V9" s="207"/>
      <c r="W9" s="207"/>
      <c r="X9" s="204"/>
      <c r="Y9" s="208">
        <v>1</v>
      </c>
      <c r="Z9" s="209">
        <f t="shared" si="1"/>
        <v>6</v>
      </c>
      <c r="AA9" s="183">
        <f t="shared" si="3"/>
        <v>90000</v>
      </c>
      <c r="AB9" s="136"/>
      <c r="AC9" s="210">
        <f>IFERROR(VLOOKUP($I$22&amp;D9,'Development-Hidden'!$C$2:$E$118,3,FALSE),"")</f>
        <v>70000</v>
      </c>
      <c r="AD9" s="206">
        <v>1</v>
      </c>
      <c r="AE9" s="207"/>
      <c r="AF9" s="207"/>
      <c r="AG9" s="207"/>
      <c r="AH9" s="207"/>
      <c r="AI9" s="207"/>
      <c r="AJ9" s="211"/>
      <c r="AK9" s="136">
        <v>28</v>
      </c>
      <c r="AL9" s="227" t="s">
        <v>296</v>
      </c>
      <c r="AM9" s="228">
        <v>60000</v>
      </c>
      <c r="AN9" s="229">
        <v>100000</v>
      </c>
      <c r="AO9" s="230"/>
      <c r="AP9" s="231" t="s">
        <v>11</v>
      </c>
      <c r="AQ9" s="229" t="s">
        <v>361</v>
      </c>
      <c r="AR9" s="232">
        <v>0</v>
      </c>
      <c r="AS9" s="233">
        <v>3</v>
      </c>
      <c r="AT9" s="464">
        <v>0</v>
      </c>
      <c r="AU9" s="136"/>
    </row>
    <row r="10" spans="1:47" ht="15.75" customHeight="1">
      <c r="A10" s="137"/>
      <c r="B10" s="192">
        <v>7</v>
      </c>
      <c r="C10" s="314" t="s">
        <v>93</v>
      </c>
      <c r="D10" s="194" t="s">
        <v>42</v>
      </c>
      <c r="E10" s="195">
        <f>IFERROR(VLOOKUP($I$22&amp;$D10,'Development-Hidden'!$C$2:$J$118,4,FALSE)-P10+AF10,"")</f>
        <v>6</v>
      </c>
      <c r="F10" s="196">
        <f>IFERROR(VLOOKUP($I$22&amp;$D10,'Development-Hidden'!$C$2:$J$118,5,FALSE)-Q10+AG10,"")</f>
        <v>3</v>
      </c>
      <c r="G10" s="196">
        <f>IFERROR(VLOOKUP($I$22&amp;$D10,'Development-Hidden'!$C$2:$J$118,6,FALSE)-R10+AH10,"")</f>
        <v>3</v>
      </c>
      <c r="H10" s="197">
        <f>IFERROR(VLOOKUP($I$22&amp;$D10,'Development-Hidden'!$C$2:$J$118,7,FALSE)-S10+AI10,"")</f>
        <v>7</v>
      </c>
      <c r="I10" s="198" t="str">
        <f>IFERROR(VLOOKUP($I$22&amp;$D10,'Development-Hidden'!$C$2:$J$118,8,FALSE),"")</f>
        <v>Dodge, Catch</v>
      </c>
      <c r="J10" s="199" t="s">
        <v>277</v>
      </c>
      <c r="K10" s="200">
        <f t="shared" si="0"/>
        <v>1</v>
      </c>
      <c r="L10" s="201"/>
      <c r="M10" s="201"/>
      <c r="N10" s="201"/>
      <c r="O10" s="202"/>
      <c r="P10" s="203"/>
      <c r="Q10" s="204"/>
      <c r="R10" s="204"/>
      <c r="S10" s="205"/>
      <c r="T10" s="206"/>
      <c r="U10" s="207"/>
      <c r="V10" s="207">
        <v>3</v>
      </c>
      <c r="W10" s="207"/>
      <c r="X10" s="204"/>
      <c r="Y10" s="208"/>
      <c r="Z10" s="209">
        <f t="shared" si="1"/>
        <v>9</v>
      </c>
      <c r="AA10" s="183">
        <f t="shared" si="3"/>
        <v>90000</v>
      </c>
      <c r="AB10" s="136"/>
      <c r="AC10" s="210">
        <f>IFERROR(VLOOKUP($I$22&amp;D10,'Development-Hidden'!$C$2:$E$118,3,FALSE),"")</f>
        <v>70000</v>
      </c>
      <c r="AD10" s="206">
        <v>1</v>
      </c>
      <c r="AE10" s="207"/>
      <c r="AF10" s="207"/>
      <c r="AG10" s="207"/>
      <c r="AH10" s="207"/>
      <c r="AI10" s="207"/>
      <c r="AJ10" s="211"/>
      <c r="AK10" s="564">
        <v>35</v>
      </c>
      <c r="AL10" s="227" t="s">
        <v>306</v>
      </c>
      <c r="AM10" s="228">
        <v>60000</v>
      </c>
      <c r="AN10" s="229"/>
      <c r="AO10" s="230"/>
      <c r="AP10" s="231" t="s">
        <v>10</v>
      </c>
      <c r="AQ10" s="229" t="s">
        <v>361</v>
      </c>
      <c r="AR10" s="232">
        <v>0</v>
      </c>
      <c r="AS10" s="233">
        <v>0</v>
      </c>
      <c r="AT10" s="464">
        <v>0</v>
      </c>
      <c r="AU10" s="136"/>
    </row>
    <row r="11" spans="1:47" ht="15.75" customHeight="1">
      <c r="A11" s="137"/>
      <c r="B11" s="192">
        <v>8</v>
      </c>
      <c r="C11" s="314" t="s">
        <v>176</v>
      </c>
      <c r="D11" s="194" t="s">
        <v>52</v>
      </c>
      <c r="E11" s="195">
        <f>IFERROR(VLOOKUP($I$22&amp;$D11,'Development-Hidden'!$C$2:$J$118,4,FALSE)-P11+AF11,"")</f>
        <v>6</v>
      </c>
      <c r="F11" s="196">
        <f>IFERROR(VLOOKUP($I$22&amp;$D11,'Development-Hidden'!$C$2:$J$118,5,FALSE)-Q11+AG11,"")</f>
        <v>3</v>
      </c>
      <c r="G11" s="196">
        <f>IFERROR(VLOOKUP($I$22&amp;$D11,'Development-Hidden'!$C$2:$J$118,6,FALSE)-R11+AH11,"")</f>
        <v>3</v>
      </c>
      <c r="H11" s="197">
        <f>IFERROR(VLOOKUP($I$22&amp;$D11,'Development-Hidden'!$C$2:$J$118,7,FALSE)-S11+AI11,"")</f>
        <v>7</v>
      </c>
      <c r="I11" s="198" t="str">
        <f>IFERROR(VLOOKUP($I$22&amp;$D11,'Development-Hidden'!$C$2:$J$118,8,FALSE),"")</f>
        <v>Dodge</v>
      </c>
      <c r="J11" s="199"/>
      <c r="K11" s="200">
        <f t="shared" si="0"/>
        <v>0</v>
      </c>
      <c r="L11" s="201"/>
      <c r="M11" s="201"/>
      <c r="N11" s="201"/>
      <c r="O11" s="202"/>
      <c r="P11" s="203"/>
      <c r="Q11" s="204"/>
      <c r="R11" s="204"/>
      <c r="S11" s="205"/>
      <c r="T11" s="206"/>
      <c r="U11" s="207"/>
      <c r="V11" s="207"/>
      <c r="W11" s="207">
        <v>1</v>
      </c>
      <c r="X11" s="204"/>
      <c r="Y11" s="208"/>
      <c r="Z11" s="209">
        <f t="shared" si="1"/>
        <v>2</v>
      </c>
      <c r="AA11" s="183">
        <f t="shared" si="3"/>
        <v>50000</v>
      </c>
      <c r="AB11" s="136"/>
      <c r="AC11" s="210">
        <f>IFERROR(VLOOKUP($I$22&amp;D11,'Development-Hidden'!$C$2:$E$118,3,FALSE),"")</f>
        <v>50000</v>
      </c>
      <c r="AD11" s="206"/>
      <c r="AE11" s="207"/>
      <c r="AF11" s="207"/>
      <c r="AG11" s="207"/>
      <c r="AH11" s="207"/>
      <c r="AI11" s="207"/>
      <c r="AJ11" s="211"/>
      <c r="AK11" s="136"/>
      <c r="AL11" s="227" t="s">
        <v>316</v>
      </c>
      <c r="AM11" s="228"/>
      <c r="AN11" s="229"/>
      <c r="AO11" s="230"/>
      <c r="AP11" s="231"/>
      <c r="AQ11" s="229"/>
      <c r="AR11" s="232"/>
      <c r="AS11" s="233"/>
      <c r="AT11" s="464"/>
      <c r="AU11" s="136"/>
    </row>
    <row r="12" spans="1:47" ht="15.75" customHeight="1">
      <c r="A12" s="137"/>
      <c r="B12" s="192">
        <v>9</v>
      </c>
      <c r="C12" s="314" t="s">
        <v>563</v>
      </c>
      <c r="D12" s="194" t="s">
        <v>52</v>
      </c>
      <c r="E12" s="195">
        <f>IFERROR(VLOOKUP($I$22&amp;$D12,'Development-Hidden'!$C$2:$J$118,4,FALSE)-P12+AF12,"")</f>
        <v>6</v>
      </c>
      <c r="F12" s="196">
        <f>IFERROR(VLOOKUP($I$22&amp;$D12,'Development-Hidden'!$C$2:$J$118,5,FALSE)-Q12+AG12,"")</f>
        <v>3</v>
      </c>
      <c r="G12" s="196">
        <f>IFERROR(VLOOKUP($I$22&amp;$D12,'Development-Hidden'!$C$2:$J$118,6,FALSE)-R12+AH12,"")</f>
        <v>3</v>
      </c>
      <c r="H12" s="197">
        <f>IFERROR(VLOOKUP($I$22&amp;$D12,'Development-Hidden'!$C$2:$J$118,7,FALSE)-S12+AI12,"")</f>
        <v>7</v>
      </c>
      <c r="I12" s="198" t="str">
        <f>IFERROR(VLOOKUP($I$22&amp;$D12,'Development-Hidden'!$C$2:$J$118,8,FALSE),"")</f>
        <v>Dodge</v>
      </c>
      <c r="J12" s="199" t="s">
        <v>435</v>
      </c>
      <c r="K12" s="200">
        <f t="shared" si="0"/>
        <v>1</v>
      </c>
      <c r="L12" s="201"/>
      <c r="M12" s="201"/>
      <c r="N12" s="201"/>
      <c r="O12" s="202"/>
      <c r="P12" s="203"/>
      <c r="Q12" s="204"/>
      <c r="R12" s="204"/>
      <c r="S12" s="205"/>
      <c r="T12" s="206"/>
      <c r="U12" s="207"/>
      <c r="V12" s="207"/>
      <c r="W12" s="207">
        <v>1</v>
      </c>
      <c r="X12" s="204"/>
      <c r="Y12" s="208">
        <v>2</v>
      </c>
      <c r="Z12" s="209">
        <f t="shared" si="1"/>
        <v>12</v>
      </c>
      <c r="AA12" s="183">
        <f t="shared" si="3"/>
        <v>70000</v>
      </c>
      <c r="AB12" s="136"/>
      <c r="AC12" s="210">
        <f>IFERROR(VLOOKUP($I$22&amp;D12,'Development-Hidden'!$C$2:$E$118,3,FALSE),"")</f>
        <v>50000</v>
      </c>
      <c r="AD12" s="206">
        <v>1</v>
      </c>
      <c r="AE12" s="207"/>
      <c r="AF12" s="207"/>
      <c r="AG12" s="207"/>
      <c r="AH12" s="207"/>
      <c r="AI12" s="207"/>
      <c r="AJ12" s="211"/>
      <c r="AK12" s="136"/>
      <c r="AL12" s="227" t="s">
        <v>330</v>
      </c>
      <c r="AM12" s="228"/>
      <c r="AN12" s="229"/>
      <c r="AO12" s="230"/>
      <c r="AP12" s="231"/>
      <c r="AQ12" s="229"/>
      <c r="AR12" s="232"/>
      <c r="AS12" s="233"/>
      <c r="AT12" s="464"/>
      <c r="AU12" s="136"/>
    </row>
    <row r="13" spans="1:47" ht="15.75" customHeight="1">
      <c r="A13" s="137"/>
      <c r="B13" s="192">
        <v>10</v>
      </c>
      <c r="C13" s="314" t="s">
        <v>87</v>
      </c>
      <c r="D13" s="194" t="s">
        <v>52</v>
      </c>
      <c r="E13" s="195">
        <f>IFERROR(VLOOKUP($I$22&amp;$D13,'Development-Hidden'!$C$2:$J$118,4,FALSE)-P13+AF13,"")</f>
        <v>6</v>
      </c>
      <c r="F13" s="196">
        <f>IFERROR(VLOOKUP($I$22&amp;$D13,'Development-Hidden'!$C$2:$J$118,5,FALSE)-Q13+AG13,"")</f>
        <v>3</v>
      </c>
      <c r="G13" s="196">
        <f>IFERROR(VLOOKUP($I$22&amp;$D13,'Development-Hidden'!$C$2:$J$118,6,FALSE)-R13+AH13,"")</f>
        <v>3</v>
      </c>
      <c r="H13" s="197">
        <f>IFERROR(VLOOKUP($I$22&amp;$D13,'Development-Hidden'!$C$2:$J$118,7,FALSE)-S13+AI13,"")</f>
        <v>7</v>
      </c>
      <c r="I13" s="198" t="str">
        <f>IFERROR(VLOOKUP($I$22&amp;$D13,'Development-Hidden'!$C$2:$J$118,8,FALSE),"")</f>
        <v>Dodge</v>
      </c>
      <c r="J13" s="199" t="s">
        <v>277</v>
      </c>
      <c r="K13" s="200">
        <f t="shared" si="0"/>
        <v>1</v>
      </c>
      <c r="L13" s="201"/>
      <c r="M13" s="201"/>
      <c r="N13" s="201"/>
      <c r="O13" s="202"/>
      <c r="P13" s="203"/>
      <c r="Q13" s="204"/>
      <c r="R13" s="204"/>
      <c r="S13" s="205"/>
      <c r="T13" s="206"/>
      <c r="U13" s="207">
        <v>1</v>
      </c>
      <c r="V13" s="207"/>
      <c r="W13" s="207"/>
      <c r="X13" s="204"/>
      <c r="Y13" s="208">
        <v>1</v>
      </c>
      <c r="Z13" s="209">
        <f t="shared" si="1"/>
        <v>6</v>
      </c>
      <c r="AA13" s="183">
        <f t="shared" si="3"/>
        <v>70000</v>
      </c>
      <c r="AB13" s="136"/>
      <c r="AC13" s="210">
        <f>IFERROR(VLOOKUP($I$22&amp;D13,'Development-Hidden'!$C$2:$E$118,3,FALSE),"")</f>
        <v>50000</v>
      </c>
      <c r="AD13" s="206">
        <v>1</v>
      </c>
      <c r="AE13" s="207"/>
      <c r="AF13" s="207"/>
      <c r="AG13" s="207"/>
      <c r="AH13" s="207"/>
      <c r="AI13" s="207"/>
      <c r="AJ13" s="211"/>
      <c r="AK13" s="136"/>
      <c r="AL13" s="227" t="s">
        <v>342</v>
      </c>
      <c r="AM13" s="228"/>
      <c r="AN13" s="229"/>
      <c r="AO13" s="230"/>
      <c r="AP13" s="231"/>
      <c r="AQ13" s="229"/>
      <c r="AR13" s="232"/>
      <c r="AS13" s="233"/>
      <c r="AT13" s="464"/>
      <c r="AU13" s="136"/>
    </row>
    <row r="14" spans="1:47" ht="15.75" customHeight="1">
      <c r="A14" s="137"/>
      <c r="B14" s="192">
        <v>11</v>
      </c>
      <c r="C14" s="314" t="s">
        <v>180</v>
      </c>
      <c r="D14" s="194" t="s">
        <v>42</v>
      </c>
      <c r="E14" s="195">
        <f>IFERROR(VLOOKUP($I$22&amp;$D14,'Development-Hidden'!$C$2:$J$118,4,FALSE)-P14+AF14,"")</f>
        <v>6</v>
      </c>
      <c r="F14" s="196">
        <f>IFERROR(VLOOKUP($I$22&amp;$D14,'Development-Hidden'!$C$2:$J$118,5,FALSE)-Q14+AG14,"")</f>
        <v>3</v>
      </c>
      <c r="G14" s="196">
        <f>IFERROR(VLOOKUP($I$22&amp;$D14,'Development-Hidden'!$C$2:$J$118,6,FALSE)-R14+AH14,"")</f>
        <v>3</v>
      </c>
      <c r="H14" s="197">
        <f>IFERROR(VLOOKUP($I$22&amp;$D14,'Development-Hidden'!$C$2:$J$118,7,FALSE)-S14+AI14,"")</f>
        <v>7</v>
      </c>
      <c r="I14" s="198" t="str">
        <f>IFERROR(VLOOKUP($I$22&amp;$D14,'Development-Hidden'!$C$2:$J$118,8,FALSE),"")</f>
        <v>Dodge, Catch</v>
      </c>
      <c r="J14" s="199"/>
      <c r="K14" s="200">
        <f t="shared" si="0"/>
        <v>0</v>
      </c>
      <c r="L14" s="201"/>
      <c r="M14" s="201"/>
      <c r="N14" s="201"/>
      <c r="O14" s="202"/>
      <c r="P14" s="203"/>
      <c r="Q14" s="204"/>
      <c r="R14" s="204"/>
      <c r="S14" s="205"/>
      <c r="T14" s="206"/>
      <c r="U14" s="207">
        <v>1</v>
      </c>
      <c r="V14" s="207"/>
      <c r="W14" s="207"/>
      <c r="X14" s="204"/>
      <c r="Y14" s="208"/>
      <c r="Z14" s="209">
        <f t="shared" si="1"/>
        <v>1</v>
      </c>
      <c r="AA14" s="183">
        <f t="shared" si="3"/>
        <v>70000</v>
      </c>
      <c r="AB14" s="136"/>
      <c r="AC14" s="210">
        <f>IFERROR(VLOOKUP($I$22&amp;D14,'Development-Hidden'!$C$2:$E$118,3,FALSE),"")</f>
        <v>70000</v>
      </c>
      <c r="AD14" s="206"/>
      <c r="AE14" s="207"/>
      <c r="AF14" s="207"/>
      <c r="AG14" s="207"/>
      <c r="AH14" s="207"/>
      <c r="AI14" s="207"/>
      <c r="AJ14" s="211"/>
      <c r="AK14" s="136"/>
      <c r="AL14" s="227" t="s">
        <v>354</v>
      </c>
      <c r="AM14" s="228"/>
      <c r="AN14" s="229"/>
      <c r="AO14" s="230"/>
      <c r="AP14" s="231"/>
      <c r="AQ14" s="229"/>
      <c r="AR14" s="232"/>
      <c r="AS14" s="233"/>
      <c r="AT14" s="464"/>
      <c r="AU14" s="136"/>
    </row>
    <row r="15" spans="1:47" ht="15.75" customHeight="1">
      <c r="A15" s="137"/>
      <c r="B15" s="192">
        <v>12</v>
      </c>
      <c r="C15" s="314" t="s">
        <v>159</v>
      </c>
      <c r="D15" s="194" t="s">
        <v>52</v>
      </c>
      <c r="E15" s="195">
        <f>IFERROR(VLOOKUP($I$22&amp;$D15,'Development-Hidden'!$C$2:$J$118,4,FALSE)-P15+AF15,"")</f>
        <v>6</v>
      </c>
      <c r="F15" s="196">
        <f>IFERROR(VLOOKUP($I$22&amp;$D15,'Development-Hidden'!$C$2:$J$118,5,FALSE)-Q15+AG15,"")</f>
        <v>3</v>
      </c>
      <c r="G15" s="196">
        <f>IFERROR(VLOOKUP($I$22&amp;$D15,'Development-Hidden'!$C$2:$J$118,6,FALSE)-R15+AH15,"")</f>
        <v>3</v>
      </c>
      <c r="H15" s="197">
        <f>IFERROR(VLOOKUP($I$22&amp;$D15,'Development-Hidden'!$C$2:$J$118,7,FALSE)-S15+AI15,"")</f>
        <v>7</v>
      </c>
      <c r="I15" s="198" t="str">
        <f>IFERROR(VLOOKUP($I$22&amp;$D15,'Development-Hidden'!$C$2:$J$118,8,FALSE),"")</f>
        <v>Dodge</v>
      </c>
      <c r="J15" s="199"/>
      <c r="K15" s="200">
        <f t="shared" si="0"/>
        <v>0</v>
      </c>
      <c r="L15" s="201">
        <v>1</v>
      </c>
      <c r="M15" s="201"/>
      <c r="N15" s="201"/>
      <c r="O15" s="202"/>
      <c r="P15" s="203"/>
      <c r="Q15" s="204"/>
      <c r="R15" s="204"/>
      <c r="S15" s="205"/>
      <c r="T15" s="206"/>
      <c r="U15" s="207">
        <v>1</v>
      </c>
      <c r="V15" s="207"/>
      <c r="W15" s="207"/>
      <c r="X15" s="204"/>
      <c r="Y15" s="208"/>
      <c r="Z15" s="209">
        <f t="shared" si="1"/>
        <v>1</v>
      </c>
      <c r="AA15" s="183">
        <f t="shared" si="3"/>
        <v>0</v>
      </c>
      <c r="AB15" s="136"/>
      <c r="AC15" s="210">
        <f>IFERROR(VLOOKUP($I$22&amp;D15,'Development-Hidden'!$C$2:$E$118,3,FALSE),"")</f>
        <v>50000</v>
      </c>
      <c r="AD15" s="206"/>
      <c r="AE15" s="207"/>
      <c r="AF15" s="207"/>
      <c r="AG15" s="207"/>
      <c r="AH15" s="207"/>
      <c r="AI15" s="207"/>
      <c r="AJ15" s="211"/>
      <c r="AK15" s="136"/>
      <c r="AL15" s="227" t="s">
        <v>355</v>
      </c>
      <c r="AM15" s="228"/>
      <c r="AN15" s="229"/>
      <c r="AO15" s="230"/>
      <c r="AP15" s="231"/>
      <c r="AQ15" s="229"/>
      <c r="AR15" s="232"/>
      <c r="AS15" s="233"/>
      <c r="AT15" s="464"/>
      <c r="AU15" s="136"/>
    </row>
    <row r="16" spans="1:47" ht="15.75" customHeight="1">
      <c r="A16" s="137"/>
      <c r="B16" s="192">
        <v>13</v>
      </c>
      <c r="C16" s="193"/>
      <c r="D16" s="194"/>
      <c r="E16" s="195" t="str">
        <f>IFERROR(VLOOKUP($I$22&amp;$D16,'Development-Hidden'!$C$2:$J$118,4,FALSE)-P16+AF16,"")</f>
        <v/>
      </c>
      <c r="F16" s="196" t="str">
        <f>IFERROR(VLOOKUP($I$22&amp;$D16,'Development-Hidden'!$C$2:$J$118,5,FALSE)-Q16+AG16,"")</f>
        <v/>
      </c>
      <c r="G16" s="196" t="str">
        <f>IFERROR(VLOOKUP($I$22&amp;$D16,'Development-Hidden'!$C$2:$J$118,6,FALSE)-R16+AH16,"")</f>
        <v/>
      </c>
      <c r="H16" s="197" t="str">
        <f>IFERROR(VLOOKUP($I$22&amp;$D16,'Development-Hidden'!$C$2:$J$118,7,FALSE)-S16+AI16,"")</f>
        <v/>
      </c>
      <c r="I16" s="198" t="str">
        <f>IFERROR(VLOOKUP($I$22&amp;$D16,'Development-Hidden'!$C$2:$J$118,8,FALSE),"")</f>
        <v/>
      </c>
      <c r="J16" s="199"/>
      <c r="K16" s="200">
        <f t="shared" si="0"/>
        <v>0</v>
      </c>
      <c r="L16" s="201"/>
      <c r="M16" s="201"/>
      <c r="N16" s="201"/>
      <c r="O16" s="202"/>
      <c r="P16" s="203"/>
      <c r="Q16" s="204"/>
      <c r="R16" s="204"/>
      <c r="S16" s="205"/>
      <c r="T16" s="206"/>
      <c r="U16" s="207"/>
      <c r="V16" s="207"/>
      <c r="W16" s="207"/>
      <c r="X16" s="204"/>
      <c r="Y16" s="208"/>
      <c r="Z16" s="209">
        <f t="shared" si="1"/>
        <v>0</v>
      </c>
      <c r="AA16" s="183">
        <f t="shared" si="3"/>
        <v>0</v>
      </c>
      <c r="AB16" s="136"/>
      <c r="AC16" s="210" t="str">
        <f>IFERROR(VLOOKUP($I$22&amp;D16,'Development-Hidden'!$C$2:$E$118,3,FALSE),"0")</f>
        <v>0</v>
      </c>
      <c r="AD16" s="206"/>
      <c r="AE16" s="207"/>
      <c r="AF16" s="207"/>
      <c r="AG16" s="207"/>
      <c r="AH16" s="207"/>
      <c r="AI16" s="207"/>
      <c r="AJ16" s="211"/>
      <c r="AK16" s="136"/>
      <c r="AL16" s="227" t="s">
        <v>357</v>
      </c>
      <c r="AM16" s="228"/>
      <c r="AN16" s="229"/>
      <c r="AO16" s="230"/>
      <c r="AP16" s="231"/>
      <c r="AQ16" s="229"/>
      <c r="AR16" s="232"/>
      <c r="AS16" s="233"/>
      <c r="AT16" s="464"/>
      <c r="AU16" s="136"/>
    </row>
    <row r="17" spans="1:47" ht="15.75" customHeight="1">
      <c r="A17" s="137"/>
      <c r="B17" s="192">
        <v>14</v>
      </c>
      <c r="C17" s="193"/>
      <c r="D17" s="194"/>
      <c r="E17" s="195" t="str">
        <f>IFERROR(VLOOKUP($I$22&amp;$D17,'Development-Hidden'!$C$2:$J$118,4,FALSE)-P17+AF17,"")</f>
        <v/>
      </c>
      <c r="F17" s="196" t="str">
        <f>IFERROR(VLOOKUP($I$22&amp;$D17,'Development-Hidden'!$C$2:$J$118,5,FALSE)-Q17+AG17,"")</f>
        <v/>
      </c>
      <c r="G17" s="196" t="str">
        <f>IFERROR(VLOOKUP($I$22&amp;$D17,'Development-Hidden'!$C$2:$J$118,6,FALSE)-R17+AH17,"")</f>
        <v/>
      </c>
      <c r="H17" s="197" t="str">
        <f>IFERROR(VLOOKUP($I$22&amp;$D17,'Development-Hidden'!$C$2:$J$118,7,FALSE)-S17+AI17,"")</f>
        <v/>
      </c>
      <c r="I17" s="198" t="str">
        <f>IFERROR(VLOOKUP($I$22&amp;$D17,'Development-Hidden'!$C$2:$J$118,8,FALSE),"")</f>
        <v/>
      </c>
      <c r="J17" s="199"/>
      <c r="K17" s="200">
        <f t="shared" si="0"/>
        <v>0</v>
      </c>
      <c r="L17" s="201"/>
      <c r="M17" s="201"/>
      <c r="N17" s="201"/>
      <c r="O17" s="202"/>
      <c r="P17" s="203"/>
      <c r="Q17" s="204"/>
      <c r="R17" s="204"/>
      <c r="S17" s="205"/>
      <c r="T17" s="206"/>
      <c r="U17" s="207"/>
      <c r="V17" s="207"/>
      <c r="W17" s="207"/>
      <c r="X17" s="204"/>
      <c r="Y17" s="208"/>
      <c r="Z17" s="209">
        <f t="shared" si="1"/>
        <v>0</v>
      </c>
      <c r="AA17" s="183">
        <f t="shared" si="3"/>
        <v>0</v>
      </c>
      <c r="AB17" s="136"/>
      <c r="AC17" s="210" t="str">
        <f>IFERROR(VLOOKUP($I$22&amp;D17,'Development-Hidden'!$C$2:$E$118,3,FALSE),"0")</f>
        <v>0</v>
      </c>
      <c r="AD17" s="206"/>
      <c r="AE17" s="207"/>
      <c r="AF17" s="207"/>
      <c r="AG17" s="207"/>
      <c r="AH17" s="207"/>
      <c r="AI17" s="207"/>
      <c r="AJ17" s="211"/>
      <c r="AK17" s="136"/>
      <c r="AL17" s="235" t="s">
        <v>359</v>
      </c>
      <c r="AM17" s="236"/>
      <c r="AN17" s="237"/>
      <c r="AO17" s="238"/>
      <c r="AP17" s="239"/>
      <c r="AQ17" s="237"/>
      <c r="AR17" s="240"/>
      <c r="AS17" s="241"/>
      <c r="AT17" s="478"/>
      <c r="AU17" s="136"/>
    </row>
    <row r="18" spans="1:47" ht="15.75" customHeight="1">
      <c r="A18" s="137"/>
      <c r="B18" s="192">
        <v>15</v>
      </c>
      <c r="C18" s="193"/>
      <c r="D18" s="194"/>
      <c r="E18" s="195" t="str">
        <f>IFERROR(VLOOKUP($I$22&amp;$D18,'Development-Hidden'!$C$2:$J$118,4,FALSE)-P18+AF18,"")</f>
        <v/>
      </c>
      <c r="F18" s="196" t="str">
        <f>IFERROR(VLOOKUP($I$22&amp;$D18,'Development-Hidden'!$C$2:$J$118,5,FALSE)-Q18+AG18,"")</f>
        <v/>
      </c>
      <c r="G18" s="196" t="str">
        <f>IFERROR(VLOOKUP($I$22&amp;$D18,'Development-Hidden'!$C$2:$J$118,6,FALSE)-R18+AH18,"")</f>
        <v/>
      </c>
      <c r="H18" s="197" t="str">
        <f>IFERROR(VLOOKUP($I$22&amp;$D18,'Development-Hidden'!$C$2:$J$118,7,FALSE)-S18+AI18,"")</f>
        <v/>
      </c>
      <c r="I18" s="198" t="str">
        <f>IFERROR(VLOOKUP($I$22&amp;$D18,'Development-Hidden'!$C$2:$J$118,8,FALSE),"")</f>
        <v/>
      </c>
      <c r="J18" s="199"/>
      <c r="K18" s="200">
        <f t="shared" si="0"/>
        <v>0</v>
      </c>
      <c r="L18" s="201"/>
      <c r="M18" s="201"/>
      <c r="N18" s="201"/>
      <c r="O18" s="202"/>
      <c r="P18" s="203"/>
      <c r="Q18" s="204"/>
      <c r="R18" s="204"/>
      <c r="S18" s="205"/>
      <c r="T18" s="206"/>
      <c r="U18" s="207"/>
      <c r="V18" s="207"/>
      <c r="W18" s="207"/>
      <c r="X18" s="204"/>
      <c r="Y18" s="208"/>
      <c r="Z18" s="209">
        <f t="shared" si="1"/>
        <v>0</v>
      </c>
      <c r="AA18" s="183">
        <f t="shared" si="3"/>
        <v>0</v>
      </c>
      <c r="AB18" s="136"/>
      <c r="AC18" s="210" t="str">
        <f>IFERROR(VLOOKUP($I$22&amp;D18,'Development-Hidden'!$C$2:$E$118,3,FALSE),"0")</f>
        <v>0</v>
      </c>
      <c r="AD18" s="206"/>
      <c r="AE18" s="207"/>
      <c r="AF18" s="207"/>
      <c r="AG18" s="207"/>
      <c r="AH18" s="207"/>
      <c r="AI18" s="207"/>
      <c r="AJ18" s="211"/>
      <c r="AK18" s="136"/>
      <c r="AL18" s="243" t="s">
        <v>219</v>
      </c>
      <c r="AM18" s="244">
        <f>AM4+SUM(AM6:AM17)-SUM(AN6:AN17)-SUM(AO6:AO17)</f>
        <v>60000</v>
      </c>
      <c r="AN18" s="136"/>
      <c r="AO18" s="136"/>
      <c r="AP18" s="189"/>
      <c r="AQ18" s="243" t="s">
        <v>219</v>
      </c>
      <c r="AR18" s="245">
        <f t="shared" ref="AR18:AS18" si="4">SUM(AR6:AR17)</f>
        <v>2</v>
      </c>
      <c r="AS18" s="246">
        <f t="shared" si="4"/>
        <v>3</v>
      </c>
      <c r="AT18" s="247">
        <f>AT4+SUM(AT6:AT17)</f>
        <v>3</v>
      </c>
      <c r="AU18" s="140"/>
    </row>
    <row r="19" spans="1:47" ht="15.75" customHeight="1">
      <c r="A19" s="137"/>
      <c r="B19" s="248">
        <v>16</v>
      </c>
      <c r="C19" s="249"/>
      <c r="D19" s="250"/>
      <c r="E19" s="251" t="str">
        <f>IFERROR(VLOOKUP($I$22&amp;$D19,'Development-Hidden'!$C$2:$J$118,4,FALSE)-P19+AF19,"")</f>
        <v/>
      </c>
      <c r="F19" s="252" t="str">
        <f>IFERROR(VLOOKUP($I$22&amp;$D19,'Development-Hidden'!$C$2:$J$118,5,FALSE)-Q19+AG19,"")</f>
        <v/>
      </c>
      <c r="G19" s="252" t="str">
        <f>IFERROR(VLOOKUP($I$22&amp;$D19,'Development-Hidden'!$C$2:$J$118,6,FALSE)-R19+AH19,"")</f>
        <v/>
      </c>
      <c r="H19" s="253" t="str">
        <f>IFERROR(VLOOKUP($I$22&amp;$D19,'Development-Hidden'!$C$2:$J$118,7,FALSE)-S19+AI19,"")</f>
        <v/>
      </c>
      <c r="I19" s="254" t="str">
        <f>IFERROR(VLOOKUP($I$22&amp;$D19,'Development-Hidden'!$C$2:$J$118,8,FALSE),"")</f>
        <v/>
      </c>
      <c r="J19" s="255"/>
      <c r="K19" s="256">
        <f t="shared" si="0"/>
        <v>0</v>
      </c>
      <c r="L19" s="257"/>
      <c r="M19" s="257"/>
      <c r="N19" s="257"/>
      <c r="O19" s="258"/>
      <c r="P19" s="259"/>
      <c r="Q19" s="260"/>
      <c r="R19" s="260"/>
      <c r="S19" s="261"/>
      <c r="T19" s="262"/>
      <c r="U19" s="263"/>
      <c r="V19" s="263"/>
      <c r="W19" s="263"/>
      <c r="X19" s="260"/>
      <c r="Y19" s="264"/>
      <c r="Z19" s="265">
        <f t="shared" si="1"/>
        <v>0</v>
      </c>
      <c r="AA19" s="183">
        <f t="shared" si="3"/>
        <v>0</v>
      </c>
      <c r="AB19" s="136"/>
      <c r="AC19" s="210" t="str">
        <f>IFERROR(VLOOKUP($I$22&amp;D19,'Development-Hidden'!$C$2:$E$118,3,FALSE),"0")</f>
        <v>0</v>
      </c>
      <c r="AD19" s="267"/>
      <c r="AE19" s="268"/>
      <c r="AF19" s="268"/>
      <c r="AG19" s="268"/>
      <c r="AH19" s="268"/>
      <c r="AI19" s="268"/>
      <c r="AJ19" s="269"/>
      <c r="AK19" s="136"/>
    </row>
    <row r="20" spans="1:47" ht="15.75" customHeight="1">
      <c r="A20" s="137"/>
      <c r="B20" s="571"/>
      <c r="C20" s="572"/>
      <c r="D20" s="573"/>
      <c r="E20" s="586" t="s">
        <v>364</v>
      </c>
      <c r="F20" s="587"/>
      <c r="G20" s="587"/>
      <c r="H20" s="587"/>
      <c r="I20" s="587"/>
      <c r="J20" s="587"/>
      <c r="K20" s="587"/>
      <c r="L20" s="587"/>
      <c r="M20" s="587"/>
      <c r="N20" s="587"/>
      <c r="O20" s="587"/>
      <c r="P20" s="587"/>
      <c r="Q20" s="587"/>
      <c r="R20" s="587"/>
      <c r="S20" s="587"/>
      <c r="T20" s="587"/>
      <c r="U20" s="587"/>
      <c r="V20" s="587"/>
      <c r="W20" s="587"/>
      <c r="X20" s="587"/>
      <c r="Y20" s="587"/>
      <c r="Z20" s="588"/>
      <c r="AA20" s="270">
        <f>SUM(AA4:AA19)</f>
        <v>910000</v>
      </c>
      <c r="AB20" s="136"/>
      <c r="AC20" s="136"/>
      <c r="AD20" s="136"/>
      <c r="AE20" s="136"/>
      <c r="AF20" s="136"/>
      <c r="AG20" s="136"/>
      <c r="AH20" s="136"/>
      <c r="AI20" s="136"/>
      <c r="AJ20" s="136"/>
      <c r="AK20" s="136"/>
      <c r="AL20" s="189"/>
      <c r="AM20" s="189"/>
      <c r="AN20" s="189"/>
      <c r="AO20" s="189"/>
      <c r="AP20" s="189"/>
      <c r="AQ20" s="189"/>
      <c r="AR20" s="189"/>
      <c r="AS20" s="189"/>
      <c r="AT20" s="189"/>
      <c r="AU20" s="189"/>
    </row>
    <row r="21" spans="1:47" ht="15.75" customHeight="1">
      <c r="A21" s="137"/>
      <c r="B21" s="574"/>
      <c r="C21" s="575"/>
      <c r="D21" s="576"/>
      <c r="E21" s="580" t="s">
        <v>365</v>
      </c>
      <c r="F21" s="581"/>
      <c r="G21" s="581"/>
      <c r="H21" s="581"/>
      <c r="I21" s="589" t="s">
        <v>18</v>
      </c>
      <c r="J21" s="581"/>
      <c r="K21" s="590"/>
      <c r="L21" s="584" t="s">
        <v>366</v>
      </c>
      <c r="M21" s="581"/>
      <c r="N21" s="581"/>
      <c r="O21" s="581"/>
      <c r="P21" s="581"/>
      <c r="Q21" s="581"/>
      <c r="R21" s="581"/>
      <c r="S21" s="585"/>
      <c r="T21" s="271">
        <v>4</v>
      </c>
      <c r="U21" s="272" t="s">
        <v>220</v>
      </c>
      <c r="V21" s="580">
        <f>IFERROR(VLOOKUP(I22,'Development-Hidden'!N2:O28,2,FALSE),"")</f>
        <v>50000</v>
      </c>
      <c r="W21" s="581"/>
      <c r="X21" s="581"/>
      <c r="Y21" s="581"/>
      <c r="Z21" s="590"/>
      <c r="AA21" s="273">
        <f t="shared" ref="AA21:AA25" si="5">T21*V21</f>
        <v>200000</v>
      </c>
      <c r="AB21" s="136"/>
      <c r="AC21" s="136"/>
      <c r="AD21" s="136"/>
      <c r="AE21" s="136"/>
      <c r="AF21" s="136"/>
      <c r="AG21" s="136"/>
      <c r="AH21" s="136"/>
      <c r="AI21" s="136"/>
      <c r="AJ21" s="136"/>
      <c r="AK21" s="136"/>
      <c r="AL21" s="604" t="s">
        <v>367</v>
      </c>
      <c r="AM21" s="588"/>
      <c r="AN21" s="136"/>
      <c r="AO21" s="136"/>
      <c r="AP21" s="136"/>
      <c r="AQ21" s="136"/>
      <c r="AR21" s="136"/>
      <c r="AS21" s="136"/>
      <c r="AT21" s="136"/>
      <c r="AU21" s="136"/>
    </row>
    <row r="22" spans="1:47" ht="15.75" customHeight="1">
      <c r="A22" s="137"/>
      <c r="B22" s="574"/>
      <c r="C22" s="575"/>
      <c r="D22" s="576"/>
      <c r="E22" s="582" t="s">
        <v>368</v>
      </c>
      <c r="F22" s="583"/>
      <c r="G22" s="583"/>
      <c r="H22" s="583"/>
      <c r="I22" s="598" t="s">
        <v>579</v>
      </c>
      <c r="J22" s="583"/>
      <c r="K22" s="597"/>
      <c r="L22" s="591" t="s">
        <v>369</v>
      </c>
      <c r="M22" s="583"/>
      <c r="N22" s="583"/>
      <c r="O22" s="583"/>
      <c r="P22" s="583"/>
      <c r="Q22" s="583"/>
      <c r="R22" s="583"/>
      <c r="S22" s="592"/>
      <c r="T22" s="460">
        <f>AT18</f>
        <v>3</v>
      </c>
      <c r="U22" s="275" t="s">
        <v>220</v>
      </c>
      <c r="V22" s="582">
        <v>10000</v>
      </c>
      <c r="W22" s="583"/>
      <c r="X22" s="583"/>
      <c r="Y22" s="583"/>
      <c r="Z22" s="597"/>
      <c r="AA22" s="276">
        <f t="shared" si="5"/>
        <v>30000</v>
      </c>
      <c r="AB22" s="136"/>
      <c r="AC22" s="136"/>
      <c r="AD22" s="136"/>
      <c r="AE22" s="136"/>
      <c r="AF22" s="136"/>
      <c r="AG22" s="136"/>
      <c r="AH22" s="136"/>
      <c r="AI22" s="136"/>
      <c r="AJ22" s="136"/>
      <c r="AK22" s="136"/>
      <c r="AL22" s="277" t="s">
        <v>370</v>
      </c>
      <c r="AM22" s="278">
        <f>AM18</f>
        <v>60000</v>
      </c>
      <c r="AN22" s="136"/>
      <c r="AO22" s="136"/>
      <c r="AP22" s="136"/>
      <c r="AQ22" s="136"/>
      <c r="AR22" s="136"/>
      <c r="AS22" s="136"/>
      <c r="AT22" s="136"/>
      <c r="AU22" s="136"/>
    </row>
    <row r="23" spans="1:47" ht="15.75" customHeight="1">
      <c r="A23" s="137"/>
      <c r="B23" s="574"/>
      <c r="C23" s="575"/>
      <c r="D23" s="576"/>
      <c r="E23" s="582" t="str">
        <f>IFERROR(IF(VLOOKUP(I22,'Development-Hidden'!X2:Y28,2,FALSE)="Yes","NECROMANCER","HEAD COACH"),"HEAD COACH")</f>
        <v>HEAD COACH</v>
      </c>
      <c r="F23" s="583"/>
      <c r="G23" s="583"/>
      <c r="H23" s="583"/>
      <c r="I23" s="598" t="s">
        <v>583</v>
      </c>
      <c r="J23" s="583"/>
      <c r="K23" s="597"/>
      <c r="L23" s="591" t="s">
        <v>371</v>
      </c>
      <c r="M23" s="583"/>
      <c r="N23" s="583"/>
      <c r="O23" s="583"/>
      <c r="P23" s="583"/>
      <c r="Q23" s="583"/>
      <c r="R23" s="583"/>
      <c r="S23" s="592"/>
      <c r="T23" s="274">
        <v>2</v>
      </c>
      <c r="U23" s="275" t="s">
        <v>220</v>
      </c>
      <c r="V23" s="582">
        <v>10000</v>
      </c>
      <c r="W23" s="583"/>
      <c r="X23" s="583"/>
      <c r="Y23" s="583"/>
      <c r="Z23" s="597"/>
      <c r="AA23" s="276">
        <f t="shared" si="5"/>
        <v>20000</v>
      </c>
      <c r="AB23" s="136"/>
      <c r="AC23" s="136"/>
      <c r="AD23" s="136"/>
      <c r="AE23" s="136"/>
      <c r="AF23" s="136"/>
      <c r="AG23" s="136"/>
      <c r="AH23" s="136"/>
      <c r="AI23" s="136"/>
      <c r="AJ23" s="136"/>
      <c r="AK23" s="136"/>
      <c r="AL23" s="279" t="s">
        <v>372</v>
      </c>
      <c r="AM23" s="280">
        <f>COUNTA(AP6:AP17)*10000</f>
        <v>50000</v>
      </c>
      <c r="AN23" s="136"/>
      <c r="AO23" s="136"/>
      <c r="AP23" s="136"/>
      <c r="AQ23" s="136"/>
      <c r="AR23" s="136"/>
      <c r="AS23" s="136"/>
      <c r="AT23" s="136"/>
      <c r="AU23" s="136"/>
    </row>
    <row r="24" spans="1:47" ht="15.75" customHeight="1">
      <c r="A24" s="137"/>
      <c r="B24" s="574"/>
      <c r="C24" s="575"/>
      <c r="D24" s="576"/>
      <c r="E24" s="582" t="s">
        <v>373</v>
      </c>
      <c r="F24" s="583"/>
      <c r="G24" s="583"/>
      <c r="H24" s="583"/>
      <c r="I24" s="599">
        <f>AA20+AA26</f>
        <v>1240000</v>
      </c>
      <c r="J24" s="583"/>
      <c r="K24" s="597"/>
      <c r="L24" s="591" t="s">
        <v>375</v>
      </c>
      <c r="M24" s="583"/>
      <c r="N24" s="583"/>
      <c r="O24" s="583"/>
      <c r="P24" s="583"/>
      <c r="Q24" s="583"/>
      <c r="R24" s="583"/>
      <c r="S24" s="592"/>
      <c r="T24" s="274">
        <v>3</v>
      </c>
      <c r="U24" s="275" t="s">
        <v>220</v>
      </c>
      <c r="V24" s="582">
        <v>10000</v>
      </c>
      <c r="W24" s="583"/>
      <c r="X24" s="583"/>
      <c r="Y24" s="583"/>
      <c r="Z24" s="597"/>
      <c r="AA24" s="276">
        <f t="shared" si="5"/>
        <v>30000</v>
      </c>
      <c r="AB24" s="136"/>
      <c r="AC24" s="136"/>
      <c r="AD24" s="136"/>
      <c r="AE24" s="136"/>
      <c r="AF24" s="136"/>
      <c r="AG24" s="136"/>
      <c r="AH24" s="136"/>
      <c r="AI24" s="136"/>
      <c r="AJ24" s="136"/>
      <c r="AK24" s="136"/>
      <c r="AL24" s="279" t="s">
        <v>33</v>
      </c>
      <c r="AM24" s="280">
        <f>AR18*5000</f>
        <v>10000</v>
      </c>
      <c r="AN24" s="136"/>
      <c r="AO24" s="136"/>
      <c r="AP24" s="136"/>
      <c r="AQ24" s="136"/>
      <c r="AR24" s="136"/>
      <c r="AS24" s="136"/>
      <c r="AT24" s="136"/>
      <c r="AU24" s="136"/>
    </row>
    <row r="25" spans="1:47" ht="15.75" customHeight="1">
      <c r="A25" s="137"/>
      <c r="B25" s="574"/>
      <c r="C25" s="575"/>
      <c r="D25" s="576"/>
      <c r="E25" s="595" t="s">
        <v>376</v>
      </c>
      <c r="F25" s="594"/>
      <c r="G25" s="594"/>
      <c r="H25" s="596"/>
      <c r="I25" s="600">
        <v>0</v>
      </c>
      <c r="J25" s="594"/>
      <c r="K25" s="596"/>
      <c r="L25" s="593" t="str">
        <f>IFERROR(IF(VLOOKUP(I22,'Development-Hidden'!X2:Y28,1,FALSE)&lt;&gt;"","",""),"APOTHECARY")</f>
        <v>APOTHECARY</v>
      </c>
      <c r="M25" s="594"/>
      <c r="N25" s="594"/>
      <c r="O25" s="594"/>
      <c r="P25" s="594"/>
      <c r="Q25" s="594"/>
      <c r="R25" s="594"/>
      <c r="S25" s="594"/>
      <c r="T25" s="281">
        <v>1</v>
      </c>
      <c r="U25" s="275" t="str">
        <f>IF(L25&lt;&gt;"","x","")</f>
        <v>x</v>
      </c>
      <c r="V25" s="595">
        <f>IF(L25&lt;&gt;"",50000,"")</f>
        <v>50000</v>
      </c>
      <c r="W25" s="594"/>
      <c r="X25" s="594"/>
      <c r="Y25" s="594"/>
      <c r="Z25" s="596"/>
      <c r="AA25" s="276">
        <f t="shared" si="5"/>
        <v>50000</v>
      </c>
      <c r="AB25" s="136"/>
      <c r="AC25" s="136"/>
      <c r="AD25" s="136"/>
      <c r="AE25" s="136"/>
      <c r="AF25" s="136"/>
      <c r="AG25" s="136"/>
      <c r="AH25" s="136"/>
      <c r="AI25" s="136"/>
      <c r="AJ25" s="136"/>
      <c r="AK25" s="136"/>
      <c r="AL25" s="282" t="s">
        <v>34</v>
      </c>
      <c r="AM25" s="283">
        <f>AS18*5000</f>
        <v>15000</v>
      </c>
      <c r="AN25" s="136"/>
      <c r="AO25" s="136"/>
      <c r="AP25" s="136"/>
      <c r="AQ25" s="136"/>
      <c r="AR25" s="136"/>
      <c r="AS25" s="136"/>
      <c r="AT25" s="136"/>
      <c r="AU25" s="136"/>
    </row>
    <row r="26" spans="1:47" ht="15.75" customHeight="1">
      <c r="A26" s="137"/>
      <c r="B26" s="577"/>
      <c r="C26" s="578"/>
      <c r="D26" s="579"/>
      <c r="E26" s="586" t="s">
        <v>379</v>
      </c>
      <c r="F26" s="587"/>
      <c r="G26" s="587"/>
      <c r="H26" s="587"/>
      <c r="I26" s="587"/>
      <c r="J26" s="587"/>
      <c r="K26" s="587"/>
      <c r="L26" s="587"/>
      <c r="M26" s="587"/>
      <c r="N26" s="587"/>
      <c r="O26" s="587"/>
      <c r="P26" s="587"/>
      <c r="Q26" s="587"/>
      <c r="R26" s="587"/>
      <c r="S26" s="587"/>
      <c r="T26" s="587"/>
      <c r="U26" s="587"/>
      <c r="V26" s="587"/>
      <c r="W26" s="587"/>
      <c r="X26" s="587"/>
      <c r="Y26" s="587"/>
      <c r="Z26" s="588"/>
      <c r="AA26" s="270">
        <f>SUM(AA21:AA25)</f>
        <v>330000</v>
      </c>
      <c r="AB26" s="136"/>
      <c r="AC26" s="136"/>
      <c r="AD26" s="136"/>
      <c r="AE26" s="136"/>
      <c r="AF26" s="136"/>
      <c r="AG26" s="136"/>
      <c r="AH26" s="136"/>
      <c r="AI26" s="136"/>
      <c r="AJ26" s="136"/>
      <c r="AK26" s="136"/>
      <c r="AL26" s="284" t="s">
        <v>219</v>
      </c>
      <c r="AM26" s="285">
        <f>SUM(AM22:AM25)</f>
        <v>135000</v>
      </c>
      <c r="AN26" s="136"/>
      <c r="AO26" s="136"/>
      <c r="AP26" s="136"/>
      <c r="AQ26" s="136"/>
      <c r="AR26" s="136"/>
      <c r="AS26" s="136"/>
      <c r="AT26" s="136"/>
      <c r="AU26" s="136"/>
    </row>
    <row r="27" spans="1:47" ht="8.25" customHeight="1">
      <c r="A27" s="136"/>
      <c r="B27" s="140"/>
      <c r="C27" s="286"/>
      <c r="D27" s="286"/>
      <c r="E27" s="287"/>
      <c r="F27" s="136"/>
      <c r="G27" s="136"/>
      <c r="H27" s="136"/>
      <c r="I27" s="288"/>
      <c r="J27" s="289"/>
      <c r="K27" s="136"/>
      <c r="L27" s="290"/>
      <c r="M27" s="290"/>
      <c r="N27" s="290"/>
      <c r="O27" s="290"/>
      <c r="P27" s="290"/>
      <c r="Q27" s="290"/>
      <c r="R27" s="290"/>
      <c r="S27" s="290"/>
      <c r="T27" s="291"/>
      <c r="U27" s="292"/>
      <c r="V27" s="143"/>
      <c r="W27" s="293"/>
      <c r="X27" s="293"/>
      <c r="Y27" s="293"/>
      <c r="Z27" s="293"/>
      <c r="AA27" s="294"/>
      <c r="AB27" s="136"/>
      <c r="AC27" s="136"/>
      <c r="AD27" s="136"/>
      <c r="AE27" s="136"/>
      <c r="AF27" s="136"/>
      <c r="AG27" s="136"/>
      <c r="AH27" s="136"/>
      <c r="AI27" s="136"/>
      <c r="AJ27" s="136"/>
      <c r="AK27" s="136"/>
      <c r="AL27" s="136"/>
      <c r="AM27" s="136"/>
      <c r="AN27" s="136"/>
      <c r="AO27" s="136"/>
      <c r="AP27" s="136"/>
      <c r="AQ27" s="136"/>
      <c r="AR27" s="136"/>
      <c r="AS27" s="136"/>
      <c r="AT27" s="136"/>
      <c r="AU27" s="136"/>
    </row>
    <row r="28" spans="1:47" ht="17.25" hidden="1" customHeight="1">
      <c r="A28" s="295"/>
      <c r="B28" s="296"/>
      <c r="C28" s="297">
        <f>MATCH(I22,'Development-Hidden'!A2:A118,0)</f>
        <v>1</v>
      </c>
      <c r="D28" s="297" t="str">
        <f t="array" ref="D28">IFERROR(IF(INDEX('Development-Hidden'!$A$2:$B$118,$C28,1)=$I$22,INDEX('Development-Hidden'!$A$2:$B$118,$C28,2),""),"")</f>
        <v>Linewoman</v>
      </c>
      <c r="E28" s="298"/>
      <c r="F28" s="298"/>
      <c r="G28" s="298"/>
      <c r="H28" s="298"/>
      <c r="I28" s="298"/>
      <c r="J28" s="299"/>
      <c r="K28" s="295"/>
      <c r="L28" s="300"/>
      <c r="M28" s="300"/>
      <c r="N28" s="300"/>
      <c r="O28" s="300"/>
      <c r="P28" s="300"/>
      <c r="Q28" s="300"/>
      <c r="R28" s="300"/>
      <c r="S28" s="300"/>
      <c r="T28" s="301"/>
      <c r="U28" s="302"/>
      <c r="V28" s="301"/>
      <c r="W28" s="303"/>
      <c r="X28" s="303"/>
      <c r="Y28" s="303"/>
      <c r="Z28" s="303"/>
      <c r="AA28" s="298"/>
      <c r="AB28" s="295"/>
      <c r="AC28" s="295"/>
      <c r="AD28" s="295"/>
      <c r="AE28" s="295"/>
      <c r="AF28" s="295"/>
      <c r="AG28" s="295"/>
      <c r="AH28" s="295"/>
      <c r="AI28" s="295"/>
      <c r="AJ28" s="295"/>
      <c r="AK28" s="295"/>
      <c r="AL28" s="295"/>
      <c r="AM28" s="295"/>
      <c r="AN28" s="295"/>
      <c r="AO28" s="295"/>
      <c r="AP28" s="295"/>
      <c r="AQ28" s="295"/>
      <c r="AR28" s="295"/>
      <c r="AS28" s="295"/>
      <c r="AT28" s="295"/>
      <c r="AU28" s="295"/>
    </row>
    <row r="29" spans="1:47" ht="17.25" hidden="1" customHeight="1">
      <c r="A29" s="295"/>
      <c r="B29" s="296"/>
      <c r="C29" s="297">
        <f t="shared" ref="C29:C37" si="6">C28+1</f>
        <v>2</v>
      </c>
      <c r="D29" s="297" t="str">
        <f t="array" ref="D29">IFERROR(IF(INDEX('Development-Hidden'!$A$2:$B$118,$C29,1)=$I$22,INDEX('Development-Hidden'!$A$2:$B$118,$C29,2),""),"")</f>
        <v>Thrower</v>
      </c>
      <c r="E29" s="298"/>
      <c r="F29" s="298"/>
      <c r="G29" s="298"/>
      <c r="H29" s="298"/>
      <c r="I29" s="298"/>
      <c r="J29" s="299"/>
      <c r="K29" s="295"/>
      <c r="L29" s="300"/>
      <c r="M29" s="300"/>
      <c r="N29" s="300"/>
      <c r="O29" s="300"/>
      <c r="P29" s="300"/>
      <c r="Q29" s="300"/>
      <c r="R29" s="300"/>
      <c r="S29" s="300"/>
      <c r="T29" s="301"/>
      <c r="U29" s="302"/>
      <c r="V29" s="301"/>
      <c r="W29" s="303"/>
      <c r="X29" s="303"/>
      <c r="Y29" s="303"/>
      <c r="Z29" s="303"/>
      <c r="AA29" s="298"/>
      <c r="AB29" s="295"/>
      <c r="AC29" s="295"/>
      <c r="AD29" s="295"/>
      <c r="AE29" s="295"/>
      <c r="AF29" s="295"/>
      <c r="AG29" s="295"/>
      <c r="AH29" s="295"/>
      <c r="AI29" s="295"/>
      <c r="AJ29" s="295"/>
      <c r="AK29" s="295"/>
      <c r="AL29" s="295"/>
      <c r="AM29" s="295"/>
      <c r="AN29" s="295"/>
      <c r="AO29" s="295"/>
      <c r="AP29" s="295"/>
      <c r="AQ29" s="295"/>
      <c r="AR29" s="295"/>
      <c r="AS29" s="295"/>
      <c r="AT29" s="295"/>
      <c r="AU29" s="295"/>
    </row>
    <row r="30" spans="1:47" ht="17.25" hidden="1" customHeight="1">
      <c r="A30" s="295"/>
      <c r="B30" s="296"/>
      <c r="C30" s="297">
        <f t="shared" si="6"/>
        <v>3</v>
      </c>
      <c r="D30" s="297" t="str">
        <f t="array" ref="D30">IFERROR(IF(INDEX('Development-Hidden'!$A$2:$B$118,$C30,1)=$I$22,INDEX('Development-Hidden'!$A$2:$B$118,$C30,2),""),"")</f>
        <v>Catcher</v>
      </c>
      <c r="E30" s="298"/>
      <c r="F30" s="298"/>
      <c r="G30" s="298"/>
      <c r="H30" s="298"/>
      <c r="I30" s="298"/>
      <c r="J30" s="299"/>
      <c r="K30" s="295"/>
      <c r="L30" s="300"/>
      <c r="M30" s="300"/>
      <c r="N30" s="300"/>
      <c r="O30" s="300"/>
      <c r="P30" s="300"/>
      <c r="Q30" s="300"/>
      <c r="R30" s="300"/>
      <c r="S30" s="300"/>
      <c r="T30" s="301"/>
      <c r="U30" s="302"/>
      <c r="V30" s="301"/>
      <c r="W30" s="303"/>
      <c r="X30" s="303"/>
      <c r="Y30" s="303"/>
      <c r="Z30" s="303"/>
      <c r="AA30" s="298"/>
      <c r="AB30" s="295"/>
      <c r="AC30" s="295"/>
      <c r="AD30" s="295"/>
      <c r="AE30" s="295"/>
      <c r="AF30" s="295"/>
      <c r="AG30" s="295"/>
      <c r="AH30" s="295"/>
      <c r="AI30" s="295"/>
      <c r="AJ30" s="295"/>
      <c r="AK30" s="295"/>
      <c r="AL30" s="295"/>
      <c r="AM30" s="295"/>
      <c r="AN30" s="295"/>
      <c r="AO30" s="295"/>
      <c r="AP30" s="295"/>
      <c r="AQ30" s="295"/>
      <c r="AR30" s="295"/>
      <c r="AS30" s="295"/>
      <c r="AT30" s="295"/>
      <c r="AU30" s="295"/>
    </row>
    <row r="31" spans="1:47" ht="17.25" hidden="1" customHeight="1">
      <c r="A31" s="295"/>
      <c r="B31" s="296"/>
      <c r="C31" s="297">
        <f t="shared" si="6"/>
        <v>4</v>
      </c>
      <c r="D31" s="297" t="str">
        <f t="array" ref="D31">IFERROR(IF(INDEX('Development-Hidden'!$A$2:$B$118,$C31,1)=$I$22,INDEX('Development-Hidden'!$A$2:$B$118,$C31,2),""),"")</f>
        <v>Blitzer</v>
      </c>
      <c r="E31" s="298"/>
      <c r="F31" s="298"/>
      <c r="G31" s="298"/>
      <c r="H31" s="298"/>
      <c r="I31" s="298"/>
      <c r="J31" s="299"/>
      <c r="K31" s="295"/>
      <c r="L31" s="300"/>
      <c r="M31" s="300"/>
      <c r="N31" s="300"/>
      <c r="O31" s="300"/>
      <c r="P31" s="300"/>
      <c r="Q31" s="300"/>
      <c r="R31" s="300"/>
      <c r="S31" s="300"/>
      <c r="T31" s="301"/>
      <c r="U31" s="302"/>
      <c r="V31" s="301"/>
      <c r="W31" s="303"/>
      <c r="X31" s="303"/>
      <c r="Y31" s="303"/>
      <c r="Z31" s="303"/>
      <c r="AA31" s="298"/>
      <c r="AB31" s="295"/>
      <c r="AC31" s="295"/>
      <c r="AD31" s="295"/>
      <c r="AE31" s="295"/>
      <c r="AF31" s="295"/>
      <c r="AG31" s="295"/>
      <c r="AH31" s="295"/>
      <c r="AI31" s="295"/>
      <c r="AJ31" s="295"/>
      <c r="AK31" s="295"/>
      <c r="AL31" s="295"/>
      <c r="AM31" s="295"/>
      <c r="AN31" s="295"/>
      <c r="AO31" s="295"/>
      <c r="AP31" s="295"/>
      <c r="AQ31" s="295"/>
      <c r="AR31" s="295"/>
      <c r="AS31" s="295"/>
      <c r="AT31" s="295"/>
      <c r="AU31" s="295"/>
    </row>
    <row r="32" spans="1:47" ht="17.25" hidden="1" customHeight="1">
      <c r="A32" s="295"/>
      <c r="B32" s="296"/>
      <c r="C32" s="297">
        <f t="shared" si="6"/>
        <v>5</v>
      </c>
      <c r="D32" s="297" t="str">
        <f t="array" ref="D32">IFERROR(IF(INDEX('Development-Hidden'!$A$2:$B$118,$C32,1)=$I$22,INDEX('Development-Hidden'!$A$2:$B$118,$C32,2),""),"")</f>
        <v/>
      </c>
      <c r="E32" s="298"/>
      <c r="F32" s="298"/>
      <c r="G32" s="298"/>
      <c r="H32" s="298"/>
      <c r="I32" s="298"/>
      <c r="J32" s="299"/>
      <c r="K32" s="295"/>
      <c r="L32" s="300"/>
      <c r="M32" s="300"/>
      <c r="N32" s="300"/>
      <c r="O32" s="300"/>
      <c r="P32" s="300"/>
      <c r="Q32" s="300"/>
      <c r="R32" s="300"/>
      <c r="S32" s="300"/>
      <c r="T32" s="301"/>
      <c r="U32" s="302"/>
      <c r="V32" s="301"/>
      <c r="W32" s="303"/>
      <c r="X32" s="303"/>
      <c r="Y32" s="303"/>
      <c r="Z32" s="303"/>
      <c r="AA32" s="298"/>
      <c r="AB32" s="295"/>
      <c r="AC32" s="295"/>
      <c r="AD32" s="295"/>
      <c r="AE32" s="295"/>
      <c r="AF32" s="295"/>
      <c r="AG32" s="295"/>
      <c r="AH32" s="295"/>
      <c r="AI32" s="295"/>
      <c r="AJ32" s="295"/>
      <c r="AK32" s="295"/>
      <c r="AL32" s="295"/>
      <c r="AM32" s="295"/>
      <c r="AN32" s="295"/>
      <c r="AO32" s="295"/>
      <c r="AP32" s="295"/>
      <c r="AQ32" s="295"/>
      <c r="AR32" s="295"/>
      <c r="AS32" s="295"/>
      <c r="AT32" s="295"/>
      <c r="AU32" s="295"/>
    </row>
    <row r="33" spans="1:47" ht="17.25" hidden="1" customHeight="1">
      <c r="A33" s="295"/>
      <c r="B33" s="296"/>
      <c r="C33" s="297">
        <f t="shared" si="6"/>
        <v>6</v>
      </c>
      <c r="D33" s="297" t="str">
        <f t="array" ref="D33">IFERROR(IF(INDEX('Development-Hidden'!$A$2:$B$118,$C33,1)=$I$22,INDEX('Development-Hidden'!$A$2:$B$118,$C33,2),""),"")</f>
        <v/>
      </c>
      <c r="E33" s="298"/>
      <c r="F33" s="298"/>
      <c r="G33" s="298"/>
      <c r="H33" s="298"/>
      <c r="I33" s="298"/>
      <c r="J33" s="299"/>
      <c r="K33" s="295"/>
      <c r="L33" s="300"/>
      <c r="M33" s="300"/>
      <c r="N33" s="300"/>
      <c r="O33" s="300"/>
      <c r="P33" s="300"/>
      <c r="Q33" s="300"/>
      <c r="R33" s="300"/>
      <c r="S33" s="300"/>
      <c r="T33" s="301"/>
      <c r="U33" s="302"/>
      <c r="V33" s="301"/>
      <c r="W33" s="303"/>
      <c r="X33" s="303"/>
      <c r="Y33" s="303"/>
      <c r="Z33" s="303"/>
      <c r="AA33" s="298"/>
      <c r="AB33" s="295"/>
      <c r="AC33" s="295"/>
      <c r="AD33" s="295"/>
      <c r="AE33" s="295"/>
      <c r="AF33" s="295"/>
      <c r="AG33" s="295"/>
      <c r="AH33" s="295"/>
      <c r="AI33" s="295"/>
      <c r="AJ33" s="295"/>
      <c r="AK33" s="295"/>
      <c r="AL33" s="295"/>
      <c r="AM33" s="295"/>
      <c r="AN33" s="295"/>
      <c r="AO33" s="295"/>
      <c r="AP33" s="295"/>
      <c r="AQ33" s="295"/>
      <c r="AR33" s="295"/>
      <c r="AS33" s="295"/>
      <c r="AT33" s="295"/>
      <c r="AU33" s="295"/>
    </row>
    <row r="34" spans="1:47" ht="17.25" hidden="1" customHeight="1">
      <c r="A34" s="295"/>
      <c r="B34" s="296"/>
      <c r="C34" s="297">
        <f t="shared" si="6"/>
        <v>7</v>
      </c>
      <c r="D34" s="297" t="str">
        <f t="array" ref="D34">IFERROR(IF(INDEX('Development-Hidden'!$A$2:$B$118,$C34,1)=$I$22,INDEX('Development-Hidden'!$A$2:$B$118,$C34,2),""),"")</f>
        <v/>
      </c>
      <c r="E34" s="298"/>
      <c r="F34" s="298"/>
      <c r="G34" s="298"/>
      <c r="H34" s="298"/>
      <c r="I34" s="298"/>
      <c r="J34" s="299"/>
      <c r="K34" s="295"/>
      <c r="L34" s="300"/>
      <c r="M34" s="300"/>
      <c r="N34" s="300"/>
      <c r="O34" s="300"/>
      <c r="P34" s="300"/>
      <c r="Q34" s="300"/>
      <c r="R34" s="300"/>
      <c r="S34" s="300"/>
      <c r="T34" s="301"/>
      <c r="U34" s="302"/>
      <c r="V34" s="301"/>
      <c r="W34" s="303"/>
      <c r="X34" s="303"/>
      <c r="Y34" s="303"/>
      <c r="Z34" s="303"/>
      <c r="AA34" s="298"/>
      <c r="AB34" s="295"/>
      <c r="AC34" s="295"/>
      <c r="AD34" s="295"/>
      <c r="AE34" s="295"/>
      <c r="AF34" s="295"/>
      <c r="AG34" s="295"/>
      <c r="AH34" s="295"/>
      <c r="AI34" s="295"/>
      <c r="AJ34" s="295"/>
      <c r="AK34" s="295"/>
      <c r="AL34" s="295"/>
      <c r="AM34" s="295"/>
      <c r="AN34" s="295"/>
      <c r="AO34" s="295"/>
      <c r="AP34" s="295"/>
      <c r="AQ34" s="295"/>
      <c r="AR34" s="295"/>
      <c r="AS34" s="295"/>
      <c r="AT34" s="295"/>
      <c r="AU34" s="295"/>
    </row>
    <row r="35" spans="1:47" ht="17.25" hidden="1" customHeight="1">
      <c r="A35" s="295"/>
      <c r="B35" s="296"/>
      <c r="C35" s="297">
        <f t="shared" si="6"/>
        <v>8</v>
      </c>
      <c r="D35" s="297" t="str">
        <f t="array" ref="D35">IFERROR(IF(INDEX('Development-Hidden'!$A$2:$B$118,$C35,1)=$I$22,INDEX('Development-Hidden'!$A$2:$B$118,$C35,2),""),"")</f>
        <v/>
      </c>
      <c r="E35" s="298"/>
      <c r="F35" s="298"/>
      <c r="G35" s="298"/>
      <c r="H35" s="298"/>
      <c r="I35" s="298"/>
      <c r="J35" s="299"/>
      <c r="K35" s="295"/>
      <c r="L35" s="300"/>
      <c r="M35" s="300"/>
      <c r="N35" s="300"/>
      <c r="O35" s="300"/>
      <c r="P35" s="300"/>
      <c r="Q35" s="300"/>
      <c r="R35" s="300"/>
      <c r="S35" s="300"/>
      <c r="T35" s="301"/>
      <c r="U35" s="302"/>
      <c r="V35" s="301"/>
      <c r="W35" s="303"/>
      <c r="X35" s="303"/>
      <c r="Y35" s="303"/>
      <c r="Z35" s="303"/>
      <c r="AA35" s="298"/>
      <c r="AB35" s="295"/>
      <c r="AC35" s="295"/>
      <c r="AD35" s="295"/>
      <c r="AE35" s="295"/>
      <c r="AF35" s="295"/>
      <c r="AG35" s="295"/>
      <c r="AH35" s="295"/>
      <c r="AI35" s="295"/>
      <c r="AJ35" s="295"/>
      <c r="AK35" s="295"/>
      <c r="AL35" s="295"/>
      <c r="AM35" s="295"/>
      <c r="AN35" s="295"/>
      <c r="AO35" s="295"/>
      <c r="AP35" s="295"/>
      <c r="AQ35" s="295"/>
      <c r="AR35" s="295"/>
      <c r="AS35" s="295"/>
      <c r="AT35" s="295"/>
      <c r="AU35" s="295"/>
    </row>
    <row r="36" spans="1:47" ht="17.25" hidden="1" customHeight="1">
      <c r="A36" s="295"/>
      <c r="B36" s="296"/>
      <c r="C36" s="297">
        <f t="shared" si="6"/>
        <v>9</v>
      </c>
      <c r="D36" s="297" t="str">
        <f t="array" ref="D36">IFERROR(IF(INDEX('Development-Hidden'!$A$2:$B$118,$C36,1)=$I$22,INDEX('Development-Hidden'!$A$2:$B$118,$C36,2),""),"")</f>
        <v/>
      </c>
      <c r="E36" s="298"/>
      <c r="F36" s="298"/>
      <c r="G36" s="298"/>
      <c r="H36" s="298"/>
      <c r="I36" s="298"/>
      <c r="J36" s="299"/>
      <c r="K36" s="295"/>
      <c r="L36" s="300"/>
      <c r="M36" s="300"/>
      <c r="N36" s="300"/>
      <c r="O36" s="300"/>
      <c r="P36" s="300"/>
      <c r="Q36" s="300"/>
      <c r="R36" s="300"/>
      <c r="S36" s="300"/>
      <c r="T36" s="301"/>
      <c r="U36" s="302"/>
      <c r="V36" s="301"/>
      <c r="W36" s="303"/>
      <c r="X36" s="303"/>
      <c r="Y36" s="303"/>
      <c r="Z36" s="303"/>
      <c r="AA36" s="298"/>
      <c r="AB36" s="295"/>
      <c r="AC36" s="295"/>
      <c r="AD36" s="295"/>
      <c r="AE36" s="295"/>
      <c r="AF36" s="295"/>
      <c r="AG36" s="295"/>
      <c r="AH36" s="295"/>
      <c r="AI36" s="295"/>
      <c r="AJ36" s="295"/>
      <c r="AK36" s="295"/>
      <c r="AL36" s="295"/>
      <c r="AM36" s="295"/>
      <c r="AN36" s="295"/>
      <c r="AO36" s="295"/>
      <c r="AP36" s="295"/>
      <c r="AQ36" s="295"/>
      <c r="AR36" s="295"/>
      <c r="AS36" s="295"/>
      <c r="AT36" s="295"/>
      <c r="AU36" s="295"/>
    </row>
    <row r="37" spans="1:47" ht="17.25" hidden="1" customHeight="1">
      <c r="A37" s="295"/>
      <c r="B37" s="296"/>
      <c r="C37" s="297">
        <f t="shared" si="6"/>
        <v>10</v>
      </c>
      <c r="D37" s="297" t="str">
        <f t="array" ref="D37">IFERROR(IF(INDEX('Development-Hidden'!$A$2:$B$118,$C37,1)=$I$22,INDEX('Development-Hidden'!$A$2:$B$118,$C37,2),""),"")</f>
        <v/>
      </c>
      <c r="E37" s="298"/>
      <c r="F37" s="298"/>
      <c r="G37" s="298"/>
      <c r="H37" s="298"/>
      <c r="I37" s="298"/>
      <c r="J37" s="299"/>
      <c r="K37" s="295"/>
      <c r="L37" s="300"/>
      <c r="M37" s="300"/>
      <c r="N37" s="300"/>
      <c r="O37" s="300"/>
      <c r="P37" s="300"/>
      <c r="Q37" s="300"/>
      <c r="R37" s="300"/>
      <c r="S37" s="300"/>
      <c r="T37" s="301"/>
      <c r="U37" s="302"/>
      <c r="V37" s="301"/>
      <c r="W37" s="303"/>
      <c r="X37" s="303"/>
      <c r="Y37" s="303"/>
      <c r="Z37" s="303"/>
      <c r="AA37" s="298"/>
      <c r="AB37" s="295"/>
      <c r="AC37" s="295"/>
      <c r="AD37" s="295"/>
      <c r="AE37" s="295"/>
      <c r="AF37" s="295"/>
      <c r="AG37" s="295"/>
      <c r="AH37" s="295"/>
      <c r="AI37" s="295"/>
      <c r="AJ37" s="295"/>
      <c r="AK37" s="295"/>
      <c r="AL37" s="295"/>
      <c r="AM37" s="295"/>
      <c r="AN37" s="295"/>
      <c r="AO37" s="295"/>
      <c r="AP37" s="295"/>
      <c r="AQ37" s="295"/>
      <c r="AR37" s="295"/>
      <c r="AS37" s="295"/>
      <c r="AT37" s="295"/>
      <c r="AU37" s="295"/>
    </row>
  </sheetData>
  <mergeCells count="27">
    <mergeCell ref="AL21:AM21"/>
    <mergeCell ref="V21:Z21"/>
    <mergeCell ref="L23:S23"/>
    <mergeCell ref="AL3:AO3"/>
    <mergeCell ref="L25:S25"/>
    <mergeCell ref="E26:Z26"/>
    <mergeCell ref="L24:S24"/>
    <mergeCell ref="V24:Z24"/>
    <mergeCell ref="P2:S2"/>
    <mergeCell ref="V22:Z22"/>
    <mergeCell ref="V23:Z23"/>
    <mergeCell ref="AP3:AT3"/>
    <mergeCell ref="E24:H24"/>
    <mergeCell ref="E25:H25"/>
    <mergeCell ref="I25:K25"/>
    <mergeCell ref="B20:D26"/>
    <mergeCell ref="E23:H23"/>
    <mergeCell ref="I23:K23"/>
    <mergeCell ref="I24:K24"/>
    <mergeCell ref="E22:H22"/>
    <mergeCell ref="E21:H21"/>
    <mergeCell ref="E20:Z20"/>
    <mergeCell ref="L22:S22"/>
    <mergeCell ref="L21:S21"/>
    <mergeCell ref="I21:K21"/>
    <mergeCell ref="I22:K22"/>
    <mergeCell ref="V25:Z25"/>
  </mergeCells>
  <conditionalFormatting sqref="AA4:AA19">
    <cfRule type="cellIs" dxfId="83" priority="1" operator="equal">
      <formula>0</formula>
    </cfRule>
  </conditionalFormatting>
  <conditionalFormatting sqref="J4">
    <cfRule type="expression" dxfId="82" priority="2">
      <formula>K4&lt;&gt;SUM(AD4:AI4)</formula>
    </cfRule>
  </conditionalFormatting>
  <conditionalFormatting sqref="I4:I19">
    <cfRule type="cellIs" dxfId="81" priority="3" stopIfTrue="1" operator="equal">
      <formula>"Player type quantity surpassed"</formula>
    </cfRule>
  </conditionalFormatting>
  <conditionalFormatting sqref="J5">
    <cfRule type="expression" dxfId="80" priority="4">
      <formula>K5&lt;&gt;SUM(AD5:AI5)</formula>
    </cfRule>
  </conditionalFormatting>
  <conditionalFormatting sqref="J6">
    <cfRule type="expression" dxfId="79" priority="5">
      <formula>K6&lt;&gt;SUM(AD6:AI6)</formula>
    </cfRule>
  </conditionalFormatting>
  <conditionalFormatting sqref="J7">
    <cfRule type="expression" dxfId="78" priority="6">
      <formula>K7&lt;&gt;SUM(AD7:AI7)</formula>
    </cfRule>
  </conditionalFormatting>
  <conditionalFormatting sqref="J8">
    <cfRule type="expression" dxfId="77" priority="7">
      <formula>K8&lt;&gt;SUM(AD8:AI8)</formula>
    </cfRule>
  </conditionalFormatting>
  <conditionalFormatting sqref="J9">
    <cfRule type="expression" dxfId="76" priority="8">
      <formula>K9&lt;&gt;SUM(AD9:AI9)</formula>
    </cfRule>
  </conditionalFormatting>
  <conditionalFormatting sqref="J10">
    <cfRule type="expression" dxfId="75" priority="9">
      <formula>K10&lt;&gt;SUM(AD10:AI10)</formula>
    </cfRule>
  </conditionalFormatting>
  <conditionalFormatting sqref="J11">
    <cfRule type="expression" dxfId="74" priority="10">
      <formula>K11&lt;&gt;SUM(AD11:AI11)</formula>
    </cfRule>
  </conditionalFormatting>
  <conditionalFormatting sqref="J12">
    <cfRule type="expression" dxfId="73" priority="11">
      <formula>K12&lt;&gt;SUM(AD12:AI12)</formula>
    </cfRule>
  </conditionalFormatting>
  <conditionalFormatting sqref="J13">
    <cfRule type="expression" dxfId="72" priority="12">
      <formula>K13&lt;&gt;SUM(AD13:AI13)</formula>
    </cfRule>
  </conditionalFormatting>
  <conditionalFormatting sqref="J14">
    <cfRule type="expression" dxfId="71" priority="13">
      <formula>K14&lt;&gt;SUM(AD14:AI14)</formula>
    </cfRule>
  </conditionalFormatting>
  <conditionalFormatting sqref="J15">
    <cfRule type="expression" dxfId="70" priority="14">
      <formula>K15&lt;&gt;SUM(AD15:AI15)</formula>
    </cfRule>
  </conditionalFormatting>
  <conditionalFormatting sqref="J16">
    <cfRule type="expression" dxfId="69" priority="15">
      <formula>K16&lt;&gt;SUM(AD16:AI16)</formula>
    </cfRule>
  </conditionalFormatting>
  <conditionalFormatting sqref="J17">
    <cfRule type="expression" dxfId="68" priority="16">
      <formula>K17&lt;&gt;SUM(AD17:AI17)</formula>
    </cfRule>
  </conditionalFormatting>
  <conditionalFormatting sqref="J18">
    <cfRule type="expression" dxfId="67" priority="17">
      <formula>K18&lt;&gt;SUM(AD18:AI18)</formula>
    </cfRule>
  </conditionalFormatting>
  <conditionalFormatting sqref="J19">
    <cfRule type="expression" dxfId="66" priority="18">
      <formula>K19&lt;&gt;SUM(AD19:AI19)</formula>
    </cfRule>
  </conditionalFormatting>
  <conditionalFormatting sqref="K4:K19">
    <cfRule type="cellIs" dxfId="65" priority="19" operator="equal">
      <formula>0</formula>
    </cfRule>
  </conditionalFormatting>
  <conditionalFormatting sqref="E4:H19">
    <cfRule type="expression" dxfId="64" priority="20">
      <formula>AF4&gt;0</formula>
    </cfRule>
  </conditionalFormatting>
  <conditionalFormatting sqref="E4:H19">
    <cfRule type="expression" dxfId="63" priority="21">
      <formula>P4&gt;0</formula>
    </cfRule>
  </conditionalFormatting>
  <conditionalFormatting sqref="I4:I19 T4:W19 Y4:Y19 U27:U37">
    <cfRule type="cellIs" dxfId="62" priority="22" stopIfTrue="1" operator="equal">
      <formula>0</formula>
    </cfRule>
  </conditionalFormatting>
  <conditionalFormatting sqref="AA27">
    <cfRule type="cellIs" dxfId="61" priority="23" stopIfTrue="1" operator="equal">
      <formula>"0,0"</formula>
    </cfRule>
  </conditionalFormatting>
  <conditionalFormatting sqref="P4:S19">
    <cfRule type="cellIs" dxfId="60" priority="24" stopIfTrue="1" operator="lessThanOrEqual">
      <formula>-1</formula>
    </cfRule>
  </conditionalFormatting>
  <conditionalFormatting sqref="V25:W25">
    <cfRule type="cellIs" dxfId="59" priority="25" stopIfTrue="1" operator="equal">
      <formula>-500</formula>
    </cfRule>
  </conditionalFormatting>
  <conditionalFormatting sqref="T25">
    <cfRule type="cellIs" dxfId="58" priority="26" stopIfTrue="1" operator="greaterThan">
      <formula>$V$25</formula>
    </cfRule>
  </conditionalFormatting>
  <conditionalFormatting sqref="Z4:Z19">
    <cfRule type="cellIs" dxfId="57" priority="27" stopIfTrue="1" operator="equal">
      <formula>"Star"</formula>
    </cfRule>
  </conditionalFormatting>
  <conditionalFormatting sqref="Z4:Z19">
    <cfRule type="cellIs" dxfId="56" priority="28" stopIfTrue="1" operator="equal">
      <formula>AA4</formula>
    </cfRule>
  </conditionalFormatting>
  <dataValidations count="2">
    <dataValidation type="list" allowBlank="1" showErrorMessage="1" sqref="D4:D19">
      <formula1>'TC2'!$D$28:$D$37</formula1>
    </dataValidation>
    <dataValidation type="list" allowBlank="1" showErrorMessage="1" sqref="I22">
      <formula1>'Development-Hidden'!$N$2:$N$28</formula1>
    </dataValidation>
  </dataValidation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4A86E8"/>
  </sheetPr>
  <dimension ref="A1:AU37"/>
  <sheetViews>
    <sheetView showGridLines="0" workbookViewId="0">
      <selection activeCell="T25" sqref="T25"/>
    </sheetView>
  </sheetViews>
  <sheetFormatPr defaultColWidth="14.42578125" defaultRowHeight="15.75" customHeight="1"/>
  <cols>
    <col min="1" max="1" width="1.85546875" style="139" customWidth="1"/>
    <col min="2" max="2" width="3.140625" style="139" customWidth="1"/>
    <col min="3" max="3" width="19.28515625" style="139" customWidth="1"/>
    <col min="4" max="4" width="21.28515625" style="139" customWidth="1"/>
    <col min="5" max="8" width="3.42578125" style="139" customWidth="1"/>
    <col min="9" max="9" width="30.85546875" style="139" customWidth="1"/>
    <col min="10" max="10" width="23" style="139" customWidth="1"/>
    <col min="11" max="11" width="1.85546875" style="139" customWidth="1"/>
    <col min="12" max="15" width="2.42578125" style="139" customWidth="1"/>
    <col min="16" max="19" width="2.7109375" style="139" customWidth="1"/>
    <col min="20" max="21" width="3.28515625" style="139" customWidth="1"/>
    <col min="22" max="22" width="2.42578125" style="139" customWidth="1"/>
    <col min="23" max="23" width="3.28515625" style="139" customWidth="1"/>
    <col min="24" max="24" width="2.7109375" style="139" customWidth="1"/>
    <col min="25" max="25" width="3.28515625" style="139" customWidth="1"/>
    <col min="26" max="26" width="4.42578125" style="139" customWidth="1"/>
    <col min="27" max="27" width="10.28515625" style="139" customWidth="1"/>
    <col min="28" max="28" width="5.5703125" style="139" customWidth="1"/>
    <col min="29" max="29" width="8.85546875" style="139" customWidth="1"/>
    <col min="30" max="35" width="4.140625" style="139" customWidth="1"/>
    <col min="36" max="36" width="12.28515625" style="139" customWidth="1"/>
    <col min="37" max="37" width="6.42578125" style="139" customWidth="1"/>
    <col min="38" max="38" width="12.7109375" style="139" customWidth="1"/>
    <col min="39" max="39" width="11.42578125" style="139" customWidth="1"/>
    <col min="40" max="41" width="10.7109375" style="139" customWidth="1"/>
    <col min="42" max="42" width="26.140625" style="139" customWidth="1"/>
    <col min="43" max="44" width="10.7109375" style="139" customWidth="1"/>
    <col min="45" max="45" width="12.28515625" style="139" customWidth="1"/>
    <col min="46" max="46" width="10.7109375" style="139" customWidth="1"/>
    <col min="47" max="47" width="2.28515625" style="139" customWidth="1"/>
    <col min="48" max="16384" width="14.42578125" style="139"/>
  </cols>
  <sheetData>
    <row r="1" spans="1:47" ht="9" customHeight="1">
      <c r="A1" s="136"/>
      <c r="B1" s="137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</row>
    <row r="2" spans="1:47" ht="9.75" customHeight="1">
      <c r="A2" s="136"/>
      <c r="B2" s="140"/>
      <c r="C2" s="140"/>
      <c r="D2" s="141"/>
      <c r="E2" s="140"/>
      <c r="F2" s="140"/>
      <c r="G2" s="140"/>
      <c r="H2" s="140"/>
      <c r="I2" s="140"/>
      <c r="J2" s="140"/>
      <c r="K2" s="136"/>
      <c r="L2" s="140"/>
      <c r="M2" s="140"/>
      <c r="N2" s="140"/>
      <c r="O2" s="140"/>
      <c r="P2" s="602" t="s">
        <v>218</v>
      </c>
      <c r="Q2" s="572"/>
      <c r="R2" s="572"/>
      <c r="S2" s="573"/>
      <c r="T2" s="142"/>
      <c r="U2" s="142"/>
      <c r="V2" s="142"/>
      <c r="W2" s="142"/>
      <c r="X2" s="143"/>
      <c r="Y2" s="142"/>
      <c r="Z2" s="140"/>
      <c r="AA2" s="140"/>
      <c r="AB2" s="136"/>
      <c r="AC2" s="140"/>
      <c r="AD2" s="140"/>
      <c r="AE2" s="140"/>
      <c r="AF2" s="144"/>
      <c r="AG2" s="140"/>
      <c r="AH2" s="140"/>
      <c r="AI2" s="140"/>
      <c r="AJ2" s="140"/>
      <c r="AK2" s="136"/>
      <c r="AL2" s="145"/>
      <c r="AM2" s="145"/>
      <c r="AN2" s="145"/>
      <c r="AO2" s="145"/>
      <c r="AP2" s="145"/>
      <c r="AQ2" s="145"/>
      <c r="AR2" s="145"/>
      <c r="AS2" s="145"/>
      <c r="AT2" s="145"/>
      <c r="AU2" s="145"/>
    </row>
    <row r="3" spans="1:47" ht="8.25" customHeight="1">
      <c r="A3" s="137"/>
      <c r="B3" s="146" t="s">
        <v>203</v>
      </c>
      <c r="C3" s="147" t="s">
        <v>32</v>
      </c>
      <c r="D3" s="148" t="s">
        <v>229</v>
      </c>
      <c r="E3" s="149" t="s">
        <v>206</v>
      </c>
      <c r="F3" s="150" t="s">
        <v>207</v>
      </c>
      <c r="G3" s="151" t="s">
        <v>208</v>
      </c>
      <c r="H3" s="152" t="s">
        <v>209</v>
      </c>
      <c r="I3" s="153" t="s">
        <v>230</v>
      </c>
      <c r="J3" s="152" t="s">
        <v>231</v>
      </c>
      <c r="K3" s="154" t="s">
        <v>203</v>
      </c>
      <c r="L3" s="155" t="s">
        <v>232</v>
      </c>
      <c r="M3" s="156" t="s">
        <v>233</v>
      </c>
      <c r="N3" s="156" t="s">
        <v>234</v>
      </c>
      <c r="O3" s="157" t="s">
        <v>235</v>
      </c>
      <c r="P3" s="158" t="s">
        <v>206</v>
      </c>
      <c r="Q3" s="159" t="s">
        <v>207</v>
      </c>
      <c r="R3" s="159" t="s">
        <v>208</v>
      </c>
      <c r="S3" s="160" t="s">
        <v>209</v>
      </c>
      <c r="T3" s="161" t="s">
        <v>236</v>
      </c>
      <c r="U3" s="156" t="s">
        <v>237</v>
      </c>
      <c r="V3" s="156" t="s">
        <v>210</v>
      </c>
      <c r="W3" s="156" t="s">
        <v>240</v>
      </c>
      <c r="X3" s="162" t="s">
        <v>35</v>
      </c>
      <c r="Y3" s="157" t="s">
        <v>211</v>
      </c>
      <c r="Z3" s="153" t="s">
        <v>212</v>
      </c>
      <c r="AA3" s="163" t="s">
        <v>241</v>
      </c>
      <c r="AB3" s="136"/>
      <c r="AC3" s="146" t="s">
        <v>242</v>
      </c>
      <c r="AD3" s="153" t="s">
        <v>233</v>
      </c>
      <c r="AE3" s="150" t="s">
        <v>243</v>
      </c>
      <c r="AF3" s="164" t="str">
        <f>"+MA"</f>
        <v>+MA</v>
      </c>
      <c r="AG3" s="150" t="str">
        <f>"+ST"</f>
        <v>+ST</v>
      </c>
      <c r="AH3" s="150" t="str">
        <f>"+AG"</f>
        <v>+AG</v>
      </c>
      <c r="AI3" s="150" t="str">
        <f>"+AV"</f>
        <v>+AV</v>
      </c>
      <c r="AJ3" s="163" t="s">
        <v>244</v>
      </c>
      <c r="AK3" s="136"/>
      <c r="AL3" s="601" t="s">
        <v>245</v>
      </c>
      <c r="AM3" s="575"/>
      <c r="AN3" s="575"/>
      <c r="AO3" s="575"/>
      <c r="AP3" s="603" t="s">
        <v>246</v>
      </c>
      <c r="AQ3" s="575"/>
      <c r="AR3" s="575"/>
      <c r="AS3" s="575"/>
      <c r="AT3" s="575"/>
      <c r="AU3" s="145"/>
    </row>
    <row r="4" spans="1:47" ht="15.75" customHeight="1">
      <c r="A4" s="137"/>
      <c r="B4" s="165">
        <v>1</v>
      </c>
      <c r="C4" s="166" t="s">
        <v>295</v>
      </c>
      <c r="D4" s="167" t="s">
        <v>83</v>
      </c>
      <c r="E4" s="168">
        <f>IFERROR(VLOOKUP($I$22&amp;$D4,'Development-Hidden'!$C$2:$J$118,4,FALSE)-P4+AF4,"")</f>
        <v>6</v>
      </c>
      <c r="F4" s="169">
        <f>IFERROR(VLOOKUP($I$22&amp;$D4,'Development-Hidden'!$C$2:$J$118,5,FALSE)-Q4+AG4,"")</f>
        <v>3</v>
      </c>
      <c r="G4" s="169">
        <f>IFERROR(VLOOKUP($I$22&amp;$D4,'Development-Hidden'!$C$2:$J$118,6,FALSE)-R4+AH4,"")</f>
        <v>3</v>
      </c>
      <c r="H4" s="170">
        <f>IFERROR(VLOOKUP($I$22&amp;$D4,'Development-Hidden'!$C$2:$J$118,7,FALSE)-S4+AI4,"")</f>
        <v>8</v>
      </c>
      <c r="I4" s="171" t="str">
        <f>IFERROR(VLOOKUP($I$22&amp;$D4,'Development-Hidden'!$C$2:$J$118,8,FALSE),"")</f>
        <v>Pass, Sure Hands</v>
      </c>
      <c r="J4" s="172" t="s">
        <v>528</v>
      </c>
      <c r="K4" s="173">
        <f t="shared" ref="K4:K19" si="0">IF(Z4&gt;175,6,IF(Z4&gt;75,5,IF(Z4&gt;50,4,IF(Z4&gt;30,3,IF(Z4&gt;15,2,IF(Z4&gt;5,1,0))))))</f>
        <v>1</v>
      </c>
      <c r="L4" s="174"/>
      <c r="M4" s="174"/>
      <c r="N4" s="174">
        <v>1</v>
      </c>
      <c r="O4" s="175"/>
      <c r="P4" s="176"/>
      <c r="Q4" s="177"/>
      <c r="R4" s="177"/>
      <c r="S4" s="178"/>
      <c r="T4" s="524"/>
      <c r="U4" s="524">
        <v>10</v>
      </c>
      <c r="V4" s="524"/>
      <c r="W4" s="524"/>
      <c r="X4" s="525"/>
      <c r="Y4" s="526">
        <v>1</v>
      </c>
      <c r="Z4" s="182">
        <f t="shared" ref="Z4:Z19" si="1">2*T4+U4+3*V4+2*W4+5*Y4</f>
        <v>15</v>
      </c>
      <c r="AA4" s="183">
        <f t="shared" ref="AA4:AA19" si="2">IF(L4=1,0,AC4+(20000*O4)+(20000*AD4)+(30000*AE4)+(30000*AF4)+(40000*AH4)+(50000*AI4)+AJ4)</f>
        <v>90000</v>
      </c>
      <c r="AB4" s="136"/>
      <c r="AC4" s="184">
        <f>IFERROR(VLOOKUP($I$22&amp;D4,'Development-Hidden'!$C$2:$E$118,3,FALSE),"")</f>
        <v>70000</v>
      </c>
      <c r="AD4" s="179">
        <v>1</v>
      </c>
      <c r="AE4" s="180"/>
      <c r="AF4" s="180"/>
      <c r="AG4" s="180"/>
      <c r="AH4" s="180"/>
      <c r="AI4" s="180"/>
      <c r="AJ4" s="185"/>
      <c r="AK4" s="136"/>
      <c r="AL4" s="186" t="s">
        <v>252</v>
      </c>
      <c r="AM4" s="187">
        <v>190000</v>
      </c>
      <c r="AN4" s="136"/>
      <c r="AO4" s="136"/>
      <c r="AP4" s="188"/>
      <c r="AQ4" s="189"/>
      <c r="AR4" s="189"/>
      <c r="AS4" s="186" t="s">
        <v>253</v>
      </c>
      <c r="AT4" s="190">
        <v>5</v>
      </c>
      <c r="AU4" s="191"/>
    </row>
    <row r="5" spans="1:47" ht="15.75" customHeight="1">
      <c r="A5" s="137"/>
      <c r="B5" s="192">
        <v>2</v>
      </c>
      <c r="C5" s="193" t="s">
        <v>562</v>
      </c>
      <c r="D5" s="194" t="s">
        <v>42</v>
      </c>
      <c r="E5" s="195">
        <f>IFERROR(VLOOKUP($I$22&amp;$D5,'Development-Hidden'!$C$2:$J$118,4,FALSE)-P5+AF5,"")</f>
        <v>8</v>
      </c>
      <c r="F5" s="196">
        <f>IFERROR(VLOOKUP($I$22&amp;$D5,'Development-Hidden'!$C$2:$J$118,5,FALSE)-Q5+AG5,"")</f>
        <v>2</v>
      </c>
      <c r="G5" s="196">
        <f>IFERROR(VLOOKUP($I$22&amp;$D5,'Development-Hidden'!$C$2:$J$118,6,FALSE)-R5+AH5,"")</f>
        <v>3</v>
      </c>
      <c r="H5" s="197">
        <f>IFERROR(VLOOKUP($I$22&amp;$D5,'Development-Hidden'!$C$2:$J$118,7,FALSE)-S5+AI5,"")</f>
        <v>7</v>
      </c>
      <c r="I5" s="198" t="str">
        <f>IFERROR(VLOOKUP($I$22&amp;$D5,'Development-Hidden'!$C$2:$J$118,8,FALSE),"")</f>
        <v>Dodge, Catch</v>
      </c>
      <c r="J5" s="199"/>
      <c r="K5" s="200">
        <f t="shared" si="0"/>
        <v>0</v>
      </c>
      <c r="L5" s="201"/>
      <c r="M5" s="201"/>
      <c r="N5" s="201"/>
      <c r="O5" s="202"/>
      <c r="P5" s="203"/>
      <c r="Q5" s="204"/>
      <c r="R5" s="204"/>
      <c r="S5" s="205"/>
      <c r="T5" s="565"/>
      <c r="U5" s="524"/>
      <c r="V5" s="524"/>
      <c r="W5" s="524"/>
      <c r="X5" s="525"/>
      <c r="Y5" s="524"/>
      <c r="Z5" s="209">
        <f t="shared" si="1"/>
        <v>0</v>
      </c>
      <c r="AA5" s="183">
        <f t="shared" si="2"/>
        <v>60000</v>
      </c>
      <c r="AB5" s="136"/>
      <c r="AC5" s="210">
        <f>IFERROR(VLOOKUP($I$22&amp;D5,'Development-Hidden'!$C$2:$E$118,3,FALSE),"")</f>
        <v>60000</v>
      </c>
      <c r="AD5" s="206"/>
      <c r="AE5" s="207"/>
      <c r="AF5" s="207"/>
      <c r="AG5" s="207"/>
      <c r="AH5" s="207"/>
      <c r="AI5" s="207"/>
      <c r="AJ5" s="211"/>
      <c r="AK5" s="136"/>
      <c r="AL5" s="212" t="s">
        <v>256</v>
      </c>
      <c r="AM5" s="213" t="s">
        <v>257</v>
      </c>
      <c r="AN5" s="214" t="s">
        <v>258</v>
      </c>
      <c r="AO5" s="215" t="s">
        <v>259</v>
      </c>
      <c r="AP5" s="216" t="s">
        <v>260</v>
      </c>
      <c r="AQ5" s="214" t="s">
        <v>261</v>
      </c>
      <c r="AR5" s="217" t="s">
        <v>33</v>
      </c>
      <c r="AS5" s="217" t="s">
        <v>262</v>
      </c>
      <c r="AT5" s="218" t="s">
        <v>221</v>
      </c>
      <c r="AU5" s="144"/>
    </row>
    <row r="6" spans="1:47" ht="15.75" customHeight="1">
      <c r="A6" s="137"/>
      <c r="B6" s="192">
        <v>3</v>
      </c>
      <c r="C6" s="193" t="s">
        <v>297</v>
      </c>
      <c r="D6" s="194" t="s">
        <v>49</v>
      </c>
      <c r="E6" s="195">
        <f>IFERROR(VLOOKUP($I$22&amp;$D6,'Development-Hidden'!$C$2:$J$118,4,FALSE)-P6+AF6,"")</f>
        <v>7</v>
      </c>
      <c r="F6" s="196">
        <f>IFERROR(VLOOKUP($I$22&amp;$D6,'Development-Hidden'!$C$2:$J$118,5,FALSE)-Q6+AG6,"")</f>
        <v>3</v>
      </c>
      <c r="G6" s="196">
        <f>IFERROR(VLOOKUP($I$22&amp;$D6,'Development-Hidden'!$C$2:$J$118,6,FALSE)-R6+AH6,"")</f>
        <v>4</v>
      </c>
      <c r="H6" s="197">
        <f>IFERROR(VLOOKUP($I$22&amp;$D6,'Development-Hidden'!$C$2:$J$118,7,FALSE)-S6+AI6,"")</f>
        <v>8</v>
      </c>
      <c r="I6" s="198" t="str">
        <f>IFERROR(VLOOKUP($I$22&amp;$D6,'Development-Hidden'!$C$2:$J$118,8,FALSE),"")</f>
        <v>Block</v>
      </c>
      <c r="J6" s="199" t="s">
        <v>564</v>
      </c>
      <c r="K6" s="200">
        <f t="shared" si="0"/>
        <v>2</v>
      </c>
      <c r="L6" s="201"/>
      <c r="M6" s="201"/>
      <c r="N6" s="201">
        <v>1</v>
      </c>
      <c r="O6" s="202"/>
      <c r="P6" s="203"/>
      <c r="Q6" s="204"/>
      <c r="R6" s="204"/>
      <c r="S6" s="205"/>
      <c r="T6" s="565"/>
      <c r="U6" s="524">
        <v>1</v>
      </c>
      <c r="V6" s="524">
        <v>4</v>
      </c>
      <c r="W6" s="524">
        <v>2</v>
      </c>
      <c r="X6" s="525"/>
      <c r="Y6" s="524">
        <v>1</v>
      </c>
      <c r="Z6" s="209">
        <f t="shared" si="1"/>
        <v>22</v>
      </c>
      <c r="AA6" s="183">
        <f t="shared" si="2"/>
        <v>150000</v>
      </c>
      <c r="AB6" s="136"/>
      <c r="AC6" s="210">
        <f>IFERROR(VLOOKUP($I$22&amp;D6,'Development-Hidden'!$C$2:$E$118,3,FALSE),"")</f>
        <v>90000</v>
      </c>
      <c r="AD6" s="206">
        <v>1</v>
      </c>
      <c r="AE6" s="207"/>
      <c r="AF6" s="207"/>
      <c r="AG6" s="207"/>
      <c r="AH6" s="207">
        <v>1</v>
      </c>
      <c r="AI6" s="207"/>
      <c r="AJ6" s="211"/>
      <c r="AK6" s="136"/>
      <c r="AL6" s="219" t="s">
        <v>267</v>
      </c>
      <c r="AM6" s="220"/>
      <c r="AN6" s="221"/>
      <c r="AO6" s="222"/>
      <c r="AP6" s="223"/>
      <c r="AQ6" s="221"/>
      <c r="AR6" s="224"/>
      <c r="AS6" s="225"/>
      <c r="AT6" s="226"/>
      <c r="AU6" s="136"/>
    </row>
    <row r="7" spans="1:47" ht="15.75" customHeight="1">
      <c r="A7" s="137"/>
      <c r="B7" s="192">
        <v>4</v>
      </c>
      <c r="C7" s="193" t="s">
        <v>298</v>
      </c>
      <c r="D7" s="194" t="s">
        <v>49</v>
      </c>
      <c r="E7" s="195">
        <f>IFERROR(VLOOKUP($I$22&amp;$D7,'Development-Hidden'!$C$2:$J$118,4,FALSE)-P7+AF7,"")</f>
        <v>7</v>
      </c>
      <c r="F7" s="196">
        <f>IFERROR(VLOOKUP($I$22&amp;$D7,'Development-Hidden'!$C$2:$J$118,5,FALSE)-Q7+AG7,"")</f>
        <v>3</v>
      </c>
      <c r="G7" s="196">
        <f>IFERROR(VLOOKUP($I$22&amp;$D7,'Development-Hidden'!$C$2:$J$118,6,FALSE)-R7+AH7,"")</f>
        <v>3</v>
      </c>
      <c r="H7" s="197">
        <f>IFERROR(VLOOKUP($I$22&amp;$D7,'Development-Hidden'!$C$2:$J$118,7,FALSE)-S7+AI7,"")</f>
        <v>8</v>
      </c>
      <c r="I7" s="198" t="str">
        <f>IFERROR(VLOOKUP($I$22&amp;$D7,'Development-Hidden'!$C$2:$J$118,8,FALSE),"")</f>
        <v>Block</v>
      </c>
      <c r="J7" s="199" t="s">
        <v>565</v>
      </c>
      <c r="K7" s="200">
        <f t="shared" si="0"/>
        <v>2</v>
      </c>
      <c r="L7" s="201"/>
      <c r="M7" s="201"/>
      <c r="N7" s="201">
        <v>1</v>
      </c>
      <c r="O7" s="202"/>
      <c r="P7" s="203"/>
      <c r="Q7" s="204"/>
      <c r="R7" s="204"/>
      <c r="S7" s="205"/>
      <c r="T7" s="565"/>
      <c r="U7" s="524"/>
      <c r="V7" s="524">
        <v>3</v>
      </c>
      <c r="W7" s="524">
        <v>3</v>
      </c>
      <c r="X7" s="525"/>
      <c r="Y7" s="524">
        <v>1</v>
      </c>
      <c r="Z7" s="209">
        <f t="shared" si="1"/>
        <v>20</v>
      </c>
      <c r="AA7" s="183">
        <f t="shared" si="2"/>
        <v>130000</v>
      </c>
      <c r="AB7" s="136"/>
      <c r="AC7" s="210">
        <f>IFERROR(VLOOKUP($I$22&amp;D7,'Development-Hidden'!$C$2:$E$118,3,FALSE),"")</f>
        <v>90000</v>
      </c>
      <c r="AD7" s="206">
        <v>2</v>
      </c>
      <c r="AE7" s="207"/>
      <c r="AF7" s="207"/>
      <c r="AG7" s="207"/>
      <c r="AH7" s="207"/>
      <c r="AI7" s="207"/>
      <c r="AJ7" s="211"/>
      <c r="AK7" s="136"/>
      <c r="AL7" s="227" t="s">
        <v>278</v>
      </c>
      <c r="AM7" s="228"/>
      <c r="AN7" s="229"/>
      <c r="AO7" s="230"/>
      <c r="AP7" s="231"/>
      <c r="AQ7" s="229"/>
      <c r="AR7" s="232"/>
      <c r="AS7" s="233"/>
      <c r="AT7" s="234"/>
      <c r="AU7" s="136"/>
    </row>
    <row r="8" spans="1:47" ht="15.75" customHeight="1">
      <c r="A8" s="137"/>
      <c r="B8" s="192">
        <v>5</v>
      </c>
      <c r="C8" s="193" t="s">
        <v>567</v>
      </c>
      <c r="D8" s="194" t="s">
        <v>49</v>
      </c>
      <c r="E8" s="195">
        <f>IFERROR(VLOOKUP($I$22&amp;$D8,'Development-Hidden'!$C$2:$J$118,4,FALSE)-P8+AF8,"")</f>
        <v>7</v>
      </c>
      <c r="F8" s="196">
        <f>IFERROR(VLOOKUP($I$22&amp;$D8,'Development-Hidden'!$C$2:$J$118,5,FALSE)-Q8+AG8,"")</f>
        <v>3</v>
      </c>
      <c r="G8" s="196">
        <f>IFERROR(VLOOKUP($I$22&amp;$D8,'Development-Hidden'!$C$2:$J$118,6,FALSE)-R8+AH8,"")</f>
        <v>3</v>
      </c>
      <c r="H8" s="197">
        <f>IFERROR(VLOOKUP($I$22&amp;$D8,'Development-Hidden'!$C$2:$J$118,7,FALSE)-S8+AI8,"")</f>
        <v>8</v>
      </c>
      <c r="I8" s="198" t="str">
        <f>IFERROR(VLOOKUP($I$22&amp;$D8,'Development-Hidden'!$C$2:$J$118,8,FALSE),"")</f>
        <v>Block</v>
      </c>
      <c r="J8" s="199"/>
      <c r="K8" s="200">
        <f t="shared" si="0"/>
        <v>0</v>
      </c>
      <c r="L8" s="201"/>
      <c r="M8" s="201"/>
      <c r="N8" s="201"/>
      <c r="O8" s="202"/>
      <c r="P8" s="203"/>
      <c r="Q8" s="204"/>
      <c r="R8" s="204"/>
      <c r="S8" s="205"/>
      <c r="T8" s="565"/>
      <c r="U8" s="524"/>
      <c r="V8" s="524"/>
      <c r="W8" s="524"/>
      <c r="X8" s="525"/>
      <c r="Y8" s="524"/>
      <c r="Z8" s="209">
        <f t="shared" si="1"/>
        <v>0</v>
      </c>
      <c r="AA8" s="183">
        <f t="shared" si="2"/>
        <v>90000</v>
      </c>
      <c r="AB8" s="136"/>
      <c r="AC8" s="210">
        <f>IFERROR(VLOOKUP($I$22&amp;D8,'Development-Hidden'!$C$2:$E$118,3,FALSE),"")</f>
        <v>90000</v>
      </c>
      <c r="AD8" s="206"/>
      <c r="AE8" s="207"/>
      <c r="AF8" s="207"/>
      <c r="AG8" s="207"/>
      <c r="AH8" s="207"/>
      <c r="AI8" s="207"/>
      <c r="AJ8" s="211"/>
      <c r="AK8" s="136"/>
      <c r="AL8" s="227" t="s">
        <v>289</v>
      </c>
      <c r="AM8" s="228"/>
      <c r="AN8" s="229"/>
      <c r="AO8" s="230"/>
      <c r="AP8" s="231"/>
      <c r="AQ8" s="229"/>
      <c r="AR8" s="232"/>
      <c r="AS8" s="233"/>
      <c r="AT8" s="234"/>
      <c r="AU8" s="136"/>
    </row>
    <row r="9" spans="1:47" ht="15.75" customHeight="1">
      <c r="A9" s="137"/>
      <c r="B9" s="192">
        <v>6</v>
      </c>
      <c r="C9" s="193" t="s">
        <v>299</v>
      </c>
      <c r="D9" s="194" t="s">
        <v>49</v>
      </c>
      <c r="E9" s="195">
        <f>IFERROR(VLOOKUP($I$22&amp;$D9,'Development-Hidden'!$C$2:$J$118,4,FALSE)-P9+AF9,"")</f>
        <v>7</v>
      </c>
      <c r="F9" s="196">
        <f>IFERROR(VLOOKUP($I$22&amp;$D9,'Development-Hidden'!$C$2:$J$118,5,FALSE)-Q9+AG9,"")</f>
        <v>3</v>
      </c>
      <c r="G9" s="196">
        <f>IFERROR(VLOOKUP($I$22&amp;$D9,'Development-Hidden'!$C$2:$J$118,6,FALSE)-R9+AH9,"")</f>
        <v>2</v>
      </c>
      <c r="H9" s="197">
        <f>IFERROR(VLOOKUP($I$22&amp;$D9,'Development-Hidden'!$C$2:$J$118,7,FALSE)-S9+AI9,"")</f>
        <v>8</v>
      </c>
      <c r="I9" s="198" t="str">
        <f>IFERROR(VLOOKUP($I$22&amp;$D9,'Development-Hidden'!$C$2:$J$118,8,FALSE),"")</f>
        <v>Block</v>
      </c>
      <c r="J9" s="199" t="s">
        <v>377</v>
      </c>
      <c r="K9" s="200">
        <f t="shared" si="0"/>
        <v>1</v>
      </c>
      <c r="L9" s="201"/>
      <c r="M9" s="201"/>
      <c r="N9" s="201">
        <v>1</v>
      </c>
      <c r="O9" s="202"/>
      <c r="P9" s="203"/>
      <c r="Q9" s="204"/>
      <c r="R9" s="204">
        <v>1</v>
      </c>
      <c r="S9" s="205"/>
      <c r="T9" s="565"/>
      <c r="U9" s="524"/>
      <c r="V9" s="524">
        <v>1</v>
      </c>
      <c r="W9" s="524">
        <v>3</v>
      </c>
      <c r="X9" s="525"/>
      <c r="Y9" s="524">
        <v>1</v>
      </c>
      <c r="Z9" s="209">
        <f t="shared" si="1"/>
        <v>14</v>
      </c>
      <c r="AA9" s="183">
        <f t="shared" si="2"/>
        <v>110000</v>
      </c>
      <c r="AB9" s="136"/>
      <c r="AC9" s="210">
        <f>IFERROR(VLOOKUP($I$22&amp;D9,'Development-Hidden'!$C$2:$E$118,3,FALSE),"")</f>
        <v>90000</v>
      </c>
      <c r="AD9" s="206">
        <v>1</v>
      </c>
      <c r="AE9" s="207"/>
      <c r="AF9" s="207"/>
      <c r="AG9" s="207"/>
      <c r="AH9" s="207"/>
      <c r="AI9" s="207"/>
      <c r="AJ9" s="211"/>
      <c r="AK9" s="136"/>
      <c r="AL9" s="227" t="s">
        <v>296</v>
      </c>
      <c r="AM9" s="228"/>
      <c r="AN9" s="229"/>
      <c r="AO9" s="230"/>
      <c r="AP9" s="231"/>
      <c r="AQ9" s="229"/>
      <c r="AR9" s="232"/>
      <c r="AS9" s="233"/>
      <c r="AT9" s="234"/>
      <c r="AU9" s="136"/>
    </row>
    <row r="10" spans="1:47" ht="18" customHeight="1">
      <c r="A10" s="137"/>
      <c r="B10" s="192">
        <v>7</v>
      </c>
      <c r="C10" s="193" t="s">
        <v>569</v>
      </c>
      <c r="D10" s="194" t="s">
        <v>77</v>
      </c>
      <c r="E10" s="195">
        <f>IFERROR(VLOOKUP($I$22&amp;$D10,'Development-Hidden'!$C$2:$J$118,4,FALSE)-P10+AF10,"")</f>
        <v>5</v>
      </c>
      <c r="F10" s="196">
        <f>IFERROR(VLOOKUP($I$22&amp;$D10,'Development-Hidden'!$C$2:$J$118,5,FALSE)-Q10+AG10,"")</f>
        <v>5</v>
      </c>
      <c r="G10" s="196">
        <f>IFERROR(VLOOKUP($I$22&amp;$D10,'Development-Hidden'!$C$2:$J$118,6,FALSE)-R10+AH10,"")</f>
        <v>2</v>
      </c>
      <c r="H10" s="197">
        <f>IFERROR(VLOOKUP($I$22&amp;$D10,'Development-Hidden'!$C$2:$J$118,7,FALSE)-S10+AI10,"")</f>
        <v>9</v>
      </c>
      <c r="I10" s="198" t="str">
        <f>IFERROR(VLOOKUP($I$22&amp;$D10,'Development-Hidden'!$C$2:$J$118,8,FALSE),"")</f>
        <v>Loner, Bone-Head, Mighty Blow, Thick Skull, Throw Team-mate</v>
      </c>
      <c r="J10" s="199" t="s">
        <v>570</v>
      </c>
      <c r="K10" s="200">
        <f t="shared" si="0"/>
        <v>2</v>
      </c>
      <c r="L10" s="201"/>
      <c r="M10" s="201"/>
      <c r="N10" s="201">
        <v>1</v>
      </c>
      <c r="O10" s="202"/>
      <c r="P10" s="203"/>
      <c r="Q10" s="204"/>
      <c r="R10" s="204"/>
      <c r="S10" s="205"/>
      <c r="T10" s="565"/>
      <c r="U10" s="524"/>
      <c r="V10" s="524"/>
      <c r="W10" s="524">
        <v>5</v>
      </c>
      <c r="X10" s="525"/>
      <c r="Y10" s="524">
        <v>2</v>
      </c>
      <c r="Z10" s="209">
        <f t="shared" si="1"/>
        <v>20</v>
      </c>
      <c r="AA10" s="183">
        <f t="shared" si="2"/>
        <v>190000</v>
      </c>
      <c r="AB10" s="136"/>
      <c r="AC10" s="210">
        <f>IFERROR(VLOOKUP($I$22&amp;D10,'Development-Hidden'!$C$2:$E$118,3,FALSE),"")</f>
        <v>140000</v>
      </c>
      <c r="AD10" s="206">
        <v>1</v>
      </c>
      <c r="AE10" s="207">
        <v>1</v>
      </c>
      <c r="AF10" s="207"/>
      <c r="AG10" s="207"/>
      <c r="AH10" s="207"/>
      <c r="AI10" s="207"/>
      <c r="AJ10" s="211"/>
      <c r="AK10" s="136"/>
      <c r="AL10" s="227" t="s">
        <v>306</v>
      </c>
      <c r="AM10" s="228"/>
      <c r="AN10" s="229"/>
      <c r="AO10" s="230"/>
      <c r="AP10" s="231"/>
      <c r="AQ10" s="229"/>
      <c r="AR10" s="232"/>
      <c r="AS10" s="233"/>
      <c r="AT10" s="234"/>
      <c r="AU10" s="136"/>
    </row>
    <row r="11" spans="1:47" ht="15.75" customHeight="1">
      <c r="A11" s="137"/>
      <c r="B11" s="192">
        <v>8</v>
      </c>
      <c r="C11" s="193" t="s">
        <v>300</v>
      </c>
      <c r="D11" s="194" t="s">
        <v>58</v>
      </c>
      <c r="E11" s="195">
        <f>IFERROR(VLOOKUP($I$22&amp;$D11,'Development-Hidden'!$C$2:$J$118,4,FALSE)-P11+AF11,"")</f>
        <v>6</v>
      </c>
      <c r="F11" s="196">
        <f>IFERROR(VLOOKUP($I$22&amp;$D11,'Development-Hidden'!$C$2:$J$118,5,FALSE)-Q11+AG11,"")</f>
        <v>3</v>
      </c>
      <c r="G11" s="196">
        <f>IFERROR(VLOOKUP($I$22&amp;$D11,'Development-Hidden'!$C$2:$J$118,6,FALSE)-R11+AH11,"")</f>
        <v>3</v>
      </c>
      <c r="H11" s="197">
        <f>IFERROR(VLOOKUP($I$22&amp;$D11,'Development-Hidden'!$C$2:$J$118,7,FALSE)-S11+AI11,"")</f>
        <v>8</v>
      </c>
      <c r="I11" s="198">
        <f>IFERROR(VLOOKUP($I$22&amp;$D11,'Development-Hidden'!$C$2:$J$118,8,FALSE),"")</f>
        <v>0</v>
      </c>
      <c r="J11" s="199" t="s">
        <v>277</v>
      </c>
      <c r="K11" s="200">
        <f t="shared" si="0"/>
        <v>1</v>
      </c>
      <c r="L11" s="201"/>
      <c r="M11" s="201"/>
      <c r="N11" s="201">
        <v>1</v>
      </c>
      <c r="O11" s="202"/>
      <c r="P11" s="203"/>
      <c r="Q11" s="204"/>
      <c r="R11" s="204"/>
      <c r="S11" s="205"/>
      <c r="T11" s="565"/>
      <c r="U11" s="524"/>
      <c r="V11" s="524"/>
      <c r="W11" s="524">
        <v>3</v>
      </c>
      <c r="X11" s="525"/>
      <c r="Y11" s="524">
        <v>1</v>
      </c>
      <c r="Z11" s="209">
        <f t="shared" si="1"/>
        <v>11</v>
      </c>
      <c r="AA11" s="183">
        <f t="shared" si="2"/>
        <v>70000</v>
      </c>
      <c r="AB11" s="136"/>
      <c r="AC11" s="210">
        <f>IFERROR(VLOOKUP($I$22&amp;D11,'Development-Hidden'!$C$2:$E$118,3,FALSE),"")</f>
        <v>50000</v>
      </c>
      <c r="AD11" s="206">
        <v>1</v>
      </c>
      <c r="AE11" s="207"/>
      <c r="AF11" s="207"/>
      <c r="AG11" s="207"/>
      <c r="AH11" s="207"/>
      <c r="AI11" s="207"/>
      <c r="AJ11" s="211"/>
      <c r="AK11" s="136"/>
      <c r="AL11" s="227" t="s">
        <v>316</v>
      </c>
      <c r="AM11" s="228"/>
      <c r="AN11" s="229"/>
      <c r="AO11" s="230"/>
      <c r="AP11" s="231"/>
      <c r="AQ11" s="229"/>
      <c r="AR11" s="232"/>
      <c r="AS11" s="233"/>
      <c r="AT11" s="234"/>
      <c r="AU11" s="136"/>
    </row>
    <row r="12" spans="1:47" ht="15.75" customHeight="1">
      <c r="A12" s="137"/>
      <c r="B12" s="192">
        <v>9</v>
      </c>
      <c r="C12" s="193" t="s">
        <v>301</v>
      </c>
      <c r="D12" s="194" t="s">
        <v>58</v>
      </c>
      <c r="E12" s="195">
        <f>IFERROR(VLOOKUP($I$22&amp;$D12,'Development-Hidden'!$C$2:$J$118,4,FALSE)-P12+AF12,"")</f>
        <v>6</v>
      </c>
      <c r="F12" s="196">
        <f>IFERROR(VLOOKUP($I$22&amp;$D12,'Development-Hidden'!$C$2:$J$118,5,FALSE)-Q12+AG12,"")</f>
        <v>3</v>
      </c>
      <c r="G12" s="196">
        <f>IFERROR(VLOOKUP($I$22&amp;$D12,'Development-Hidden'!$C$2:$J$118,6,FALSE)-R12+AH12,"")</f>
        <v>3</v>
      </c>
      <c r="H12" s="197">
        <f>IFERROR(VLOOKUP($I$22&amp;$D12,'Development-Hidden'!$C$2:$J$118,7,FALSE)-S12+AI12,"")</f>
        <v>8</v>
      </c>
      <c r="I12" s="198">
        <f>IFERROR(VLOOKUP($I$22&amp;$D12,'Development-Hidden'!$C$2:$J$118,8,FALSE),"")</f>
        <v>0</v>
      </c>
      <c r="J12" s="199"/>
      <c r="K12" s="200">
        <f t="shared" si="0"/>
        <v>0</v>
      </c>
      <c r="L12" s="201"/>
      <c r="M12" s="201"/>
      <c r="N12" s="201"/>
      <c r="O12" s="202"/>
      <c r="P12" s="203"/>
      <c r="Q12" s="204"/>
      <c r="R12" s="204"/>
      <c r="S12" s="205"/>
      <c r="T12" s="565"/>
      <c r="U12" s="524"/>
      <c r="V12" s="524"/>
      <c r="W12" s="524"/>
      <c r="X12" s="525"/>
      <c r="Y12" s="524"/>
      <c r="Z12" s="209">
        <f t="shared" si="1"/>
        <v>0</v>
      </c>
      <c r="AA12" s="183">
        <f t="shared" si="2"/>
        <v>50000</v>
      </c>
      <c r="AB12" s="136"/>
      <c r="AC12" s="210">
        <f>IFERROR(VLOOKUP($I$22&amp;D12,'Development-Hidden'!$C$2:$E$118,3,FALSE),"")</f>
        <v>50000</v>
      </c>
      <c r="AD12" s="206"/>
      <c r="AE12" s="207"/>
      <c r="AF12" s="207"/>
      <c r="AG12" s="207"/>
      <c r="AH12" s="207"/>
      <c r="AI12" s="207"/>
      <c r="AJ12" s="211"/>
      <c r="AK12" s="136"/>
      <c r="AL12" s="227" t="s">
        <v>330</v>
      </c>
      <c r="AM12" s="228"/>
      <c r="AN12" s="229"/>
      <c r="AO12" s="230"/>
      <c r="AP12" s="231"/>
      <c r="AQ12" s="229"/>
      <c r="AR12" s="232"/>
      <c r="AS12" s="233"/>
      <c r="AT12" s="234"/>
      <c r="AU12" s="136"/>
    </row>
    <row r="13" spans="1:47" ht="15.75" customHeight="1">
      <c r="A13" s="137"/>
      <c r="B13" s="192">
        <v>10</v>
      </c>
      <c r="C13" s="193" t="s">
        <v>302</v>
      </c>
      <c r="D13" s="194" t="s">
        <v>58</v>
      </c>
      <c r="E13" s="195">
        <f>IFERROR(VLOOKUP($I$22&amp;$D13,'Development-Hidden'!$C$2:$J$118,4,FALSE)-P13+AF13,"")</f>
        <v>6</v>
      </c>
      <c r="F13" s="196">
        <f>IFERROR(VLOOKUP($I$22&amp;$D13,'Development-Hidden'!$C$2:$J$118,5,FALSE)-Q13+AG13,"")</f>
        <v>3</v>
      </c>
      <c r="G13" s="196">
        <f>IFERROR(VLOOKUP($I$22&amp;$D13,'Development-Hidden'!$C$2:$J$118,6,FALSE)-R13+AH13,"")</f>
        <v>3</v>
      </c>
      <c r="H13" s="197">
        <f>IFERROR(VLOOKUP($I$22&amp;$D13,'Development-Hidden'!$C$2:$J$118,7,FALSE)-S13+AI13,"")</f>
        <v>8</v>
      </c>
      <c r="I13" s="198">
        <f>IFERROR(VLOOKUP($I$22&amp;$D13,'Development-Hidden'!$C$2:$J$118,8,FALSE),"")</f>
        <v>0</v>
      </c>
      <c r="J13" s="199"/>
      <c r="K13" s="200">
        <f t="shared" si="0"/>
        <v>0</v>
      </c>
      <c r="L13" s="201"/>
      <c r="M13" s="201"/>
      <c r="N13" s="201"/>
      <c r="O13" s="202"/>
      <c r="P13" s="203"/>
      <c r="Q13" s="204"/>
      <c r="R13" s="204"/>
      <c r="S13" s="205"/>
      <c r="T13" s="565"/>
      <c r="U13" s="524"/>
      <c r="V13" s="524"/>
      <c r="W13" s="524"/>
      <c r="X13" s="525"/>
      <c r="Y13" s="524"/>
      <c r="Z13" s="209">
        <f t="shared" si="1"/>
        <v>0</v>
      </c>
      <c r="AA13" s="183">
        <f t="shared" si="2"/>
        <v>50000</v>
      </c>
      <c r="AB13" s="136"/>
      <c r="AC13" s="210">
        <f>IFERROR(VLOOKUP($I$22&amp;D13,'Development-Hidden'!$C$2:$E$118,3,FALSE),"")</f>
        <v>50000</v>
      </c>
      <c r="AD13" s="206"/>
      <c r="AE13" s="207"/>
      <c r="AF13" s="207"/>
      <c r="AG13" s="207"/>
      <c r="AH13" s="207"/>
      <c r="AI13" s="207"/>
      <c r="AJ13" s="211"/>
      <c r="AK13" s="136"/>
      <c r="AL13" s="227" t="s">
        <v>342</v>
      </c>
      <c r="AM13" s="228"/>
      <c r="AN13" s="229"/>
      <c r="AO13" s="230"/>
      <c r="AP13" s="231"/>
      <c r="AQ13" s="229"/>
      <c r="AR13" s="232"/>
      <c r="AS13" s="233"/>
      <c r="AT13" s="234"/>
      <c r="AU13" s="136"/>
    </row>
    <row r="14" spans="1:47" ht="15.75" customHeight="1">
      <c r="A14" s="137"/>
      <c r="B14" s="192">
        <v>11</v>
      </c>
      <c r="C14" s="193" t="s">
        <v>580</v>
      </c>
      <c r="D14" s="194" t="s">
        <v>58</v>
      </c>
      <c r="E14" s="195">
        <f>IFERROR(VLOOKUP($I$22&amp;$D14,'Development-Hidden'!$C$2:$J$118,4,FALSE)-P14+AF14,"")</f>
        <v>6</v>
      </c>
      <c r="F14" s="196">
        <f>IFERROR(VLOOKUP($I$22&amp;$D14,'Development-Hidden'!$C$2:$J$118,5,FALSE)-Q14+AG14,"")</f>
        <v>3</v>
      </c>
      <c r="G14" s="196">
        <f>IFERROR(VLOOKUP($I$22&amp;$D14,'Development-Hidden'!$C$2:$J$118,6,FALSE)-R14+AH14,"")</f>
        <v>3</v>
      </c>
      <c r="H14" s="197">
        <f>IFERROR(VLOOKUP($I$22&amp;$D14,'Development-Hidden'!$C$2:$J$118,7,FALSE)-S14+AI14,"")</f>
        <v>8</v>
      </c>
      <c r="I14" s="198">
        <f>IFERROR(VLOOKUP($I$22&amp;$D14,'Development-Hidden'!$C$2:$J$118,8,FALSE),"")</f>
        <v>0</v>
      </c>
      <c r="J14" s="199"/>
      <c r="K14" s="200">
        <f t="shared" si="0"/>
        <v>0</v>
      </c>
      <c r="L14" s="201"/>
      <c r="M14" s="201"/>
      <c r="N14" s="201"/>
      <c r="O14" s="202"/>
      <c r="P14" s="203"/>
      <c r="Q14" s="204"/>
      <c r="R14" s="204"/>
      <c r="S14" s="205"/>
      <c r="T14" s="565"/>
      <c r="U14" s="524"/>
      <c r="V14" s="524"/>
      <c r="W14" s="524"/>
      <c r="X14" s="525"/>
      <c r="Y14" s="524"/>
      <c r="Z14" s="209">
        <f t="shared" si="1"/>
        <v>0</v>
      </c>
      <c r="AA14" s="183">
        <f t="shared" si="2"/>
        <v>50000</v>
      </c>
      <c r="AB14" s="136"/>
      <c r="AC14" s="210">
        <f>IFERROR(VLOOKUP($I$22&amp;D14,'Development-Hidden'!$C$2:$E$118,3,FALSE),"")</f>
        <v>50000</v>
      </c>
      <c r="AD14" s="206"/>
      <c r="AE14" s="207"/>
      <c r="AF14" s="207"/>
      <c r="AG14" s="207"/>
      <c r="AH14" s="207"/>
      <c r="AI14" s="207"/>
      <c r="AJ14" s="211"/>
      <c r="AK14" s="136"/>
      <c r="AL14" s="227" t="s">
        <v>354</v>
      </c>
      <c r="AM14" s="228"/>
      <c r="AN14" s="229"/>
      <c r="AO14" s="230"/>
      <c r="AP14" s="231"/>
      <c r="AQ14" s="229"/>
      <c r="AR14" s="232"/>
      <c r="AS14" s="233"/>
      <c r="AT14" s="234"/>
      <c r="AU14" s="136"/>
    </row>
    <row r="15" spans="1:47" ht="15.75" customHeight="1">
      <c r="A15" s="137"/>
      <c r="B15" s="192">
        <v>12</v>
      </c>
      <c r="C15" s="193" t="s">
        <v>584</v>
      </c>
      <c r="D15" s="194" t="s">
        <v>58</v>
      </c>
      <c r="E15" s="195">
        <f>IFERROR(VLOOKUP($I$22&amp;$D15,'Development-Hidden'!$C$2:$J$118,4,FALSE)-P15+AF15,"")</f>
        <v>6</v>
      </c>
      <c r="F15" s="196">
        <f>IFERROR(VLOOKUP($I$22&amp;$D15,'Development-Hidden'!$C$2:$J$118,5,FALSE)-Q15+AG15,"")</f>
        <v>3</v>
      </c>
      <c r="G15" s="196">
        <f>IFERROR(VLOOKUP($I$22&amp;$D15,'Development-Hidden'!$C$2:$J$118,6,FALSE)-R15+AH15,"")</f>
        <v>3</v>
      </c>
      <c r="H15" s="197">
        <f>IFERROR(VLOOKUP($I$22&amp;$D15,'Development-Hidden'!$C$2:$J$118,7,FALSE)-S15+AI15,"")</f>
        <v>8</v>
      </c>
      <c r="I15" s="198">
        <f>IFERROR(VLOOKUP($I$22&amp;$D15,'Development-Hidden'!$C$2:$J$118,8,FALSE),"")</f>
        <v>0</v>
      </c>
      <c r="J15" s="199"/>
      <c r="K15" s="200">
        <f t="shared" si="0"/>
        <v>0</v>
      </c>
      <c r="L15" s="201"/>
      <c r="M15" s="201"/>
      <c r="N15" s="201"/>
      <c r="O15" s="202"/>
      <c r="P15" s="203"/>
      <c r="Q15" s="204"/>
      <c r="R15" s="204"/>
      <c r="S15" s="205"/>
      <c r="T15" s="565"/>
      <c r="U15" s="524"/>
      <c r="V15" s="524"/>
      <c r="W15" s="524"/>
      <c r="X15" s="525"/>
      <c r="Y15" s="524"/>
      <c r="Z15" s="209">
        <f t="shared" si="1"/>
        <v>0</v>
      </c>
      <c r="AA15" s="183">
        <f t="shared" si="2"/>
        <v>50000</v>
      </c>
      <c r="AB15" s="136"/>
      <c r="AC15" s="210">
        <f>IFERROR(VLOOKUP($I$22&amp;D15,'Development-Hidden'!$C$2:$E$118,3,FALSE),"")</f>
        <v>50000</v>
      </c>
      <c r="AD15" s="206"/>
      <c r="AE15" s="207"/>
      <c r="AF15" s="207"/>
      <c r="AG15" s="207"/>
      <c r="AH15" s="207"/>
      <c r="AI15" s="207"/>
      <c r="AJ15" s="211"/>
      <c r="AK15" s="136"/>
      <c r="AL15" s="227" t="s">
        <v>355</v>
      </c>
      <c r="AM15" s="228"/>
      <c r="AN15" s="229"/>
      <c r="AO15" s="230"/>
      <c r="AP15" s="231"/>
      <c r="AQ15" s="229"/>
      <c r="AR15" s="232"/>
      <c r="AS15" s="233"/>
      <c r="AT15" s="234"/>
      <c r="AU15" s="136"/>
    </row>
    <row r="16" spans="1:47" ht="15.75" customHeight="1">
      <c r="A16" s="137"/>
      <c r="B16" s="192">
        <v>13</v>
      </c>
      <c r="C16" s="193"/>
      <c r="D16" s="194"/>
      <c r="E16" s="195" t="str">
        <f>IFERROR(VLOOKUP($I$22&amp;$D16,'Development-Hidden'!$C$2:$J$118,4,FALSE)-P16+AF16,"")</f>
        <v/>
      </c>
      <c r="F16" s="196" t="str">
        <f>IFERROR(VLOOKUP($I$22&amp;$D16,'Development-Hidden'!$C$2:$J$118,5,FALSE)-Q16+AG16,"")</f>
        <v/>
      </c>
      <c r="G16" s="196" t="str">
        <f>IFERROR(VLOOKUP($I$22&amp;$D16,'Development-Hidden'!$C$2:$J$118,6,FALSE)-R16+AH16,"")</f>
        <v/>
      </c>
      <c r="H16" s="197" t="str">
        <f>IFERROR(VLOOKUP($I$22&amp;$D16,'Development-Hidden'!$C$2:$J$118,7,FALSE)-S16+AI16,"")</f>
        <v/>
      </c>
      <c r="I16" s="198" t="str">
        <f>IFERROR(VLOOKUP($I$22&amp;$D16,'Development-Hidden'!$C$2:$J$118,8,FALSE),"")</f>
        <v/>
      </c>
      <c r="J16" s="199"/>
      <c r="K16" s="200">
        <f t="shared" si="0"/>
        <v>0</v>
      </c>
      <c r="L16" s="201"/>
      <c r="M16" s="201"/>
      <c r="N16" s="201"/>
      <c r="O16" s="202"/>
      <c r="P16" s="203"/>
      <c r="Q16" s="204"/>
      <c r="R16" s="204"/>
      <c r="S16" s="205"/>
      <c r="T16" s="565"/>
      <c r="U16" s="524"/>
      <c r="V16" s="524"/>
      <c r="W16" s="524"/>
      <c r="X16" s="525"/>
      <c r="Y16" s="524"/>
      <c r="Z16" s="209">
        <f t="shared" si="1"/>
        <v>0</v>
      </c>
      <c r="AA16" s="183">
        <f t="shared" si="2"/>
        <v>0</v>
      </c>
      <c r="AB16" s="136"/>
      <c r="AC16" s="210" t="str">
        <f>IFERROR(VLOOKUP($I$22&amp;D16,'Development-Hidden'!$C$2:$E$118,3,FALSE),"0")</f>
        <v>0</v>
      </c>
      <c r="AD16" s="206"/>
      <c r="AE16" s="207"/>
      <c r="AF16" s="207"/>
      <c r="AG16" s="207"/>
      <c r="AH16" s="207"/>
      <c r="AI16" s="207"/>
      <c r="AJ16" s="211"/>
      <c r="AK16" s="136"/>
      <c r="AL16" s="227" t="s">
        <v>357</v>
      </c>
      <c r="AM16" s="228"/>
      <c r="AN16" s="229"/>
      <c r="AO16" s="230"/>
      <c r="AP16" s="231"/>
      <c r="AQ16" s="229"/>
      <c r="AR16" s="232"/>
      <c r="AS16" s="233"/>
      <c r="AT16" s="234"/>
      <c r="AU16" s="136"/>
    </row>
    <row r="17" spans="1:47" ht="15.75" customHeight="1">
      <c r="A17" s="137"/>
      <c r="B17" s="192">
        <v>14</v>
      </c>
      <c r="C17" s="193"/>
      <c r="D17" s="194"/>
      <c r="E17" s="195" t="str">
        <f>IFERROR(VLOOKUP($I$22&amp;$D17,'Development-Hidden'!$C$2:$J$118,4,FALSE)-P17+AF17,"")</f>
        <v/>
      </c>
      <c r="F17" s="196" t="str">
        <f>IFERROR(VLOOKUP($I$22&amp;$D17,'Development-Hidden'!$C$2:$J$118,5,FALSE)-Q17+AG17,"")</f>
        <v/>
      </c>
      <c r="G17" s="196" t="str">
        <f>IFERROR(VLOOKUP($I$22&amp;$D17,'Development-Hidden'!$C$2:$J$118,6,FALSE)-R17+AH17,"")</f>
        <v/>
      </c>
      <c r="H17" s="197" t="str">
        <f>IFERROR(VLOOKUP($I$22&amp;$D17,'Development-Hidden'!$C$2:$J$118,7,FALSE)-S17+AI17,"")</f>
        <v/>
      </c>
      <c r="I17" s="198" t="str">
        <f>IFERROR(VLOOKUP($I$22&amp;$D17,'Development-Hidden'!$C$2:$J$118,8,FALSE),"")</f>
        <v/>
      </c>
      <c r="J17" s="199"/>
      <c r="K17" s="200">
        <f t="shared" si="0"/>
        <v>0</v>
      </c>
      <c r="L17" s="201"/>
      <c r="M17" s="201"/>
      <c r="N17" s="201"/>
      <c r="O17" s="202"/>
      <c r="P17" s="203"/>
      <c r="Q17" s="204"/>
      <c r="R17" s="204"/>
      <c r="S17" s="205"/>
      <c r="T17" s="565"/>
      <c r="U17" s="524"/>
      <c r="V17" s="524"/>
      <c r="W17" s="524"/>
      <c r="X17" s="525"/>
      <c r="Y17" s="524"/>
      <c r="Z17" s="209">
        <f t="shared" si="1"/>
        <v>0</v>
      </c>
      <c r="AA17" s="183">
        <f t="shared" si="2"/>
        <v>0</v>
      </c>
      <c r="AB17" s="136"/>
      <c r="AC17" s="210" t="str">
        <f>IFERROR(VLOOKUP($I$22&amp;D17,'Development-Hidden'!$C$2:$E$118,3,FALSE),"0")</f>
        <v>0</v>
      </c>
      <c r="AD17" s="206"/>
      <c r="AE17" s="207"/>
      <c r="AF17" s="207"/>
      <c r="AG17" s="207"/>
      <c r="AH17" s="207"/>
      <c r="AI17" s="207"/>
      <c r="AJ17" s="211"/>
      <c r="AK17" s="136"/>
      <c r="AL17" s="235" t="s">
        <v>359</v>
      </c>
      <c r="AM17" s="236"/>
      <c r="AN17" s="237"/>
      <c r="AO17" s="238"/>
      <c r="AP17" s="239"/>
      <c r="AQ17" s="237"/>
      <c r="AR17" s="240"/>
      <c r="AS17" s="241"/>
      <c r="AT17" s="242"/>
      <c r="AU17" s="136"/>
    </row>
    <row r="18" spans="1:47" ht="15.75" customHeight="1">
      <c r="A18" s="137"/>
      <c r="B18" s="192">
        <v>15</v>
      </c>
      <c r="C18" s="193"/>
      <c r="D18" s="194"/>
      <c r="E18" s="195" t="str">
        <f>IFERROR(VLOOKUP($I$22&amp;$D18,'Development-Hidden'!$C$2:$J$118,4,FALSE)-P18+AF18,"")</f>
        <v/>
      </c>
      <c r="F18" s="196" t="str">
        <f>IFERROR(VLOOKUP($I$22&amp;$D18,'Development-Hidden'!$C$2:$J$118,5,FALSE)-Q18+AG18,"")</f>
        <v/>
      </c>
      <c r="G18" s="196" t="str">
        <f>IFERROR(VLOOKUP($I$22&amp;$D18,'Development-Hidden'!$C$2:$J$118,6,FALSE)-R18+AH18,"")</f>
        <v/>
      </c>
      <c r="H18" s="197" t="str">
        <f>IFERROR(VLOOKUP($I$22&amp;$D18,'Development-Hidden'!$C$2:$J$118,7,FALSE)-S18+AI18,"")</f>
        <v/>
      </c>
      <c r="I18" s="198" t="str">
        <f>IFERROR(VLOOKUP($I$22&amp;$D18,'Development-Hidden'!$C$2:$J$118,8,FALSE),"")</f>
        <v/>
      </c>
      <c r="J18" s="199"/>
      <c r="K18" s="200">
        <f t="shared" si="0"/>
        <v>0</v>
      </c>
      <c r="L18" s="201"/>
      <c r="M18" s="201"/>
      <c r="N18" s="201"/>
      <c r="O18" s="202"/>
      <c r="P18" s="203"/>
      <c r="Q18" s="204"/>
      <c r="R18" s="204"/>
      <c r="S18" s="205"/>
      <c r="T18" s="565"/>
      <c r="U18" s="524"/>
      <c r="V18" s="524"/>
      <c r="W18" s="524"/>
      <c r="X18" s="525"/>
      <c r="Y18" s="524"/>
      <c r="Z18" s="209">
        <f t="shared" si="1"/>
        <v>0</v>
      </c>
      <c r="AA18" s="183">
        <f t="shared" si="2"/>
        <v>0</v>
      </c>
      <c r="AB18" s="136"/>
      <c r="AC18" s="210" t="str">
        <f>IFERROR(VLOOKUP($I$22&amp;D18,'Development-Hidden'!$C$2:$E$118,3,FALSE),"0")</f>
        <v>0</v>
      </c>
      <c r="AD18" s="206"/>
      <c r="AE18" s="207"/>
      <c r="AF18" s="207"/>
      <c r="AG18" s="207"/>
      <c r="AH18" s="207"/>
      <c r="AI18" s="207"/>
      <c r="AJ18" s="211"/>
      <c r="AK18" s="136"/>
      <c r="AL18" s="243" t="s">
        <v>219</v>
      </c>
      <c r="AM18" s="244">
        <f>AM4+SUM(AM6:AM17)-SUM(AN6:AN17)-SUM(AO6:AO17)</f>
        <v>190000</v>
      </c>
      <c r="AN18" s="136"/>
      <c r="AO18" s="136"/>
      <c r="AP18" s="189"/>
      <c r="AQ18" s="243" t="s">
        <v>219</v>
      </c>
      <c r="AR18" s="245">
        <f t="shared" ref="AR18:AS18" si="3">SUM(AR6:AR17)</f>
        <v>0</v>
      </c>
      <c r="AS18" s="246">
        <f t="shared" si="3"/>
        <v>0</v>
      </c>
      <c r="AT18" s="247">
        <f>AT4+SUM(AT6:AT17)</f>
        <v>5</v>
      </c>
      <c r="AU18" s="140"/>
    </row>
    <row r="19" spans="1:47" ht="15.75" customHeight="1">
      <c r="A19" s="137"/>
      <c r="B19" s="248">
        <v>16</v>
      </c>
      <c r="C19" s="249" t="s">
        <v>304</v>
      </c>
      <c r="D19" s="194" t="s">
        <v>83</v>
      </c>
      <c r="E19" s="251">
        <f>IFERROR(VLOOKUP($I$22&amp;$D19,'Development-Hidden'!$C$2:$J$118,4,FALSE)-P19+AF19,"")</f>
        <v>6</v>
      </c>
      <c r="F19" s="252">
        <f>IFERROR(VLOOKUP($I$22&amp;$D19,'Development-Hidden'!$C$2:$J$118,5,FALSE)-Q19+AG19,"")</f>
        <v>3</v>
      </c>
      <c r="G19" s="252">
        <f>IFERROR(VLOOKUP($I$22&amp;$D19,'Development-Hidden'!$C$2:$J$118,6,FALSE)-R19+AH19,"")</f>
        <v>3</v>
      </c>
      <c r="H19" s="253">
        <f>IFERROR(VLOOKUP($I$22&amp;$D19,'Development-Hidden'!$C$2:$J$118,7,FALSE)-S19+AI19,"")</f>
        <v>8</v>
      </c>
      <c r="I19" s="254" t="str">
        <f>IFERROR(VLOOKUP($I$22&amp;$D19,'Development-Hidden'!$C$2:$J$118,8,FALSE),"")</f>
        <v>Pass, Sure Hands</v>
      </c>
      <c r="J19" s="255" t="s">
        <v>417</v>
      </c>
      <c r="K19" s="256">
        <f t="shared" si="0"/>
        <v>2</v>
      </c>
      <c r="L19" s="257"/>
      <c r="M19" s="257"/>
      <c r="N19" s="257">
        <v>1</v>
      </c>
      <c r="O19" s="258"/>
      <c r="P19" s="259"/>
      <c r="Q19" s="260"/>
      <c r="R19" s="260"/>
      <c r="S19" s="261"/>
      <c r="T19" s="566"/>
      <c r="U19" s="566">
        <v>4</v>
      </c>
      <c r="V19" s="566">
        <v>1</v>
      </c>
      <c r="W19" s="566">
        <v>1</v>
      </c>
      <c r="X19" s="567"/>
      <c r="Y19" s="566">
        <v>2</v>
      </c>
      <c r="Z19" s="265">
        <f t="shared" si="1"/>
        <v>19</v>
      </c>
      <c r="AA19" s="183">
        <f t="shared" si="2"/>
        <v>110000</v>
      </c>
      <c r="AB19" s="136"/>
      <c r="AC19" s="266">
        <f>IFERROR(VLOOKUP($I$22&amp;D19,'Development-Hidden'!$C$2:$E$118,3,FALSE),"")</f>
        <v>70000</v>
      </c>
      <c r="AD19" s="267">
        <v>2</v>
      </c>
      <c r="AE19" s="268"/>
      <c r="AF19" s="268"/>
      <c r="AG19" s="268"/>
      <c r="AH19" s="268"/>
      <c r="AI19" s="268"/>
      <c r="AJ19" s="269"/>
      <c r="AK19" s="136"/>
    </row>
    <row r="20" spans="1:47" ht="15.75" customHeight="1">
      <c r="A20" s="137"/>
      <c r="B20" s="571"/>
      <c r="C20" s="572"/>
      <c r="D20" s="573"/>
      <c r="E20" s="586" t="s">
        <v>364</v>
      </c>
      <c r="F20" s="587"/>
      <c r="G20" s="587"/>
      <c r="H20" s="587"/>
      <c r="I20" s="587"/>
      <c r="J20" s="587"/>
      <c r="K20" s="587"/>
      <c r="L20" s="587"/>
      <c r="M20" s="587"/>
      <c r="N20" s="587"/>
      <c r="O20" s="587"/>
      <c r="P20" s="587"/>
      <c r="Q20" s="587"/>
      <c r="R20" s="587"/>
      <c r="S20" s="587"/>
      <c r="T20" s="587"/>
      <c r="U20" s="587"/>
      <c r="V20" s="587"/>
      <c r="W20" s="587"/>
      <c r="X20" s="587"/>
      <c r="Y20" s="587"/>
      <c r="Z20" s="588"/>
      <c r="AA20" s="270">
        <f>SUM(AA4:AA19)</f>
        <v>1200000</v>
      </c>
      <c r="AB20" s="136"/>
      <c r="AC20" s="136"/>
      <c r="AD20" s="136"/>
      <c r="AE20" s="136"/>
      <c r="AF20" s="136"/>
      <c r="AG20" s="136"/>
      <c r="AH20" s="136"/>
      <c r="AI20" s="136"/>
      <c r="AJ20" s="136"/>
      <c r="AK20" s="136"/>
      <c r="AL20" s="189"/>
      <c r="AM20" s="189"/>
      <c r="AN20" s="189"/>
      <c r="AO20" s="189"/>
      <c r="AP20" s="189"/>
      <c r="AQ20" s="189"/>
      <c r="AR20" s="189"/>
      <c r="AS20" s="189"/>
      <c r="AT20" s="189"/>
      <c r="AU20" s="189"/>
    </row>
    <row r="21" spans="1:47" ht="15.75" customHeight="1">
      <c r="A21" s="137"/>
      <c r="B21" s="574"/>
      <c r="C21" s="575"/>
      <c r="D21" s="576"/>
      <c r="E21" s="580" t="s">
        <v>365</v>
      </c>
      <c r="F21" s="581"/>
      <c r="G21" s="581"/>
      <c r="H21" s="581"/>
      <c r="I21" s="589" t="s">
        <v>31</v>
      </c>
      <c r="J21" s="581"/>
      <c r="K21" s="590"/>
      <c r="L21" s="584" t="s">
        <v>366</v>
      </c>
      <c r="M21" s="581"/>
      <c r="N21" s="581"/>
      <c r="O21" s="581"/>
      <c r="P21" s="581"/>
      <c r="Q21" s="581"/>
      <c r="R21" s="581"/>
      <c r="S21" s="585"/>
      <c r="T21" s="271">
        <v>3</v>
      </c>
      <c r="U21" s="272" t="s">
        <v>220</v>
      </c>
      <c r="V21" s="580">
        <f>IFERROR(VLOOKUP(I22,'Development-Hidden'!N2:O28,2,FALSE),"")</f>
        <v>50000</v>
      </c>
      <c r="W21" s="581"/>
      <c r="X21" s="581"/>
      <c r="Y21" s="581"/>
      <c r="Z21" s="590"/>
      <c r="AA21" s="273">
        <f t="shared" ref="AA21:AA25" si="4">T21*V21</f>
        <v>150000</v>
      </c>
      <c r="AB21" s="136"/>
      <c r="AC21" s="136"/>
      <c r="AD21" s="136"/>
      <c r="AE21" s="136"/>
      <c r="AF21" s="136"/>
      <c r="AG21" s="136"/>
      <c r="AH21" s="136"/>
      <c r="AI21" s="136"/>
      <c r="AJ21" s="136"/>
      <c r="AK21" s="136"/>
      <c r="AL21" s="604" t="s">
        <v>367</v>
      </c>
      <c r="AM21" s="588"/>
      <c r="AN21" s="136"/>
      <c r="AO21" s="136"/>
      <c r="AP21" s="136"/>
      <c r="AQ21" s="136"/>
      <c r="AR21" s="136"/>
      <c r="AS21" s="136"/>
      <c r="AT21" s="136"/>
      <c r="AU21" s="136"/>
    </row>
    <row r="22" spans="1:47" ht="15.75" customHeight="1">
      <c r="A22" s="137"/>
      <c r="B22" s="574"/>
      <c r="C22" s="575"/>
      <c r="D22" s="576"/>
      <c r="E22" s="582" t="s">
        <v>368</v>
      </c>
      <c r="F22" s="583"/>
      <c r="G22" s="583"/>
      <c r="H22" s="583"/>
      <c r="I22" s="598" t="s">
        <v>532</v>
      </c>
      <c r="J22" s="583"/>
      <c r="K22" s="597"/>
      <c r="L22" s="591" t="s">
        <v>369</v>
      </c>
      <c r="M22" s="583"/>
      <c r="N22" s="583"/>
      <c r="O22" s="583"/>
      <c r="P22" s="583"/>
      <c r="Q22" s="583"/>
      <c r="R22" s="583"/>
      <c r="S22" s="592"/>
      <c r="T22" s="274">
        <v>5</v>
      </c>
      <c r="U22" s="275" t="s">
        <v>220</v>
      </c>
      <c r="V22" s="582">
        <v>10000</v>
      </c>
      <c r="W22" s="583"/>
      <c r="X22" s="583"/>
      <c r="Y22" s="583"/>
      <c r="Z22" s="597"/>
      <c r="AA22" s="276">
        <f t="shared" si="4"/>
        <v>50000</v>
      </c>
      <c r="AB22" s="136"/>
      <c r="AC22" s="136"/>
      <c r="AD22" s="136"/>
      <c r="AE22" s="136"/>
      <c r="AF22" s="136"/>
      <c r="AG22" s="136"/>
      <c r="AH22" s="136"/>
      <c r="AI22" s="136"/>
      <c r="AJ22" s="136"/>
      <c r="AK22" s="136"/>
      <c r="AL22" s="277" t="s">
        <v>370</v>
      </c>
      <c r="AM22" s="278">
        <f>AM18</f>
        <v>190000</v>
      </c>
      <c r="AN22" s="136"/>
      <c r="AO22" s="136"/>
      <c r="AP22" s="136"/>
      <c r="AQ22" s="136"/>
      <c r="AR22" s="136"/>
      <c r="AS22" s="136"/>
      <c r="AT22" s="136"/>
      <c r="AU22" s="136"/>
    </row>
    <row r="23" spans="1:47" ht="15.75" customHeight="1">
      <c r="A23" s="137"/>
      <c r="B23" s="574"/>
      <c r="C23" s="575"/>
      <c r="D23" s="576"/>
      <c r="E23" s="582" t="str">
        <f>IFERROR(IF(VLOOKUP(I22,'Development-Hidden'!X2:Y28,2,FALSE)="Yes","NECROMANCER","HEAD COACH"),"HEAD COACH")</f>
        <v>HEAD COACH</v>
      </c>
      <c r="F23" s="583"/>
      <c r="G23" s="583"/>
      <c r="H23" s="583"/>
      <c r="I23" s="598" t="s">
        <v>592</v>
      </c>
      <c r="J23" s="583"/>
      <c r="K23" s="597"/>
      <c r="L23" s="591" t="s">
        <v>371</v>
      </c>
      <c r="M23" s="583"/>
      <c r="N23" s="583"/>
      <c r="O23" s="583"/>
      <c r="P23" s="583"/>
      <c r="Q23" s="583"/>
      <c r="R23" s="583"/>
      <c r="S23" s="592"/>
      <c r="T23" s="274">
        <v>0</v>
      </c>
      <c r="U23" s="275" t="s">
        <v>220</v>
      </c>
      <c r="V23" s="582">
        <v>10000</v>
      </c>
      <c r="W23" s="583"/>
      <c r="X23" s="583"/>
      <c r="Y23" s="583"/>
      <c r="Z23" s="597"/>
      <c r="AA23" s="276">
        <f t="shared" si="4"/>
        <v>0</v>
      </c>
      <c r="AB23" s="136"/>
      <c r="AC23" s="136"/>
      <c r="AD23" s="136"/>
      <c r="AE23" s="136"/>
      <c r="AF23" s="136"/>
      <c r="AG23" s="136"/>
      <c r="AH23" s="136"/>
      <c r="AI23" s="136"/>
      <c r="AJ23" s="136"/>
      <c r="AK23" s="136"/>
      <c r="AL23" s="279" t="s">
        <v>372</v>
      </c>
      <c r="AM23" s="280">
        <f>COUNTA(AP6:AP17)*10000</f>
        <v>0</v>
      </c>
      <c r="AN23" s="136"/>
      <c r="AO23" s="136"/>
      <c r="AP23" s="136"/>
      <c r="AQ23" s="136"/>
      <c r="AR23" s="136"/>
      <c r="AS23" s="136"/>
      <c r="AT23" s="136"/>
      <c r="AU23" s="136"/>
    </row>
    <row r="24" spans="1:47" ht="15.75" customHeight="1">
      <c r="A24" s="137"/>
      <c r="B24" s="574"/>
      <c r="C24" s="575"/>
      <c r="D24" s="576"/>
      <c r="E24" s="582" t="s">
        <v>373</v>
      </c>
      <c r="F24" s="583"/>
      <c r="G24" s="583"/>
      <c r="H24" s="583"/>
      <c r="I24" s="599">
        <f>AA20+AA26</f>
        <v>1450000</v>
      </c>
      <c r="J24" s="583"/>
      <c r="K24" s="597"/>
      <c r="L24" s="591" t="s">
        <v>375</v>
      </c>
      <c r="M24" s="583"/>
      <c r="N24" s="583"/>
      <c r="O24" s="583"/>
      <c r="P24" s="583"/>
      <c r="Q24" s="583"/>
      <c r="R24" s="583"/>
      <c r="S24" s="592"/>
      <c r="T24" s="274">
        <v>0</v>
      </c>
      <c r="U24" s="275" t="s">
        <v>220</v>
      </c>
      <c r="V24" s="582">
        <v>10000</v>
      </c>
      <c r="W24" s="583"/>
      <c r="X24" s="583"/>
      <c r="Y24" s="583"/>
      <c r="Z24" s="597"/>
      <c r="AA24" s="276">
        <f t="shared" si="4"/>
        <v>0</v>
      </c>
      <c r="AB24" s="136"/>
      <c r="AC24" s="136"/>
      <c r="AD24" s="136"/>
      <c r="AE24" s="136"/>
      <c r="AF24" s="136"/>
      <c r="AG24" s="136"/>
      <c r="AH24" s="136"/>
      <c r="AI24" s="136"/>
      <c r="AJ24" s="136"/>
      <c r="AK24" s="136"/>
      <c r="AL24" s="279" t="s">
        <v>33</v>
      </c>
      <c r="AM24" s="280">
        <f>AR18*5000</f>
        <v>0</v>
      </c>
      <c r="AN24" s="136"/>
      <c r="AO24" s="136"/>
      <c r="AP24" s="136"/>
      <c r="AQ24" s="136"/>
      <c r="AR24" s="136"/>
      <c r="AS24" s="136"/>
      <c r="AT24" s="136"/>
      <c r="AU24" s="136"/>
    </row>
    <row r="25" spans="1:47" ht="15.75" customHeight="1">
      <c r="A25" s="137"/>
      <c r="B25" s="574"/>
      <c r="C25" s="575"/>
      <c r="D25" s="576"/>
      <c r="E25" s="595" t="s">
        <v>376</v>
      </c>
      <c r="F25" s="594"/>
      <c r="G25" s="594"/>
      <c r="H25" s="596"/>
      <c r="I25" s="600">
        <f>AM18</f>
        <v>190000</v>
      </c>
      <c r="J25" s="594"/>
      <c r="K25" s="596"/>
      <c r="L25" s="593" t="str">
        <f>IFERROR(IF(VLOOKUP(I22,'Development-Hidden'!X2:Y28,1,FALSE)&lt;&gt;"","",""),"APOTHECARY")</f>
        <v>APOTHECARY</v>
      </c>
      <c r="M25" s="594"/>
      <c r="N25" s="594"/>
      <c r="O25" s="594"/>
      <c r="P25" s="594"/>
      <c r="Q25" s="594"/>
      <c r="R25" s="594"/>
      <c r="S25" s="594"/>
      <c r="T25" s="281">
        <v>1</v>
      </c>
      <c r="U25" s="275" t="str">
        <f>IF(L25&lt;&gt;"","x","")</f>
        <v>x</v>
      </c>
      <c r="V25" s="595">
        <f>IF(L25&lt;&gt;"",50000,"")</f>
        <v>50000</v>
      </c>
      <c r="W25" s="594"/>
      <c r="X25" s="594"/>
      <c r="Y25" s="594"/>
      <c r="Z25" s="596"/>
      <c r="AA25" s="276">
        <f t="shared" si="4"/>
        <v>50000</v>
      </c>
      <c r="AB25" s="136"/>
      <c r="AC25" s="136"/>
      <c r="AD25" s="136"/>
      <c r="AE25" s="136"/>
      <c r="AF25" s="136"/>
      <c r="AG25" s="136"/>
      <c r="AH25" s="136"/>
      <c r="AI25" s="136"/>
      <c r="AJ25" s="136"/>
      <c r="AK25" s="136"/>
      <c r="AL25" s="282" t="s">
        <v>34</v>
      </c>
      <c r="AM25" s="283">
        <f>AS18*5000</f>
        <v>0</v>
      </c>
      <c r="AN25" s="136"/>
      <c r="AO25" s="136"/>
      <c r="AP25" s="136"/>
      <c r="AQ25" s="136"/>
      <c r="AR25" s="136"/>
      <c r="AS25" s="136"/>
      <c r="AT25" s="136"/>
      <c r="AU25" s="136"/>
    </row>
    <row r="26" spans="1:47" ht="15.75" customHeight="1">
      <c r="A26" s="137"/>
      <c r="B26" s="577"/>
      <c r="C26" s="578"/>
      <c r="D26" s="579"/>
      <c r="E26" s="586" t="s">
        <v>379</v>
      </c>
      <c r="F26" s="587"/>
      <c r="G26" s="587"/>
      <c r="H26" s="587"/>
      <c r="I26" s="587"/>
      <c r="J26" s="587"/>
      <c r="K26" s="587"/>
      <c r="L26" s="587"/>
      <c r="M26" s="587"/>
      <c r="N26" s="587"/>
      <c r="O26" s="587"/>
      <c r="P26" s="587"/>
      <c r="Q26" s="587"/>
      <c r="R26" s="587"/>
      <c r="S26" s="587"/>
      <c r="T26" s="587"/>
      <c r="U26" s="587"/>
      <c r="V26" s="587"/>
      <c r="W26" s="587"/>
      <c r="X26" s="587"/>
      <c r="Y26" s="587"/>
      <c r="Z26" s="588"/>
      <c r="AA26" s="270">
        <f>SUM(AA21:AA25)</f>
        <v>250000</v>
      </c>
      <c r="AB26" s="136"/>
      <c r="AC26" s="136"/>
      <c r="AD26" s="136"/>
      <c r="AE26" s="136"/>
      <c r="AF26" s="136"/>
      <c r="AG26" s="136"/>
      <c r="AH26" s="136"/>
      <c r="AI26" s="136"/>
      <c r="AJ26" s="136"/>
      <c r="AK26" s="136"/>
      <c r="AL26" s="284" t="s">
        <v>219</v>
      </c>
      <c r="AM26" s="285">
        <f>SUM(AM22:AM25)</f>
        <v>190000</v>
      </c>
      <c r="AN26" s="136"/>
      <c r="AO26" s="136"/>
      <c r="AP26" s="136"/>
      <c r="AQ26" s="136"/>
      <c r="AR26" s="136"/>
      <c r="AS26" s="136"/>
      <c r="AT26" s="136"/>
      <c r="AU26" s="136"/>
    </row>
    <row r="27" spans="1:47" ht="82.5" customHeight="1">
      <c r="A27" s="136"/>
      <c r="B27" s="140"/>
      <c r="C27" s="286"/>
      <c r="D27" s="286"/>
      <c r="E27" s="287"/>
      <c r="F27" s="136"/>
      <c r="G27" s="136"/>
      <c r="H27" s="136"/>
      <c r="I27" s="288"/>
      <c r="J27" s="289"/>
      <c r="K27" s="136"/>
      <c r="L27" s="290"/>
      <c r="M27" s="290"/>
      <c r="N27" s="290"/>
      <c r="O27" s="290"/>
      <c r="P27" s="290"/>
      <c r="Q27" s="290"/>
      <c r="R27" s="290"/>
      <c r="S27" s="290"/>
      <c r="T27" s="291"/>
      <c r="U27" s="292"/>
      <c r="V27" s="143"/>
      <c r="W27" s="293"/>
      <c r="X27" s="293"/>
      <c r="Y27" s="293"/>
      <c r="Z27" s="293"/>
      <c r="AA27" s="294"/>
      <c r="AB27" s="136"/>
      <c r="AC27" s="136"/>
      <c r="AD27" s="136"/>
      <c r="AE27" s="136"/>
      <c r="AF27" s="136"/>
      <c r="AG27" s="136"/>
      <c r="AH27" s="136"/>
      <c r="AI27" s="136"/>
      <c r="AJ27" s="136"/>
      <c r="AK27" s="136"/>
      <c r="AL27" s="136"/>
      <c r="AM27" s="136"/>
      <c r="AN27" s="136"/>
      <c r="AO27" s="136"/>
      <c r="AP27" s="136"/>
      <c r="AQ27" s="136"/>
      <c r="AR27" s="136"/>
      <c r="AS27" s="136"/>
      <c r="AT27" s="136"/>
      <c r="AU27" s="136"/>
    </row>
    <row r="28" spans="1:47" ht="17.25" hidden="1" customHeight="1">
      <c r="A28" s="295"/>
      <c r="B28" s="296"/>
      <c r="C28" s="432">
        <f>MATCH(I22,'Development-Hidden'!A2:A118,0)</f>
        <v>52</v>
      </c>
      <c r="D28" s="432" t="str">
        <f t="array" ref="D28">IFERROR(IF(INDEX('Development-Hidden'!$A$2:$B$118,$C28,1)=$I$22,INDEX('Development-Hidden'!$A$2:$B$118,$C28,2),""),"")</f>
        <v>Lineman</v>
      </c>
      <c r="E28" s="298"/>
      <c r="F28" s="298"/>
      <c r="G28" s="298"/>
      <c r="H28" s="298"/>
      <c r="I28" s="298"/>
      <c r="J28" s="299"/>
      <c r="K28" s="295"/>
      <c r="L28" s="300"/>
      <c r="M28" s="300"/>
      <c r="N28" s="300"/>
      <c r="O28" s="300"/>
      <c r="P28" s="300"/>
      <c r="Q28" s="300"/>
      <c r="R28" s="300"/>
      <c r="S28" s="300"/>
      <c r="T28" s="301"/>
      <c r="U28" s="302"/>
      <c r="V28" s="301"/>
      <c r="W28" s="303"/>
      <c r="X28" s="303"/>
      <c r="Y28" s="303"/>
      <c r="Z28" s="303"/>
      <c r="AA28" s="298"/>
      <c r="AB28" s="295"/>
      <c r="AC28" s="295"/>
      <c r="AD28" s="295"/>
      <c r="AE28" s="295"/>
      <c r="AF28" s="295"/>
      <c r="AG28" s="295"/>
      <c r="AH28" s="295"/>
      <c r="AI28" s="295"/>
      <c r="AJ28" s="295"/>
      <c r="AK28" s="295"/>
      <c r="AL28" s="295"/>
      <c r="AM28" s="295"/>
      <c r="AN28" s="295"/>
      <c r="AO28" s="295"/>
      <c r="AP28" s="295"/>
      <c r="AQ28" s="295"/>
      <c r="AR28" s="295"/>
      <c r="AS28" s="295"/>
      <c r="AT28" s="295"/>
      <c r="AU28" s="295"/>
    </row>
    <row r="29" spans="1:47" ht="17.25" hidden="1" customHeight="1">
      <c r="A29" s="295"/>
      <c r="B29" s="296"/>
      <c r="C29" s="432">
        <f t="shared" ref="C29:C37" si="5">C28+1</f>
        <v>53</v>
      </c>
      <c r="D29" s="432" t="str">
        <f t="array" ref="D29">IFERROR(IF(INDEX('Development-Hidden'!$A$2:$B$118,$C29,1)=$I$22,INDEX('Development-Hidden'!$A$2:$B$118,$C29,2),""),"")</f>
        <v>Catcher</v>
      </c>
      <c r="E29" s="298"/>
      <c r="F29" s="298"/>
      <c r="G29" s="298"/>
      <c r="H29" s="298"/>
      <c r="I29" s="298"/>
      <c r="J29" s="299"/>
      <c r="K29" s="295"/>
      <c r="L29" s="300"/>
      <c r="M29" s="300"/>
      <c r="N29" s="300"/>
      <c r="O29" s="300"/>
      <c r="P29" s="300"/>
      <c r="Q29" s="300"/>
      <c r="R29" s="300"/>
      <c r="S29" s="300"/>
      <c r="T29" s="301"/>
      <c r="U29" s="302"/>
      <c r="V29" s="301"/>
      <c r="W29" s="303"/>
      <c r="X29" s="303"/>
      <c r="Y29" s="303"/>
      <c r="Z29" s="303"/>
      <c r="AA29" s="298"/>
      <c r="AB29" s="295"/>
      <c r="AC29" s="295"/>
      <c r="AD29" s="295"/>
      <c r="AE29" s="295"/>
      <c r="AF29" s="295"/>
      <c r="AG29" s="295"/>
      <c r="AH29" s="295"/>
      <c r="AI29" s="295"/>
      <c r="AJ29" s="295"/>
      <c r="AK29" s="295"/>
      <c r="AL29" s="295"/>
      <c r="AM29" s="295"/>
      <c r="AN29" s="295"/>
      <c r="AO29" s="295"/>
      <c r="AP29" s="295"/>
      <c r="AQ29" s="295"/>
      <c r="AR29" s="295"/>
      <c r="AS29" s="295"/>
      <c r="AT29" s="295"/>
      <c r="AU29" s="295"/>
    </row>
    <row r="30" spans="1:47" ht="17.25" hidden="1" customHeight="1">
      <c r="A30" s="295"/>
      <c r="B30" s="296"/>
      <c r="C30" s="432">
        <f t="shared" si="5"/>
        <v>54</v>
      </c>
      <c r="D30" s="432" t="str">
        <f t="array" ref="D30">IFERROR(IF(INDEX('Development-Hidden'!$A$2:$B$118,$C30,1)=$I$22,INDEX('Development-Hidden'!$A$2:$B$118,$C30,2),""),"")</f>
        <v>Thrower</v>
      </c>
      <c r="E30" s="298"/>
      <c r="F30" s="298"/>
      <c r="G30" s="298"/>
      <c r="H30" s="298"/>
      <c r="I30" s="298"/>
      <c r="J30" s="299"/>
      <c r="K30" s="295"/>
      <c r="L30" s="300"/>
      <c r="M30" s="300"/>
      <c r="N30" s="300"/>
      <c r="O30" s="300"/>
      <c r="P30" s="300"/>
      <c r="Q30" s="300"/>
      <c r="R30" s="300"/>
      <c r="S30" s="300"/>
      <c r="T30" s="301"/>
      <c r="U30" s="302"/>
      <c r="V30" s="301"/>
      <c r="W30" s="303"/>
      <c r="X30" s="303"/>
      <c r="Y30" s="303"/>
      <c r="Z30" s="303"/>
      <c r="AA30" s="298"/>
      <c r="AB30" s="295"/>
      <c r="AC30" s="295"/>
      <c r="AD30" s="295"/>
      <c r="AE30" s="295"/>
      <c r="AF30" s="295"/>
      <c r="AG30" s="295"/>
      <c r="AH30" s="295"/>
      <c r="AI30" s="295"/>
      <c r="AJ30" s="295"/>
      <c r="AK30" s="295"/>
      <c r="AL30" s="295"/>
      <c r="AM30" s="295"/>
      <c r="AN30" s="295"/>
      <c r="AO30" s="295"/>
      <c r="AP30" s="295"/>
      <c r="AQ30" s="295"/>
      <c r="AR30" s="295"/>
      <c r="AS30" s="295"/>
      <c r="AT30" s="295"/>
      <c r="AU30" s="295"/>
    </row>
    <row r="31" spans="1:47" ht="17.25" hidden="1" customHeight="1">
      <c r="A31" s="295"/>
      <c r="B31" s="296"/>
      <c r="C31" s="432">
        <f t="shared" si="5"/>
        <v>55</v>
      </c>
      <c r="D31" s="432" t="str">
        <f t="array" ref="D31">IFERROR(IF(INDEX('Development-Hidden'!$A$2:$B$118,$C31,1)=$I$22,INDEX('Development-Hidden'!$A$2:$B$118,$C31,2),""),"")</f>
        <v>Blitzer</v>
      </c>
      <c r="E31" s="298"/>
      <c r="F31" s="298"/>
      <c r="G31" s="298"/>
      <c r="H31" s="298"/>
      <c r="I31" s="298"/>
      <c r="J31" s="299"/>
      <c r="K31" s="295"/>
      <c r="L31" s="300"/>
      <c r="M31" s="300"/>
      <c r="N31" s="300"/>
      <c r="O31" s="300"/>
      <c r="P31" s="300"/>
      <c r="Q31" s="300"/>
      <c r="R31" s="300"/>
      <c r="S31" s="300"/>
      <c r="T31" s="301"/>
      <c r="U31" s="302"/>
      <c r="V31" s="301"/>
      <c r="W31" s="303"/>
      <c r="X31" s="303"/>
      <c r="Y31" s="303"/>
      <c r="Z31" s="303"/>
      <c r="AA31" s="298"/>
      <c r="AB31" s="295"/>
      <c r="AC31" s="295"/>
      <c r="AD31" s="295"/>
      <c r="AE31" s="295"/>
      <c r="AF31" s="295"/>
      <c r="AG31" s="295"/>
      <c r="AH31" s="295"/>
      <c r="AI31" s="295"/>
      <c r="AJ31" s="295"/>
      <c r="AK31" s="295"/>
      <c r="AL31" s="295"/>
      <c r="AM31" s="295"/>
      <c r="AN31" s="295"/>
      <c r="AO31" s="295"/>
      <c r="AP31" s="295"/>
      <c r="AQ31" s="295"/>
      <c r="AR31" s="295"/>
      <c r="AS31" s="295"/>
      <c r="AT31" s="295"/>
      <c r="AU31" s="295"/>
    </row>
    <row r="32" spans="1:47" ht="17.25" hidden="1" customHeight="1">
      <c r="A32" s="295"/>
      <c r="B32" s="296"/>
      <c r="C32" s="432">
        <f t="shared" si="5"/>
        <v>56</v>
      </c>
      <c r="D32" s="432" t="str">
        <f t="array" ref="D32">IFERROR(IF(INDEX('Development-Hidden'!$A$2:$B$118,$C32,1)=$I$22,INDEX('Development-Hidden'!$A$2:$B$118,$C32,2),""),"")</f>
        <v>Ogre</v>
      </c>
      <c r="E32" s="298"/>
      <c r="F32" s="298"/>
      <c r="G32" s="298"/>
      <c r="H32" s="298"/>
      <c r="I32" s="298"/>
      <c r="J32" s="299"/>
      <c r="K32" s="295"/>
      <c r="L32" s="300"/>
      <c r="M32" s="300"/>
      <c r="N32" s="300"/>
      <c r="O32" s="300"/>
      <c r="P32" s="300"/>
      <c r="Q32" s="300"/>
      <c r="R32" s="300"/>
      <c r="S32" s="300"/>
      <c r="T32" s="301"/>
      <c r="U32" s="302"/>
      <c r="V32" s="301"/>
      <c r="W32" s="303"/>
      <c r="X32" s="303"/>
      <c r="Y32" s="303"/>
      <c r="Z32" s="303"/>
      <c r="AA32" s="298"/>
      <c r="AB32" s="295"/>
      <c r="AC32" s="295"/>
      <c r="AD32" s="295"/>
      <c r="AE32" s="295"/>
      <c r="AF32" s="295"/>
      <c r="AG32" s="295"/>
      <c r="AH32" s="295"/>
      <c r="AI32" s="295"/>
      <c r="AJ32" s="295"/>
      <c r="AK32" s="295"/>
      <c r="AL32" s="295"/>
      <c r="AM32" s="295"/>
      <c r="AN32" s="295"/>
      <c r="AO32" s="295"/>
      <c r="AP32" s="295"/>
      <c r="AQ32" s="295"/>
      <c r="AR32" s="295"/>
      <c r="AS32" s="295"/>
      <c r="AT32" s="295"/>
      <c r="AU32" s="295"/>
    </row>
    <row r="33" spans="1:47" ht="17.25" hidden="1" customHeight="1">
      <c r="A33" s="295"/>
      <c r="B33" s="296"/>
      <c r="C33" s="432">
        <f t="shared" si="5"/>
        <v>57</v>
      </c>
      <c r="D33" s="432" t="str">
        <f t="array" ref="D33">IFERROR(IF(INDEX('Development-Hidden'!$A$2:$B$118,$C33,1)=$I$22,INDEX('Development-Hidden'!$A$2:$B$118,$C33,2),""),"")</f>
        <v/>
      </c>
      <c r="E33" s="298"/>
      <c r="F33" s="298"/>
      <c r="G33" s="298"/>
      <c r="H33" s="298"/>
      <c r="I33" s="298"/>
      <c r="J33" s="299"/>
      <c r="K33" s="295"/>
      <c r="L33" s="300"/>
      <c r="M33" s="300"/>
      <c r="N33" s="300"/>
      <c r="O33" s="300"/>
      <c r="P33" s="300"/>
      <c r="Q33" s="300"/>
      <c r="R33" s="300"/>
      <c r="S33" s="300"/>
      <c r="T33" s="301"/>
      <c r="U33" s="302"/>
      <c r="V33" s="301"/>
      <c r="W33" s="303"/>
      <c r="X33" s="303"/>
      <c r="Y33" s="303"/>
      <c r="Z33" s="303"/>
      <c r="AA33" s="298"/>
      <c r="AB33" s="295"/>
      <c r="AC33" s="295"/>
      <c r="AD33" s="295"/>
      <c r="AE33" s="295"/>
      <c r="AF33" s="295"/>
      <c r="AG33" s="295"/>
      <c r="AH33" s="295"/>
      <c r="AI33" s="295"/>
      <c r="AJ33" s="295"/>
      <c r="AK33" s="295"/>
      <c r="AL33" s="295"/>
      <c r="AM33" s="295"/>
      <c r="AN33" s="295"/>
      <c r="AO33" s="295"/>
      <c r="AP33" s="295"/>
      <c r="AQ33" s="295"/>
      <c r="AR33" s="295"/>
      <c r="AS33" s="295"/>
      <c r="AT33" s="295"/>
      <c r="AU33" s="295"/>
    </row>
    <row r="34" spans="1:47" ht="17.25" hidden="1" customHeight="1">
      <c r="A34" s="295"/>
      <c r="B34" s="296"/>
      <c r="C34" s="432">
        <f t="shared" si="5"/>
        <v>58</v>
      </c>
      <c r="D34" s="432" t="str">
        <f t="array" ref="D34">IFERROR(IF(INDEX('Development-Hidden'!$A$2:$B$118,$C34,1)=$I$22,INDEX('Development-Hidden'!$A$2:$B$118,$C34,2),""),"")</f>
        <v/>
      </c>
      <c r="E34" s="298"/>
      <c r="F34" s="298"/>
      <c r="G34" s="298"/>
      <c r="H34" s="298"/>
      <c r="I34" s="298"/>
      <c r="J34" s="299"/>
      <c r="K34" s="295"/>
      <c r="L34" s="300"/>
      <c r="M34" s="300"/>
      <c r="N34" s="300"/>
      <c r="O34" s="300"/>
      <c r="P34" s="300"/>
      <c r="Q34" s="300"/>
      <c r="R34" s="300"/>
      <c r="S34" s="300"/>
      <c r="T34" s="301"/>
      <c r="U34" s="302"/>
      <c r="V34" s="301"/>
      <c r="W34" s="303"/>
      <c r="X34" s="303"/>
      <c r="Y34" s="303"/>
      <c r="Z34" s="303"/>
      <c r="AA34" s="298"/>
      <c r="AB34" s="295"/>
      <c r="AC34" s="295"/>
      <c r="AD34" s="295"/>
      <c r="AE34" s="295"/>
      <c r="AF34" s="295"/>
      <c r="AG34" s="295"/>
      <c r="AH34" s="295"/>
      <c r="AI34" s="295"/>
      <c r="AJ34" s="295"/>
      <c r="AK34" s="295"/>
      <c r="AL34" s="295"/>
      <c r="AM34" s="295"/>
      <c r="AN34" s="295"/>
      <c r="AO34" s="295"/>
      <c r="AP34" s="295"/>
      <c r="AQ34" s="295"/>
      <c r="AR34" s="295"/>
      <c r="AS34" s="295"/>
      <c r="AT34" s="295"/>
      <c r="AU34" s="295"/>
    </row>
    <row r="35" spans="1:47" ht="17.25" hidden="1" customHeight="1">
      <c r="A35" s="295"/>
      <c r="B35" s="296"/>
      <c r="C35" s="432">
        <f t="shared" si="5"/>
        <v>59</v>
      </c>
      <c r="D35" s="432" t="str">
        <f t="array" ref="D35">IFERROR(IF(INDEX('Development-Hidden'!$A$2:$B$118,$C35,1)=$I$22,INDEX('Development-Hidden'!$A$2:$B$118,$C35,2),""),"")</f>
        <v/>
      </c>
      <c r="E35" s="298"/>
      <c r="F35" s="298"/>
      <c r="G35" s="298"/>
      <c r="H35" s="298"/>
      <c r="I35" s="298"/>
      <c r="J35" s="299"/>
      <c r="K35" s="295"/>
      <c r="L35" s="300"/>
      <c r="M35" s="300"/>
      <c r="N35" s="300"/>
      <c r="O35" s="300"/>
      <c r="P35" s="300"/>
      <c r="Q35" s="300"/>
      <c r="R35" s="300"/>
      <c r="S35" s="300"/>
      <c r="T35" s="301"/>
      <c r="U35" s="302"/>
      <c r="V35" s="301"/>
      <c r="W35" s="303"/>
      <c r="X35" s="303"/>
      <c r="Y35" s="303"/>
      <c r="Z35" s="303"/>
      <c r="AA35" s="298"/>
      <c r="AB35" s="295"/>
      <c r="AC35" s="295"/>
      <c r="AD35" s="295"/>
      <c r="AE35" s="295"/>
      <c r="AF35" s="295"/>
      <c r="AG35" s="295"/>
      <c r="AH35" s="295"/>
      <c r="AI35" s="295"/>
      <c r="AJ35" s="295"/>
      <c r="AK35" s="295"/>
      <c r="AL35" s="295"/>
      <c r="AM35" s="295"/>
      <c r="AN35" s="295"/>
      <c r="AO35" s="295"/>
      <c r="AP35" s="295"/>
      <c r="AQ35" s="295"/>
      <c r="AR35" s="295"/>
      <c r="AS35" s="295"/>
      <c r="AT35" s="295"/>
      <c r="AU35" s="295"/>
    </row>
    <row r="36" spans="1:47" ht="17.25" hidden="1" customHeight="1">
      <c r="A36" s="295"/>
      <c r="B36" s="296"/>
      <c r="C36" s="432">
        <f t="shared" si="5"/>
        <v>60</v>
      </c>
      <c r="D36" s="432" t="str">
        <f t="array" ref="D36">IFERROR(IF(INDEX('Development-Hidden'!$A$2:$B$118,$C36,1)=$I$22,INDEX('Development-Hidden'!$A$2:$B$118,$C36,2),""),"")</f>
        <v/>
      </c>
      <c r="E36" s="298"/>
      <c r="F36" s="298"/>
      <c r="G36" s="298"/>
      <c r="H36" s="298"/>
      <c r="I36" s="298"/>
      <c r="J36" s="299"/>
      <c r="K36" s="295"/>
      <c r="L36" s="300"/>
      <c r="M36" s="300"/>
      <c r="N36" s="300"/>
      <c r="O36" s="300"/>
      <c r="P36" s="300"/>
      <c r="Q36" s="300"/>
      <c r="R36" s="300"/>
      <c r="S36" s="300"/>
      <c r="T36" s="301"/>
      <c r="U36" s="302"/>
      <c r="V36" s="301"/>
      <c r="W36" s="303"/>
      <c r="X36" s="303"/>
      <c r="Y36" s="303"/>
      <c r="Z36" s="303"/>
      <c r="AA36" s="298"/>
      <c r="AB36" s="295"/>
      <c r="AC36" s="295"/>
      <c r="AD36" s="295"/>
      <c r="AE36" s="295"/>
      <c r="AF36" s="295"/>
      <c r="AG36" s="295"/>
      <c r="AH36" s="295"/>
      <c r="AI36" s="295"/>
      <c r="AJ36" s="295"/>
      <c r="AK36" s="295"/>
      <c r="AL36" s="295"/>
      <c r="AM36" s="295"/>
      <c r="AN36" s="295"/>
      <c r="AO36" s="295"/>
      <c r="AP36" s="295"/>
      <c r="AQ36" s="295"/>
      <c r="AR36" s="295"/>
      <c r="AS36" s="295"/>
      <c r="AT36" s="295"/>
      <c r="AU36" s="295"/>
    </row>
    <row r="37" spans="1:47" ht="17.25" hidden="1" customHeight="1">
      <c r="A37" s="295"/>
      <c r="B37" s="296"/>
      <c r="C37" s="432">
        <f t="shared" si="5"/>
        <v>61</v>
      </c>
      <c r="D37" s="432" t="str">
        <f t="array" ref="D37">IFERROR(IF(INDEX('Development-Hidden'!$A$2:$B$118,$C37,1)=$I$22,INDEX('Development-Hidden'!$A$2:$B$118,$C37,2),""),"")</f>
        <v/>
      </c>
      <c r="E37" s="298"/>
      <c r="F37" s="298"/>
      <c r="G37" s="298"/>
      <c r="H37" s="298"/>
      <c r="I37" s="298"/>
      <c r="J37" s="299"/>
      <c r="K37" s="295"/>
      <c r="L37" s="300"/>
      <c r="M37" s="300"/>
      <c r="N37" s="300"/>
      <c r="O37" s="300"/>
      <c r="P37" s="300"/>
      <c r="Q37" s="300"/>
      <c r="R37" s="300"/>
      <c r="S37" s="300"/>
      <c r="T37" s="301"/>
      <c r="U37" s="302"/>
      <c r="V37" s="301"/>
      <c r="W37" s="303"/>
      <c r="X37" s="303"/>
      <c r="Y37" s="303"/>
      <c r="Z37" s="303"/>
      <c r="AA37" s="298"/>
      <c r="AB37" s="295"/>
      <c r="AC37" s="295"/>
      <c r="AD37" s="295"/>
      <c r="AE37" s="295"/>
      <c r="AF37" s="295"/>
      <c r="AG37" s="295"/>
      <c r="AH37" s="295"/>
      <c r="AI37" s="295"/>
      <c r="AJ37" s="295"/>
      <c r="AK37" s="295"/>
      <c r="AL37" s="295"/>
      <c r="AM37" s="295"/>
      <c r="AN37" s="295"/>
      <c r="AO37" s="295"/>
      <c r="AP37" s="295"/>
      <c r="AQ37" s="295"/>
      <c r="AR37" s="295"/>
      <c r="AS37" s="295"/>
      <c r="AT37" s="295"/>
      <c r="AU37" s="295"/>
    </row>
  </sheetData>
  <mergeCells count="27">
    <mergeCell ref="AL21:AM21"/>
    <mergeCell ref="V24:Z24"/>
    <mergeCell ref="AL3:AO3"/>
    <mergeCell ref="AP3:AT3"/>
    <mergeCell ref="E23:H23"/>
    <mergeCell ref="P2:S2"/>
    <mergeCell ref="V22:Z22"/>
    <mergeCell ref="V23:Z23"/>
    <mergeCell ref="L25:S25"/>
    <mergeCell ref="V25:Z25"/>
    <mergeCell ref="V21:Z21"/>
    <mergeCell ref="B20:D26"/>
    <mergeCell ref="I25:K25"/>
    <mergeCell ref="I24:K24"/>
    <mergeCell ref="E20:Z20"/>
    <mergeCell ref="E26:Z26"/>
    <mergeCell ref="E25:H25"/>
    <mergeCell ref="L22:S22"/>
    <mergeCell ref="I22:K22"/>
    <mergeCell ref="I23:K23"/>
    <mergeCell ref="L23:S23"/>
    <mergeCell ref="L24:S24"/>
    <mergeCell ref="E21:H21"/>
    <mergeCell ref="E22:H22"/>
    <mergeCell ref="L21:S21"/>
    <mergeCell ref="I21:K21"/>
    <mergeCell ref="E24:H24"/>
  </mergeCells>
  <conditionalFormatting sqref="AA4:AA19">
    <cfRule type="cellIs" dxfId="55" priority="1" operator="equal">
      <formula>0</formula>
    </cfRule>
  </conditionalFormatting>
  <conditionalFormatting sqref="J4">
    <cfRule type="expression" dxfId="54" priority="2">
      <formula>K4&lt;&gt;SUM(AD4:AI4)</formula>
    </cfRule>
  </conditionalFormatting>
  <conditionalFormatting sqref="I4:I19">
    <cfRule type="cellIs" dxfId="53" priority="3" stopIfTrue="1" operator="equal">
      <formula>"Player type quantity surpassed"</formula>
    </cfRule>
  </conditionalFormatting>
  <conditionalFormatting sqref="J5">
    <cfRule type="expression" dxfId="52" priority="4">
      <formula>K5&lt;&gt;SUM(AD5:AI5)</formula>
    </cfRule>
  </conditionalFormatting>
  <conditionalFormatting sqref="J6">
    <cfRule type="expression" dxfId="51" priority="5">
      <formula>K6&lt;&gt;SUM(AD6:AI6)</formula>
    </cfRule>
  </conditionalFormatting>
  <conditionalFormatting sqref="J7">
    <cfRule type="expression" dxfId="50" priority="6">
      <formula>K7&lt;&gt;SUM(AD7:AI7)</formula>
    </cfRule>
  </conditionalFormatting>
  <conditionalFormatting sqref="J8">
    <cfRule type="expression" dxfId="49" priority="7">
      <formula>K8&lt;&gt;SUM(AD8:AI8)</formula>
    </cfRule>
  </conditionalFormatting>
  <conditionalFormatting sqref="J9">
    <cfRule type="expression" dxfId="48" priority="8">
      <formula>K9&lt;&gt;SUM(AD9:AI9)</formula>
    </cfRule>
  </conditionalFormatting>
  <conditionalFormatting sqref="J10">
    <cfRule type="expression" dxfId="47" priority="9">
      <formula>K10&lt;&gt;SUM(AD10:AI10)</formula>
    </cfRule>
  </conditionalFormatting>
  <conditionalFormatting sqref="J11">
    <cfRule type="expression" dxfId="46" priority="10">
      <formula>K11&lt;&gt;SUM(AD11:AI11)</formula>
    </cfRule>
  </conditionalFormatting>
  <conditionalFormatting sqref="J12">
    <cfRule type="expression" dxfId="45" priority="11">
      <formula>K12&lt;&gt;SUM(AD12:AI12)</formula>
    </cfRule>
  </conditionalFormatting>
  <conditionalFormatting sqref="J13">
    <cfRule type="expression" dxfId="44" priority="12">
      <formula>K13&lt;&gt;SUM(AD13:AI13)</formula>
    </cfRule>
  </conditionalFormatting>
  <conditionalFormatting sqref="J14">
    <cfRule type="expression" dxfId="43" priority="13">
      <formula>K14&lt;&gt;SUM(AD14:AI14)</formula>
    </cfRule>
  </conditionalFormatting>
  <conditionalFormatting sqref="J15">
    <cfRule type="expression" dxfId="42" priority="14">
      <formula>K15&lt;&gt;SUM(AD15:AI15)</formula>
    </cfRule>
  </conditionalFormatting>
  <conditionalFormatting sqref="J16">
    <cfRule type="expression" dxfId="41" priority="15">
      <formula>K16&lt;&gt;SUM(AD16:AI16)</formula>
    </cfRule>
  </conditionalFormatting>
  <conditionalFormatting sqref="J17">
    <cfRule type="expression" dxfId="40" priority="16">
      <formula>K17&lt;&gt;SUM(AD17:AI17)</formula>
    </cfRule>
  </conditionalFormatting>
  <conditionalFormatting sqref="J18">
    <cfRule type="expression" dxfId="39" priority="17">
      <formula>K18&lt;&gt;SUM(AD18:AI18)</formula>
    </cfRule>
  </conditionalFormatting>
  <conditionalFormatting sqref="J19">
    <cfRule type="expression" dxfId="38" priority="18">
      <formula>K19&lt;&gt;SUM(AD19:AI19)</formula>
    </cfRule>
  </conditionalFormatting>
  <conditionalFormatting sqref="K4:K19">
    <cfRule type="cellIs" dxfId="37" priority="19" operator="equal">
      <formula>0</formula>
    </cfRule>
  </conditionalFormatting>
  <conditionalFormatting sqref="E4:H19">
    <cfRule type="expression" dxfId="36" priority="20">
      <formula>AF4&gt;0</formula>
    </cfRule>
  </conditionalFormatting>
  <conditionalFormatting sqref="E4:H19">
    <cfRule type="expression" dxfId="35" priority="21">
      <formula>P4&gt;0</formula>
    </cfRule>
  </conditionalFormatting>
  <conditionalFormatting sqref="I4:I19 T4:W19 Y4:Y19 U27:U37">
    <cfRule type="cellIs" dxfId="34" priority="22" stopIfTrue="1" operator="equal">
      <formula>0</formula>
    </cfRule>
  </conditionalFormatting>
  <conditionalFormatting sqref="AA27">
    <cfRule type="cellIs" dxfId="33" priority="23" stopIfTrue="1" operator="equal">
      <formula>"0,0"</formula>
    </cfRule>
  </conditionalFormatting>
  <conditionalFormatting sqref="P4:S19">
    <cfRule type="cellIs" dxfId="32" priority="24" stopIfTrue="1" operator="lessThanOrEqual">
      <formula>-1</formula>
    </cfRule>
  </conditionalFormatting>
  <conditionalFormatting sqref="V25:W25">
    <cfRule type="cellIs" dxfId="31" priority="25" stopIfTrue="1" operator="equal">
      <formula>-500</formula>
    </cfRule>
  </conditionalFormatting>
  <conditionalFormatting sqref="T25">
    <cfRule type="cellIs" dxfId="30" priority="26" stopIfTrue="1" operator="greaterThan">
      <formula>$V$25</formula>
    </cfRule>
  </conditionalFormatting>
  <conditionalFormatting sqref="Z4:Z19">
    <cfRule type="cellIs" dxfId="29" priority="27" stopIfTrue="1" operator="equal">
      <formula>"Star"</formula>
    </cfRule>
  </conditionalFormatting>
  <conditionalFormatting sqref="Z4:Z19">
    <cfRule type="cellIs" dxfId="28" priority="28" stopIfTrue="1" operator="equal">
      <formula>AA4</formula>
    </cfRule>
  </conditionalFormatting>
  <dataValidations count="2">
    <dataValidation type="list" allowBlank="1" showErrorMessage="1" sqref="D4:D19">
      <formula1>'TL1'!$D$28:$D$37</formula1>
    </dataValidation>
    <dataValidation type="list" allowBlank="1" showErrorMessage="1" sqref="I22">
      <formula1>'Development-Hidden'!$N$2:$N$28</formula1>
    </dataValidation>
  </dataValidation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000000"/>
  </sheetPr>
  <dimension ref="A1:AU37"/>
  <sheetViews>
    <sheetView showGridLines="0" workbookViewId="0">
      <selection activeCell="T25" sqref="T25"/>
    </sheetView>
  </sheetViews>
  <sheetFormatPr defaultColWidth="14.42578125" defaultRowHeight="15.75" customHeight="1"/>
  <cols>
    <col min="1" max="1" width="1.85546875" style="139" customWidth="1"/>
    <col min="2" max="2" width="3.140625" style="139" customWidth="1"/>
    <col min="3" max="3" width="19.28515625" style="139" customWidth="1"/>
    <col min="4" max="4" width="21.28515625" style="139" customWidth="1"/>
    <col min="5" max="8" width="3.42578125" style="139" customWidth="1"/>
    <col min="9" max="9" width="30.85546875" style="139" customWidth="1"/>
    <col min="10" max="10" width="23" style="139" customWidth="1"/>
    <col min="11" max="11" width="1.85546875" style="139" hidden="1" customWidth="1"/>
    <col min="12" max="15" width="2.42578125" style="139" customWidth="1"/>
    <col min="16" max="19" width="2.7109375" style="139" customWidth="1"/>
    <col min="20" max="21" width="3.28515625" style="139" customWidth="1"/>
    <col min="22" max="22" width="2.42578125" style="139" customWidth="1"/>
    <col min="23" max="23" width="3.28515625" style="139" customWidth="1"/>
    <col min="24" max="24" width="2.7109375" style="139" customWidth="1"/>
    <col min="25" max="25" width="3.28515625" style="139" customWidth="1"/>
    <col min="26" max="26" width="4.42578125" style="139" customWidth="1"/>
    <col min="27" max="27" width="10.28515625" style="139" customWidth="1"/>
    <col min="28" max="28" width="5.5703125" style="139" customWidth="1"/>
    <col min="29" max="29" width="8.85546875" style="139" customWidth="1"/>
    <col min="30" max="35" width="4.140625" style="139" customWidth="1"/>
    <col min="36" max="36" width="12.28515625" style="139" customWidth="1"/>
    <col min="37" max="37" width="6.42578125" style="139" customWidth="1"/>
    <col min="38" max="38" width="12.7109375" style="139" customWidth="1"/>
    <col min="39" max="39" width="11.42578125" style="139" customWidth="1"/>
    <col min="40" max="41" width="10.7109375" style="139" customWidth="1"/>
    <col min="42" max="42" width="26.140625" style="139" customWidth="1"/>
    <col min="43" max="44" width="10.7109375" style="139" customWidth="1"/>
    <col min="45" max="45" width="12.28515625" style="139" customWidth="1"/>
    <col min="46" max="46" width="10.7109375" style="139" customWidth="1"/>
    <col min="47" max="47" width="2.28515625" style="139" customWidth="1"/>
    <col min="48" max="16384" width="14.42578125" style="139"/>
  </cols>
  <sheetData>
    <row r="1" spans="1:47" ht="9" customHeight="1">
      <c r="A1" s="136"/>
      <c r="B1" s="137"/>
      <c r="C1" s="137"/>
      <c r="D1" s="138"/>
      <c r="E1" s="137"/>
      <c r="F1" s="137"/>
      <c r="G1" s="137"/>
      <c r="H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</row>
    <row r="2" spans="1:47" ht="9.75" customHeight="1">
      <c r="A2" s="136"/>
      <c r="B2" s="140"/>
      <c r="C2" s="140"/>
      <c r="D2" s="141"/>
      <c r="E2" s="140"/>
      <c r="F2" s="140"/>
      <c r="G2" s="140"/>
      <c r="H2" s="140"/>
      <c r="I2" s="137"/>
      <c r="J2" s="140"/>
      <c r="K2" s="136"/>
      <c r="L2" s="140"/>
      <c r="M2" s="140"/>
      <c r="N2" s="140"/>
      <c r="O2" s="140"/>
      <c r="P2" s="602" t="s">
        <v>218</v>
      </c>
      <c r="Q2" s="572"/>
      <c r="R2" s="572"/>
      <c r="S2" s="573"/>
      <c r="T2" s="142"/>
      <c r="U2" s="142"/>
      <c r="V2" s="142"/>
      <c r="W2" s="142"/>
      <c r="X2" s="143"/>
      <c r="Y2" s="142"/>
      <c r="Z2" s="140"/>
      <c r="AA2" s="140"/>
      <c r="AB2" s="136"/>
      <c r="AC2" s="140"/>
      <c r="AD2" s="140"/>
      <c r="AE2" s="140"/>
      <c r="AF2" s="144"/>
      <c r="AG2" s="140"/>
      <c r="AH2" s="140"/>
      <c r="AI2" s="140"/>
      <c r="AJ2" s="140"/>
      <c r="AK2" s="136"/>
      <c r="AL2" s="145"/>
      <c r="AM2" s="145"/>
      <c r="AN2" s="145"/>
      <c r="AO2" s="145"/>
      <c r="AP2" s="145"/>
      <c r="AQ2" s="145"/>
      <c r="AR2" s="145"/>
      <c r="AS2" s="145"/>
      <c r="AT2" s="145"/>
      <c r="AU2" s="145"/>
    </row>
    <row r="3" spans="1:47" ht="8.25" customHeight="1">
      <c r="A3" s="137"/>
      <c r="B3" s="146" t="s">
        <v>203</v>
      </c>
      <c r="C3" s="147" t="s">
        <v>32</v>
      </c>
      <c r="D3" s="148" t="s">
        <v>229</v>
      </c>
      <c r="E3" s="149" t="s">
        <v>206</v>
      </c>
      <c r="F3" s="150" t="s">
        <v>207</v>
      </c>
      <c r="G3" s="151" t="s">
        <v>208</v>
      </c>
      <c r="H3" s="152" t="s">
        <v>209</v>
      </c>
      <c r="I3" s="153" t="s">
        <v>230</v>
      </c>
      <c r="J3" s="152" t="s">
        <v>231</v>
      </c>
      <c r="K3" s="154" t="s">
        <v>203</v>
      </c>
      <c r="L3" s="155" t="s">
        <v>232</v>
      </c>
      <c r="M3" s="156" t="s">
        <v>233</v>
      </c>
      <c r="N3" s="156" t="s">
        <v>234</v>
      </c>
      <c r="O3" s="157" t="s">
        <v>235</v>
      </c>
      <c r="P3" s="158" t="s">
        <v>206</v>
      </c>
      <c r="Q3" s="159" t="s">
        <v>207</v>
      </c>
      <c r="R3" s="159" t="s">
        <v>208</v>
      </c>
      <c r="S3" s="160" t="s">
        <v>209</v>
      </c>
      <c r="T3" s="161" t="s">
        <v>236</v>
      </c>
      <c r="U3" s="156" t="s">
        <v>237</v>
      </c>
      <c r="V3" s="156" t="s">
        <v>210</v>
      </c>
      <c r="W3" s="156" t="s">
        <v>240</v>
      </c>
      <c r="X3" s="162" t="s">
        <v>35</v>
      </c>
      <c r="Y3" s="157" t="s">
        <v>211</v>
      </c>
      <c r="Z3" s="153" t="s">
        <v>212</v>
      </c>
      <c r="AA3" s="163" t="s">
        <v>241</v>
      </c>
      <c r="AB3" s="136"/>
      <c r="AC3" s="146" t="s">
        <v>242</v>
      </c>
      <c r="AD3" s="153" t="s">
        <v>233</v>
      </c>
      <c r="AE3" s="150" t="s">
        <v>243</v>
      </c>
      <c r="AF3" s="164" t="str">
        <f>"+MA"</f>
        <v>+MA</v>
      </c>
      <c r="AG3" s="150" t="str">
        <f>"+ST"</f>
        <v>+ST</v>
      </c>
      <c r="AH3" s="150" t="str">
        <f>"+AG"</f>
        <v>+AG</v>
      </c>
      <c r="AI3" s="150" t="str">
        <f>"+AV"</f>
        <v>+AV</v>
      </c>
      <c r="AJ3" s="163" t="s">
        <v>244</v>
      </c>
      <c r="AK3" s="136"/>
      <c r="AL3" s="601" t="s">
        <v>245</v>
      </c>
      <c r="AM3" s="575"/>
      <c r="AN3" s="575"/>
      <c r="AO3" s="575"/>
      <c r="AP3" s="603" t="s">
        <v>246</v>
      </c>
      <c r="AQ3" s="575"/>
      <c r="AR3" s="575"/>
      <c r="AS3" s="575"/>
      <c r="AT3" s="575"/>
      <c r="AU3" s="145"/>
    </row>
    <row r="4" spans="1:47" ht="15.75" customHeight="1">
      <c r="A4" s="137"/>
      <c r="B4" s="165">
        <v>1</v>
      </c>
      <c r="C4" s="193" t="s">
        <v>566</v>
      </c>
      <c r="D4" s="167" t="s">
        <v>54</v>
      </c>
      <c r="E4" s="168">
        <f>IFERROR(VLOOKUP($I$22&amp;$D4,'Development-Hidden'!$C$2:$J$118,4,FALSE)-P4+AF4,"")</f>
        <v>3</v>
      </c>
      <c r="F4" s="169">
        <f>IFERROR(VLOOKUP($I$22&amp;$D4,'Development-Hidden'!$C$2:$J$118,5,FALSE)-Q4+AG4,"")</f>
        <v>5</v>
      </c>
      <c r="G4" s="169">
        <f>IFERROR(VLOOKUP($I$22&amp;$D4,'Development-Hidden'!$C$2:$J$118,6,FALSE)-R4+AH4,"")</f>
        <v>1</v>
      </c>
      <c r="H4" s="170">
        <f>IFERROR(VLOOKUP($I$22&amp;$D4,'Development-Hidden'!$C$2:$J$118,7,FALSE)-S4+AI4,"")</f>
        <v>9</v>
      </c>
      <c r="I4" s="171" t="str">
        <f>IFERROR(VLOOKUP($I$22&amp;$D4,'Development-Hidden'!$C$2:$J$118,8,FALSE),"")</f>
        <v>Mighty Blow, Regeneration</v>
      </c>
      <c r="J4" s="172" t="s">
        <v>277</v>
      </c>
      <c r="K4" s="173">
        <f t="shared" ref="K4:K19" si="0">IF(Z4&gt;175,6,IF(Z4&gt;75,5,IF(Z4&gt;50,4,IF(Z4&gt;30,3,IF(Z4&gt;15,2,IF(Z4&gt;5,1,0))))))</f>
        <v>1</v>
      </c>
      <c r="L4" s="174"/>
      <c r="M4" s="174"/>
      <c r="N4" s="174"/>
      <c r="O4" s="175"/>
      <c r="P4" s="176"/>
      <c r="Q4" s="177"/>
      <c r="R4" s="177"/>
      <c r="S4" s="178"/>
      <c r="T4" s="179"/>
      <c r="U4" s="180"/>
      <c r="V4" s="180"/>
      <c r="W4" s="180">
        <v>5</v>
      </c>
      <c r="X4" s="177">
        <v>2</v>
      </c>
      <c r="Y4" s="181">
        <v>1</v>
      </c>
      <c r="Z4" s="182">
        <f t="shared" ref="Z4:Z19" si="1">2*T4+U4+3*V4+2*W4+5*Y4</f>
        <v>15</v>
      </c>
      <c r="AA4" s="183">
        <f t="shared" ref="AA4:AA5" si="2">IF(L4=1,0,AC4+(20000*O4)+(20000*AD4)+(30000*AE4)+(30000*AF4)+(50000*AG4)+(40000*AH4)+(30000*AI4)+AJ4)</f>
        <v>150000</v>
      </c>
      <c r="AB4" s="136"/>
      <c r="AC4" s="184">
        <f>IFERROR(VLOOKUP($I$22&amp;D4,'Development-Hidden'!$C$2:$E$118,3,FALSE),"")</f>
        <v>120000</v>
      </c>
      <c r="AD4" s="179"/>
      <c r="AE4" s="180">
        <v>1</v>
      </c>
      <c r="AF4" s="180"/>
      <c r="AG4" s="180"/>
      <c r="AH4" s="180"/>
      <c r="AI4" s="180"/>
      <c r="AJ4" s="185"/>
      <c r="AK4" s="136"/>
      <c r="AL4" s="186" t="s">
        <v>252</v>
      </c>
      <c r="AM4" s="187">
        <v>0</v>
      </c>
      <c r="AN4" s="136"/>
      <c r="AO4" s="136"/>
      <c r="AP4" s="188"/>
      <c r="AQ4" s="189"/>
      <c r="AR4" s="189"/>
      <c r="AS4" s="186" t="s">
        <v>253</v>
      </c>
      <c r="AT4" s="190">
        <v>3</v>
      </c>
      <c r="AU4" s="191"/>
    </row>
    <row r="5" spans="1:47" ht="15.75" customHeight="1">
      <c r="A5" s="137"/>
      <c r="B5" s="192">
        <v>2</v>
      </c>
      <c r="C5" s="568" t="s">
        <v>568</v>
      </c>
      <c r="D5" s="194" t="s">
        <v>54</v>
      </c>
      <c r="E5" s="195">
        <f>IFERROR(VLOOKUP($I$22&amp;$D5,'Development-Hidden'!$C$2:$J$118,4,FALSE)-P5+AF5,"")</f>
        <v>3</v>
      </c>
      <c r="F5" s="196">
        <f>IFERROR(VLOOKUP($I$22&amp;$D5,'Development-Hidden'!$C$2:$J$118,5,FALSE)-Q5+AG5,"")</f>
        <v>5</v>
      </c>
      <c r="G5" s="196">
        <f>IFERROR(VLOOKUP($I$22&amp;$D5,'Development-Hidden'!$C$2:$J$118,6,FALSE)-R5+AH5,"")</f>
        <v>1</v>
      </c>
      <c r="H5" s="197">
        <f>IFERROR(VLOOKUP($I$22&amp;$D5,'Development-Hidden'!$C$2:$J$118,7,FALSE)-S5+AI5,"")</f>
        <v>9</v>
      </c>
      <c r="I5" s="198" t="str">
        <f>IFERROR(VLOOKUP($I$22&amp;$D5,'Development-Hidden'!$C$2:$J$118,8,FALSE),"")</f>
        <v>Mighty Blow, Regeneration</v>
      </c>
      <c r="J5" s="199"/>
      <c r="K5" s="200">
        <f t="shared" si="0"/>
        <v>0</v>
      </c>
      <c r="L5" s="201"/>
      <c r="M5" s="201"/>
      <c r="N5" s="201"/>
      <c r="O5" s="202"/>
      <c r="P5" s="203"/>
      <c r="Q5" s="204"/>
      <c r="R5" s="204"/>
      <c r="S5" s="205"/>
      <c r="T5" s="206"/>
      <c r="U5" s="207"/>
      <c r="V5" s="207"/>
      <c r="W5" s="207"/>
      <c r="X5" s="204"/>
      <c r="Y5" s="208"/>
      <c r="Z5" s="209">
        <f t="shared" si="1"/>
        <v>0</v>
      </c>
      <c r="AA5" s="183">
        <f t="shared" si="2"/>
        <v>120000</v>
      </c>
      <c r="AB5" s="136"/>
      <c r="AC5" s="210">
        <f>IFERROR(VLOOKUP($I$22&amp;D5,'Development-Hidden'!$C$2:$E$118,3,FALSE),"")</f>
        <v>120000</v>
      </c>
      <c r="AD5" s="206"/>
      <c r="AE5" s="207"/>
      <c r="AF5" s="207"/>
      <c r="AG5" s="207"/>
      <c r="AH5" s="207"/>
      <c r="AI5" s="207"/>
      <c r="AJ5" s="211"/>
      <c r="AK5" s="136" t="s">
        <v>517</v>
      </c>
      <c r="AL5" s="212" t="s">
        <v>256</v>
      </c>
      <c r="AM5" s="213" t="s">
        <v>257</v>
      </c>
      <c r="AN5" s="214" t="s">
        <v>258</v>
      </c>
      <c r="AO5" s="215" t="s">
        <v>259</v>
      </c>
      <c r="AP5" s="216" t="s">
        <v>260</v>
      </c>
      <c r="AQ5" s="214" t="s">
        <v>261</v>
      </c>
      <c r="AR5" s="217" t="s">
        <v>33</v>
      </c>
      <c r="AS5" s="217" t="s">
        <v>262</v>
      </c>
      <c r="AT5" s="218" t="s">
        <v>221</v>
      </c>
      <c r="AU5" s="144"/>
    </row>
    <row r="6" spans="1:47" ht="15.75" customHeight="1">
      <c r="A6" s="137"/>
      <c r="B6" s="192">
        <v>3</v>
      </c>
      <c r="C6" s="193"/>
      <c r="D6" s="194"/>
      <c r="E6" s="195" t="str">
        <f>IFERROR(VLOOKUP($I$22&amp;$D6,'Development-Hidden'!$C$2:$J$118,4,FALSE)-P6+AF6,"")</f>
        <v/>
      </c>
      <c r="F6" s="196" t="str">
        <f>IFERROR(VLOOKUP($I$22&amp;$D6,'Development-Hidden'!$C$2:$J$118,5,FALSE)-Q6+AG6,"")</f>
        <v/>
      </c>
      <c r="G6" s="196" t="str">
        <f>IFERROR(VLOOKUP($I$22&amp;$D6,'Development-Hidden'!$C$2:$J$118,6,FALSE)-R6+AH6,"")</f>
        <v/>
      </c>
      <c r="H6" s="197" t="str">
        <f>IFERROR(VLOOKUP($I$22&amp;$D6,'Development-Hidden'!$C$2:$J$118,7,FALSE)-S6+AI6,"")</f>
        <v/>
      </c>
      <c r="I6" s="198" t="str">
        <f>IFERROR(VLOOKUP($I$22&amp;$D6,'Development-Hidden'!$C$2:$J$118,8,FALSE),"")</f>
        <v/>
      </c>
      <c r="J6" s="199"/>
      <c r="K6" s="200">
        <f t="shared" si="0"/>
        <v>0</v>
      </c>
      <c r="L6" s="201"/>
      <c r="M6" s="201"/>
      <c r="N6" s="201"/>
      <c r="O6" s="202"/>
      <c r="P6" s="203"/>
      <c r="Q6" s="204"/>
      <c r="R6" s="204"/>
      <c r="S6" s="205"/>
      <c r="T6" s="206"/>
      <c r="U6" s="207"/>
      <c r="V6" s="207"/>
      <c r="W6" s="207"/>
      <c r="X6" s="204"/>
      <c r="Y6" s="208"/>
      <c r="Z6" s="209">
        <f t="shared" si="1"/>
        <v>0</v>
      </c>
      <c r="AA6" s="183">
        <f t="shared" ref="AA6:AA19" si="3">IF(L6=1,0,AC6+(20000*O6)+(20000*AD6)+(30000*AE6)+(30000*AF6)+(50000*AG6)+(40000*AH6)+(50000*AI6)+AJ6)</f>
        <v>0</v>
      </c>
      <c r="AB6" s="136"/>
      <c r="AC6" s="210" t="str">
        <f>IFERROR(VLOOKUP($I$22&amp;D6,'Development-Hidden'!$C$2:$E$118,3,FALSE),"0")</f>
        <v>0</v>
      </c>
      <c r="AD6" s="206"/>
      <c r="AE6" s="207"/>
      <c r="AF6" s="207"/>
      <c r="AG6" s="207"/>
      <c r="AH6" s="207"/>
      <c r="AI6" s="207"/>
      <c r="AJ6" s="211"/>
      <c r="AK6" s="136">
        <v>10</v>
      </c>
      <c r="AL6" s="219" t="s">
        <v>267</v>
      </c>
      <c r="AM6" s="220">
        <v>50000</v>
      </c>
      <c r="AN6" s="221" t="s">
        <v>424</v>
      </c>
      <c r="AO6" s="222" t="s">
        <v>424</v>
      </c>
      <c r="AP6" s="223" t="s">
        <v>571</v>
      </c>
      <c r="AQ6" s="221" t="s">
        <v>572</v>
      </c>
      <c r="AR6" s="224">
        <v>2</v>
      </c>
      <c r="AS6" s="225">
        <v>4</v>
      </c>
      <c r="AT6" s="463">
        <v>1</v>
      </c>
      <c r="AU6" s="136"/>
    </row>
    <row r="7" spans="1:47" ht="15.75" customHeight="1">
      <c r="A7" s="137"/>
      <c r="B7" s="192">
        <v>4</v>
      </c>
      <c r="C7" s="193" t="s">
        <v>573</v>
      </c>
      <c r="D7" s="194" t="s">
        <v>199</v>
      </c>
      <c r="E7" s="195">
        <f>IFERROR(VLOOKUP($I$22&amp;$D7,'Development-Hidden'!$C$2:$J$118,4,FALSE)-P7+AF7,"")</f>
        <v>6</v>
      </c>
      <c r="F7" s="196">
        <f>IFERROR(VLOOKUP($I$22&amp;$D7,'Development-Hidden'!$C$2:$J$118,5,FALSE)-Q7+AG7,"")</f>
        <v>3</v>
      </c>
      <c r="G7" s="196">
        <f>IFERROR(VLOOKUP($I$22&amp;$D7,'Development-Hidden'!$C$2:$J$118,6,FALSE)-R7+AH7,"")</f>
        <v>3</v>
      </c>
      <c r="H7" s="197">
        <f>IFERROR(VLOOKUP($I$22&amp;$D7,'Development-Hidden'!$C$2:$J$118,7,FALSE)-S7+AI7,"")</f>
        <v>8</v>
      </c>
      <c r="I7" s="198" t="str">
        <f>IFERROR(VLOOKUP($I$22&amp;$D7,'Development-Hidden'!$C$2:$J$118,8,FALSE),"")</f>
        <v>Block, Regeneration</v>
      </c>
      <c r="J7" s="199" t="s">
        <v>377</v>
      </c>
      <c r="K7" s="200">
        <f t="shared" si="0"/>
        <v>1</v>
      </c>
      <c r="L7" s="201"/>
      <c r="M7" s="201"/>
      <c r="N7" s="201"/>
      <c r="O7" s="202"/>
      <c r="P7" s="203"/>
      <c r="Q7" s="204"/>
      <c r="R7" s="204"/>
      <c r="S7" s="205"/>
      <c r="T7" s="206"/>
      <c r="U7" s="207"/>
      <c r="V7" s="207"/>
      <c r="W7" s="207"/>
      <c r="X7" s="204"/>
      <c r="Y7" s="208">
        <v>2</v>
      </c>
      <c r="Z7" s="209">
        <f t="shared" si="1"/>
        <v>10</v>
      </c>
      <c r="AA7" s="183">
        <f t="shared" si="3"/>
        <v>110000</v>
      </c>
      <c r="AB7" s="136"/>
      <c r="AC7" s="210">
        <f>IFERROR(VLOOKUP($I$22&amp;D7,'Development-Hidden'!$C$2:$E$118,3,FALSE),"")</f>
        <v>90000</v>
      </c>
      <c r="AD7" s="206">
        <v>1</v>
      </c>
      <c r="AE7" s="207"/>
      <c r="AF7" s="207"/>
      <c r="AG7" s="207"/>
      <c r="AH7" s="207"/>
      <c r="AI7" s="207"/>
      <c r="AJ7" s="211"/>
      <c r="AK7" s="136">
        <v>13</v>
      </c>
      <c r="AL7" s="227" t="s">
        <v>278</v>
      </c>
      <c r="AM7" s="228">
        <v>50000</v>
      </c>
      <c r="AN7" s="229">
        <v>70000</v>
      </c>
      <c r="AO7" s="230" t="s">
        <v>424</v>
      </c>
      <c r="AP7" s="231" t="s">
        <v>574</v>
      </c>
      <c r="AQ7" s="229" t="s">
        <v>467</v>
      </c>
      <c r="AR7" s="232">
        <v>1</v>
      </c>
      <c r="AS7" s="233">
        <v>0</v>
      </c>
      <c r="AT7" s="464">
        <v>0</v>
      </c>
      <c r="AU7" s="136"/>
    </row>
    <row r="8" spans="1:47" ht="15.75" customHeight="1">
      <c r="A8" s="137"/>
      <c r="B8" s="192">
        <v>5</v>
      </c>
      <c r="C8" s="568" t="s">
        <v>575</v>
      </c>
      <c r="D8" s="194" t="s">
        <v>199</v>
      </c>
      <c r="E8" s="195">
        <f>IFERROR(VLOOKUP($I$22&amp;$D8,'Development-Hidden'!$C$2:$J$118,4,FALSE)-P8+AF8,"")</f>
        <v>6</v>
      </c>
      <c r="F8" s="196">
        <f>IFERROR(VLOOKUP($I$22&amp;$D8,'Development-Hidden'!$C$2:$J$118,5,FALSE)-Q8+AG8,"")</f>
        <v>3</v>
      </c>
      <c r="G8" s="196">
        <f>IFERROR(VLOOKUP($I$22&amp;$D8,'Development-Hidden'!$C$2:$J$118,6,FALSE)-R8+AH8,"")</f>
        <v>3</v>
      </c>
      <c r="H8" s="197">
        <f>IFERROR(VLOOKUP($I$22&amp;$D8,'Development-Hidden'!$C$2:$J$118,7,FALSE)-S8+AI8,"")</f>
        <v>8</v>
      </c>
      <c r="I8" s="198" t="str">
        <f>IFERROR(VLOOKUP($I$22&amp;$D8,'Development-Hidden'!$C$2:$J$118,8,FALSE),"")</f>
        <v>Block, Regeneration</v>
      </c>
      <c r="J8" s="199"/>
      <c r="K8" s="200">
        <f t="shared" si="0"/>
        <v>0</v>
      </c>
      <c r="L8" s="201"/>
      <c r="M8" s="201"/>
      <c r="N8" s="201"/>
      <c r="O8" s="202"/>
      <c r="P8" s="203"/>
      <c r="Q8" s="204"/>
      <c r="R8" s="204"/>
      <c r="S8" s="205"/>
      <c r="T8" s="206"/>
      <c r="U8" s="207"/>
      <c r="V8" s="207"/>
      <c r="W8" s="207">
        <v>1</v>
      </c>
      <c r="X8" s="204"/>
      <c r="Y8" s="208"/>
      <c r="Z8" s="209">
        <f t="shared" si="1"/>
        <v>2</v>
      </c>
      <c r="AA8" s="183">
        <f t="shared" si="3"/>
        <v>90000</v>
      </c>
      <c r="AB8" s="136"/>
      <c r="AC8" s="210">
        <f>IFERROR(VLOOKUP($I$22&amp;D8,'Development-Hidden'!$C$2:$E$118,3,FALSE),"")</f>
        <v>90000</v>
      </c>
      <c r="AD8" s="206"/>
      <c r="AE8" s="207"/>
      <c r="AF8" s="207"/>
      <c r="AG8" s="207"/>
      <c r="AH8" s="207"/>
      <c r="AI8" s="207"/>
      <c r="AJ8" s="211"/>
      <c r="AK8" s="136">
        <v>20</v>
      </c>
      <c r="AL8" s="227" t="s">
        <v>289</v>
      </c>
      <c r="AM8" s="228">
        <v>70000</v>
      </c>
      <c r="AN8" s="229">
        <v>70000</v>
      </c>
      <c r="AO8" s="230" t="s">
        <v>424</v>
      </c>
      <c r="AP8" s="231" t="s">
        <v>576</v>
      </c>
      <c r="AQ8" s="229" t="s">
        <v>577</v>
      </c>
      <c r="AR8" s="232">
        <v>1</v>
      </c>
      <c r="AS8" s="233">
        <v>0</v>
      </c>
      <c r="AT8" s="464">
        <v>1</v>
      </c>
      <c r="AU8" s="136"/>
    </row>
    <row r="9" spans="1:47" ht="15.75" customHeight="1">
      <c r="A9" s="137"/>
      <c r="B9" s="192">
        <v>6</v>
      </c>
      <c r="C9" s="568" t="s">
        <v>578</v>
      </c>
      <c r="D9" s="194" t="s">
        <v>65</v>
      </c>
      <c r="E9" s="195">
        <f>IFERROR(VLOOKUP($I$22&amp;$D9,'Development-Hidden'!$C$2:$J$118,4,FALSE)-P9+AF9,"")</f>
        <v>7</v>
      </c>
      <c r="F9" s="196">
        <f>IFERROR(VLOOKUP($I$22&amp;$D9,'Development-Hidden'!$C$2:$J$118,5,FALSE)-Q9+AG9,"")</f>
        <v>3</v>
      </c>
      <c r="G9" s="196">
        <f>IFERROR(VLOOKUP($I$22&amp;$D9,'Development-Hidden'!$C$2:$J$118,6,FALSE)-R9+AH9,"")</f>
        <v>3</v>
      </c>
      <c r="H9" s="197">
        <f>IFERROR(VLOOKUP($I$22&amp;$D9,'Development-Hidden'!$C$2:$J$118,7,FALSE)-S9+AI9,"")</f>
        <v>7</v>
      </c>
      <c r="I9" s="198" t="str">
        <f>IFERROR(VLOOKUP($I$22&amp;$D9,'Development-Hidden'!$C$2:$J$118,8,FALSE),"")</f>
        <v>Dodge</v>
      </c>
      <c r="J9" s="199"/>
      <c r="K9" s="200">
        <f t="shared" si="0"/>
        <v>0</v>
      </c>
      <c r="L9" s="201"/>
      <c r="M9" s="201"/>
      <c r="N9" s="201"/>
      <c r="O9" s="202"/>
      <c r="P9" s="203"/>
      <c r="Q9" s="204"/>
      <c r="R9" s="204"/>
      <c r="S9" s="205"/>
      <c r="T9" s="206"/>
      <c r="U9" s="207"/>
      <c r="V9" s="207">
        <v>1</v>
      </c>
      <c r="W9" s="207"/>
      <c r="X9" s="204"/>
      <c r="Y9" s="208"/>
      <c r="Z9" s="209">
        <f t="shared" si="1"/>
        <v>3</v>
      </c>
      <c r="AA9" s="183">
        <f t="shared" si="3"/>
        <v>70000</v>
      </c>
      <c r="AB9" s="136"/>
      <c r="AC9" s="210">
        <f>IFERROR(VLOOKUP($I$22&amp;D9,'Development-Hidden'!$C$2:$E$118,3,FALSE),"")</f>
        <v>70000</v>
      </c>
      <c r="AD9" s="206"/>
      <c r="AE9" s="207"/>
      <c r="AF9" s="207"/>
      <c r="AG9" s="207"/>
      <c r="AH9" s="207"/>
      <c r="AI9" s="207"/>
      <c r="AJ9" s="211"/>
      <c r="AK9" s="136">
        <v>28</v>
      </c>
      <c r="AL9" s="227" t="s">
        <v>296</v>
      </c>
      <c r="AM9" s="228">
        <v>60000</v>
      </c>
      <c r="AN9" s="229" t="s">
        <v>424</v>
      </c>
      <c r="AO9" s="230" t="s">
        <v>424</v>
      </c>
      <c r="AP9" s="231" t="s">
        <v>581</v>
      </c>
      <c r="AQ9" s="229" t="s">
        <v>577</v>
      </c>
      <c r="AR9" s="232">
        <v>1</v>
      </c>
      <c r="AS9" s="233">
        <v>1</v>
      </c>
      <c r="AT9" s="464">
        <v>1</v>
      </c>
      <c r="AU9" s="136"/>
    </row>
    <row r="10" spans="1:47" ht="15.75" customHeight="1">
      <c r="A10" s="137"/>
      <c r="B10" s="192">
        <v>7</v>
      </c>
      <c r="C10" s="569" t="s">
        <v>582</v>
      </c>
      <c r="D10" s="194" t="s">
        <v>65</v>
      </c>
      <c r="E10" s="195">
        <f>IFERROR(VLOOKUP($I$22&amp;$D10,'Development-Hidden'!$C$2:$J$118,4,FALSE)-P10+AF10,"")</f>
        <v>7</v>
      </c>
      <c r="F10" s="196">
        <f>IFERROR(VLOOKUP($I$22&amp;$D10,'Development-Hidden'!$C$2:$J$118,5,FALSE)-Q10+AG10,"")</f>
        <v>3</v>
      </c>
      <c r="G10" s="196">
        <f>IFERROR(VLOOKUP($I$22&amp;$D10,'Development-Hidden'!$C$2:$J$118,6,FALSE)-R10+AH10,"")</f>
        <v>3</v>
      </c>
      <c r="H10" s="197">
        <f>IFERROR(VLOOKUP($I$22&amp;$D10,'Development-Hidden'!$C$2:$J$118,7,FALSE)-S10+AI10,"")</f>
        <v>7</v>
      </c>
      <c r="I10" s="198" t="str">
        <f>IFERROR(VLOOKUP($I$22&amp;$D10,'Development-Hidden'!$C$2:$J$118,8,FALSE),"")</f>
        <v>Dodge</v>
      </c>
      <c r="J10" s="199" t="s">
        <v>277</v>
      </c>
      <c r="K10" s="200">
        <f t="shared" si="0"/>
        <v>1</v>
      </c>
      <c r="L10" s="201"/>
      <c r="M10" s="201"/>
      <c r="N10" s="201"/>
      <c r="O10" s="202"/>
      <c r="P10" s="203"/>
      <c r="Q10" s="204"/>
      <c r="R10" s="204"/>
      <c r="S10" s="205"/>
      <c r="T10" s="206"/>
      <c r="U10" s="207"/>
      <c r="V10" s="207">
        <v>3</v>
      </c>
      <c r="W10" s="207"/>
      <c r="X10" s="204"/>
      <c r="Y10" s="208"/>
      <c r="Z10" s="209">
        <f t="shared" si="1"/>
        <v>9</v>
      </c>
      <c r="AA10" s="183">
        <f t="shared" si="3"/>
        <v>90000</v>
      </c>
      <c r="AB10" s="136"/>
      <c r="AC10" s="210">
        <f>IFERROR(VLOOKUP($I$22&amp;D10,'Development-Hidden'!$C$2:$E$118,3,FALSE),"")</f>
        <v>70000</v>
      </c>
      <c r="AD10" s="206">
        <v>1</v>
      </c>
      <c r="AE10" s="207"/>
      <c r="AF10" s="207"/>
      <c r="AG10" s="207"/>
      <c r="AH10" s="207"/>
      <c r="AI10" s="207"/>
      <c r="AJ10" s="211"/>
      <c r="AK10" s="136">
        <v>32</v>
      </c>
      <c r="AL10" s="227" t="s">
        <v>306</v>
      </c>
      <c r="AM10" s="228">
        <v>20000</v>
      </c>
      <c r="AN10" s="229" t="s">
        <v>424</v>
      </c>
      <c r="AO10" s="230" t="s">
        <v>424</v>
      </c>
      <c r="AP10" s="231" t="s">
        <v>585</v>
      </c>
      <c r="AQ10" s="229" t="s">
        <v>467</v>
      </c>
      <c r="AR10" s="232">
        <v>1</v>
      </c>
      <c r="AS10" s="233">
        <v>1</v>
      </c>
      <c r="AT10" s="464">
        <v>0</v>
      </c>
      <c r="AU10" s="136"/>
    </row>
    <row r="11" spans="1:47" ht="15.75" customHeight="1">
      <c r="A11" s="137"/>
      <c r="B11" s="192">
        <v>8</v>
      </c>
      <c r="C11" s="568" t="s">
        <v>586</v>
      </c>
      <c r="D11" s="194" t="s">
        <v>65</v>
      </c>
      <c r="E11" s="195">
        <f>IFERROR(VLOOKUP($I$22&amp;$D11,'Development-Hidden'!$C$2:$J$118,4,FALSE)-P11+AF11,"")</f>
        <v>7</v>
      </c>
      <c r="F11" s="196">
        <f>IFERROR(VLOOKUP($I$22&amp;$D11,'Development-Hidden'!$C$2:$J$118,5,FALSE)-Q11+AG11,"")</f>
        <v>3</v>
      </c>
      <c r="G11" s="196">
        <f>IFERROR(VLOOKUP($I$22&amp;$D11,'Development-Hidden'!$C$2:$J$118,6,FALSE)-R11+AH11,"")</f>
        <v>3</v>
      </c>
      <c r="H11" s="197">
        <f>IFERROR(VLOOKUP($I$22&amp;$D11,'Development-Hidden'!$C$2:$J$118,7,FALSE)-S11+AI11,"")</f>
        <v>7</v>
      </c>
      <c r="I11" s="198" t="str">
        <f>IFERROR(VLOOKUP($I$22&amp;$D11,'Development-Hidden'!$C$2:$J$118,8,FALSE),"")</f>
        <v>Dodge</v>
      </c>
      <c r="J11" s="199" t="s">
        <v>277</v>
      </c>
      <c r="K11" s="200">
        <f t="shared" si="0"/>
        <v>1</v>
      </c>
      <c r="L11" s="201"/>
      <c r="M11" s="201"/>
      <c r="N11" s="201"/>
      <c r="O11" s="202"/>
      <c r="P11" s="203"/>
      <c r="Q11" s="204"/>
      <c r="R11" s="204"/>
      <c r="S11" s="205"/>
      <c r="T11" s="206"/>
      <c r="U11" s="207"/>
      <c r="V11" s="207">
        <v>1</v>
      </c>
      <c r="W11" s="207">
        <v>2</v>
      </c>
      <c r="X11" s="204">
        <v>1</v>
      </c>
      <c r="Y11" s="208">
        <v>1</v>
      </c>
      <c r="Z11" s="209">
        <f t="shared" si="1"/>
        <v>12</v>
      </c>
      <c r="AA11" s="183">
        <f t="shared" si="3"/>
        <v>90000</v>
      </c>
      <c r="AB11" s="136"/>
      <c r="AC11" s="210">
        <f>IFERROR(VLOOKUP($I$22&amp;D11,'Development-Hidden'!$C$2:$E$118,3,FALSE),"")</f>
        <v>70000</v>
      </c>
      <c r="AD11" s="206">
        <v>1</v>
      </c>
      <c r="AE11" s="207"/>
      <c r="AF11" s="207"/>
      <c r="AG11" s="207"/>
      <c r="AH11" s="207"/>
      <c r="AI11" s="207"/>
      <c r="AJ11" s="211"/>
      <c r="AK11" s="136">
        <v>38</v>
      </c>
      <c r="AL11" s="227" t="s">
        <v>316</v>
      </c>
      <c r="AM11" s="228">
        <v>10000</v>
      </c>
      <c r="AN11" s="229">
        <v>20000</v>
      </c>
      <c r="AO11" s="230" t="s">
        <v>424</v>
      </c>
      <c r="AP11" s="231" t="s">
        <v>587</v>
      </c>
      <c r="AQ11" s="229" t="s">
        <v>467</v>
      </c>
      <c r="AR11" s="232">
        <v>1</v>
      </c>
      <c r="AS11" s="233">
        <v>0</v>
      </c>
      <c r="AT11" s="464">
        <v>0</v>
      </c>
      <c r="AU11" s="136"/>
    </row>
    <row r="12" spans="1:47" ht="15.75" customHeight="1">
      <c r="A12" s="137"/>
      <c r="B12" s="192">
        <v>9</v>
      </c>
      <c r="C12" s="193" t="s">
        <v>588</v>
      </c>
      <c r="D12" s="194" t="s">
        <v>65</v>
      </c>
      <c r="E12" s="195">
        <f>IFERROR(VLOOKUP($I$22&amp;$D12,'Development-Hidden'!$C$2:$J$118,4,FALSE)-P12+AF12,"")</f>
        <v>7</v>
      </c>
      <c r="F12" s="196">
        <f>IFERROR(VLOOKUP($I$22&amp;$D12,'Development-Hidden'!$C$2:$J$118,5,FALSE)-Q12+AG12,"")</f>
        <v>3</v>
      </c>
      <c r="G12" s="196">
        <f>IFERROR(VLOOKUP($I$22&amp;$D12,'Development-Hidden'!$C$2:$J$118,6,FALSE)-R12+AH12,"")</f>
        <v>3</v>
      </c>
      <c r="H12" s="197">
        <f>IFERROR(VLOOKUP($I$22&amp;$D12,'Development-Hidden'!$C$2:$J$118,7,FALSE)-S12+AI12,"")</f>
        <v>7</v>
      </c>
      <c r="I12" s="198" t="str">
        <f>IFERROR(VLOOKUP($I$22&amp;$D12,'Development-Hidden'!$C$2:$J$118,8,FALSE),"")</f>
        <v>Dodge</v>
      </c>
      <c r="J12" s="199" t="s">
        <v>559</v>
      </c>
      <c r="K12" s="200">
        <f t="shared" si="0"/>
        <v>1</v>
      </c>
      <c r="L12" s="201"/>
      <c r="M12" s="201"/>
      <c r="N12" s="201"/>
      <c r="O12" s="202"/>
      <c r="P12" s="203"/>
      <c r="Q12" s="204"/>
      <c r="R12" s="204"/>
      <c r="S12" s="205"/>
      <c r="T12" s="206"/>
      <c r="U12" s="207">
        <v>1</v>
      </c>
      <c r="V12" s="207">
        <v>3</v>
      </c>
      <c r="W12" s="207"/>
      <c r="X12" s="204"/>
      <c r="Y12" s="208">
        <v>1</v>
      </c>
      <c r="Z12" s="209">
        <f t="shared" si="1"/>
        <v>15</v>
      </c>
      <c r="AA12" s="183">
        <f t="shared" si="3"/>
        <v>90000</v>
      </c>
      <c r="AB12" s="136"/>
      <c r="AC12" s="210">
        <f>IFERROR(VLOOKUP($I$22&amp;D12,'Development-Hidden'!$C$2:$E$118,3,FALSE),"")</f>
        <v>70000</v>
      </c>
      <c r="AD12" s="206">
        <v>1</v>
      </c>
      <c r="AE12" s="207"/>
      <c r="AF12" s="207"/>
      <c r="AG12" s="207"/>
      <c r="AH12" s="207"/>
      <c r="AI12" s="207"/>
      <c r="AJ12" s="211"/>
      <c r="AK12" s="136">
        <v>46</v>
      </c>
      <c r="AL12" s="227" t="s">
        <v>330</v>
      </c>
      <c r="AM12" s="228">
        <v>60000</v>
      </c>
      <c r="AN12" s="229">
        <v>120000</v>
      </c>
      <c r="AO12" s="230" t="s">
        <v>424</v>
      </c>
      <c r="AP12" s="231" t="s">
        <v>589</v>
      </c>
      <c r="AQ12" s="229" t="s">
        <v>467</v>
      </c>
      <c r="AR12" s="232">
        <v>1</v>
      </c>
      <c r="AS12" s="233">
        <v>2</v>
      </c>
      <c r="AT12" s="464">
        <v>-1</v>
      </c>
      <c r="AU12" s="136"/>
    </row>
    <row r="13" spans="1:47" ht="15.75" customHeight="1">
      <c r="A13" s="137"/>
      <c r="B13" s="192">
        <v>10</v>
      </c>
      <c r="C13" s="193"/>
      <c r="D13" s="194"/>
      <c r="E13" s="195" t="str">
        <f>IFERROR(VLOOKUP($I$22&amp;$D13,'Development-Hidden'!$C$2:$J$118,4,FALSE)-P13+AF13,"")</f>
        <v/>
      </c>
      <c r="F13" s="196" t="str">
        <f>IFERROR(VLOOKUP($I$22&amp;$D13,'Development-Hidden'!$C$2:$J$118,5,FALSE)-Q13+AG13,"")</f>
        <v/>
      </c>
      <c r="G13" s="196" t="str">
        <f>IFERROR(VLOOKUP($I$22&amp;$D13,'Development-Hidden'!$C$2:$J$118,6,FALSE)-R13+AH13,"")</f>
        <v/>
      </c>
      <c r="H13" s="197" t="str">
        <f>IFERROR(VLOOKUP($I$22&amp;$D13,'Development-Hidden'!$C$2:$J$118,7,FALSE)-S13+AI13,"")</f>
        <v/>
      </c>
      <c r="I13" s="198" t="str">
        <f>IFERROR(VLOOKUP($I$22&amp;$D13,'Development-Hidden'!$C$2:$J$118,8,FALSE),"")</f>
        <v/>
      </c>
      <c r="J13" s="199"/>
      <c r="K13" s="200">
        <f t="shared" si="0"/>
        <v>0</v>
      </c>
      <c r="L13" s="201"/>
      <c r="M13" s="201"/>
      <c r="N13" s="201"/>
      <c r="O13" s="202"/>
      <c r="P13" s="203"/>
      <c r="Q13" s="204"/>
      <c r="R13" s="204"/>
      <c r="S13" s="205"/>
      <c r="T13" s="206"/>
      <c r="U13" s="207"/>
      <c r="V13" s="207"/>
      <c r="W13" s="207"/>
      <c r="X13" s="204"/>
      <c r="Y13" s="208"/>
      <c r="Z13" s="209">
        <f t="shared" si="1"/>
        <v>0</v>
      </c>
      <c r="AA13" s="183">
        <f t="shared" si="3"/>
        <v>0</v>
      </c>
      <c r="AB13" s="136"/>
      <c r="AC13" s="210" t="str">
        <f>IFERROR(VLOOKUP($I$22&amp;D13,'Development-Hidden'!$C$2:$E$118,3,FALSE),"0")</f>
        <v>0</v>
      </c>
      <c r="AD13" s="206"/>
      <c r="AE13" s="207"/>
      <c r="AF13" s="207"/>
      <c r="AG13" s="207"/>
      <c r="AH13" s="207"/>
      <c r="AI13" s="207"/>
      <c r="AJ13" s="211"/>
      <c r="AK13" s="136"/>
      <c r="AL13" s="227" t="s">
        <v>342</v>
      </c>
      <c r="AM13" s="228"/>
      <c r="AN13" s="229"/>
      <c r="AO13" s="230"/>
      <c r="AP13" s="231"/>
      <c r="AQ13" s="229"/>
      <c r="AR13" s="232"/>
      <c r="AS13" s="233"/>
      <c r="AT13" s="464"/>
      <c r="AU13" s="136"/>
    </row>
    <row r="14" spans="1:47" ht="15.75" customHeight="1">
      <c r="A14" s="137"/>
      <c r="B14" s="192">
        <v>11</v>
      </c>
      <c r="C14" s="193"/>
      <c r="D14" s="194"/>
      <c r="E14" s="195" t="str">
        <f>IFERROR(VLOOKUP($I$22&amp;$D14,'Development-Hidden'!$C$2:$J$118,4,FALSE)-P14+AF14,"")</f>
        <v/>
      </c>
      <c r="F14" s="196" t="str">
        <f>IFERROR(VLOOKUP($I$22&amp;$D14,'Development-Hidden'!$C$2:$J$118,5,FALSE)-Q14+AG14,"")</f>
        <v/>
      </c>
      <c r="G14" s="196" t="str">
        <f>IFERROR(VLOOKUP($I$22&amp;$D14,'Development-Hidden'!$C$2:$J$118,6,FALSE)-R14+AH14,"")</f>
        <v/>
      </c>
      <c r="H14" s="197" t="str">
        <f>IFERROR(VLOOKUP($I$22&amp;$D14,'Development-Hidden'!$C$2:$J$118,7,FALSE)-S14+AI14,"")</f>
        <v/>
      </c>
      <c r="I14" s="198" t="str">
        <f>IFERROR(VLOOKUP($I$22&amp;$D14,'Development-Hidden'!$C$2:$J$118,8,FALSE),"")</f>
        <v/>
      </c>
      <c r="J14" s="199"/>
      <c r="K14" s="200">
        <f t="shared" si="0"/>
        <v>0</v>
      </c>
      <c r="L14" s="201"/>
      <c r="M14" s="201"/>
      <c r="N14" s="201"/>
      <c r="O14" s="202"/>
      <c r="P14" s="203"/>
      <c r="Q14" s="204"/>
      <c r="R14" s="204"/>
      <c r="S14" s="205"/>
      <c r="T14" s="206"/>
      <c r="U14" s="207"/>
      <c r="V14" s="207"/>
      <c r="W14" s="207"/>
      <c r="X14" s="204"/>
      <c r="Y14" s="208"/>
      <c r="Z14" s="209">
        <f t="shared" si="1"/>
        <v>0</v>
      </c>
      <c r="AA14" s="183">
        <f t="shared" si="3"/>
        <v>0</v>
      </c>
      <c r="AB14" s="136"/>
      <c r="AC14" s="210" t="str">
        <f>IFERROR(VLOOKUP($I$22&amp;D14,'Development-Hidden'!$C$2:$E$118,3,FALSE),"0")</f>
        <v>0</v>
      </c>
      <c r="AD14" s="206"/>
      <c r="AE14" s="207"/>
      <c r="AF14" s="207"/>
      <c r="AG14" s="207"/>
      <c r="AH14" s="207"/>
      <c r="AI14" s="207"/>
      <c r="AJ14" s="211"/>
      <c r="AK14" s="136"/>
      <c r="AL14" s="227" t="s">
        <v>354</v>
      </c>
      <c r="AM14" s="228"/>
      <c r="AN14" s="229"/>
      <c r="AO14" s="230"/>
      <c r="AP14" s="231"/>
      <c r="AQ14" s="229"/>
      <c r="AR14" s="232"/>
      <c r="AS14" s="233"/>
      <c r="AT14" s="464"/>
      <c r="AU14" s="136"/>
    </row>
    <row r="15" spans="1:47" ht="15.75" customHeight="1">
      <c r="A15" s="137"/>
      <c r="B15" s="192">
        <v>12</v>
      </c>
      <c r="C15" s="193" t="s">
        <v>290</v>
      </c>
      <c r="D15" s="194" t="s">
        <v>152</v>
      </c>
      <c r="E15" s="195">
        <f>IFERROR(VLOOKUP($I$22&amp;$D15,'Development-Hidden'!$C$2:$J$118,4,FALSE)-P15+AF15,"")</f>
        <v>4</v>
      </c>
      <c r="F15" s="196">
        <f>IFERROR(VLOOKUP($I$22&amp;$D15,'Development-Hidden'!$C$2:$J$118,5,FALSE)-Q15+AG15,"")</f>
        <v>3</v>
      </c>
      <c r="G15" s="196">
        <f>IFERROR(VLOOKUP($I$22&amp;$D15,'Development-Hidden'!$C$2:$J$118,6,FALSE)-R15+AH15,"")</f>
        <v>2</v>
      </c>
      <c r="H15" s="197">
        <f>IFERROR(VLOOKUP($I$22&amp;$D15,'Development-Hidden'!$C$2:$J$118,7,FALSE)-S15+AI15,"")</f>
        <v>8</v>
      </c>
      <c r="I15" s="198" t="str">
        <f>IFERROR(VLOOKUP($I$22&amp;$D15,'Development-Hidden'!$C$2:$J$118,8,FALSE),"")</f>
        <v>Regeneration</v>
      </c>
      <c r="J15" s="199"/>
      <c r="K15" s="200">
        <f t="shared" si="0"/>
        <v>0</v>
      </c>
      <c r="L15" s="201"/>
      <c r="M15" s="201"/>
      <c r="N15" s="201"/>
      <c r="O15" s="202"/>
      <c r="P15" s="203"/>
      <c r="Q15" s="204"/>
      <c r="R15" s="204"/>
      <c r="S15" s="205"/>
      <c r="T15" s="206"/>
      <c r="U15" s="207"/>
      <c r="V15" s="207"/>
      <c r="W15" s="207"/>
      <c r="X15" s="204"/>
      <c r="Y15" s="208"/>
      <c r="Z15" s="209">
        <f t="shared" si="1"/>
        <v>0</v>
      </c>
      <c r="AA15" s="183">
        <f t="shared" si="3"/>
        <v>40000</v>
      </c>
      <c r="AB15" s="136"/>
      <c r="AC15" s="210">
        <f>IFERROR(VLOOKUP($I$22&amp;D15,'Development-Hidden'!$C$2:$E$118,3,FALSE),"")</f>
        <v>40000</v>
      </c>
      <c r="AD15" s="206"/>
      <c r="AE15" s="207"/>
      <c r="AF15" s="207"/>
      <c r="AG15" s="207"/>
      <c r="AH15" s="207"/>
      <c r="AI15" s="207"/>
      <c r="AJ15" s="211"/>
      <c r="AK15" s="136"/>
      <c r="AL15" s="227" t="s">
        <v>355</v>
      </c>
      <c r="AM15" s="228"/>
      <c r="AN15" s="229"/>
      <c r="AO15" s="230"/>
      <c r="AP15" s="231"/>
      <c r="AQ15" s="229"/>
      <c r="AR15" s="232"/>
      <c r="AS15" s="233"/>
      <c r="AT15" s="464"/>
      <c r="AU15" s="136"/>
    </row>
    <row r="16" spans="1:47" ht="15.75" customHeight="1">
      <c r="A16" s="137"/>
      <c r="B16" s="192">
        <v>13</v>
      </c>
      <c r="C16" s="193" t="s">
        <v>292</v>
      </c>
      <c r="D16" s="194" t="s">
        <v>152</v>
      </c>
      <c r="E16" s="195">
        <f>IFERROR(VLOOKUP($I$22&amp;$D16,'Development-Hidden'!$C$2:$J$118,4,FALSE)-P16+AF16,"")</f>
        <v>4</v>
      </c>
      <c r="F16" s="196">
        <f>IFERROR(VLOOKUP($I$22&amp;$D16,'Development-Hidden'!$C$2:$J$118,5,FALSE)-Q16+AG16,"")</f>
        <v>3</v>
      </c>
      <c r="G16" s="196">
        <f>IFERROR(VLOOKUP($I$22&amp;$D16,'Development-Hidden'!$C$2:$J$118,6,FALSE)-R16+AH16,"")</f>
        <v>2</v>
      </c>
      <c r="H16" s="197">
        <f>IFERROR(VLOOKUP($I$22&amp;$D16,'Development-Hidden'!$C$2:$J$118,7,FALSE)-S16+AI16,"")</f>
        <v>8</v>
      </c>
      <c r="I16" s="198" t="str">
        <f>IFERROR(VLOOKUP($I$22&amp;$D16,'Development-Hidden'!$C$2:$J$118,8,FALSE),"")</f>
        <v>Regeneration</v>
      </c>
      <c r="J16" s="199"/>
      <c r="K16" s="200">
        <f t="shared" si="0"/>
        <v>0</v>
      </c>
      <c r="L16" s="201"/>
      <c r="M16" s="201"/>
      <c r="N16" s="201"/>
      <c r="O16" s="202"/>
      <c r="P16" s="203"/>
      <c r="Q16" s="204"/>
      <c r="R16" s="204"/>
      <c r="S16" s="205"/>
      <c r="T16" s="206"/>
      <c r="U16" s="207"/>
      <c r="V16" s="207"/>
      <c r="W16" s="207"/>
      <c r="X16" s="204"/>
      <c r="Y16" s="208"/>
      <c r="Z16" s="209">
        <f t="shared" si="1"/>
        <v>0</v>
      </c>
      <c r="AA16" s="183">
        <f t="shared" si="3"/>
        <v>40000</v>
      </c>
      <c r="AB16" s="136"/>
      <c r="AC16" s="210">
        <f>IFERROR(VLOOKUP($I$22&amp;D16,'Development-Hidden'!$C$2:$E$118,3,FALSE),"")</f>
        <v>40000</v>
      </c>
      <c r="AD16" s="206"/>
      <c r="AE16" s="207"/>
      <c r="AF16" s="207"/>
      <c r="AG16" s="207"/>
      <c r="AH16" s="207"/>
      <c r="AI16" s="207"/>
      <c r="AJ16" s="211"/>
      <c r="AK16" s="136"/>
      <c r="AL16" s="227" t="s">
        <v>357</v>
      </c>
      <c r="AM16" s="228"/>
      <c r="AN16" s="229"/>
      <c r="AO16" s="230"/>
      <c r="AP16" s="231"/>
      <c r="AQ16" s="229"/>
      <c r="AR16" s="232"/>
      <c r="AS16" s="233"/>
      <c r="AT16" s="464"/>
      <c r="AU16" s="136"/>
    </row>
    <row r="17" spans="1:47" ht="15.75" customHeight="1">
      <c r="A17" s="137"/>
      <c r="B17" s="192">
        <v>14</v>
      </c>
      <c r="C17" s="193" t="s">
        <v>590</v>
      </c>
      <c r="D17" s="194"/>
      <c r="E17" s="195" t="str">
        <f>IFERROR(VLOOKUP($I$22&amp;$D17,'Development-Hidden'!$C$2:$J$118,4,FALSE)-P17+AF17,"")</f>
        <v/>
      </c>
      <c r="F17" s="196" t="str">
        <f>IFERROR(VLOOKUP($I$22&amp;$D17,'Development-Hidden'!$C$2:$J$118,5,FALSE)-Q17+AG17,"")</f>
        <v/>
      </c>
      <c r="G17" s="196" t="str">
        <f>IFERROR(VLOOKUP($I$22&amp;$D17,'Development-Hidden'!$C$2:$J$118,6,FALSE)-R17+AH17,"")</f>
        <v/>
      </c>
      <c r="H17" s="197" t="str">
        <f>IFERROR(VLOOKUP($I$22&amp;$D17,'Development-Hidden'!$C$2:$J$118,7,FALSE)-S17+AI17,"")</f>
        <v/>
      </c>
      <c r="I17" s="198" t="str">
        <f>IFERROR(VLOOKUP($I$22&amp;$D17,'Development-Hidden'!$C$2:$J$118,8,FALSE),"")</f>
        <v/>
      </c>
      <c r="J17" s="199" t="s">
        <v>591</v>
      </c>
      <c r="K17" s="200">
        <f t="shared" si="0"/>
        <v>0</v>
      </c>
      <c r="L17" s="201"/>
      <c r="M17" s="201"/>
      <c r="N17" s="201"/>
      <c r="O17" s="202"/>
      <c r="P17" s="203"/>
      <c r="Q17" s="204"/>
      <c r="R17" s="204"/>
      <c r="S17" s="205"/>
      <c r="T17" s="206"/>
      <c r="U17" s="207"/>
      <c r="V17" s="207"/>
      <c r="W17" s="207"/>
      <c r="X17" s="204"/>
      <c r="Y17" s="208"/>
      <c r="Z17" s="209">
        <f t="shared" si="1"/>
        <v>0</v>
      </c>
      <c r="AA17" s="183">
        <f t="shared" si="3"/>
        <v>0</v>
      </c>
      <c r="AB17" s="136"/>
      <c r="AC17" s="210" t="str">
        <f>IFERROR(VLOOKUP($I$22&amp;D17,'Development-Hidden'!$C$2:$E$118,3,FALSE),"0")</f>
        <v>0</v>
      </c>
      <c r="AD17" s="206"/>
      <c r="AE17" s="207"/>
      <c r="AF17" s="207"/>
      <c r="AG17" s="207"/>
      <c r="AH17" s="207"/>
      <c r="AI17" s="207"/>
      <c r="AJ17" s="211"/>
      <c r="AK17" s="136"/>
      <c r="AL17" s="235" t="s">
        <v>359</v>
      </c>
      <c r="AM17" s="236"/>
      <c r="AN17" s="237"/>
      <c r="AO17" s="238"/>
      <c r="AP17" s="239"/>
      <c r="AQ17" s="237"/>
      <c r="AR17" s="240"/>
      <c r="AS17" s="241"/>
      <c r="AT17" s="478"/>
      <c r="AU17" s="136"/>
    </row>
    <row r="18" spans="1:47" ht="15.75" customHeight="1">
      <c r="A18" s="137"/>
      <c r="B18" s="192">
        <v>15</v>
      </c>
      <c r="C18" s="193" t="s">
        <v>293</v>
      </c>
      <c r="D18" s="194" t="s">
        <v>152</v>
      </c>
      <c r="E18" s="195">
        <f>IFERROR(VLOOKUP($I$22&amp;$D18,'Development-Hidden'!$C$2:$J$118,4,FALSE)-P18+AF18,"")</f>
        <v>4</v>
      </c>
      <c r="F18" s="196">
        <f>IFERROR(VLOOKUP($I$22&amp;$D18,'Development-Hidden'!$C$2:$J$118,5,FALSE)-Q18+AG18,"")</f>
        <v>3</v>
      </c>
      <c r="G18" s="196">
        <f>IFERROR(VLOOKUP($I$22&amp;$D18,'Development-Hidden'!$C$2:$J$118,6,FALSE)-R18+AH18,"")</f>
        <v>2</v>
      </c>
      <c r="H18" s="197">
        <f>IFERROR(VLOOKUP($I$22&amp;$D18,'Development-Hidden'!$C$2:$J$118,7,FALSE)-S18+AI18,"")</f>
        <v>8</v>
      </c>
      <c r="I18" s="198" t="str">
        <f>IFERROR(VLOOKUP($I$22&amp;$D18,'Development-Hidden'!$C$2:$J$118,8,FALSE),"")</f>
        <v>Regeneration</v>
      </c>
      <c r="J18" s="199"/>
      <c r="K18" s="200">
        <f t="shared" si="0"/>
        <v>0</v>
      </c>
      <c r="L18" s="201"/>
      <c r="M18" s="201"/>
      <c r="N18" s="201"/>
      <c r="O18" s="202"/>
      <c r="P18" s="203"/>
      <c r="Q18" s="204"/>
      <c r="R18" s="204"/>
      <c r="S18" s="205"/>
      <c r="T18" s="206"/>
      <c r="U18" s="207"/>
      <c r="V18" s="207"/>
      <c r="W18" s="207"/>
      <c r="X18" s="204"/>
      <c r="Y18" s="208"/>
      <c r="Z18" s="209">
        <f t="shared" si="1"/>
        <v>0</v>
      </c>
      <c r="AA18" s="183">
        <f t="shared" si="3"/>
        <v>40000</v>
      </c>
      <c r="AB18" s="136"/>
      <c r="AC18" s="210">
        <f>IFERROR(VLOOKUP($I$22&amp;D18,'Development-Hidden'!$C$2:$E$118,3,FALSE),"")</f>
        <v>40000</v>
      </c>
      <c r="AD18" s="206"/>
      <c r="AE18" s="207"/>
      <c r="AF18" s="207"/>
      <c r="AG18" s="207"/>
      <c r="AH18" s="207"/>
      <c r="AI18" s="207"/>
      <c r="AJ18" s="211"/>
      <c r="AK18" s="136"/>
      <c r="AL18" s="243" t="s">
        <v>219</v>
      </c>
      <c r="AM18" s="244">
        <f>AM4+SUM(AM6:AM17)-SUM(AN6:AN17)-SUM(AO6:AO17)</f>
        <v>40000</v>
      </c>
      <c r="AN18" s="136"/>
      <c r="AO18" s="136"/>
      <c r="AP18" s="189"/>
      <c r="AQ18" s="243" t="s">
        <v>219</v>
      </c>
      <c r="AR18" s="245">
        <f t="shared" ref="AR18:AS18" si="4">SUM(AR6:AR17)</f>
        <v>8</v>
      </c>
      <c r="AS18" s="246">
        <f t="shared" si="4"/>
        <v>8</v>
      </c>
      <c r="AT18" s="247">
        <f>AT4+SUM(AT6:AT17)</f>
        <v>5</v>
      </c>
      <c r="AU18" s="140"/>
    </row>
    <row r="19" spans="1:47" ht="15.75" customHeight="1">
      <c r="A19" s="137"/>
      <c r="B19" s="248">
        <v>16</v>
      </c>
      <c r="C19" s="249" t="s">
        <v>294</v>
      </c>
      <c r="D19" s="250" t="s">
        <v>152</v>
      </c>
      <c r="E19" s="251">
        <f>IFERROR(VLOOKUP($I$22&amp;$D19,'Development-Hidden'!$C$2:$J$118,4,FALSE)-P19+AF19,"")</f>
        <v>4</v>
      </c>
      <c r="F19" s="252">
        <f>IFERROR(VLOOKUP($I$22&amp;$D19,'Development-Hidden'!$C$2:$J$118,5,FALSE)-Q19+AG19,"")</f>
        <v>3</v>
      </c>
      <c r="G19" s="252">
        <f>IFERROR(VLOOKUP($I$22&amp;$D19,'Development-Hidden'!$C$2:$J$118,6,FALSE)-R19+AH19,"")</f>
        <v>2</v>
      </c>
      <c r="H19" s="253">
        <f>IFERROR(VLOOKUP($I$22&amp;$D19,'Development-Hidden'!$C$2:$J$118,7,FALSE)-S19+AI19,"")</f>
        <v>8</v>
      </c>
      <c r="I19" s="254" t="str">
        <f>IFERROR(VLOOKUP($I$22&amp;$D19,'Development-Hidden'!$C$2:$J$118,8,FALSE),"")</f>
        <v>Regeneration</v>
      </c>
      <c r="J19" s="255"/>
      <c r="K19" s="256">
        <f t="shared" si="0"/>
        <v>0</v>
      </c>
      <c r="L19" s="257"/>
      <c r="M19" s="257"/>
      <c r="N19" s="257"/>
      <c r="O19" s="258"/>
      <c r="P19" s="259"/>
      <c r="Q19" s="260"/>
      <c r="R19" s="260"/>
      <c r="S19" s="261"/>
      <c r="T19" s="262"/>
      <c r="U19" s="263"/>
      <c r="V19" s="263"/>
      <c r="W19" s="263"/>
      <c r="X19" s="260"/>
      <c r="Y19" s="264"/>
      <c r="Z19" s="265">
        <f t="shared" si="1"/>
        <v>0</v>
      </c>
      <c r="AA19" s="183">
        <f t="shared" si="3"/>
        <v>40000</v>
      </c>
      <c r="AB19" s="136"/>
      <c r="AC19" s="266">
        <f>IFERROR(VLOOKUP($I$22&amp;D19,'Development-Hidden'!$C$2:$E$118,3,FALSE),"")</f>
        <v>40000</v>
      </c>
      <c r="AD19" s="267"/>
      <c r="AE19" s="268"/>
      <c r="AF19" s="268"/>
      <c r="AG19" s="268"/>
      <c r="AH19" s="268"/>
      <c r="AI19" s="268"/>
      <c r="AJ19" s="269"/>
      <c r="AK19" s="136"/>
    </row>
    <row r="20" spans="1:47" ht="15.75" customHeight="1">
      <c r="A20" s="137"/>
      <c r="B20" s="571"/>
      <c r="C20" s="572"/>
      <c r="D20" s="573"/>
      <c r="E20" s="586" t="s">
        <v>364</v>
      </c>
      <c r="F20" s="587"/>
      <c r="G20" s="587"/>
      <c r="H20" s="587"/>
      <c r="I20" s="587"/>
      <c r="J20" s="587"/>
      <c r="K20" s="587"/>
      <c r="L20" s="587"/>
      <c r="M20" s="587"/>
      <c r="N20" s="587"/>
      <c r="O20" s="587"/>
      <c r="P20" s="587"/>
      <c r="Q20" s="587"/>
      <c r="R20" s="587"/>
      <c r="S20" s="587"/>
      <c r="T20" s="587"/>
      <c r="U20" s="587"/>
      <c r="V20" s="587"/>
      <c r="W20" s="587"/>
      <c r="X20" s="587"/>
      <c r="Y20" s="587"/>
      <c r="Z20" s="588"/>
      <c r="AA20" s="270">
        <f>SUM(AA4:AA19)</f>
        <v>970000</v>
      </c>
      <c r="AB20" s="136"/>
      <c r="AC20" s="136"/>
      <c r="AD20" s="136"/>
      <c r="AE20" s="136"/>
      <c r="AF20" s="136"/>
      <c r="AG20" s="136"/>
      <c r="AH20" s="136"/>
      <c r="AI20" s="136"/>
      <c r="AJ20" s="136"/>
      <c r="AK20" s="136"/>
      <c r="AL20" s="189"/>
      <c r="AM20" s="189"/>
      <c r="AN20" s="189"/>
      <c r="AO20" s="189"/>
      <c r="AP20" s="189"/>
      <c r="AQ20" s="189"/>
      <c r="AR20" s="189"/>
      <c r="AS20" s="189"/>
      <c r="AT20" s="189"/>
      <c r="AU20" s="189"/>
    </row>
    <row r="21" spans="1:47" ht="15.75" customHeight="1">
      <c r="A21" s="137"/>
      <c r="B21" s="574"/>
      <c r="C21" s="575"/>
      <c r="D21" s="576"/>
      <c r="E21" s="580" t="s">
        <v>365</v>
      </c>
      <c r="F21" s="581"/>
      <c r="G21" s="581"/>
      <c r="H21" s="581"/>
      <c r="I21" s="589" t="s">
        <v>11</v>
      </c>
      <c r="J21" s="581"/>
      <c r="K21" s="590"/>
      <c r="L21" s="584" t="s">
        <v>366</v>
      </c>
      <c r="M21" s="581"/>
      <c r="N21" s="581"/>
      <c r="O21" s="581"/>
      <c r="P21" s="581"/>
      <c r="Q21" s="581"/>
      <c r="R21" s="581"/>
      <c r="S21" s="585"/>
      <c r="T21" s="271">
        <v>3</v>
      </c>
      <c r="U21" s="272" t="s">
        <v>220</v>
      </c>
      <c r="V21" s="580">
        <f>IFERROR(VLOOKUP(I22,'Development-Hidden'!N2:O28,2,FALSE),"")</f>
        <v>70000</v>
      </c>
      <c r="W21" s="581"/>
      <c r="X21" s="581"/>
      <c r="Y21" s="581"/>
      <c r="Z21" s="590"/>
      <c r="AA21" s="273">
        <f t="shared" ref="AA21:AA25" si="5">T21*V21</f>
        <v>210000</v>
      </c>
      <c r="AB21" s="136"/>
      <c r="AC21" s="136"/>
      <c r="AD21" s="136"/>
      <c r="AE21" s="136"/>
      <c r="AF21" s="136"/>
      <c r="AG21" s="136"/>
      <c r="AH21" s="136"/>
      <c r="AI21" s="136"/>
      <c r="AJ21" s="136"/>
      <c r="AK21" s="136"/>
      <c r="AL21" s="604" t="s">
        <v>367</v>
      </c>
      <c r="AM21" s="588"/>
      <c r="AN21" s="136"/>
      <c r="AO21" s="626" t="s">
        <v>593</v>
      </c>
      <c r="AP21" s="592"/>
      <c r="AQ21" s="136"/>
      <c r="AR21" s="136"/>
      <c r="AS21" s="136"/>
      <c r="AT21" s="136"/>
      <c r="AU21" s="136"/>
    </row>
    <row r="22" spans="1:47" ht="15.75" customHeight="1">
      <c r="A22" s="137"/>
      <c r="B22" s="574"/>
      <c r="C22" s="575"/>
      <c r="D22" s="576"/>
      <c r="E22" s="582" t="s">
        <v>368</v>
      </c>
      <c r="F22" s="583"/>
      <c r="G22" s="583"/>
      <c r="H22" s="583"/>
      <c r="I22" s="598" t="s">
        <v>12</v>
      </c>
      <c r="J22" s="583"/>
      <c r="K22" s="597"/>
      <c r="L22" s="591" t="s">
        <v>369</v>
      </c>
      <c r="M22" s="583"/>
      <c r="N22" s="583"/>
      <c r="O22" s="583"/>
      <c r="P22" s="583"/>
      <c r="Q22" s="583"/>
      <c r="R22" s="583"/>
      <c r="S22" s="592"/>
      <c r="T22" s="274">
        <f>AT18</f>
        <v>5</v>
      </c>
      <c r="U22" s="275" t="s">
        <v>220</v>
      </c>
      <c r="V22" s="582">
        <v>10000</v>
      </c>
      <c r="W22" s="583"/>
      <c r="X22" s="583"/>
      <c r="Y22" s="583"/>
      <c r="Z22" s="597"/>
      <c r="AA22" s="276">
        <f t="shared" si="5"/>
        <v>50000</v>
      </c>
      <c r="AB22" s="136"/>
      <c r="AC22" s="136"/>
      <c r="AD22" s="136"/>
      <c r="AE22" s="136"/>
      <c r="AF22" s="136"/>
      <c r="AG22" s="136"/>
      <c r="AH22" s="136"/>
      <c r="AI22" s="136"/>
      <c r="AJ22" s="136"/>
      <c r="AK22" s="136"/>
      <c r="AL22" s="277" t="s">
        <v>370</v>
      </c>
      <c r="AM22" s="278">
        <f>AM18</f>
        <v>40000</v>
      </c>
      <c r="AN22" s="136"/>
      <c r="AO22" s="661" t="s">
        <v>594</v>
      </c>
      <c r="AP22" s="581"/>
      <c r="AQ22" s="661" t="s">
        <v>595</v>
      </c>
      <c r="AR22" s="581"/>
      <c r="AS22" s="136"/>
      <c r="AT22" s="136"/>
      <c r="AU22" s="136"/>
    </row>
    <row r="23" spans="1:47" ht="15.75" customHeight="1">
      <c r="A23" s="137"/>
      <c r="B23" s="574"/>
      <c r="C23" s="575"/>
      <c r="D23" s="576"/>
      <c r="E23" s="582" t="str">
        <f>IFERROR(IF(VLOOKUP(I22,'Development-Hidden'!X2:Y28,2,FALSE)="Yes","NECROMANCER","HEAD COACH"),"HEAD COACH")</f>
        <v>NECROMANCER</v>
      </c>
      <c r="F23" s="583"/>
      <c r="G23" s="583"/>
      <c r="H23" s="583"/>
      <c r="I23" s="598" t="s">
        <v>592</v>
      </c>
      <c r="J23" s="583"/>
      <c r="K23" s="597"/>
      <c r="L23" s="591" t="s">
        <v>371</v>
      </c>
      <c r="M23" s="583"/>
      <c r="N23" s="583"/>
      <c r="O23" s="583"/>
      <c r="P23" s="583"/>
      <c r="Q23" s="583"/>
      <c r="R23" s="583"/>
      <c r="S23" s="592"/>
      <c r="T23" s="274">
        <v>0</v>
      </c>
      <c r="U23" s="275" t="s">
        <v>220</v>
      </c>
      <c r="V23" s="582">
        <v>10000</v>
      </c>
      <c r="W23" s="583"/>
      <c r="X23" s="583"/>
      <c r="Y23" s="583"/>
      <c r="Z23" s="597"/>
      <c r="AA23" s="276">
        <f t="shared" si="5"/>
        <v>0</v>
      </c>
      <c r="AB23" s="136"/>
      <c r="AC23" s="136"/>
      <c r="AD23" s="136"/>
      <c r="AE23" s="136"/>
      <c r="AF23" s="136"/>
      <c r="AG23" s="136"/>
      <c r="AH23" s="136"/>
      <c r="AI23" s="136"/>
      <c r="AJ23" s="136"/>
      <c r="AK23" s="136"/>
      <c r="AL23" s="279" t="s">
        <v>372</v>
      </c>
      <c r="AM23" s="280">
        <f>COUNTA(AP6:AP17)*10000</f>
        <v>70000</v>
      </c>
      <c r="AN23" s="136"/>
      <c r="AO23" s="661" t="s">
        <v>596</v>
      </c>
      <c r="AP23" s="581"/>
      <c r="AQ23" s="661" t="s">
        <v>597</v>
      </c>
      <c r="AR23" s="581"/>
      <c r="AS23" s="136"/>
      <c r="AT23" s="136"/>
      <c r="AU23" s="136"/>
    </row>
    <row r="24" spans="1:47" ht="15.75" customHeight="1">
      <c r="A24" s="137"/>
      <c r="B24" s="574"/>
      <c r="C24" s="575"/>
      <c r="D24" s="576"/>
      <c r="E24" s="582" t="s">
        <v>373</v>
      </c>
      <c r="F24" s="583"/>
      <c r="G24" s="583"/>
      <c r="H24" s="583"/>
      <c r="I24" s="599">
        <f>AA20+AA26</f>
        <v>1230000</v>
      </c>
      <c r="J24" s="583"/>
      <c r="K24" s="597"/>
      <c r="L24" s="591" t="s">
        <v>375</v>
      </c>
      <c r="M24" s="583"/>
      <c r="N24" s="583"/>
      <c r="O24" s="583"/>
      <c r="P24" s="583"/>
      <c r="Q24" s="583"/>
      <c r="R24" s="583"/>
      <c r="S24" s="592"/>
      <c r="T24" s="274">
        <v>0</v>
      </c>
      <c r="U24" s="275" t="s">
        <v>220</v>
      </c>
      <c r="V24" s="582">
        <v>10000</v>
      </c>
      <c r="W24" s="583"/>
      <c r="X24" s="583"/>
      <c r="Y24" s="583"/>
      <c r="Z24" s="597"/>
      <c r="AA24" s="276">
        <f t="shared" si="5"/>
        <v>0</v>
      </c>
      <c r="AB24" s="136"/>
      <c r="AC24" s="136"/>
      <c r="AD24" s="136"/>
      <c r="AE24" s="136"/>
      <c r="AF24" s="136"/>
      <c r="AG24" s="136"/>
      <c r="AH24" s="136"/>
      <c r="AI24" s="136"/>
      <c r="AJ24" s="136"/>
      <c r="AK24" s="136"/>
      <c r="AL24" s="279" t="s">
        <v>33</v>
      </c>
      <c r="AM24" s="280">
        <f>AR18*5000</f>
        <v>40000</v>
      </c>
      <c r="AN24" s="136"/>
      <c r="AO24" s="661"/>
      <c r="AP24" s="581"/>
      <c r="AQ24" s="661"/>
      <c r="AR24" s="581"/>
      <c r="AS24" s="136"/>
      <c r="AT24" s="136"/>
      <c r="AU24" s="136"/>
    </row>
    <row r="25" spans="1:47" ht="15.75" customHeight="1">
      <c r="A25" s="137"/>
      <c r="B25" s="574"/>
      <c r="C25" s="575"/>
      <c r="D25" s="576"/>
      <c r="E25" s="595" t="s">
        <v>376</v>
      </c>
      <c r="F25" s="594"/>
      <c r="G25" s="594"/>
      <c r="H25" s="596"/>
      <c r="I25" s="600">
        <f>AM18</f>
        <v>40000</v>
      </c>
      <c r="J25" s="594"/>
      <c r="K25" s="596"/>
      <c r="L25" s="593" t="str">
        <f>IFERROR(IF(VLOOKUP(I22,'Development-Hidden'!X2:Y28,1,FALSE)&lt;&gt;"","",""),"APOTHECARY")</f>
        <v/>
      </c>
      <c r="M25" s="594"/>
      <c r="N25" s="594"/>
      <c r="O25" s="594"/>
      <c r="P25" s="594"/>
      <c r="Q25" s="594"/>
      <c r="R25" s="594"/>
      <c r="S25" s="594"/>
      <c r="T25" s="281">
        <v>0</v>
      </c>
      <c r="U25" s="275" t="str">
        <f>IF(L25&lt;&gt;"","x","")</f>
        <v/>
      </c>
      <c r="V25" s="595">
        <v>0</v>
      </c>
      <c r="W25" s="594"/>
      <c r="X25" s="594"/>
      <c r="Y25" s="594"/>
      <c r="Z25" s="596"/>
      <c r="AA25" s="276">
        <f t="shared" si="5"/>
        <v>0</v>
      </c>
      <c r="AB25" s="136"/>
      <c r="AC25" s="136"/>
      <c r="AD25" s="136"/>
      <c r="AE25" s="136"/>
      <c r="AF25" s="136"/>
      <c r="AG25" s="136"/>
      <c r="AH25" s="136"/>
      <c r="AI25" s="136"/>
      <c r="AJ25" s="136"/>
      <c r="AK25" s="136"/>
      <c r="AL25" s="282" t="s">
        <v>34</v>
      </c>
      <c r="AM25" s="283">
        <f>AS18*5000</f>
        <v>40000</v>
      </c>
      <c r="AN25" s="136"/>
      <c r="AO25" s="660"/>
      <c r="AP25" s="575"/>
      <c r="AQ25" s="660"/>
      <c r="AR25" s="575"/>
      <c r="AS25" s="136"/>
      <c r="AT25" s="136"/>
      <c r="AU25" s="136"/>
    </row>
    <row r="26" spans="1:47" ht="15.75" customHeight="1">
      <c r="A26" s="137"/>
      <c r="B26" s="577"/>
      <c r="C26" s="578"/>
      <c r="D26" s="579"/>
      <c r="E26" s="586" t="s">
        <v>379</v>
      </c>
      <c r="F26" s="587"/>
      <c r="G26" s="587"/>
      <c r="H26" s="587"/>
      <c r="I26" s="587"/>
      <c r="J26" s="587"/>
      <c r="K26" s="587"/>
      <c r="L26" s="587"/>
      <c r="M26" s="587"/>
      <c r="N26" s="587"/>
      <c r="O26" s="587"/>
      <c r="P26" s="587"/>
      <c r="Q26" s="587"/>
      <c r="R26" s="587"/>
      <c r="S26" s="587"/>
      <c r="T26" s="587"/>
      <c r="U26" s="587"/>
      <c r="V26" s="587"/>
      <c r="W26" s="587"/>
      <c r="X26" s="587"/>
      <c r="Y26" s="587"/>
      <c r="Z26" s="588"/>
      <c r="AA26" s="270">
        <f>SUM(AA21:AA25)</f>
        <v>260000</v>
      </c>
      <c r="AB26" s="136"/>
      <c r="AC26" s="136"/>
      <c r="AD26" s="136"/>
      <c r="AE26" s="136"/>
      <c r="AF26" s="136"/>
      <c r="AG26" s="136"/>
      <c r="AH26" s="136"/>
      <c r="AI26" s="136"/>
      <c r="AJ26" s="136"/>
      <c r="AK26" s="136"/>
      <c r="AL26" s="284" t="s">
        <v>219</v>
      </c>
      <c r="AM26" s="285">
        <f>SUM(AM22:AM25)</f>
        <v>190000</v>
      </c>
      <c r="AN26" s="136"/>
      <c r="AO26" s="136"/>
      <c r="AP26" s="136"/>
      <c r="AQ26" s="136"/>
      <c r="AR26" s="136"/>
      <c r="AS26" s="136"/>
      <c r="AT26" s="136"/>
      <c r="AU26" s="136"/>
    </row>
    <row r="27" spans="1:47" ht="8.25" customHeight="1">
      <c r="A27" s="136"/>
      <c r="B27" s="140"/>
      <c r="C27" s="286"/>
      <c r="D27" s="286"/>
      <c r="E27" s="287"/>
      <c r="F27" s="136"/>
      <c r="G27" s="136"/>
      <c r="H27" s="136"/>
      <c r="I27" s="288"/>
      <c r="J27" s="289"/>
      <c r="K27" s="136"/>
      <c r="L27" s="290"/>
      <c r="M27" s="290"/>
      <c r="N27" s="290"/>
      <c r="O27" s="290"/>
      <c r="P27" s="290"/>
      <c r="Q27" s="290"/>
      <c r="R27" s="290"/>
      <c r="S27" s="290"/>
      <c r="T27" s="291"/>
      <c r="U27" s="292"/>
      <c r="V27" s="143"/>
      <c r="W27" s="293"/>
      <c r="X27" s="293"/>
      <c r="Y27" s="293"/>
      <c r="Z27" s="293"/>
      <c r="AA27" s="294"/>
      <c r="AB27" s="136"/>
      <c r="AC27" s="136"/>
      <c r="AD27" s="136"/>
      <c r="AE27" s="136"/>
      <c r="AF27" s="136"/>
      <c r="AG27" s="136"/>
      <c r="AH27" s="136"/>
      <c r="AI27" s="136"/>
      <c r="AJ27" s="136"/>
      <c r="AK27" s="136"/>
      <c r="AL27" s="136"/>
      <c r="AM27" s="136"/>
      <c r="AN27" s="136"/>
      <c r="AO27" s="136"/>
      <c r="AP27" s="136"/>
      <c r="AQ27" s="136"/>
      <c r="AR27" s="136"/>
      <c r="AS27" s="136"/>
      <c r="AT27" s="136"/>
      <c r="AU27" s="136"/>
    </row>
    <row r="28" spans="1:47" ht="17.25" hidden="1" customHeight="1">
      <c r="A28" s="295"/>
      <c r="B28" s="296"/>
      <c r="C28" s="297">
        <f>MATCH(I22,'Development-Hidden'!A2:A118,0)</f>
        <v>101</v>
      </c>
      <c r="D28" s="297" t="str">
        <f t="array" ref="D28">IFERROR(IF(INDEX('Development-Hidden'!$A$2:$B$118,$C28,1)=$I$22,INDEX('Development-Hidden'!$A$2:$B$118,$C28,2),""),"")</f>
        <v>Skeleton</v>
      </c>
      <c r="E28" s="298"/>
      <c r="F28" s="298"/>
      <c r="G28" s="298"/>
      <c r="H28" s="298"/>
      <c r="I28" s="298"/>
      <c r="J28" s="299"/>
      <c r="K28" s="295"/>
      <c r="L28" s="300"/>
      <c r="M28" s="300"/>
      <c r="N28" s="300"/>
      <c r="O28" s="300"/>
      <c r="P28" s="300"/>
      <c r="Q28" s="300"/>
      <c r="R28" s="300"/>
      <c r="S28" s="300"/>
      <c r="T28" s="301"/>
      <c r="U28" s="302"/>
      <c r="V28" s="301"/>
      <c r="W28" s="303"/>
      <c r="X28" s="303"/>
      <c r="Y28" s="303"/>
      <c r="Z28" s="303"/>
      <c r="AA28" s="298"/>
      <c r="AB28" s="295"/>
      <c r="AC28" s="295"/>
      <c r="AD28" s="295"/>
      <c r="AE28" s="295"/>
      <c r="AF28" s="295"/>
      <c r="AG28" s="295"/>
      <c r="AH28" s="295"/>
      <c r="AI28" s="295"/>
      <c r="AJ28" s="295"/>
      <c r="AK28" s="295"/>
      <c r="AL28" s="295"/>
      <c r="AM28" s="295"/>
      <c r="AN28" s="295"/>
      <c r="AO28" s="295"/>
      <c r="AP28" s="295"/>
      <c r="AQ28" s="295"/>
      <c r="AR28" s="295"/>
      <c r="AS28" s="295"/>
      <c r="AT28" s="295"/>
      <c r="AU28" s="295"/>
    </row>
    <row r="29" spans="1:47" ht="17.25" hidden="1" customHeight="1">
      <c r="A29" s="295"/>
      <c r="B29" s="296"/>
      <c r="C29" s="297">
        <f t="shared" ref="C29:C37" si="6">C28+1</f>
        <v>102</v>
      </c>
      <c r="D29" s="297" t="str">
        <f t="array" ref="D29">IFERROR(IF(INDEX('Development-Hidden'!$A$2:$B$118,$C29,1)=$I$22,INDEX('Development-Hidden'!$A$2:$B$118,$C29,2),""),"")</f>
        <v>Zombie</v>
      </c>
      <c r="E29" s="298"/>
      <c r="F29" s="298"/>
      <c r="G29" s="298"/>
      <c r="H29" s="298"/>
      <c r="I29" s="298"/>
      <c r="J29" s="299"/>
      <c r="K29" s="295"/>
      <c r="L29" s="300"/>
      <c r="M29" s="300"/>
      <c r="N29" s="300"/>
      <c r="O29" s="300"/>
      <c r="P29" s="300"/>
      <c r="Q29" s="300"/>
      <c r="R29" s="300"/>
      <c r="S29" s="300"/>
      <c r="T29" s="301"/>
      <c r="U29" s="302"/>
      <c r="V29" s="301"/>
      <c r="W29" s="303"/>
      <c r="X29" s="303"/>
      <c r="Y29" s="303"/>
      <c r="Z29" s="303"/>
      <c r="AA29" s="298"/>
      <c r="AB29" s="295"/>
      <c r="AC29" s="295"/>
      <c r="AD29" s="295"/>
      <c r="AE29" s="295"/>
      <c r="AF29" s="295"/>
      <c r="AG29" s="295"/>
      <c r="AH29" s="295"/>
      <c r="AI29" s="295"/>
      <c r="AJ29" s="295"/>
      <c r="AK29" s="295"/>
      <c r="AL29" s="295"/>
      <c r="AM29" s="295"/>
      <c r="AN29" s="295"/>
      <c r="AO29" s="295"/>
      <c r="AP29" s="295"/>
      <c r="AQ29" s="295"/>
      <c r="AR29" s="295"/>
      <c r="AS29" s="295"/>
      <c r="AT29" s="295"/>
      <c r="AU29" s="295"/>
    </row>
    <row r="30" spans="1:47" ht="17.25" hidden="1" customHeight="1">
      <c r="A30" s="295"/>
      <c r="B30" s="296"/>
      <c r="C30" s="297">
        <f t="shared" si="6"/>
        <v>103</v>
      </c>
      <c r="D30" s="297" t="str">
        <f t="array" ref="D30">IFERROR(IF(INDEX('Development-Hidden'!$A$2:$B$118,$C30,1)=$I$22,INDEX('Development-Hidden'!$A$2:$B$118,$C30,2),""),"")</f>
        <v>Ghoul</v>
      </c>
      <c r="E30" s="298"/>
      <c r="F30" s="298"/>
      <c r="G30" s="298"/>
      <c r="H30" s="298"/>
      <c r="I30" s="298"/>
      <c r="J30" s="299"/>
      <c r="K30" s="295"/>
      <c r="L30" s="300"/>
      <c r="M30" s="300"/>
      <c r="N30" s="300"/>
      <c r="O30" s="300"/>
      <c r="P30" s="300"/>
      <c r="Q30" s="300"/>
      <c r="R30" s="300"/>
      <c r="S30" s="300"/>
      <c r="T30" s="301"/>
      <c r="U30" s="302"/>
      <c r="V30" s="301"/>
      <c r="W30" s="303"/>
      <c r="X30" s="303"/>
      <c r="Y30" s="303"/>
      <c r="Z30" s="303"/>
      <c r="AA30" s="298"/>
      <c r="AB30" s="295"/>
      <c r="AC30" s="295"/>
      <c r="AD30" s="295"/>
      <c r="AE30" s="295"/>
      <c r="AF30" s="295"/>
      <c r="AG30" s="295"/>
      <c r="AH30" s="295"/>
      <c r="AI30" s="295"/>
      <c r="AJ30" s="295"/>
      <c r="AK30" s="295"/>
      <c r="AL30" s="295"/>
      <c r="AM30" s="295"/>
      <c r="AN30" s="295"/>
      <c r="AO30" s="295"/>
      <c r="AP30" s="295"/>
      <c r="AQ30" s="295"/>
      <c r="AR30" s="295"/>
      <c r="AS30" s="295"/>
      <c r="AT30" s="295"/>
      <c r="AU30" s="295"/>
    </row>
    <row r="31" spans="1:47" ht="17.25" hidden="1" customHeight="1">
      <c r="A31" s="295"/>
      <c r="B31" s="296"/>
      <c r="C31" s="297">
        <f t="shared" si="6"/>
        <v>104</v>
      </c>
      <c r="D31" s="297" t="str">
        <f t="array" ref="D31">IFERROR(IF(INDEX('Development-Hidden'!$A$2:$B$118,$C31,1)=$I$22,INDEX('Development-Hidden'!$A$2:$B$118,$C31,2),""),"")</f>
        <v>Wight</v>
      </c>
      <c r="E31" s="298"/>
      <c r="F31" s="298"/>
      <c r="G31" s="298"/>
      <c r="H31" s="298"/>
      <c r="I31" s="298"/>
      <c r="J31" s="299"/>
      <c r="K31" s="295"/>
      <c r="L31" s="300"/>
      <c r="M31" s="300"/>
      <c r="N31" s="300"/>
      <c r="O31" s="300"/>
      <c r="P31" s="300"/>
      <c r="Q31" s="300"/>
      <c r="R31" s="300"/>
      <c r="S31" s="300"/>
      <c r="T31" s="301"/>
      <c r="U31" s="302"/>
      <c r="V31" s="301"/>
      <c r="W31" s="303"/>
      <c r="X31" s="303"/>
      <c r="Y31" s="303"/>
      <c r="Z31" s="303"/>
      <c r="AA31" s="298"/>
      <c r="AB31" s="295"/>
      <c r="AC31" s="295"/>
      <c r="AD31" s="295"/>
      <c r="AE31" s="295"/>
      <c r="AF31" s="295"/>
      <c r="AG31" s="295"/>
      <c r="AH31" s="295"/>
      <c r="AI31" s="295"/>
      <c r="AJ31" s="295"/>
      <c r="AK31" s="295"/>
      <c r="AL31" s="295"/>
      <c r="AM31" s="295"/>
      <c r="AN31" s="295"/>
      <c r="AO31" s="295"/>
      <c r="AP31" s="295"/>
      <c r="AQ31" s="295"/>
      <c r="AR31" s="295"/>
      <c r="AS31" s="295"/>
      <c r="AT31" s="295"/>
      <c r="AU31" s="295"/>
    </row>
    <row r="32" spans="1:47" ht="17.25" hidden="1" customHeight="1">
      <c r="A32" s="295"/>
      <c r="B32" s="296"/>
      <c r="C32" s="297">
        <f t="shared" si="6"/>
        <v>105</v>
      </c>
      <c r="D32" s="297" t="str">
        <f t="array" ref="D32">IFERROR(IF(INDEX('Development-Hidden'!$A$2:$B$118,$C32,1)=$I$22,INDEX('Development-Hidden'!$A$2:$B$118,$C32,2),""),"")</f>
        <v>Mummy</v>
      </c>
      <c r="E32" s="298"/>
      <c r="F32" s="298"/>
      <c r="G32" s="298"/>
      <c r="H32" s="298"/>
      <c r="I32" s="298"/>
      <c r="J32" s="299"/>
      <c r="K32" s="295"/>
      <c r="L32" s="300"/>
      <c r="M32" s="300"/>
      <c r="N32" s="300"/>
      <c r="O32" s="300"/>
      <c r="P32" s="300"/>
      <c r="Q32" s="300"/>
      <c r="R32" s="300"/>
      <c r="S32" s="300"/>
      <c r="T32" s="301"/>
      <c r="U32" s="302"/>
      <c r="V32" s="301"/>
      <c r="W32" s="303"/>
      <c r="X32" s="303"/>
      <c r="Y32" s="303"/>
      <c r="Z32" s="303"/>
      <c r="AA32" s="298"/>
      <c r="AB32" s="295"/>
      <c r="AC32" s="295"/>
      <c r="AD32" s="295"/>
      <c r="AE32" s="295"/>
      <c r="AF32" s="295"/>
      <c r="AG32" s="295"/>
      <c r="AH32" s="295"/>
      <c r="AI32" s="295"/>
      <c r="AJ32" s="295"/>
      <c r="AK32" s="295"/>
      <c r="AL32" s="295"/>
      <c r="AM32" s="295"/>
      <c r="AN32" s="295"/>
      <c r="AO32" s="295"/>
      <c r="AP32" s="295"/>
      <c r="AQ32" s="295"/>
      <c r="AR32" s="295"/>
      <c r="AS32" s="295"/>
      <c r="AT32" s="295"/>
      <c r="AU32" s="295"/>
    </row>
    <row r="33" spans="1:47" ht="17.25" hidden="1" customHeight="1">
      <c r="A33" s="295"/>
      <c r="B33" s="296"/>
      <c r="C33" s="297">
        <f t="shared" si="6"/>
        <v>106</v>
      </c>
      <c r="D33" s="297" t="str">
        <f t="array" ref="D33">IFERROR(IF(INDEX('Development-Hidden'!$A$2:$B$118,$C33,1)=$I$22,INDEX('Development-Hidden'!$A$2:$B$118,$C33,2),""),"")</f>
        <v/>
      </c>
      <c r="E33" s="298"/>
      <c r="F33" s="298"/>
      <c r="G33" s="298"/>
      <c r="H33" s="298"/>
      <c r="I33" s="298"/>
      <c r="J33" s="299"/>
      <c r="K33" s="295"/>
      <c r="L33" s="300"/>
      <c r="M33" s="300"/>
      <c r="N33" s="300"/>
      <c r="O33" s="300"/>
      <c r="P33" s="300"/>
      <c r="Q33" s="300"/>
      <c r="R33" s="300"/>
      <c r="S33" s="300"/>
      <c r="T33" s="301"/>
      <c r="U33" s="302"/>
      <c r="V33" s="301"/>
      <c r="W33" s="303"/>
      <c r="X33" s="303"/>
      <c r="Y33" s="303"/>
      <c r="Z33" s="303"/>
      <c r="AA33" s="298"/>
      <c r="AB33" s="295"/>
      <c r="AC33" s="295"/>
      <c r="AD33" s="295"/>
      <c r="AE33" s="295"/>
      <c r="AF33" s="295"/>
      <c r="AG33" s="295"/>
      <c r="AH33" s="295"/>
      <c r="AI33" s="295"/>
      <c r="AJ33" s="295"/>
      <c r="AK33" s="295"/>
      <c r="AL33" s="295"/>
      <c r="AM33" s="295"/>
      <c r="AN33" s="295"/>
      <c r="AO33" s="295"/>
      <c r="AP33" s="295"/>
      <c r="AQ33" s="295"/>
      <c r="AR33" s="295"/>
      <c r="AS33" s="295"/>
      <c r="AT33" s="295"/>
      <c r="AU33" s="295"/>
    </row>
    <row r="34" spans="1:47" ht="17.25" hidden="1" customHeight="1">
      <c r="A34" s="295"/>
      <c r="B34" s="296"/>
      <c r="C34" s="297">
        <f t="shared" si="6"/>
        <v>107</v>
      </c>
      <c r="D34" s="297" t="str">
        <f t="array" ref="D34">IFERROR(IF(INDEX('Development-Hidden'!$A$2:$B$118,$C34,1)=$I$22,INDEX('Development-Hidden'!$A$2:$B$118,$C34,2),""),"")</f>
        <v/>
      </c>
      <c r="E34" s="298"/>
      <c r="F34" s="298"/>
      <c r="G34" s="298"/>
      <c r="H34" s="298"/>
      <c r="I34" s="298"/>
      <c r="J34" s="299"/>
      <c r="K34" s="295"/>
      <c r="L34" s="300"/>
      <c r="M34" s="300"/>
      <c r="N34" s="300"/>
      <c r="O34" s="300"/>
      <c r="P34" s="300"/>
      <c r="Q34" s="300"/>
      <c r="R34" s="300"/>
      <c r="S34" s="300"/>
      <c r="T34" s="301"/>
      <c r="U34" s="302"/>
      <c r="V34" s="301"/>
      <c r="W34" s="303"/>
      <c r="X34" s="303"/>
      <c r="Y34" s="303"/>
      <c r="Z34" s="303"/>
      <c r="AA34" s="298"/>
      <c r="AB34" s="295"/>
      <c r="AC34" s="295"/>
      <c r="AD34" s="295"/>
      <c r="AE34" s="295"/>
      <c r="AF34" s="295"/>
      <c r="AG34" s="295"/>
      <c r="AH34" s="295"/>
      <c r="AI34" s="295"/>
      <c r="AJ34" s="295"/>
      <c r="AK34" s="295"/>
      <c r="AL34" s="295"/>
      <c r="AM34" s="295"/>
      <c r="AN34" s="295"/>
      <c r="AO34" s="295"/>
      <c r="AP34" s="295"/>
      <c r="AQ34" s="295"/>
      <c r="AR34" s="295"/>
      <c r="AS34" s="295"/>
      <c r="AT34" s="295"/>
      <c r="AU34" s="295"/>
    </row>
    <row r="35" spans="1:47" ht="17.25" hidden="1" customHeight="1">
      <c r="A35" s="295"/>
      <c r="B35" s="296"/>
      <c r="C35" s="297">
        <f t="shared" si="6"/>
        <v>108</v>
      </c>
      <c r="D35" s="297" t="str">
        <f t="array" ref="D35">IFERROR(IF(INDEX('Development-Hidden'!$A$2:$B$118,$C35,1)=$I$22,INDEX('Development-Hidden'!$A$2:$B$118,$C35,2),""),"")</f>
        <v/>
      </c>
      <c r="E35" s="298"/>
      <c r="F35" s="298"/>
      <c r="G35" s="298"/>
      <c r="H35" s="298"/>
      <c r="I35" s="298"/>
      <c r="J35" s="299"/>
      <c r="K35" s="295"/>
      <c r="L35" s="300"/>
      <c r="M35" s="300"/>
      <c r="N35" s="300"/>
      <c r="O35" s="300"/>
      <c r="P35" s="300"/>
      <c r="Q35" s="300"/>
      <c r="R35" s="300"/>
      <c r="S35" s="300"/>
      <c r="T35" s="301"/>
      <c r="U35" s="302"/>
      <c r="V35" s="301"/>
      <c r="W35" s="303"/>
      <c r="X35" s="303"/>
      <c r="Y35" s="303"/>
      <c r="Z35" s="303"/>
      <c r="AA35" s="298"/>
      <c r="AB35" s="295"/>
      <c r="AC35" s="295"/>
      <c r="AD35" s="295"/>
      <c r="AE35" s="295"/>
      <c r="AF35" s="295"/>
      <c r="AG35" s="295"/>
      <c r="AH35" s="295"/>
      <c r="AI35" s="295"/>
      <c r="AJ35" s="295"/>
      <c r="AK35" s="295"/>
      <c r="AL35" s="295"/>
      <c r="AM35" s="295"/>
      <c r="AN35" s="295"/>
      <c r="AO35" s="295"/>
      <c r="AP35" s="295"/>
      <c r="AQ35" s="295"/>
      <c r="AR35" s="295"/>
      <c r="AS35" s="295"/>
      <c r="AT35" s="295"/>
      <c r="AU35" s="295"/>
    </row>
    <row r="36" spans="1:47" ht="17.25" hidden="1" customHeight="1">
      <c r="A36" s="295"/>
      <c r="B36" s="296"/>
      <c r="C36" s="297">
        <f t="shared" si="6"/>
        <v>109</v>
      </c>
      <c r="D36" s="297" t="str">
        <f t="array" ref="D36">IFERROR(IF(INDEX('Development-Hidden'!$A$2:$B$118,$C36,1)=$I$22,INDEX('Development-Hidden'!$A$2:$B$118,$C36,2),""),"")</f>
        <v/>
      </c>
      <c r="E36" s="298"/>
      <c r="F36" s="298"/>
      <c r="G36" s="298"/>
      <c r="H36" s="298"/>
      <c r="I36" s="298"/>
      <c r="J36" s="299"/>
      <c r="K36" s="295"/>
      <c r="L36" s="300"/>
      <c r="M36" s="300"/>
      <c r="N36" s="300"/>
      <c r="O36" s="300"/>
      <c r="P36" s="300"/>
      <c r="Q36" s="300"/>
      <c r="R36" s="300"/>
      <c r="S36" s="300"/>
      <c r="T36" s="301"/>
      <c r="U36" s="302"/>
      <c r="V36" s="301"/>
      <c r="W36" s="303"/>
      <c r="X36" s="303"/>
      <c r="Y36" s="303"/>
      <c r="Z36" s="303"/>
      <c r="AA36" s="298"/>
      <c r="AB36" s="295"/>
      <c r="AC36" s="295"/>
      <c r="AD36" s="295"/>
      <c r="AE36" s="295"/>
      <c r="AF36" s="295"/>
      <c r="AG36" s="295"/>
      <c r="AH36" s="295"/>
      <c r="AI36" s="295"/>
      <c r="AJ36" s="295"/>
      <c r="AK36" s="295"/>
      <c r="AL36" s="295"/>
      <c r="AM36" s="295"/>
      <c r="AN36" s="295"/>
      <c r="AO36" s="295"/>
      <c r="AP36" s="295"/>
      <c r="AQ36" s="295"/>
      <c r="AR36" s="295"/>
      <c r="AS36" s="295"/>
      <c r="AT36" s="295"/>
      <c r="AU36" s="295"/>
    </row>
    <row r="37" spans="1:47" ht="17.25" hidden="1" customHeight="1">
      <c r="A37" s="295"/>
      <c r="B37" s="296"/>
      <c r="C37" s="297">
        <f t="shared" si="6"/>
        <v>110</v>
      </c>
      <c r="D37" s="297" t="str">
        <f t="array" ref="D37">IFERROR(IF(INDEX('Development-Hidden'!$A$2:$B$118,$C37,1)=$I$22,INDEX('Development-Hidden'!$A$2:$B$118,$C37,2),""),"")</f>
        <v/>
      </c>
      <c r="E37" s="298"/>
      <c r="F37" s="298"/>
      <c r="G37" s="298"/>
      <c r="H37" s="298"/>
      <c r="I37" s="298"/>
      <c r="J37" s="299"/>
      <c r="K37" s="295"/>
      <c r="L37" s="300"/>
      <c r="M37" s="300"/>
      <c r="N37" s="300"/>
      <c r="O37" s="300"/>
      <c r="P37" s="300"/>
      <c r="Q37" s="300"/>
      <c r="R37" s="300"/>
      <c r="S37" s="300"/>
      <c r="T37" s="301"/>
      <c r="U37" s="302"/>
      <c r="V37" s="301"/>
      <c r="W37" s="303"/>
      <c r="X37" s="303"/>
      <c r="Y37" s="303"/>
      <c r="Z37" s="303"/>
      <c r="AA37" s="298"/>
      <c r="AB37" s="295"/>
      <c r="AC37" s="295"/>
      <c r="AD37" s="295"/>
      <c r="AE37" s="295"/>
      <c r="AF37" s="295"/>
      <c r="AG37" s="295"/>
      <c r="AH37" s="295"/>
      <c r="AI37" s="295"/>
      <c r="AJ37" s="295"/>
      <c r="AK37" s="295"/>
      <c r="AL37" s="295"/>
      <c r="AM37" s="295"/>
      <c r="AN37" s="295"/>
      <c r="AO37" s="295"/>
      <c r="AP37" s="295"/>
      <c r="AQ37" s="295"/>
      <c r="AR37" s="295"/>
      <c r="AS37" s="295"/>
      <c r="AT37" s="295"/>
      <c r="AU37" s="295"/>
    </row>
  </sheetData>
  <mergeCells count="36">
    <mergeCell ref="P2:S2"/>
    <mergeCell ref="I22:K22"/>
    <mergeCell ref="L21:S21"/>
    <mergeCell ref="L22:S22"/>
    <mergeCell ref="L23:S23"/>
    <mergeCell ref="I21:K21"/>
    <mergeCell ref="B20:D26"/>
    <mergeCell ref="E22:H22"/>
    <mergeCell ref="I25:K25"/>
    <mergeCell ref="I24:K24"/>
    <mergeCell ref="E21:H21"/>
    <mergeCell ref="I23:K23"/>
    <mergeCell ref="E26:Z26"/>
    <mergeCell ref="L25:S25"/>
    <mergeCell ref="E23:H23"/>
    <mergeCell ref="L24:S24"/>
    <mergeCell ref="E25:H25"/>
    <mergeCell ref="E24:H24"/>
    <mergeCell ref="V21:Z21"/>
    <mergeCell ref="E20:Z20"/>
    <mergeCell ref="AL3:AO3"/>
    <mergeCell ref="AP3:AT3"/>
    <mergeCell ref="AO23:AP23"/>
    <mergeCell ref="AO22:AP22"/>
    <mergeCell ref="AQ24:AR24"/>
    <mergeCell ref="AQ23:AR23"/>
    <mergeCell ref="AQ22:AR22"/>
    <mergeCell ref="AO24:AP24"/>
    <mergeCell ref="AO25:AP25"/>
    <mergeCell ref="AL21:AM21"/>
    <mergeCell ref="AQ25:AR25"/>
    <mergeCell ref="V22:Z22"/>
    <mergeCell ref="V24:Z24"/>
    <mergeCell ref="V23:Z23"/>
    <mergeCell ref="V25:Z25"/>
    <mergeCell ref="AO21:AP21"/>
  </mergeCells>
  <conditionalFormatting sqref="AA4:AA19">
    <cfRule type="cellIs" dxfId="27" priority="1" operator="equal">
      <formula>0</formula>
    </cfRule>
  </conditionalFormatting>
  <conditionalFormatting sqref="J4">
    <cfRule type="expression" dxfId="26" priority="2">
      <formula>K4&lt;&gt;SUM(AD4:AI4)</formula>
    </cfRule>
  </conditionalFormatting>
  <conditionalFormatting sqref="I4:I19">
    <cfRule type="cellIs" dxfId="25" priority="3" stopIfTrue="1" operator="equal">
      <formula>"Player type quantity surpassed"</formula>
    </cfRule>
  </conditionalFormatting>
  <conditionalFormatting sqref="J5">
    <cfRule type="expression" dxfId="24" priority="4">
      <formula>K5&lt;&gt;SUM(AD5:AI5)</formula>
    </cfRule>
  </conditionalFormatting>
  <conditionalFormatting sqref="J6">
    <cfRule type="expression" dxfId="23" priority="5">
      <formula>K6&lt;&gt;SUM(AD6:AI6)</formula>
    </cfRule>
  </conditionalFormatting>
  <conditionalFormatting sqref="J7">
    <cfRule type="expression" dxfId="22" priority="6">
      <formula>K7&lt;&gt;SUM(AD7:AI7)</formula>
    </cfRule>
  </conditionalFormatting>
  <conditionalFormatting sqref="J8">
    <cfRule type="expression" dxfId="21" priority="7">
      <formula>K8&lt;&gt;SUM(AD8:AI8)</formula>
    </cfRule>
  </conditionalFormatting>
  <conditionalFormatting sqref="J9">
    <cfRule type="expression" dxfId="20" priority="8">
      <formula>K9&lt;&gt;SUM(AD9:AI9)</formula>
    </cfRule>
  </conditionalFormatting>
  <conditionalFormatting sqref="J10">
    <cfRule type="expression" dxfId="19" priority="9">
      <formula>K10&lt;&gt;SUM(AD10:AI10)</formula>
    </cfRule>
  </conditionalFormatting>
  <conditionalFormatting sqref="J11">
    <cfRule type="expression" dxfId="18" priority="10">
      <formula>K11&lt;&gt;SUM(AD11:AI11)</formula>
    </cfRule>
  </conditionalFormatting>
  <conditionalFormatting sqref="J12">
    <cfRule type="expression" dxfId="17" priority="11">
      <formula>K12&lt;&gt;SUM(AD12:AI12)</formula>
    </cfRule>
  </conditionalFormatting>
  <conditionalFormatting sqref="J13">
    <cfRule type="expression" dxfId="16" priority="12">
      <formula>K13&lt;&gt;SUM(AD13:AI13)</formula>
    </cfRule>
  </conditionalFormatting>
  <conditionalFormatting sqref="J14">
    <cfRule type="expression" dxfId="15" priority="13">
      <formula>K14&lt;&gt;SUM(AD14:AI14)</formula>
    </cfRule>
  </conditionalFormatting>
  <conditionalFormatting sqref="J15">
    <cfRule type="expression" dxfId="14" priority="14">
      <formula>K15&lt;&gt;SUM(AD15:AI15)</formula>
    </cfRule>
  </conditionalFormatting>
  <conditionalFormatting sqref="J16">
    <cfRule type="expression" dxfId="13" priority="15">
      <formula>K16&lt;&gt;SUM(AD16:AI16)</formula>
    </cfRule>
  </conditionalFormatting>
  <conditionalFormatting sqref="J17">
    <cfRule type="expression" dxfId="12" priority="16">
      <formula>K17&lt;&gt;SUM(AD17:AI17)</formula>
    </cfRule>
  </conditionalFormatting>
  <conditionalFormatting sqref="J18">
    <cfRule type="expression" dxfId="11" priority="17">
      <formula>K18&lt;&gt;SUM(AD18:AI18)</formula>
    </cfRule>
  </conditionalFormatting>
  <conditionalFormatting sqref="J19">
    <cfRule type="expression" dxfId="10" priority="18">
      <formula>K19&lt;&gt;SUM(AD19:AI19)</formula>
    </cfRule>
  </conditionalFormatting>
  <conditionalFormatting sqref="K4:K19">
    <cfRule type="cellIs" dxfId="9" priority="19" operator="equal">
      <formula>0</formula>
    </cfRule>
  </conditionalFormatting>
  <conditionalFormatting sqref="E4:H19">
    <cfRule type="expression" dxfId="8" priority="20">
      <formula>AF4&gt;0</formula>
    </cfRule>
  </conditionalFormatting>
  <conditionalFormatting sqref="E4:H19">
    <cfRule type="expression" dxfId="7" priority="21">
      <formula>P4&gt;0</formula>
    </cfRule>
  </conditionalFormatting>
  <conditionalFormatting sqref="I4:I19 T4:W19 Y4:Y19 U27:U37">
    <cfRule type="cellIs" dxfId="6" priority="22" stopIfTrue="1" operator="equal">
      <formula>0</formula>
    </cfRule>
  </conditionalFormatting>
  <conditionalFormatting sqref="AA27">
    <cfRule type="cellIs" dxfId="5" priority="23" stopIfTrue="1" operator="equal">
      <formula>"0,0"</formula>
    </cfRule>
  </conditionalFormatting>
  <conditionalFormatting sqref="P4:S19">
    <cfRule type="cellIs" dxfId="4" priority="24" stopIfTrue="1" operator="lessThanOrEqual">
      <formula>-1</formula>
    </cfRule>
  </conditionalFormatting>
  <conditionalFormatting sqref="V25:W25">
    <cfRule type="cellIs" dxfId="3" priority="25" stopIfTrue="1" operator="equal">
      <formula>-500</formula>
    </cfRule>
  </conditionalFormatting>
  <conditionalFormatting sqref="T25">
    <cfRule type="cellIs" dxfId="2" priority="26" stopIfTrue="1" operator="greaterThan">
      <formula>$V$25</formula>
    </cfRule>
  </conditionalFormatting>
  <conditionalFormatting sqref="Z4:Z19">
    <cfRule type="cellIs" dxfId="1" priority="27" stopIfTrue="1" operator="equal">
      <formula>"Star"</formula>
    </cfRule>
  </conditionalFormatting>
  <conditionalFormatting sqref="Z4:Z19">
    <cfRule type="cellIs" dxfId="0" priority="28" stopIfTrue="1" operator="equal">
      <formula>AA4</formula>
    </cfRule>
  </conditionalFormatting>
  <dataValidations count="2">
    <dataValidation type="list" allowBlank="1" showErrorMessage="1" sqref="I22">
      <formula1>'Development-Hidden'!$N$2:$N$28</formula1>
    </dataValidation>
    <dataValidation type="list" allowBlank="1" showErrorMessage="1" sqref="D4:D19">
      <formula1>'TL2'!$D$28:$D$37</formula1>
    </dataValidation>
  </dataValidations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M135"/>
  <sheetViews>
    <sheetView topLeftCell="A69" workbookViewId="0">
      <selection activeCell="B86" sqref="B86"/>
    </sheetView>
  </sheetViews>
  <sheetFormatPr defaultColWidth="14.42578125" defaultRowHeight="15.75" customHeight="1"/>
  <cols>
    <col min="1" max="1" width="17.5703125" customWidth="1"/>
    <col min="2" max="2" width="16.7109375" customWidth="1"/>
    <col min="3" max="3" width="28" customWidth="1"/>
    <col min="4" max="4" width="4.7109375" customWidth="1"/>
    <col min="5" max="5" width="7.7109375" customWidth="1"/>
    <col min="6" max="6" width="4" customWidth="1"/>
    <col min="7" max="7" width="3.5703125" customWidth="1"/>
    <col min="8" max="8" width="3.85546875" customWidth="1"/>
    <col min="9" max="9" width="3.5703125" customWidth="1"/>
    <col min="10" max="10" width="94.140625" customWidth="1"/>
    <col min="11" max="11" width="7.5703125" customWidth="1"/>
    <col min="12" max="12" width="7.42578125" customWidth="1"/>
    <col min="13" max="13" width="4.7109375" customWidth="1"/>
    <col min="14" max="14" width="17.5703125" customWidth="1"/>
    <col min="15" max="15" width="11" customWidth="1"/>
    <col min="16" max="16" width="3.7109375" customWidth="1"/>
    <col min="17" max="17" width="14" customWidth="1"/>
    <col min="18" max="18" width="12.28515625" customWidth="1"/>
    <col min="19" max="19" width="12.85546875" customWidth="1"/>
    <col min="20" max="20" width="14" customWidth="1"/>
    <col min="21" max="21" width="17.85546875" customWidth="1"/>
    <col min="22" max="22" width="16" customWidth="1"/>
    <col min="24" max="24" width="17.5703125" customWidth="1"/>
    <col min="25" max="25" width="27.7109375" customWidth="1"/>
    <col min="26" max="27" width="17.5703125" customWidth="1"/>
    <col min="28" max="28" width="16.7109375" customWidth="1"/>
    <col min="29" max="29" width="28" customWidth="1"/>
    <col min="30" max="30" width="8" customWidth="1"/>
    <col min="31" max="31" width="6.28515625" customWidth="1"/>
    <col min="32" max="32" width="8.140625" customWidth="1"/>
    <col min="33" max="33" width="7.85546875" customWidth="1"/>
    <col min="34" max="34" width="8.28515625" customWidth="1"/>
    <col min="35" max="35" width="7.85546875" customWidth="1"/>
    <col min="36" max="36" width="6.28515625" customWidth="1"/>
    <col min="37" max="37" width="8.140625" customWidth="1"/>
    <col min="38" max="38" width="7.85546875" customWidth="1"/>
    <col min="39" max="39" width="8.28515625" customWidth="1"/>
  </cols>
  <sheetData>
    <row r="1" spans="1:39" ht="15.75" customHeight="1">
      <c r="A1" s="113" t="s">
        <v>0</v>
      </c>
      <c r="B1" s="113" t="s">
        <v>620</v>
      </c>
      <c r="C1" s="114" t="s">
        <v>621</v>
      </c>
      <c r="D1" s="114" t="s">
        <v>622</v>
      </c>
      <c r="E1" s="115" t="s">
        <v>623</v>
      </c>
      <c r="F1" s="116" t="s">
        <v>206</v>
      </c>
      <c r="G1" s="116" t="s">
        <v>207</v>
      </c>
      <c r="H1" s="116" t="s">
        <v>208</v>
      </c>
      <c r="I1" s="116" t="s">
        <v>209</v>
      </c>
      <c r="J1" s="113" t="s">
        <v>205</v>
      </c>
      <c r="K1" s="116" t="s">
        <v>624</v>
      </c>
      <c r="L1" s="116" t="s">
        <v>625</v>
      </c>
      <c r="N1" s="113" t="s">
        <v>626</v>
      </c>
      <c r="O1" s="117" t="s">
        <v>627</v>
      </c>
      <c r="P1" s="118"/>
      <c r="Q1" s="113" t="s">
        <v>628</v>
      </c>
      <c r="R1" s="113" t="s">
        <v>599</v>
      </c>
      <c r="S1" s="113" t="s">
        <v>525</v>
      </c>
      <c r="T1" s="113" t="s">
        <v>629</v>
      </c>
      <c r="U1" s="113" t="s">
        <v>630</v>
      </c>
      <c r="V1" s="113" t="s">
        <v>631</v>
      </c>
      <c r="X1" s="113" t="s">
        <v>632</v>
      </c>
      <c r="Y1" s="113" t="s">
        <v>633</v>
      </c>
      <c r="Z1" s="118"/>
      <c r="AA1" s="118"/>
      <c r="AB1" s="118"/>
      <c r="AC1" s="119"/>
      <c r="AD1" s="662" t="s">
        <v>634</v>
      </c>
      <c r="AE1" s="663"/>
      <c r="AF1" s="663"/>
      <c r="AG1" s="663"/>
      <c r="AH1" s="664"/>
      <c r="AI1" s="662" t="s">
        <v>635</v>
      </c>
      <c r="AJ1" s="663"/>
      <c r="AK1" s="663"/>
      <c r="AL1" s="663"/>
      <c r="AM1" s="664"/>
    </row>
    <row r="2" spans="1:39" ht="15.75" customHeight="1">
      <c r="A2" s="3" t="s">
        <v>579</v>
      </c>
      <c r="B2" s="3" t="s">
        <v>52</v>
      </c>
      <c r="C2" s="120" t="str">
        <f t="shared" ref="C2:C118" si="0">A2&amp;B2</f>
        <v>AmazonLinewoman</v>
      </c>
      <c r="D2" s="120">
        <v>16</v>
      </c>
      <c r="E2" s="121">
        <v>50000</v>
      </c>
      <c r="F2" s="2">
        <v>6</v>
      </c>
      <c r="G2" s="2">
        <v>3</v>
      </c>
      <c r="H2" s="2">
        <v>3</v>
      </c>
      <c r="I2" s="2">
        <v>7</v>
      </c>
      <c r="J2" s="3" t="s">
        <v>291</v>
      </c>
      <c r="K2" s="2" t="s">
        <v>636</v>
      </c>
      <c r="L2" s="2" t="s">
        <v>637</v>
      </c>
      <c r="N2" s="3" t="s">
        <v>579</v>
      </c>
      <c r="O2" s="121">
        <v>50000</v>
      </c>
      <c r="Q2" s="3" t="s">
        <v>277</v>
      </c>
      <c r="R2" s="3" t="s">
        <v>601</v>
      </c>
      <c r="S2" s="3" t="s">
        <v>414</v>
      </c>
      <c r="T2" s="3" t="s">
        <v>528</v>
      </c>
      <c r="U2" s="3" t="s">
        <v>638</v>
      </c>
      <c r="V2" s="3" t="s">
        <v>608</v>
      </c>
      <c r="X2" s="3" t="s">
        <v>639</v>
      </c>
      <c r="Y2" s="3" t="s">
        <v>640</v>
      </c>
      <c r="Z2" s="119"/>
      <c r="AA2" s="113" t="s">
        <v>0</v>
      </c>
      <c r="AB2" s="113" t="s">
        <v>620</v>
      </c>
      <c r="AC2" s="113" t="s">
        <v>621</v>
      </c>
      <c r="AD2" s="116" t="s">
        <v>628</v>
      </c>
      <c r="AE2" s="116" t="s">
        <v>599</v>
      </c>
      <c r="AF2" s="116" t="s">
        <v>525</v>
      </c>
      <c r="AG2" s="116" t="s">
        <v>629</v>
      </c>
      <c r="AH2" s="116" t="s">
        <v>630</v>
      </c>
      <c r="AI2" s="116" t="s">
        <v>628</v>
      </c>
      <c r="AJ2" s="116" t="s">
        <v>599</v>
      </c>
      <c r="AK2" s="116" t="s">
        <v>525</v>
      </c>
      <c r="AL2" s="116" t="s">
        <v>629</v>
      </c>
      <c r="AM2" s="116" t="s">
        <v>630</v>
      </c>
    </row>
    <row r="3" spans="1:39" ht="15.75" customHeight="1">
      <c r="A3" s="3" t="s">
        <v>579</v>
      </c>
      <c r="B3" s="3" t="s">
        <v>83</v>
      </c>
      <c r="C3" s="120" t="str">
        <f t="shared" si="0"/>
        <v>AmazonThrower</v>
      </c>
      <c r="D3" s="120">
        <v>2</v>
      </c>
      <c r="E3" s="121">
        <v>70000</v>
      </c>
      <c r="F3" s="2">
        <v>6</v>
      </c>
      <c r="G3" s="2">
        <v>3</v>
      </c>
      <c r="H3" s="2">
        <v>3</v>
      </c>
      <c r="I3" s="2">
        <v>7</v>
      </c>
      <c r="J3" s="3" t="s">
        <v>641</v>
      </c>
      <c r="K3" s="2" t="s">
        <v>642</v>
      </c>
      <c r="L3" s="2" t="s">
        <v>643</v>
      </c>
      <c r="N3" s="3" t="s">
        <v>9</v>
      </c>
      <c r="O3" s="122">
        <v>70000</v>
      </c>
      <c r="Q3" s="3" t="s">
        <v>518</v>
      </c>
      <c r="R3" s="3" t="s">
        <v>453</v>
      </c>
      <c r="S3" s="3" t="s">
        <v>619</v>
      </c>
      <c r="T3" s="3" t="s">
        <v>644</v>
      </c>
      <c r="U3" s="3" t="s">
        <v>645</v>
      </c>
      <c r="V3" s="3" t="s">
        <v>646</v>
      </c>
      <c r="X3" s="3" t="s">
        <v>27</v>
      </c>
      <c r="Y3" s="3" t="s">
        <v>647</v>
      </c>
      <c r="Z3" s="3"/>
      <c r="AA3" s="3" t="s">
        <v>579</v>
      </c>
      <c r="AB3" s="3" t="s">
        <v>52</v>
      </c>
      <c r="AC3" t="str">
        <f t="shared" ref="AC3:AC119" si="1">AA3&amp;AB3</f>
        <v>AmazonLinewoman</v>
      </c>
      <c r="AD3" s="123" t="s">
        <v>636</v>
      </c>
      <c r="AE3" s="1" t="s">
        <v>648</v>
      </c>
      <c r="AF3" s="1" t="s">
        <v>648</v>
      </c>
      <c r="AG3" s="1"/>
      <c r="AH3" s="124"/>
      <c r="AI3" s="1"/>
      <c r="AJ3" s="1" t="s">
        <v>649</v>
      </c>
      <c r="AK3" s="1" t="s">
        <v>234</v>
      </c>
      <c r="AL3" s="1" t="s">
        <v>650</v>
      </c>
      <c r="AM3" s="124"/>
    </row>
    <row r="4" spans="1:39" ht="15.75" customHeight="1">
      <c r="A4" s="3" t="s">
        <v>579</v>
      </c>
      <c r="B4" s="3" t="s">
        <v>42</v>
      </c>
      <c r="C4" s="120" t="str">
        <f t="shared" si="0"/>
        <v>AmazonCatcher</v>
      </c>
      <c r="D4" s="120">
        <v>2</v>
      </c>
      <c r="E4" s="121">
        <v>70000</v>
      </c>
      <c r="F4" s="2">
        <v>6</v>
      </c>
      <c r="G4" s="2">
        <v>3</v>
      </c>
      <c r="H4" s="2">
        <v>3</v>
      </c>
      <c r="I4" s="2">
        <v>7</v>
      </c>
      <c r="J4" s="3" t="s">
        <v>651</v>
      </c>
      <c r="K4" s="2" t="s">
        <v>513</v>
      </c>
      <c r="L4" s="2" t="s">
        <v>514</v>
      </c>
      <c r="N4" s="3" t="s">
        <v>489</v>
      </c>
      <c r="O4" s="121">
        <v>60000</v>
      </c>
      <c r="Q4" s="3" t="s">
        <v>363</v>
      </c>
      <c r="R4" s="3" t="s">
        <v>652</v>
      </c>
      <c r="S4" s="3" t="s">
        <v>377</v>
      </c>
      <c r="T4" s="3" t="s">
        <v>653</v>
      </c>
      <c r="U4" s="3" t="s">
        <v>654</v>
      </c>
      <c r="V4" s="3" t="s">
        <v>655</v>
      </c>
      <c r="X4" s="3" t="s">
        <v>25</v>
      </c>
      <c r="Y4" s="3" t="s">
        <v>640</v>
      </c>
      <c r="Z4" s="3"/>
      <c r="AA4" s="3" t="s">
        <v>579</v>
      </c>
      <c r="AB4" s="3" t="s">
        <v>83</v>
      </c>
      <c r="AC4" t="str">
        <f t="shared" si="1"/>
        <v>AmazonThrower</v>
      </c>
      <c r="AD4" s="123" t="s">
        <v>636</v>
      </c>
      <c r="AE4" s="1"/>
      <c r="AF4" s="1" t="s">
        <v>648</v>
      </c>
      <c r="AG4" s="1" t="s">
        <v>650</v>
      </c>
      <c r="AH4" s="124"/>
      <c r="AI4" s="1"/>
      <c r="AJ4" s="1" t="s">
        <v>649</v>
      </c>
      <c r="AK4" s="1" t="s">
        <v>234</v>
      </c>
      <c r="AL4" s="1" t="s">
        <v>650</v>
      </c>
      <c r="AM4" s="124"/>
    </row>
    <row r="5" spans="1:39" ht="15.75" customHeight="1">
      <c r="A5" s="3" t="s">
        <v>579</v>
      </c>
      <c r="B5" s="3" t="s">
        <v>49</v>
      </c>
      <c r="C5" s="120" t="str">
        <f t="shared" si="0"/>
        <v>AmazonBlitzer</v>
      </c>
      <c r="D5" s="120">
        <v>4</v>
      </c>
      <c r="E5" s="121">
        <v>90000</v>
      </c>
      <c r="F5" s="2">
        <v>6</v>
      </c>
      <c r="G5" s="2">
        <v>3</v>
      </c>
      <c r="H5" s="2">
        <v>3</v>
      </c>
      <c r="I5" s="2">
        <v>7</v>
      </c>
      <c r="J5" s="3" t="s">
        <v>421</v>
      </c>
      <c r="K5" s="2" t="s">
        <v>656</v>
      </c>
      <c r="L5" s="2" t="s">
        <v>657</v>
      </c>
      <c r="N5" s="3" t="s">
        <v>14</v>
      </c>
      <c r="O5" s="121">
        <v>70000</v>
      </c>
      <c r="Q5" s="3" t="s">
        <v>423</v>
      </c>
      <c r="R5" s="3" t="s">
        <v>291</v>
      </c>
      <c r="S5" s="3" t="s">
        <v>658</v>
      </c>
      <c r="T5" s="3" t="s">
        <v>392</v>
      </c>
      <c r="U5" s="3" t="s">
        <v>614</v>
      </c>
      <c r="V5" s="3" t="s">
        <v>659</v>
      </c>
      <c r="X5" s="3" t="s">
        <v>12</v>
      </c>
      <c r="Y5" s="3" t="s">
        <v>647</v>
      </c>
      <c r="Z5" s="3"/>
      <c r="AA5" s="3" t="s">
        <v>579</v>
      </c>
      <c r="AB5" s="3" t="s">
        <v>42</v>
      </c>
      <c r="AC5" t="str">
        <f t="shared" si="1"/>
        <v>AmazonCatcher</v>
      </c>
      <c r="AD5" s="123" t="s">
        <v>636</v>
      </c>
      <c r="AE5" s="1" t="s">
        <v>649</v>
      </c>
      <c r="AF5" s="1" t="s">
        <v>648</v>
      </c>
      <c r="AG5" s="1"/>
      <c r="AH5" s="124"/>
      <c r="AI5" s="1"/>
      <c r="AJ5" s="1"/>
      <c r="AK5" s="1" t="s">
        <v>234</v>
      </c>
      <c r="AL5" s="1" t="s">
        <v>650</v>
      </c>
      <c r="AM5" s="124"/>
    </row>
    <row r="6" spans="1:39" ht="15.75" customHeight="1">
      <c r="A6" s="3" t="s">
        <v>9</v>
      </c>
      <c r="B6" s="125" t="s">
        <v>58</v>
      </c>
      <c r="C6" s="120" t="str">
        <f t="shared" si="0"/>
        <v>BretonnianLineman</v>
      </c>
      <c r="D6" s="126">
        <v>16</v>
      </c>
      <c r="E6" s="127">
        <v>40000</v>
      </c>
      <c r="F6" s="128">
        <v>6</v>
      </c>
      <c r="G6" s="128">
        <v>3</v>
      </c>
      <c r="H6" s="128">
        <v>2</v>
      </c>
      <c r="I6" s="128">
        <v>7</v>
      </c>
      <c r="J6" s="125" t="s">
        <v>423</v>
      </c>
      <c r="K6" s="128" t="s">
        <v>636</v>
      </c>
      <c r="L6" s="128" t="s">
        <v>637</v>
      </c>
      <c r="N6" s="3" t="s">
        <v>21</v>
      </c>
      <c r="O6" s="121">
        <v>70000</v>
      </c>
      <c r="Q6" s="3" t="s">
        <v>475</v>
      </c>
      <c r="R6" s="3" t="s">
        <v>607</v>
      </c>
      <c r="S6" s="3" t="s">
        <v>399</v>
      </c>
      <c r="T6" s="3" t="s">
        <v>660</v>
      </c>
      <c r="U6" s="3" t="s">
        <v>611</v>
      </c>
      <c r="V6" s="3" t="s">
        <v>661</v>
      </c>
      <c r="X6" s="3"/>
      <c r="Y6" s="3"/>
      <c r="Z6" s="3"/>
      <c r="AA6" s="3" t="s">
        <v>579</v>
      </c>
      <c r="AB6" s="3" t="s">
        <v>49</v>
      </c>
      <c r="AC6" t="str">
        <f t="shared" si="1"/>
        <v>AmazonBlitzer</v>
      </c>
      <c r="AD6" s="123" t="s">
        <v>636</v>
      </c>
      <c r="AE6" s="1"/>
      <c r="AF6" s="1" t="s">
        <v>234</v>
      </c>
      <c r="AG6" s="1"/>
      <c r="AH6" s="124"/>
      <c r="AI6" s="1"/>
      <c r="AJ6" s="1" t="s">
        <v>649</v>
      </c>
      <c r="AK6" s="1" t="s">
        <v>648</v>
      </c>
      <c r="AL6" s="1" t="s">
        <v>650</v>
      </c>
      <c r="AM6" s="124"/>
    </row>
    <row r="7" spans="1:39" ht="15.75" customHeight="1">
      <c r="A7" s="3" t="s">
        <v>9</v>
      </c>
      <c r="B7" s="125" t="s">
        <v>106</v>
      </c>
      <c r="C7" s="120" t="str">
        <f t="shared" si="0"/>
        <v>BretonnianYeoman</v>
      </c>
      <c r="D7" s="126">
        <v>4</v>
      </c>
      <c r="E7" s="127">
        <v>70000</v>
      </c>
      <c r="F7" s="128">
        <v>6</v>
      </c>
      <c r="G7" s="128">
        <v>3</v>
      </c>
      <c r="H7" s="128">
        <v>3</v>
      </c>
      <c r="I7" s="128">
        <v>8</v>
      </c>
      <c r="J7" s="125" t="s">
        <v>435</v>
      </c>
      <c r="K7" s="128" t="s">
        <v>656</v>
      </c>
      <c r="L7" s="128" t="s">
        <v>657</v>
      </c>
      <c r="N7" s="3" t="s">
        <v>662</v>
      </c>
      <c r="O7" s="122">
        <v>70000</v>
      </c>
      <c r="Q7" s="3" t="s">
        <v>663</v>
      </c>
      <c r="R7" s="3" t="s">
        <v>617</v>
      </c>
      <c r="S7" s="3" t="s">
        <v>664</v>
      </c>
      <c r="T7" s="3" t="s">
        <v>629</v>
      </c>
      <c r="U7" s="3" t="s">
        <v>665</v>
      </c>
      <c r="V7" s="3" t="s">
        <v>666</v>
      </c>
      <c r="X7" s="3"/>
      <c r="Y7" s="3"/>
      <c r="Z7" s="3"/>
      <c r="AA7" s="3" t="s">
        <v>9</v>
      </c>
      <c r="AB7" s="125" t="s">
        <v>58</v>
      </c>
      <c r="AC7" t="str">
        <f t="shared" si="1"/>
        <v>BretonnianLineman</v>
      </c>
      <c r="AD7" s="123" t="s">
        <v>636</v>
      </c>
      <c r="AE7" s="1" t="s">
        <v>648</v>
      </c>
      <c r="AF7" s="1" t="s">
        <v>648</v>
      </c>
      <c r="AG7" s="1"/>
      <c r="AH7" s="124"/>
      <c r="AI7" s="1"/>
      <c r="AJ7" s="1" t="s">
        <v>649</v>
      </c>
      <c r="AK7" s="1" t="s">
        <v>234</v>
      </c>
      <c r="AL7" s="1" t="s">
        <v>650</v>
      </c>
      <c r="AM7" s="124"/>
    </row>
    <row r="8" spans="1:39" ht="15.75" customHeight="1">
      <c r="A8" s="3" t="s">
        <v>9</v>
      </c>
      <c r="B8" s="125" t="s">
        <v>49</v>
      </c>
      <c r="C8" s="120" t="str">
        <f t="shared" si="0"/>
        <v>BretonnianBlitzer</v>
      </c>
      <c r="D8" s="126">
        <v>4</v>
      </c>
      <c r="E8" s="127">
        <v>110000</v>
      </c>
      <c r="F8" s="128">
        <v>7</v>
      </c>
      <c r="G8" s="128">
        <v>3</v>
      </c>
      <c r="H8" s="128">
        <v>3</v>
      </c>
      <c r="I8" s="128">
        <v>8</v>
      </c>
      <c r="J8" s="125" t="s">
        <v>667</v>
      </c>
      <c r="K8" s="128" t="s">
        <v>516</v>
      </c>
      <c r="L8" s="128" t="s">
        <v>234</v>
      </c>
      <c r="N8" s="3" t="s">
        <v>7</v>
      </c>
      <c r="O8" s="121">
        <v>50000</v>
      </c>
      <c r="Q8" s="3" t="s">
        <v>668</v>
      </c>
      <c r="R8" s="3" t="s">
        <v>612</v>
      </c>
      <c r="S8" s="3" t="s">
        <v>669</v>
      </c>
      <c r="T8" s="3" t="s">
        <v>616</v>
      </c>
      <c r="U8" s="3" t="s">
        <v>606</v>
      </c>
      <c r="V8" s="3" t="s">
        <v>670</v>
      </c>
      <c r="X8" s="3"/>
      <c r="Y8" s="3"/>
      <c r="Z8" s="3"/>
      <c r="AA8" s="3" t="s">
        <v>9</v>
      </c>
      <c r="AB8" s="125" t="s">
        <v>106</v>
      </c>
      <c r="AC8" t="str">
        <f t="shared" si="1"/>
        <v>BretonnianYeoman</v>
      </c>
      <c r="AD8" s="123" t="s">
        <v>636</v>
      </c>
      <c r="AE8" s="1"/>
      <c r="AF8" s="1" t="s">
        <v>234</v>
      </c>
      <c r="AG8" s="1"/>
      <c r="AH8" s="124"/>
      <c r="AI8" s="1"/>
      <c r="AJ8" s="1" t="s">
        <v>649</v>
      </c>
      <c r="AK8" s="1" t="s">
        <v>648</v>
      </c>
      <c r="AL8" s="1" t="s">
        <v>650</v>
      </c>
      <c r="AM8" s="124"/>
    </row>
    <row r="9" spans="1:39" ht="15.75" customHeight="1">
      <c r="A9" s="3" t="s">
        <v>489</v>
      </c>
      <c r="B9" s="3" t="s">
        <v>474</v>
      </c>
      <c r="C9" s="120" t="str">
        <f t="shared" si="0"/>
        <v>ChaosBeastman</v>
      </c>
      <c r="D9" s="120">
        <v>16</v>
      </c>
      <c r="E9" s="121">
        <v>60000</v>
      </c>
      <c r="F9" s="2">
        <v>6</v>
      </c>
      <c r="G9" s="2">
        <v>3</v>
      </c>
      <c r="H9" s="2">
        <v>3</v>
      </c>
      <c r="I9" s="2">
        <v>8</v>
      </c>
      <c r="J9" s="3" t="s">
        <v>665</v>
      </c>
      <c r="K9" s="2" t="s">
        <v>671</v>
      </c>
      <c r="L9" s="2" t="s">
        <v>657</v>
      </c>
      <c r="N9" s="3" t="s">
        <v>472</v>
      </c>
      <c r="O9" s="121">
        <v>50000</v>
      </c>
      <c r="Q9" s="3" t="s">
        <v>615</v>
      </c>
      <c r="R9" s="3" t="s">
        <v>672</v>
      </c>
      <c r="S9" s="3" t="s">
        <v>540</v>
      </c>
      <c r="U9" s="3" t="s">
        <v>618</v>
      </c>
      <c r="V9" s="3" t="s">
        <v>610</v>
      </c>
      <c r="X9" s="3"/>
      <c r="Y9" s="3"/>
      <c r="Z9" s="3"/>
      <c r="AA9" s="3" t="s">
        <v>9</v>
      </c>
      <c r="AB9" s="125" t="s">
        <v>49</v>
      </c>
      <c r="AC9" t="str">
        <f t="shared" si="1"/>
        <v>BretonnianBlitzer</v>
      </c>
      <c r="AD9" s="123" t="s">
        <v>636</v>
      </c>
      <c r="AE9" s="1" t="s">
        <v>649</v>
      </c>
      <c r="AF9" s="1"/>
      <c r="AG9" s="1" t="s">
        <v>650</v>
      </c>
      <c r="AH9" s="124"/>
      <c r="AI9" s="1"/>
      <c r="AJ9" s="1" t="s">
        <v>648</v>
      </c>
      <c r="AK9" s="1" t="s">
        <v>234</v>
      </c>
      <c r="AL9" s="1"/>
      <c r="AM9" s="124"/>
    </row>
    <row r="10" spans="1:39" ht="15.75" customHeight="1">
      <c r="A10" s="3" t="s">
        <v>489</v>
      </c>
      <c r="B10" s="3" t="s">
        <v>480</v>
      </c>
      <c r="C10" s="120" t="str">
        <f t="shared" si="0"/>
        <v>ChaosChaos Warrior</v>
      </c>
      <c r="D10" s="120">
        <v>4</v>
      </c>
      <c r="E10" s="121">
        <v>100000</v>
      </c>
      <c r="F10" s="2">
        <v>5</v>
      </c>
      <c r="G10" s="2">
        <v>4</v>
      </c>
      <c r="H10" s="2">
        <v>3</v>
      </c>
      <c r="I10" s="2">
        <v>9</v>
      </c>
      <c r="K10" s="2" t="s">
        <v>671</v>
      </c>
      <c r="L10" s="2" t="s">
        <v>657</v>
      </c>
      <c r="N10" s="3" t="s">
        <v>430</v>
      </c>
      <c r="O10" s="121">
        <v>50000</v>
      </c>
      <c r="Q10" s="3" t="s">
        <v>673</v>
      </c>
      <c r="R10" s="3" t="s">
        <v>603</v>
      </c>
      <c r="S10" s="3" t="s">
        <v>674</v>
      </c>
      <c r="U10" s="3" t="s">
        <v>675</v>
      </c>
      <c r="V10" s="3" t="s">
        <v>676</v>
      </c>
      <c r="X10" s="3"/>
      <c r="Y10" s="3"/>
      <c r="Z10" s="3"/>
      <c r="AA10" s="3" t="s">
        <v>489</v>
      </c>
      <c r="AB10" s="3" t="s">
        <v>474</v>
      </c>
      <c r="AC10" t="str">
        <f t="shared" si="1"/>
        <v>ChaosBeastman</v>
      </c>
      <c r="AD10" s="123" t="s">
        <v>636</v>
      </c>
      <c r="AE10" s="1"/>
      <c r="AF10" s="1" t="s">
        <v>234</v>
      </c>
      <c r="AG10" s="1"/>
      <c r="AH10" s="124" t="s">
        <v>232</v>
      </c>
      <c r="AI10" s="1"/>
      <c r="AJ10" s="1" t="s">
        <v>649</v>
      </c>
      <c r="AK10" s="1" t="s">
        <v>648</v>
      </c>
      <c r="AL10" s="1" t="s">
        <v>650</v>
      </c>
      <c r="AM10" s="124"/>
    </row>
    <row r="11" spans="1:39" ht="15.75" customHeight="1">
      <c r="A11" s="3" t="s">
        <v>489</v>
      </c>
      <c r="B11" s="3" t="s">
        <v>309</v>
      </c>
      <c r="C11" s="120" t="str">
        <f t="shared" si="0"/>
        <v>ChaosMinotaur</v>
      </c>
      <c r="D11" s="120">
        <v>1</v>
      </c>
      <c r="E11" s="121">
        <v>150000</v>
      </c>
      <c r="F11" s="2">
        <v>5</v>
      </c>
      <c r="G11" s="2">
        <v>5</v>
      </c>
      <c r="H11" s="2">
        <v>2</v>
      </c>
      <c r="I11" s="2">
        <v>8</v>
      </c>
      <c r="J11" s="3" t="s">
        <v>677</v>
      </c>
      <c r="K11" s="2" t="s">
        <v>678</v>
      </c>
      <c r="L11" s="2" t="s">
        <v>516</v>
      </c>
      <c r="N11" s="3" t="s">
        <v>46</v>
      </c>
      <c r="O11" s="121">
        <v>60000</v>
      </c>
      <c r="Q11" s="3" t="s">
        <v>446</v>
      </c>
      <c r="R11" s="3" t="s">
        <v>509</v>
      </c>
      <c r="S11" s="3" t="s">
        <v>600</v>
      </c>
      <c r="U11" s="3" t="s">
        <v>679</v>
      </c>
      <c r="V11" s="3" t="s">
        <v>680</v>
      </c>
      <c r="X11" s="3"/>
      <c r="Y11" s="3"/>
      <c r="Z11" s="3"/>
      <c r="AA11" s="3" t="s">
        <v>489</v>
      </c>
      <c r="AB11" s="3" t="s">
        <v>480</v>
      </c>
      <c r="AC11" t="str">
        <f t="shared" si="1"/>
        <v>ChaosChaos Warrior</v>
      </c>
      <c r="AD11" s="123" t="s">
        <v>636</v>
      </c>
      <c r="AE11" s="1"/>
      <c r="AF11" s="1" t="s">
        <v>234</v>
      </c>
      <c r="AG11" s="1"/>
      <c r="AH11" s="124" t="s">
        <v>232</v>
      </c>
      <c r="AI11" s="1"/>
      <c r="AJ11" s="1" t="s">
        <v>649</v>
      </c>
      <c r="AK11" s="1" t="s">
        <v>648</v>
      </c>
      <c r="AL11" s="1" t="s">
        <v>650</v>
      </c>
      <c r="AM11" s="124"/>
    </row>
    <row r="12" spans="1:39" ht="15.75" customHeight="1">
      <c r="A12" s="3" t="s">
        <v>14</v>
      </c>
      <c r="B12" s="3" t="s">
        <v>39</v>
      </c>
      <c r="C12" s="120" t="str">
        <f t="shared" si="0"/>
        <v>Chaos DwarfHobgoblin</v>
      </c>
      <c r="D12" s="120">
        <v>16</v>
      </c>
      <c r="E12" s="121">
        <v>40000</v>
      </c>
      <c r="F12" s="2">
        <v>6</v>
      </c>
      <c r="G12" s="2">
        <v>3</v>
      </c>
      <c r="H12" s="2">
        <v>3</v>
      </c>
      <c r="I12" s="2">
        <v>7</v>
      </c>
      <c r="K12" s="2" t="s">
        <v>636</v>
      </c>
      <c r="L12" s="2" t="s">
        <v>637</v>
      </c>
      <c r="N12" s="3" t="s">
        <v>681</v>
      </c>
      <c r="O12" s="121">
        <v>60000</v>
      </c>
      <c r="Q12" s="3" t="s">
        <v>559</v>
      </c>
      <c r="T12" s="3"/>
      <c r="V12" s="3" t="s">
        <v>440</v>
      </c>
      <c r="X12" s="3"/>
      <c r="Y12" s="3"/>
      <c r="Z12" s="3"/>
      <c r="AA12" s="3" t="s">
        <v>489</v>
      </c>
      <c r="AB12" s="3" t="s">
        <v>309</v>
      </c>
      <c r="AC12" t="str">
        <f t="shared" si="1"/>
        <v>ChaosMinotaur</v>
      </c>
      <c r="AD12" s="123"/>
      <c r="AE12" s="1"/>
      <c r="AF12" s="1" t="s">
        <v>234</v>
      </c>
      <c r="AG12" s="1"/>
      <c r="AH12" s="124" t="s">
        <v>232</v>
      </c>
      <c r="AI12" s="1" t="s">
        <v>636</v>
      </c>
      <c r="AJ12" s="1" t="s">
        <v>649</v>
      </c>
      <c r="AK12" s="1"/>
      <c r="AL12" s="1" t="s">
        <v>650</v>
      </c>
      <c r="AM12" s="124"/>
    </row>
    <row r="13" spans="1:39" ht="15.75" customHeight="1">
      <c r="A13" s="3" t="s">
        <v>14</v>
      </c>
      <c r="B13" s="3" t="s">
        <v>98</v>
      </c>
      <c r="C13" s="120" t="str">
        <f t="shared" si="0"/>
        <v>Chaos DwarfBlocker</v>
      </c>
      <c r="D13" s="120">
        <v>6</v>
      </c>
      <c r="E13" s="121">
        <v>70000</v>
      </c>
      <c r="F13" s="2">
        <v>4</v>
      </c>
      <c r="G13" s="2">
        <v>3</v>
      </c>
      <c r="H13" s="2">
        <v>2</v>
      </c>
      <c r="I13" s="2">
        <v>9</v>
      </c>
      <c r="J13" s="3" t="s">
        <v>682</v>
      </c>
      <c r="K13" s="2" t="s">
        <v>656</v>
      </c>
      <c r="L13" s="2" t="s">
        <v>683</v>
      </c>
      <c r="N13" s="3" t="s">
        <v>494</v>
      </c>
      <c r="O13" s="121">
        <v>50000</v>
      </c>
      <c r="Q13" s="3" t="s">
        <v>466</v>
      </c>
      <c r="V13" s="3" t="s">
        <v>684</v>
      </c>
      <c r="X13" s="3"/>
      <c r="Y13" s="3"/>
      <c r="Z13" s="3"/>
      <c r="AA13" s="3" t="s">
        <v>14</v>
      </c>
      <c r="AB13" s="3" t="s">
        <v>39</v>
      </c>
      <c r="AC13" t="str">
        <f t="shared" si="1"/>
        <v>Chaos DwarfHobgoblin</v>
      </c>
      <c r="AD13" s="123" t="s">
        <v>636</v>
      </c>
      <c r="AE13" s="1" t="s">
        <v>648</v>
      </c>
      <c r="AF13" s="1" t="s">
        <v>648</v>
      </c>
      <c r="AG13" s="1"/>
      <c r="AH13" s="124"/>
      <c r="AI13" s="1"/>
      <c r="AJ13" s="1" t="s">
        <v>649</v>
      </c>
      <c r="AK13" s="1" t="s">
        <v>234</v>
      </c>
      <c r="AL13" s="1" t="s">
        <v>650</v>
      </c>
      <c r="AM13" s="124"/>
    </row>
    <row r="14" spans="1:39" ht="15.75" customHeight="1">
      <c r="A14" s="3" t="s">
        <v>14</v>
      </c>
      <c r="B14" s="3" t="s">
        <v>79</v>
      </c>
      <c r="C14" s="120" t="str">
        <f t="shared" si="0"/>
        <v>Chaos DwarfBull Centaur</v>
      </c>
      <c r="D14" s="120">
        <v>2</v>
      </c>
      <c r="E14" s="121">
        <v>130000</v>
      </c>
      <c r="F14" s="2">
        <v>6</v>
      </c>
      <c r="G14" s="2">
        <v>4</v>
      </c>
      <c r="H14" s="2">
        <v>2</v>
      </c>
      <c r="I14" s="2">
        <v>9</v>
      </c>
      <c r="J14" s="3" t="s">
        <v>685</v>
      </c>
      <c r="K14" s="2" t="s">
        <v>656</v>
      </c>
      <c r="L14" s="2" t="s">
        <v>657</v>
      </c>
      <c r="N14" s="3" t="s">
        <v>532</v>
      </c>
      <c r="O14" s="121">
        <v>50000</v>
      </c>
      <c r="Q14" s="3" t="s">
        <v>435</v>
      </c>
      <c r="V14" s="3" t="s">
        <v>609</v>
      </c>
      <c r="X14" s="3"/>
      <c r="Y14" s="3"/>
      <c r="Z14" s="3"/>
      <c r="AA14" s="3" t="s">
        <v>14</v>
      </c>
      <c r="AB14" s="3" t="s">
        <v>98</v>
      </c>
      <c r="AC14" t="str">
        <f t="shared" si="1"/>
        <v>Chaos DwarfBlocker</v>
      </c>
      <c r="AD14" s="123" t="s">
        <v>636</v>
      </c>
      <c r="AE14" s="1"/>
      <c r="AF14" s="1" t="s">
        <v>234</v>
      </c>
      <c r="AG14" s="1"/>
      <c r="AH14" s="124"/>
      <c r="AI14" s="1"/>
      <c r="AJ14" s="1" t="s">
        <v>649</v>
      </c>
      <c r="AK14" s="1"/>
      <c r="AL14" s="1" t="s">
        <v>650</v>
      </c>
      <c r="AM14" s="124" t="s">
        <v>232</v>
      </c>
    </row>
    <row r="15" spans="1:39" ht="15.75" customHeight="1">
      <c r="A15" s="3" t="s">
        <v>14</v>
      </c>
      <c r="B15" s="3" t="s">
        <v>309</v>
      </c>
      <c r="C15" s="120" t="str">
        <f t="shared" si="0"/>
        <v>Chaos DwarfMinotaur</v>
      </c>
      <c r="D15" s="120">
        <v>1</v>
      </c>
      <c r="E15" s="121">
        <v>150000</v>
      </c>
      <c r="F15" s="2">
        <v>5</v>
      </c>
      <c r="G15" s="2">
        <v>5</v>
      </c>
      <c r="H15" s="2">
        <v>2</v>
      </c>
      <c r="I15" s="2">
        <v>8</v>
      </c>
      <c r="J15" s="3" t="s">
        <v>677</v>
      </c>
      <c r="K15" s="2" t="s">
        <v>234</v>
      </c>
      <c r="L15" s="2" t="s">
        <v>686</v>
      </c>
      <c r="N15" s="3" t="s">
        <v>639</v>
      </c>
      <c r="O15" s="121">
        <v>70000</v>
      </c>
      <c r="V15" s="3" t="s">
        <v>604</v>
      </c>
      <c r="X15" s="3"/>
      <c r="Y15" s="3"/>
      <c r="Z15" s="3"/>
      <c r="AA15" s="3" t="s">
        <v>14</v>
      </c>
      <c r="AB15" s="3" t="s">
        <v>79</v>
      </c>
      <c r="AC15" t="str">
        <f t="shared" si="1"/>
        <v>Chaos DwarfBull Centaur</v>
      </c>
      <c r="AD15" s="123" t="s">
        <v>636</v>
      </c>
      <c r="AE15" s="1"/>
      <c r="AF15" s="1" t="s">
        <v>234</v>
      </c>
      <c r="AG15" s="1"/>
      <c r="AH15" s="124"/>
      <c r="AI15" s="1"/>
      <c r="AJ15" s="1" t="s">
        <v>649</v>
      </c>
      <c r="AK15" s="1"/>
      <c r="AL15" s="1" t="s">
        <v>650</v>
      </c>
      <c r="AM15" s="124" t="s">
        <v>232</v>
      </c>
    </row>
    <row r="16" spans="1:39" ht="15.75" customHeight="1">
      <c r="A16" s="3" t="s">
        <v>21</v>
      </c>
      <c r="B16" s="3" t="s">
        <v>179</v>
      </c>
      <c r="C16" s="120" t="str">
        <f t="shared" si="0"/>
        <v>Chaos PactMarauder</v>
      </c>
      <c r="D16" s="3">
        <v>12</v>
      </c>
      <c r="E16" s="121">
        <v>50000</v>
      </c>
      <c r="F16" s="2">
        <v>6</v>
      </c>
      <c r="G16" s="2">
        <v>3</v>
      </c>
      <c r="H16" s="2">
        <v>3</v>
      </c>
      <c r="I16" s="2">
        <v>8</v>
      </c>
      <c r="K16" s="129" t="s">
        <v>687</v>
      </c>
      <c r="L16" s="1" t="s">
        <v>649</v>
      </c>
      <c r="N16" s="3" t="s">
        <v>547</v>
      </c>
      <c r="O16" s="121">
        <v>60000</v>
      </c>
      <c r="V16" s="3" t="s">
        <v>287</v>
      </c>
      <c r="X16" s="3"/>
      <c r="Y16" s="3"/>
      <c r="Z16" s="3"/>
      <c r="AA16" s="3" t="s">
        <v>14</v>
      </c>
      <c r="AB16" s="3" t="s">
        <v>309</v>
      </c>
      <c r="AC16" t="str">
        <f t="shared" si="1"/>
        <v>Chaos DwarfMinotaur</v>
      </c>
      <c r="AD16" s="123"/>
      <c r="AE16" s="1" t="s">
        <v>648</v>
      </c>
      <c r="AF16" s="1" t="s">
        <v>234</v>
      </c>
      <c r="AG16" s="1"/>
      <c r="AH16" s="124"/>
      <c r="AI16" s="1" t="s">
        <v>636</v>
      </c>
      <c r="AJ16" s="1" t="s">
        <v>649</v>
      </c>
      <c r="AK16" s="1"/>
      <c r="AL16" s="1" t="s">
        <v>650</v>
      </c>
      <c r="AM16" s="124"/>
    </row>
    <row r="17" spans="1:39" ht="15.75" customHeight="1">
      <c r="A17" s="3" t="s">
        <v>21</v>
      </c>
      <c r="B17" s="3" t="s">
        <v>255</v>
      </c>
      <c r="C17" s="120" t="str">
        <f t="shared" si="0"/>
        <v>Chaos PactGoblin Renegade</v>
      </c>
      <c r="D17" s="3">
        <v>1</v>
      </c>
      <c r="E17" s="121">
        <v>40000</v>
      </c>
      <c r="F17" s="2">
        <v>6</v>
      </c>
      <c r="G17" s="2">
        <v>2</v>
      </c>
      <c r="H17" s="2">
        <v>3</v>
      </c>
      <c r="I17" s="2">
        <v>7</v>
      </c>
      <c r="J17" s="3" t="s">
        <v>688</v>
      </c>
      <c r="K17" s="1" t="s">
        <v>689</v>
      </c>
      <c r="L17" s="129" t="s">
        <v>690</v>
      </c>
      <c r="M17" s="3"/>
      <c r="N17" s="3" t="s">
        <v>27</v>
      </c>
      <c r="O17" s="121">
        <v>70000</v>
      </c>
      <c r="V17" s="3" t="s">
        <v>605</v>
      </c>
      <c r="X17" s="3"/>
      <c r="Y17" s="3"/>
      <c r="Z17" s="3"/>
      <c r="AA17" s="3" t="s">
        <v>21</v>
      </c>
      <c r="AB17" s="3" t="s">
        <v>179</v>
      </c>
      <c r="AC17" t="str">
        <f t="shared" si="1"/>
        <v>Chaos PactMarauder</v>
      </c>
      <c r="AD17" s="130" t="s">
        <v>636</v>
      </c>
      <c r="AE17" s="1"/>
      <c r="AF17" s="2" t="s">
        <v>234</v>
      </c>
      <c r="AG17" s="2" t="s">
        <v>650</v>
      </c>
      <c r="AH17" s="131" t="s">
        <v>232</v>
      </c>
      <c r="AI17" s="1"/>
      <c r="AJ17" s="2" t="s">
        <v>649</v>
      </c>
      <c r="AK17" s="1"/>
      <c r="AL17" s="1"/>
      <c r="AM17" s="124"/>
    </row>
    <row r="18" spans="1:39" ht="15.75" customHeight="1">
      <c r="A18" s="3" t="s">
        <v>21</v>
      </c>
      <c r="B18" s="3" t="s">
        <v>691</v>
      </c>
      <c r="C18" s="120" t="str">
        <f t="shared" si="0"/>
        <v>Chaos PactSkaven Renegade</v>
      </c>
      <c r="D18" s="3">
        <v>1</v>
      </c>
      <c r="E18" s="121">
        <v>50000</v>
      </c>
      <c r="F18" s="2">
        <v>7</v>
      </c>
      <c r="G18" s="2">
        <v>3</v>
      </c>
      <c r="H18" s="2">
        <v>3</v>
      </c>
      <c r="I18" s="2">
        <v>7</v>
      </c>
      <c r="J18" s="3" t="s">
        <v>646</v>
      </c>
      <c r="K18" s="129" t="s">
        <v>692</v>
      </c>
      <c r="L18" s="129" t="s">
        <v>637</v>
      </c>
      <c r="M18" s="3"/>
      <c r="N18" s="3" t="s">
        <v>693</v>
      </c>
      <c r="O18" s="121">
        <v>60000</v>
      </c>
      <c r="V18" s="3" t="s">
        <v>694</v>
      </c>
      <c r="X18" s="3"/>
      <c r="Y18" s="3"/>
      <c r="Z18" s="3"/>
      <c r="AA18" s="3" t="s">
        <v>21</v>
      </c>
      <c r="AB18" s="3" t="s">
        <v>255</v>
      </c>
      <c r="AC18" t="str">
        <f t="shared" si="1"/>
        <v>Chaos PactGoblin Renegade</v>
      </c>
      <c r="AD18" s="123"/>
      <c r="AE18" s="2" t="s">
        <v>649</v>
      </c>
      <c r="AF18" s="1"/>
      <c r="AG18" s="1"/>
      <c r="AH18" s="131" t="s">
        <v>232</v>
      </c>
      <c r="AI18" s="2" t="s">
        <v>636</v>
      </c>
      <c r="AJ18" s="1"/>
      <c r="AK18" s="2" t="s">
        <v>234</v>
      </c>
      <c r="AL18" s="2" t="s">
        <v>650</v>
      </c>
      <c r="AM18" s="124"/>
    </row>
    <row r="19" spans="1:39" ht="15.75" customHeight="1">
      <c r="A19" s="3" t="s">
        <v>21</v>
      </c>
      <c r="B19" s="3" t="s">
        <v>147</v>
      </c>
      <c r="C19" s="120" t="str">
        <f t="shared" si="0"/>
        <v>Chaos PactDark Elf Renegade</v>
      </c>
      <c r="D19" s="3">
        <v>1</v>
      </c>
      <c r="E19" s="121">
        <v>70000</v>
      </c>
      <c r="F19" s="2">
        <v>6</v>
      </c>
      <c r="G19" s="2">
        <v>3</v>
      </c>
      <c r="H19" s="2">
        <v>4</v>
      </c>
      <c r="I19" s="2">
        <v>8</v>
      </c>
      <c r="J19" s="3" t="s">
        <v>646</v>
      </c>
      <c r="K19" s="1" t="s">
        <v>695</v>
      </c>
      <c r="L19" s="129" t="s">
        <v>514</v>
      </c>
      <c r="M19" s="3"/>
      <c r="N19" s="3" t="s">
        <v>25</v>
      </c>
      <c r="O19" s="121">
        <v>70000</v>
      </c>
      <c r="V19" s="3" t="s">
        <v>696</v>
      </c>
      <c r="X19" s="3"/>
      <c r="Y19" s="3"/>
      <c r="Z19" s="3"/>
      <c r="AA19" s="3" t="s">
        <v>21</v>
      </c>
      <c r="AB19" s="3" t="s">
        <v>691</v>
      </c>
      <c r="AC19" t="str">
        <f t="shared" si="1"/>
        <v>Chaos PactSkaven Renegade</v>
      </c>
      <c r="AD19" s="130" t="s">
        <v>636</v>
      </c>
      <c r="AE19" s="1"/>
      <c r="AF19" s="1"/>
      <c r="AG19" s="1"/>
      <c r="AH19" s="131" t="s">
        <v>232</v>
      </c>
      <c r="AI19" s="1"/>
      <c r="AJ19" s="2" t="s">
        <v>649</v>
      </c>
      <c r="AK19" s="2" t="s">
        <v>234</v>
      </c>
      <c r="AL19" s="2" t="s">
        <v>650</v>
      </c>
      <c r="AM19" s="124"/>
    </row>
    <row r="20" spans="1:39" ht="15.75" customHeight="1">
      <c r="A20" s="3" t="s">
        <v>21</v>
      </c>
      <c r="B20" s="3" t="s">
        <v>132</v>
      </c>
      <c r="C20" s="120" t="str">
        <f t="shared" si="0"/>
        <v>Chaos PactTroll</v>
      </c>
      <c r="D20" s="3">
        <v>1</v>
      </c>
      <c r="E20" s="121">
        <v>110000</v>
      </c>
      <c r="F20" s="2">
        <v>4</v>
      </c>
      <c r="G20" s="2">
        <v>5</v>
      </c>
      <c r="H20" s="2">
        <v>1</v>
      </c>
      <c r="I20" s="2">
        <v>9</v>
      </c>
      <c r="J20" s="3" t="s">
        <v>697</v>
      </c>
      <c r="K20" s="129" t="s">
        <v>234</v>
      </c>
      <c r="L20" s="1" t="s">
        <v>686</v>
      </c>
      <c r="M20" s="3"/>
      <c r="N20" s="3" t="s">
        <v>77</v>
      </c>
      <c r="O20" s="121">
        <v>70000</v>
      </c>
      <c r="V20" s="3" t="s">
        <v>698</v>
      </c>
      <c r="X20" s="3"/>
      <c r="Y20" s="3"/>
      <c r="Z20" s="3"/>
      <c r="AA20" s="3" t="s">
        <v>21</v>
      </c>
      <c r="AB20" s="3" t="s">
        <v>147</v>
      </c>
      <c r="AC20" t="str">
        <f t="shared" si="1"/>
        <v>Chaos PactDark Elf Renegade</v>
      </c>
      <c r="AD20" s="130" t="s">
        <v>636</v>
      </c>
      <c r="AE20" s="2" t="s">
        <v>649</v>
      </c>
      <c r="AF20" s="1"/>
      <c r="AG20" s="1"/>
      <c r="AH20" s="131" t="s">
        <v>232</v>
      </c>
      <c r="AI20" s="1"/>
      <c r="AJ20" s="1"/>
      <c r="AK20" s="2" t="s">
        <v>234</v>
      </c>
      <c r="AL20" s="2" t="s">
        <v>650</v>
      </c>
      <c r="AM20" s="124"/>
    </row>
    <row r="21" spans="1:39" ht="15.75" customHeight="1">
      <c r="A21" s="3" t="s">
        <v>21</v>
      </c>
      <c r="B21" s="3" t="s">
        <v>77</v>
      </c>
      <c r="C21" s="120" t="str">
        <f t="shared" si="0"/>
        <v>Chaos PactOgre</v>
      </c>
      <c r="D21" s="3">
        <v>1</v>
      </c>
      <c r="E21" s="121">
        <v>140000</v>
      </c>
      <c r="F21" s="2">
        <v>5</v>
      </c>
      <c r="G21" s="2">
        <v>5</v>
      </c>
      <c r="H21" s="2">
        <v>2</v>
      </c>
      <c r="I21" s="2">
        <v>9</v>
      </c>
      <c r="J21" s="3" t="s">
        <v>699</v>
      </c>
      <c r="K21" s="129" t="s">
        <v>234</v>
      </c>
      <c r="L21" s="1" t="s">
        <v>686</v>
      </c>
      <c r="M21" s="3"/>
      <c r="N21" s="3" t="s">
        <v>5</v>
      </c>
      <c r="O21" s="121">
        <v>60000</v>
      </c>
      <c r="V21" s="3" t="s">
        <v>602</v>
      </c>
      <c r="X21" s="3"/>
      <c r="Y21" s="3"/>
      <c r="Z21" s="3"/>
      <c r="AA21" s="3" t="s">
        <v>21</v>
      </c>
      <c r="AB21" s="3" t="s">
        <v>132</v>
      </c>
      <c r="AC21" t="str">
        <f t="shared" si="1"/>
        <v>Chaos PactTroll</v>
      </c>
      <c r="AD21" s="123"/>
      <c r="AE21" s="1"/>
      <c r="AF21" s="2" t="s">
        <v>234</v>
      </c>
      <c r="AG21" s="1"/>
      <c r="AH21" s="124"/>
      <c r="AI21" s="2" t="s">
        <v>636</v>
      </c>
      <c r="AJ21" s="2" t="s">
        <v>649</v>
      </c>
      <c r="AK21" s="1"/>
      <c r="AL21" s="2" t="s">
        <v>650</v>
      </c>
      <c r="AM21" s="131" t="s">
        <v>232</v>
      </c>
    </row>
    <row r="22" spans="1:39" ht="15.75" customHeight="1">
      <c r="A22" s="3" t="s">
        <v>21</v>
      </c>
      <c r="B22" s="3" t="s">
        <v>309</v>
      </c>
      <c r="C22" s="120" t="str">
        <f t="shared" si="0"/>
        <v>Chaos PactMinotaur</v>
      </c>
      <c r="D22" s="3">
        <v>1</v>
      </c>
      <c r="E22" s="121">
        <v>150000</v>
      </c>
      <c r="F22" s="2">
        <v>5</v>
      </c>
      <c r="G22" s="2">
        <v>5</v>
      </c>
      <c r="H22" s="2">
        <v>2</v>
      </c>
      <c r="I22" s="2">
        <v>8</v>
      </c>
      <c r="J22" s="3" t="s">
        <v>700</v>
      </c>
      <c r="K22" s="129" t="s">
        <v>234</v>
      </c>
      <c r="L22" s="1" t="s">
        <v>686</v>
      </c>
      <c r="M22" s="3"/>
      <c r="N22" s="3" t="s">
        <v>29</v>
      </c>
      <c r="O22" s="122">
        <v>60000</v>
      </c>
      <c r="V22" s="3" t="s">
        <v>701</v>
      </c>
      <c r="X22" s="3"/>
      <c r="Y22" s="3"/>
      <c r="Z22" s="3"/>
      <c r="AA22" s="3" t="s">
        <v>21</v>
      </c>
      <c r="AB22" s="3" t="s">
        <v>77</v>
      </c>
      <c r="AC22" t="str">
        <f t="shared" si="1"/>
        <v>Chaos PactOgre</v>
      </c>
      <c r="AD22" s="123"/>
      <c r="AE22" s="1"/>
      <c r="AF22" s="2" t="s">
        <v>234</v>
      </c>
      <c r="AG22" s="1"/>
      <c r="AH22" s="124"/>
      <c r="AI22" s="2" t="s">
        <v>636</v>
      </c>
      <c r="AJ22" s="2" t="s">
        <v>649</v>
      </c>
      <c r="AK22" s="1"/>
      <c r="AL22" s="2" t="s">
        <v>650</v>
      </c>
      <c r="AM22" s="131" t="s">
        <v>232</v>
      </c>
    </row>
    <row r="23" spans="1:39" ht="15.75" customHeight="1">
      <c r="A23" s="3" t="s">
        <v>662</v>
      </c>
      <c r="B23" s="3" t="s">
        <v>702</v>
      </c>
      <c r="C23" s="120" t="str">
        <f t="shared" si="0"/>
        <v>Daemons of KhornePit Fighter</v>
      </c>
      <c r="D23" s="120">
        <v>16</v>
      </c>
      <c r="E23" s="121">
        <v>60000</v>
      </c>
      <c r="F23" s="2">
        <v>6</v>
      </c>
      <c r="G23" s="2">
        <v>3</v>
      </c>
      <c r="H23" s="2">
        <v>3</v>
      </c>
      <c r="I23" s="2">
        <v>8</v>
      </c>
      <c r="J23" s="3" t="s">
        <v>519</v>
      </c>
      <c r="K23" s="2" t="s">
        <v>642</v>
      </c>
      <c r="L23" s="2" t="s">
        <v>643</v>
      </c>
      <c r="N23" s="3" t="s">
        <v>2</v>
      </c>
      <c r="O23" s="121">
        <v>60000</v>
      </c>
      <c r="V23" s="3" t="s">
        <v>703</v>
      </c>
      <c r="X23" s="3"/>
      <c r="Y23" s="3"/>
      <c r="Z23" s="3"/>
      <c r="AA23" s="3" t="s">
        <v>21</v>
      </c>
      <c r="AB23" s="3" t="s">
        <v>309</v>
      </c>
      <c r="AC23" t="str">
        <f t="shared" si="1"/>
        <v>Chaos PactMinotaur</v>
      </c>
      <c r="AD23" s="123"/>
      <c r="AE23" s="1"/>
      <c r="AF23" s="2" t="s">
        <v>234</v>
      </c>
      <c r="AG23" s="1"/>
      <c r="AH23" s="124"/>
      <c r="AI23" s="2" t="s">
        <v>636</v>
      </c>
      <c r="AJ23" s="2" t="s">
        <v>649</v>
      </c>
      <c r="AK23" s="1"/>
      <c r="AL23" s="2" t="s">
        <v>650</v>
      </c>
      <c r="AM23" s="131" t="s">
        <v>232</v>
      </c>
    </row>
    <row r="24" spans="1:39" ht="15.75" customHeight="1">
      <c r="A24" s="3" t="s">
        <v>662</v>
      </c>
      <c r="B24" s="3" t="s">
        <v>704</v>
      </c>
      <c r="C24" s="120" t="str">
        <f t="shared" si="0"/>
        <v>Daemons of KhorneBloodletter</v>
      </c>
      <c r="D24" s="120">
        <v>4</v>
      </c>
      <c r="E24" s="121">
        <v>80000</v>
      </c>
      <c r="F24" s="2">
        <v>6</v>
      </c>
      <c r="G24" s="2">
        <v>3</v>
      </c>
      <c r="H24" s="2">
        <v>3</v>
      </c>
      <c r="I24" s="2">
        <v>7</v>
      </c>
      <c r="J24" s="3" t="s">
        <v>705</v>
      </c>
      <c r="K24" s="2" t="s">
        <v>706</v>
      </c>
      <c r="L24" s="2" t="s">
        <v>650</v>
      </c>
      <c r="N24" s="3" t="s">
        <v>707</v>
      </c>
      <c r="O24" s="121">
        <v>50000</v>
      </c>
      <c r="V24" s="3" t="s">
        <v>708</v>
      </c>
      <c r="X24" s="3"/>
      <c r="Y24" s="3"/>
      <c r="Z24" s="3"/>
      <c r="AA24" s="3" t="s">
        <v>662</v>
      </c>
      <c r="AB24" s="3" t="s">
        <v>702</v>
      </c>
      <c r="AC24" t="str">
        <f t="shared" si="1"/>
        <v>Daemons of KhornePit Fighter</v>
      </c>
      <c r="AD24" s="123" t="s">
        <v>636</v>
      </c>
      <c r="AE24" s="1"/>
      <c r="AF24" s="1" t="s">
        <v>648</v>
      </c>
      <c r="AG24" s="1" t="s">
        <v>650</v>
      </c>
      <c r="AH24" s="124"/>
      <c r="AI24" s="1"/>
      <c r="AJ24" s="1" t="s">
        <v>649</v>
      </c>
      <c r="AK24" s="1" t="s">
        <v>234</v>
      </c>
      <c r="AL24" s="1"/>
      <c r="AM24" s="124"/>
    </row>
    <row r="25" spans="1:39" ht="15.75" customHeight="1">
      <c r="A25" s="3" t="s">
        <v>662</v>
      </c>
      <c r="B25" s="3" t="s">
        <v>709</v>
      </c>
      <c r="C25" s="120" t="str">
        <f t="shared" si="0"/>
        <v>Daemons of KhorneHerald</v>
      </c>
      <c r="D25" s="120">
        <v>2</v>
      </c>
      <c r="E25" s="121">
        <v>90000</v>
      </c>
      <c r="F25" s="2">
        <v>6</v>
      </c>
      <c r="G25" s="2">
        <v>3</v>
      </c>
      <c r="H25" s="2">
        <v>3</v>
      </c>
      <c r="I25" s="2">
        <v>8</v>
      </c>
      <c r="J25" s="3" t="s">
        <v>710</v>
      </c>
      <c r="K25" s="2" t="s">
        <v>656</v>
      </c>
      <c r="L25" s="2" t="s">
        <v>657</v>
      </c>
      <c r="N25" s="3" t="s">
        <v>12</v>
      </c>
      <c r="O25" s="122">
        <v>70000</v>
      </c>
      <c r="V25" s="3" t="s">
        <v>613</v>
      </c>
      <c r="X25" s="3"/>
      <c r="Y25" s="3"/>
      <c r="Z25" s="3"/>
      <c r="AA25" s="3" t="s">
        <v>662</v>
      </c>
      <c r="AB25" s="3" t="s">
        <v>704</v>
      </c>
      <c r="AC25" t="str">
        <f t="shared" si="1"/>
        <v>Daemons of KhorneBloodletter</v>
      </c>
      <c r="AD25" s="123" t="s">
        <v>636</v>
      </c>
      <c r="AE25" s="1" t="s">
        <v>649</v>
      </c>
      <c r="AF25" s="1" t="s">
        <v>234</v>
      </c>
      <c r="AG25" s="1"/>
      <c r="AH25" s="124"/>
      <c r="AI25" s="1"/>
      <c r="AJ25" s="1" t="s">
        <v>648</v>
      </c>
      <c r="AK25" s="1" t="s">
        <v>648</v>
      </c>
      <c r="AL25" s="1" t="s">
        <v>650</v>
      </c>
      <c r="AM25" s="124"/>
    </row>
    <row r="26" spans="1:39" ht="15.75" customHeight="1">
      <c r="A26" s="3" t="s">
        <v>662</v>
      </c>
      <c r="B26" s="3" t="s">
        <v>711</v>
      </c>
      <c r="C26" s="120" t="str">
        <f t="shared" si="0"/>
        <v>Daemons of KhorneBloodthirster</v>
      </c>
      <c r="D26" s="120">
        <v>1</v>
      </c>
      <c r="E26" s="121">
        <v>180000</v>
      </c>
      <c r="F26" s="2">
        <v>6</v>
      </c>
      <c r="G26" s="2">
        <v>5</v>
      </c>
      <c r="H26" s="2">
        <v>1</v>
      </c>
      <c r="I26" s="2">
        <v>9</v>
      </c>
      <c r="J26" s="3" t="s">
        <v>712</v>
      </c>
      <c r="K26" s="2" t="s">
        <v>234</v>
      </c>
      <c r="L26" s="2" t="s">
        <v>516</v>
      </c>
      <c r="N26" s="3" t="s">
        <v>713</v>
      </c>
      <c r="O26" s="121">
        <v>70000</v>
      </c>
      <c r="X26" s="3"/>
      <c r="Y26" s="3"/>
      <c r="Z26" s="3"/>
      <c r="AA26" s="3" t="s">
        <v>662</v>
      </c>
      <c r="AB26" s="3" t="s">
        <v>709</v>
      </c>
      <c r="AC26" t="str">
        <f t="shared" si="1"/>
        <v>Daemons of KhorneHerald</v>
      </c>
      <c r="AD26" s="123" t="s">
        <v>636</v>
      </c>
      <c r="AE26" s="1"/>
      <c r="AF26" s="1" t="s">
        <v>234</v>
      </c>
      <c r="AG26" s="1"/>
      <c r="AH26" s="124"/>
      <c r="AI26" s="1"/>
      <c r="AJ26" s="1" t="s">
        <v>649</v>
      </c>
      <c r="AK26" s="1" t="s">
        <v>648</v>
      </c>
      <c r="AL26" s="1" t="s">
        <v>650</v>
      </c>
      <c r="AM26" s="124"/>
    </row>
    <row r="27" spans="1:39" ht="15.75" customHeight="1">
      <c r="A27" s="3" t="s">
        <v>7</v>
      </c>
      <c r="B27" s="3" t="s">
        <v>58</v>
      </c>
      <c r="C27" s="120" t="str">
        <f t="shared" si="0"/>
        <v>Dark ElfLineman</v>
      </c>
      <c r="D27" s="120">
        <v>16</v>
      </c>
      <c r="E27" s="121">
        <v>70000</v>
      </c>
      <c r="F27" s="2">
        <v>6</v>
      </c>
      <c r="G27" s="2">
        <v>3</v>
      </c>
      <c r="H27" s="2">
        <v>4</v>
      </c>
      <c r="I27" s="2">
        <v>8</v>
      </c>
      <c r="K27" s="2" t="s">
        <v>513</v>
      </c>
      <c r="L27" s="2" t="s">
        <v>514</v>
      </c>
      <c r="N27" s="3" t="s">
        <v>714</v>
      </c>
      <c r="O27" s="122">
        <v>70000</v>
      </c>
      <c r="X27" s="3"/>
      <c r="Y27" s="3"/>
      <c r="Z27" s="3"/>
      <c r="AA27" s="3" t="s">
        <v>662</v>
      </c>
      <c r="AB27" s="3" t="s">
        <v>711</v>
      </c>
      <c r="AC27" t="str">
        <f t="shared" si="1"/>
        <v>Daemons of KhorneBloodthirster</v>
      </c>
      <c r="AD27" s="123"/>
      <c r="AE27" s="1" t="s">
        <v>648</v>
      </c>
      <c r="AF27" s="1" t="s">
        <v>234</v>
      </c>
      <c r="AG27" s="1"/>
      <c r="AH27" s="124"/>
      <c r="AI27" s="1" t="s">
        <v>636</v>
      </c>
      <c r="AJ27" s="1" t="s">
        <v>649</v>
      </c>
      <c r="AK27" s="1"/>
      <c r="AL27" s="1" t="s">
        <v>650</v>
      </c>
      <c r="AM27" s="124"/>
    </row>
    <row r="28" spans="1:39" ht="15.75" customHeight="1">
      <c r="A28" s="3" t="s">
        <v>7</v>
      </c>
      <c r="B28" s="3" t="s">
        <v>71</v>
      </c>
      <c r="C28" s="120" t="str">
        <f t="shared" si="0"/>
        <v>Dark ElfRunner</v>
      </c>
      <c r="D28" s="120">
        <v>2</v>
      </c>
      <c r="E28" s="121">
        <v>80000</v>
      </c>
      <c r="F28" s="2">
        <v>7</v>
      </c>
      <c r="G28" s="2">
        <v>3</v>
      </c>
      <c r="H28" s="2">
        <v>4</v>
      </c>
      <c r="I28" s="2">
        <v>7</v>
      </c>
      <c r="J28" s="3" t="s">
        <v>715</v>
      </c>
      <c r="K28" s="2" t="s">
        <v>516</v>
      </c>
      <c r="L28" s="2" t="s">
        <v>234</v>
      </c>
      <c r="N28" s="3" t="s">
        <v>512</v>
      </c>
      <c r="O28" s="122">
        <v>50000</v>
      </c>
      <c r="X28" s="3"/>
      <c r="Y28" s="3"/>
      <c r="Z28" s="3"/>
      <c r="AA28" s="3" t="s">
        <v>7</v>
      </c>
      <c r="AB28" s="3" t="s">
        <v>58</v>
      </c>
      <c r="AC28" t="str">
        <f t="shared" si="1"/>
        <v>Dark ElfLineman</v>
      </c>
      <c r="AD28" s="123" t="s">
        <v>636</v>
      </c>
      <c r="AE28" s="1" t="s">
        <v>649</v>
      </c>
      <c r="AF28" s="1" t="s">
        <v>648</v>
      </c>
      <c r="AG28" s="1"/>
      <c r="AH28" s="124"/>
      <c r="AI28" s="1"/>
      <c r="AJ28" s="1"/>
      <c r="AK28" s="1" t="s">
        <v>234</v>
      </c>
      <c r="AL28" s="1" t="s">
        <v>650</v>
      </c>
      <c r="AM28" s="124"/>
    </row>
    <row r="29" spans="1:39" ht="15.75" customHeight="1">
      <c r="A29" s="3" t="s">
        <v>7</v>
      </c>
      <c r="B29" s="3" t="s">
        <v>716</v>
      </c>
      <c r="C29" s="120" t="str">
        <f t="shared" si="0"/>
        <v>Dark ElfAssassin</v>
      </c>
      <c r="D29" s="120">
        <v>2</v>
      </c>
      <c r="E29" s="121">
        <v>90000</v>
      </c>
      <c r="F29" s="2">
        <v>6</v>
      </c>
      <c r="G29" s="2">
        <v>3</v>
      </c>
      <c r="H29" s="2">
        <v>4</v>
      </c>
      <c r="I29" s="2">
        <v>7</v>
      </c>
      <c r="J29" s="3" t="s">
        <v>717</v>
      </c>
      <c r="K29" s="2" t="s">
        <v>513</v>
      </c>
      <c r="L29" s="2" t="s">
        <v>514</v>
      </c>
      <c r="X29" s="3"/>
      <c r="Y29" s="3"/>
      <c r="Z29" s="3"/>
      <c r="AA29" s="3" t="s">
        <v>7</v>
      </c>
      <c r="AB29" s="3" t="s">
        <v>71</v>
      </c>
      <c r="AC29" t="str">
        <f t="shared" si="1"/>
        <v>Dark ElfRunner</v>
      </c>
      <c r="AD29" s="123" t="s">
        <v>636</v>
      </c>
      <c r="AE29" s="1" t="s">
        <v>649</v>
      </c>
      <c r="AF29" s="1"/>
      <c r="AG29" s="1" t="s">
        <v>650</v>
      </c>
      <c r="AH29" s="124"/>
      <c r="AI29" s="1"/>
      <c r="AJ29" s="1" t="s">
        <v>648</v>
      </c>
      <c r="AK29" s="1" t="s">
        <v>234</v>
      </c>
      <c r="AL29" s="1"/>
      <c r="AM29" s="124"/>
    </row>
    <row r="30" spans="1:39" ht="15.75" customHeight="1">
      <c r="A30" s="3" t="s">
        <v>7</v>
      </c>
      <c r="B30" s="3" t="s">
        <v>49</v>
      </c>
      <c r="C30" s="120" t="str">
        <f t="shared" si="0"/>
        <v>Dark ElfBlitzer</v>
      </c>
      <c r="D30" s="120">
        <v>4</v>
      </c>
      <c r="E30" s="121">
        <v>100000</v>
      </c>
      <c r="F30" s="2">
        <v>7</v>
      </c>
      <c r="G30" s="2">
        <v>3</v>
      </c>
      <c r="H30" s="2">
        <v>4</v>
      </c>
      <c r="I30" s="2">
        <v>8</v>
      </c>
      <c r="J30" s="3" t="s">
        <v>277</v>
      </c>
      <c r="K30" s="2" t="s">
        <v>513</v>
      </c>
      <c r="L30" s="2" t="s">
        <v>514</v>
      </c>
      <c r="X30" s="3"/>
      <c r="Y30" s="3"/>
      <c r="Z30" s="3"/>
      <c r="AA30" s="3" t="s">
        <v>7</v>
      </c>
      <c r="AB30" s="3" t="s">
        <v>716</v>
      </c>
      <c r="AC30" t="str">
        <f t="shared" si="1"/>
        <v>Dark ElfAssassin</v>
      </c>
      <c r="AD30" s="123" t="s">
        <v>636</v>
      </c>
      <c r="AE30" s="1" t="s">
        <v>649</v>
      </c>
      <c r="AF30" s="1" t="s">
        <v>648</v>
      </c>
      <c r="AG30" s="1"/>
      <c r="AH30" s="124"/>
      <c r="AI30" s="1"/>
      <c r="AJ30" s="1"/>
      <c r="AK30" s="1" t="s">
        <v>234</v>
      </c>
      <c r="AL30" s="1" t="s">
        <v>650</v>
      </c>
      <c r="AM30" s="124"/>
    </row>
    <row r="31" spans="1:39" ht="15.75" customHeight="1">
      <c r="A31" s="3" t="s">
        <v>7</v>
      </c>
      <c r="B31" s="3" t="s">
        <v>161</v>
      </c>
      <c r="C31" s="120" t="str">
        <f t="shared" si="0"/>
        <v>Dark ElfWitch Elf</v>
      </c>
      <c r="D31" s="120">
        <v>2</v>
      </c>
      <c r="E31" s="121">
        <v>110000</v>
      </c>
      <c r="F31" s="2">
        <v>7</v>
      </c>
      <c r="G31" s="2">
        <v>3</v>
      </c>
      <c r="H31" s="2">
        <v>4</v>
      </c>
      <c r="I31" s="2">
        <v>7</v>
      </c>
      <c r="J31" s="3" t="s">
        <v>718</v>
      </c>
      <c r="K31" s="2" t="s">
        <v>513</v>
      </c>
      <c r="L31" s="2" t="s">
        <v>514</v>
      </c>
      <c r="X31" s="3"/>
      <c r="Y31" s="3"/>
      <c r="Z31" s="3"/>
      <c r="AA31" s="3" t="s">
        <v>7</v>
      </c>
      <c r="AB31" s="3" t="s">
        <v>49</v>
      </c>
      <c r="AC31" t="str">
        <f t="shared" si="1"/>
        <v>Dark ElfBlitzer</v>
      </c>
      <c r="AD31" s="123" t="s">
        <v>636</v>
      </c>
      <c r="AE31" s="1" t="s">
        <v>649</v>
      </c>
      <c r="AF31" s="1" t="s">
        <v>648</v>
      </c>
      <c r="AG31" s="1"/>
      <c r="AH31" s="124"/>
      <c r="AI31" s="1"/>
      <c r="AJ31" s="1"/>
      <c r="AK31" s="1" t="s">
        <v>234</v>
      </c>
      <c r="AL31" s="1" t="s">
        <v>650</v>
      </c>
      <c r="AM31" s="124"/>
    </row>
    <row r="32" spans="1:39" ht="15.75" customHeight="1">
      <c r="A32" s="3" t="s">
        <v>472</v>
      </c>
      <c r="B32" s="3" t="s">
        <v>98</v>
      </c>
      <c r="C32" s="120" t="str">
        <f t="shared" si="0"/>
        <v>DwarfBlocker</v>
      </c>
      <c r="D32" s="120">
        <v>16</v>
      </c>
      <c r="E32" s="121">
        <v>70000</v>
      </c>
      <c r="F32" s="2">
        <v>4</v>
      </c>
      <c r="G32" s="2">
        <v>3</v>
      </c>
      <c r="H32" s="2">
        <v>2</v>
      </c>
      <c r="I32" s="2">
        <v>9</v>
      </c>
      <c r="J32" s="3" t="s">
        <v>682</v>
      </c>
      <c r="K32" s="2" t="s">
        <v>656</v>
      </c>
      <c r="L32" s="2" t="s">
        <v>657</v>
      </c>
      <c r="X32" s="3"/>
      <c r="Y32" s="3"/>
      <c r="Z32" s="3"/>
      <c r="AA32" s="3" t="s">
        <v>7</v>
      </c>
      <c r="AB32" s="3" t="s">
        <v>161</v>
      </c>
      <c r="AC32" t="str">
        <f t="shared" si="1"/>
        <v>Dark ElfWitch Elf</v>
      </c>
      <c r="AD32" s="123" t="s">
        <v>636</v>
      </c>
      <c r="AE32" s="1" t="s">
        <v>649</v>
      </c>
      <c r="AF32" s="1" t="s">
        <v>648</v>
      </c>
      <c r="AG32" s="1"/>
      <c r="AH32" s="124"/>
      <c r="AI32" s="1"/>
      <c r="AJ32" s="1"/>
      <c r="AK32" s="1" t="s">
        <v>234</v>
      </c>
      <c r="AL32" s="1" t="s">
        <v>650</v>
      </c>
      <c r="AM32" s="124"/>
    </row>
    <row r="33" spans="1:39" ht="15.75" customHeight="1">
      <c r="A33" s="3" t="s">
        <v>472</v>
      </c>
      <c r="B33" s="3" t="s">
        <v>71</v>
      </c>
      <c r="C33" s="120" t="str">
        <f t="shared" si="0"/>
        <v>DwarfRunner</v>
      </c>
      <c r="D33" s="120">
        <v>2</v>
      </c>
      <c r="E33" s="121">
        <v>80000</v>
      </c>
      <c r="F33" s="2">
        <v>6</v>
      </c>
      <c r="G33" s="2">
        <v>3</v>
      </c>
      <c r="H33" s="2">
        <v>3</v>
      </c>
      <c r="I33" s="2">
        <v>8</v>
      </c>
      <c r="J33" s="3" t="s">
        <v>719</v>
      </c>
      <c r="K33" s="2" t="s">
        <v>642</v>
      </c>
      <c r="L33" s="2" t="s">
        <v>643</v>
      </c>
      <c r="O33" s="132"/>
      <c r="X33" s="3"/>
      <c r="Y33" s="3"/>
      <c r="Z33" s="3"/>
      <c r="AA33" s="3" t="s">
        <v>472</v>
      </c>
      <c r="AB33" s="3" t="s">
        <v>98</v>
      </c>
      <c r="AC33" t="str">
        <f t="shared" si="1"/>
        <v>DwarfBlocker</v>
      </c>
      <c r="AD33" s="123" t="s">
        <v>636</v>
      </c>
      <c r="AE33" s="1"/>
      <c r="AF33" s="1" t="s">
        <v>234</v>
      </c>
      <c r="AG33" s="1"/>
      <c r="AH33" s="124"/>
      <c r="AI33" s="1"/>
      <c r="AJ33" s="1" t="s">
        <v>649</v>
      </c>
      <c r="AK33" s="1"/>
      <c r="AL33" s="1" t="s">
        <v>650</v>
      </c>
      <c r="AM33" s="124"/>
    </row>
    <row r="34" spans="1:39" ht="15.75" customHeight="1">
      <c r="A34" s="3" t="s">
        <v>472</v>
      </c>
      <c r="B34" s="3" t="s">
        <v>49</v>
      </c>
      <c r="C34" s="120" t="str">
        <f t="shared" si="0"/>
        <v>DwarfBlitzer</v>
      </c>
      <c r="D34" s="120">
        <v>2</v>
      </c>
      <c r="E34" s="121">
        <v>80000</v>
      </c>
      <c r="F34" s="2">
        <v>5</v>
      </c>
      <c r="G34" s="2">
        <v>3</v>
      </c>
      <c r="H34" s="2">
        <v>3</v>
      </c>
      <c r="I34" s="2">
        <v>9</v>
      </c>
      <c r="J34" s="3" t="s">
        <v>720</v>
      </c>
      <c r="K34" s="2" t="s">
        <v>656</v>
      </c>
      <c r="L34" s="2" t="s">
        <v>657</v>
      </c>
      <c r="O34" s="132"/>
      <c r="X34" s="3"/>
      <c r="Y34" s="3"/>
      <c r="Z34" s="3"/>
      <c r="AA34" s="3" t="s">
        <v>472</v>
      </c>
      <c r="AB34" s="3" t="s">
        <v>71</v>
      </c>
      <c r="AC34" t="str">
        <f t="shared" si="1"/>
        <v>DwarfRunner</v>
      </c>
      <c r="AD34" s="123" t="s">
        <v>636</v>
      </c>
      <c r="AE34" s="1"/>
      <c r="AF34" s="1" t="s">
        <v>648</v>
      </c>
      <c r="AG34" s="1" t="s">
        <v>650</v>
      </c>
      <c r="AH34" s="124"/>
      <c r="AI34" s="1"/>
      <c r="AJ34" s="1" t="s">
        <v>649</v>
      </c>
      <c r="AK34" s="1" t="s">
        <v>234</v>
      </c>
      <c r="AL34" s="1"/>
      <c r="AM34" s="124"/>
    </row>
    <row r="35" spans="1:39" ht="15.75" customHeight="1">
      <c r="A35" s="3" t="s">
        <v>472</v>
      </c>
      <c r="B35" s="3" t="s">
        <v>43</v>
      </c>
      <c r="C35" s="120" t="str">
        <f t="shared" si="0"/>
        <v>DwarfTroll Slayer</v>
      </c>
      <c r="D35" s="120">
        <v>2</v>
      </c>
      <c r="E35" s="121">
        <v>90000</v>
      </c>
      <c r="F35" s="2">
        <v>5</v>
      </c>
      <c r="G35" s="2">
        <v>3</v>
      </c>
      <c r="H35" s="2">
        <v>2</v>
      </c>
      <c r="I35" s="2">
        <v>8</v>
      </c>
      <c r="J35" s="3" t="s">
        <v>721</v>
      </c>
      <c r="K35" s="2" t="s">
        <v>656</v>
      </c>
      <c r="L35" s="2" t="s">
        <v>657</v>
      </c>
      <c r="O35" s="132"/>
      <c r="X35" s="3"/>
      <c r="Y35" s="3"/>
      <c r="Z35" s="3"/>
      <c r="AA35" s="3" t="s">
        <v>472</v>
      </c>
      <c r="AB35" s="3" t="s">
        <v>49</v>
      </c>
      <c r="AC35" t="str">
        <f t="shared" si="1"/>
        <v>DwarfBlitzer</v>
      </c>
      <c r="AD35" s="123" t="s">
        <v>636</v>
      </c>
      <c r="AE35" s="1"/>
      <c r="AF35" s="1" t="s">
        <v>234</v>
      </c>
      <c r="AG35" s="1"/>
      <c r="AH35" s="124"/>
      <c r="AI35" s="1"/>
      <c r="AJ35" s="1" t="s">
        <v>649</v>
      </c>
      <c r="AK35" s="1"/>
      <c r="AL35" s="1" t="s">
        <v>650</v>
      </c>
      <c r="AM35" s="124"/>
    </row>
    <row r="36" spans="1:39" ht="15.75" customHeight="1">
      <c r="A36" s="3" t="s">
        <v>472</v>
      </c>
      <c r="B36" s="3" t="s">
        <v>722</v>
      </c>
      <c r="C36" s="120" t="str">
        <f t="shared" si="0"/>
        <v>DwarfDeathroller</v>
      </c>
      <c r="D36" s="120">
        <v>1</v>
      </c>
      <c r="E36" s="121">
        <v>160000</v>
      </c>
      <c r="F36" s="2">
        <v>4</v>
      </c>
      <c r="G36" s="2">
        <v>7</v>
      </c>
      <c r="H36" s="2">
        <v>1</v>
      </c>
      <c r="I36" s="2">
        <v>10</v>
      </c>
      <c r="J36" s="3" t="s">
        <v>723</v>
      </c>
      <c r="K36" s="2" t="s">
        <v>234</v>
      </c>
      <c r="L36" s="2" t="s">
        <v>516</v>
      </c>
      <c r="O36" s="132"/>
      <c r="X36" s="3"/>
      <c r="Y36" s="3"/>
      <c r="Z36" s="3"/>
      <c r="AA36" s="3" t="s">
        <v>472</v>
      </c>
      <c r="AB36" s="3" t="s">
        <v>43</v>
      </c>
      <c r="AC36" t="str">
        <f t="shared" si="1"/>
        <v>DwarfTroll Slayer</v>
      </c>
      <c r="AD36" s="123" t="s">
        <v>636</v>
      </c>
      <c r="AE36" s="1"/>
      <c r="AF36" s="1" t="s">
        <v>234</v>
      </c>
      <c r="AG36" s="1"/>
      <c r="AH36" s="124"/>
      <c r="AI36" s="1"/>
      <c r="AJ36" s="1" t="s">
        <v>649</v>
      </c>
      <c r="AK36" s="1"/>
      <c r="AL36" s="1" t="s">
        <v>650</v>
      </c>
      <c r="AM36" s="124"/>
    </row>
    <row r="37" spans="1:39" ht="15.75" customHeight="1">
      <c r="A37" s="3" t="s">
        <v>430</v>
      </c>
      <c r="B37" s="3" t="s">
        <v>58</v>
      </c>
      <c r="C37" s="120" t="str">
        <f t="shared" si="0"/>
        <v>ElfLineman</v>
      </c>
      <c r="D37" s="120">
        <v>16</v>
      </c>
      <c r="E37" s="121">
        <v>60000</v>
      </c>
      <c r="F37" s="2">
        <v>6</v>
      </c>
      <c r="G37" s="2">
        <v>3</v>
      </c>
      <c r="H37" s="2">
        <v>4</v>
      </c>
      <c r="I37" s="2">
        <v>7</v>
      </c>
      <c r="K37" s="2" t="s">
        <v>513</v>
      </c>
      <c r="L37" s="2" t="s">
        <v>514</v>
      </c>
      <c r="O37" s="132"/>
      <c r="X37" s="3"/>
      <c r="Y37" s="3"/>
      <c r="Z37" s="3"/>
      <c r="AA37" s="3" t="s">
        <v>472</v>
      </c>
      <c r="AB37" s="3" t="s">
        <v>722</v>
      </c>
      <c r="AC37" t="str">
        <f t="shared" si="1"/>
        <v>DwarfDeathroller</v>
      </c>
      <c r="AD37" s="123"/>
      <c r="AE37" s="1" t="s">
        <v>648</v>
      </c>
      <c r="AF37" s="1" t="s">
        <v>234</v>
      </c>
      <c r="AG37" s="1"/>
      <c r="AH37" s="124"/>
      <c r="AI37" s="1" t="s">
        <v>636</v>
      </c>
      <c r="AJ37" s="1" t="s">
        <v>649</v>
      </c>
      <c r="AK37" s="1"/>
      <c r="AL37" s="1" t="s">
        <v>650</v>
      </c>
      <c r="AM37" s="124"/>
    </row>
    <row r="38" spans="1:39" ht="15.75" customHeight="1">
      <c r="A38" s="3" t="s">
        <v>430</v>
      </c>
      <c r="B38" s="3" t="s">
        <v>83</v>
      </c>
      <c r="C38" s="120" t="str">
        <f t="shared" si="0"/>
        <v>ElfThrower</v>
      </c>
      <c r="D38" s="120">
        <v>2</v>
      </c>
      <c r="E38" s="121">
        <v>70000</v>
      </c>
      <c r="F38" s="2">
        <v>6</v>
      </c>
      <c r="G38" s="2">
        <v>3</v>
      </c>
      <c r="H38" s="2">
        <v>4</v>
      </c>
      <c r="I38" s="2">
        <v>7</v>
      </c>
      <c r="J38" s="3" t="s">
        <v>598</v>
      </c>
      <c r="K38" s="2" t="s">
        <v>516</v>
      </c>
      <c r="L38" s="2" t="s">
        <v>514</v>
      </c>
      <c r="O38" s="132"/>
      <c r="X38" s="3"/>
      <c r="Y38" s="3"/>
      <c r="Z38" s="3"/>
      <c r="AA38" s="3" t="s">
        <v>430</v>
      </c>
      <c r="AB38" s="3" t="s">
        <v>58</v>
      </c>
      <c r="AC38" t="str">
        <f t="shared" si="1"/>
        <v>ElfLineman</v>
      </c>
      <c r="AD38" s="123" t="s">
        <v>636</v>
      </c>
      <c r="AE38" s="1" t="s">
        <v>649</v>
      </c>
      <c r="AF38" s="1" t="s">
        <v>648</v>
      </c>
      <c r="AG38" s="1"/>
      <c r="AH38" s="124"/>
      <c r="AI38" s="1"/>
      <c r="AJ38" s="1"/>
      <c r="AK38" s="1" t="s">
        <v>234</v>
      </c>
      <c r="AL38" s="1" t="s">
        <v>650</v>
      </c>
      <c r="AM38" s="124"/>
    </row>
    <row r="39" spans="1:39" ht="15.75" customHeight="1">
      <c r="A39" s="3" t="s">
        <v>430</v>
      </c>
      <c r="B39" s="3" t="s">
        <v>42</v>
      </c>
      <c r="C39" s="120" t="str">
        <f t="shared" si="0"/>
        <v>ElfCatcher</v>
      </c>
      <c r="D39" s="120">
        <v>4</v>
      </c>
      <c r="E39" s="121">
        <v>100000</v>
      </c>
      <c r="F39" s="2">
        <v>8</v>
      </c>
      <c r="G39" s="2">
        <v>3</v>
      </c>
      <c r="H39" s="2">
        <v>4</v>
      </c>
      <c r="I39" s="2">
        <v>7</v>
      </c>
      <c r="J39" s="3" t="s">
        <v>724</v>
      </c>
      <c r="K39" s="2" t="s">
        <v>513</v>
      </c>
      <c r="L39" s="2" t="s">
        <v>514</v>
      </c>
      <c r="O39" s="132"/>
      <c r="X39" s="3"/>
      <c r="Y39" s="3"/>
      <c r="Z39" s="3"/>
      <c r="AA39" s="3" t="s">
        <v>430</v>
      </c>
      <c r="AB39" s="3" t="s">
        <v>83</v>
      </c>
      <c r="AC39" t="str">
        <f t="shared" si="1"/>
        <v>ElfThrower</v>
      </c>
      <c r="AD39" s="123" t="s">
        <v>636</v>
      </c>
      <c r="AE39" s="1" t="s">
        <v>649</v>
      </c>
      <c r="AF39" s="1"/>
      <c r="AG39" s="1" t="s">
        <v>650</v>
      </c>
      <c r="AH39" s="124"/>
      <c r="AI39" s="1"/>
      <c r="AJ39" s="1"/>
      <c r="AK39" s="1" t="s">
        <v>234</v>
      </c>
      <c r="AL39" s="1" t="s">
        <v>650</v>
      </c>
      <c r="AM39" s="124"/>
    </row>
    <row r="40" spans="1:39" ht="15.75" customHeight="1">
      <c r="A40" s="3" t="s">
        <v>430</v>
      </c>
      <c r="B40" s="3" t="s">
        <v>49</v>
      </c>
      <c r="C40" s="120" t="str">
        <f t="shared" si="0"/>
        <v>ElfBlitzer</v>
      </c>
      <c r="D40" s="120">
        <v>2</v>
      </c>
      <c r="E40" s="121">
        <v>110000</v>
      </c>
      <c r="F40" s="2">
        <v>7</v>
      </c>
      <c r="G40" s="2">
        <v>3</v>
      </c>
      <c r="H40" s="2">
        <v>4</v>
      </c>
      <c r="I40" s="2">
        <v>8</v>
      </c>
      <c r="J40" s="3" t="s">
        <v>725</v>
      </c>
      <c r="K40" s="2" t="s">
        <v>513</v>
      </c>
      <c r="L40" s="2" t="s">
        <v>514</v>
      </c>
      <c r="O40" s="132"/>
      <c r="X40" s="3"/>
      <c r="Y40" s="3"/>
      <c r="Z40" s="3"/>
      <c r="AA40" s="3" t="s">
        <v>430</v>
      </c>
      <c r="AB40" s="3" t="s">
        <v>42</v>
      </c>
      <c r="AC40" t="str">
        <f t="shared" si="1"/>
        <v>ElfCatcher</v>
      </c>
      <c r="AD40" s="123" t="s">
        <v>636</v>
      </c>
      <c r="AE40" s="1" t="s">
        <v>649</v>
      </c>
      <c r="AF40" s="1" t="s">
        <v>648</v>
      </c>
      <c r="AG40" s="1"/>
      <c r="AH40" s="124"/>
      <c r="AI40" s="1"/>
      <c r="AJ40" s="1"/>
      <c r="AK40" s="1" t="s">
        <v>234</v>
      </c>
      <c r="AL40" s="1" t="s">
        <v>650</v>
      </c>
      <c r="AM40" s="124"/>
    </row>
    <row r="41" spans="1:39" ht="15.75" customHeight="1">
      <c r="A41" s="3" t="s">
        <v>46</v>
      </c>
      <c r="B41" s="3" t="s">
        <v>46</v>
      </c>
      <c r="C41" s="120" t="str">
        <f t="shared" si="0"/>
        <v>GoblinGoblin</v>
      </c>
      <c r="D41" s="120">
        <v>16</v>
      </c>
      <c r="E41" s="121">
        <v>40000</v>
      </c>
      <c r="F41" s="2">
        <v>6</v>
      </c>
      <c r="G41" s="2">
        <v>2</v>
      </c>
      <c r="H41" s="2">
        <v>3</v>
      </c>
      <c r="I41" s="2">
        <v>7</v>
      </c>
      <c r="J41" s="3" t="s">
        <v>726</v>
      </c>
      <c r="K41" s="2" t="s">
        <v>649</v>
      </c>
      <c r="L41" s="2" t="s">
        <v>690</v>
      </c>
      <c r="O41" s="132"/>
      <c r="X41" s="3"/>
      <c r="Y41" s="3"/>
      <c r="Z41" s="3"/>
      <c r="AA41" s="3" t="s">
        <v>430</v>
      </c>
      <c r="AB41" s="3" t="s">
        <v>49</v>
      </c>
      <c r="AC41" t="str">
        <f t="shared" si="1"/>
        <v>ElfBlitzer</v>
      </c>
      <c r="AD41" s="123" t="s">
        <v>636</v>
      </c>
      <c r="AE41" s="1" t="s">
        <v>649</v>
      </c>
      <c r="AF41" s="1" t="s">
        <v>648</v>
      </c>
      <c r="AG41" s="1"/>
      <c r="AH41" s="124"/>
      <c r="AI41" s="1"/>
      <c r="AJ41" s="1"/>
      <c r="AK41" s="1" t="s">
        <v>234</v>
      </c>
      <c r="AL41" s="1" t="s">
        <v>650</v>
      </c>
      <c r="AM41" s="124"/>
    </row>
    <row r="42" spans="1:39" ht="15.75" customHeight="1">
      <c r="A42" s="3" t="s">
        <v>46</v>
      </c>
      <c r="B42" s="3" t="s">
        <v>727</v>
      </c>
      <c r="C42" s="120" t="str">
        <f t="shared" si="0"/>
        <v>GoblinBomma</v>
      </c>
      <c r="D42" s="120">
        <v>1</v>
      </c>
      <c r="E42" s="121">
        <v>40000</v>
      </c>
      <c r="F42" s="2">
        <v>6</v>
      </c>
      <c r="G42" s="2">
        <v>2</v>
      </c>
      <c r="H42" s="2">
        <v>3</v>
      </c>
      <c r="I42" s="2">
        <v>7</v>
      </c>
      <c r="J42" s="3" t="s">
        <v>728</v>
      </c>
      <c r="K42" s="2" t="s">
        <v>649</v>
      </c>
      <c r="L42" s="2" t="s">
        <v>690</v>
      </c>
      <c r="O42" s="132"/>
      <c r="X42" s="3"/>
      <c r="Y42" s="3"/>
      <c r="Z42" s="3"/>
      <c r="AA42" s="3" t="s">
        <v>46</v>
      </c>
      <c r="AB42" s="3" t="s">
        <v>46</v>
      </c>
      <c r="AC42" t="str">
        <f t="shared" si="1"/>
        <v>GoblinGoblin</v>
      </c>
      <c r="AD42" s="123"/>
      <c r="AE42" s="1" t="s">
        <v>649</v>
      </c>
      <c r="AF42" s="1" t="s">
        <v>648</v>
      </c>
      <c r="AG42" s="1"/>
      <c r="AH42" s="124"/>
      <c r="AI42" s="1" t="s">
        <v>636</v>
      </c>
      <c r="AJ42" s="1"/>
      <c r="AK42" s="1" t="s">
        <v>234</v>
      </c>
      <c r="AL42" s="1" t="s">
        <v>650</v>
      </c>
      <c r="AM42" s="124"/>
    </row>
    <row r="43" spans="1:39" ht="15.75" customHeight="1">
      <c r="A43" s="3" t="s">
        <v>46</v>
      </c>
      <c r="B43" s="3" t="s">
        <v>729</v>
      </c>
      <c r="C43" s="120" t="str">
        <f t="shared" si="0"/>
        <v>GoblinLooney</v>
      </c>
      <c r="D43" s="120">
        <v>1</v>
      </c>
      <c r="E43" s="121">
        <v>40000</v>
      </c>
      <c r="F43" s="2">
        <v>6</v>
      </c>
      <c r="G43" s="2">
        <v>2</v>
      </c>
      <c r="H43" s="2">
        <v>3</v>
      </c>
      <c r="I43" s="2">
        <v>7</v>
      </c>
      <c r="J43" s="3" t="s">
        <v>730</v>
      </c>
      <c r="K43" s="2" t="s">
        <v>649</v>
      </c>
      <c r="L43" s="2" t="s">
        <v>690</v>
      </c>
      <c r="O43" s="132"/>
      <c r="X43" s="3"/>
      <c r="Y43" s="3"/>
      <c r="Z43" s="3"/>
      <c r="AA43" s="3" t="s">
        <v>46</v>
      </c>
      <c r="AB43" s="3" t="s">
        <v>727</v>
      </c>
      <c r="AC43" t="str">
        <f t="shared" si="1"/>
        <v>GoblinBomma</v>
      </c>
      <c r="AD43" s="123"/>
      <c r="AE43" s="1" t="s">
        <v>649</v>
      </c>
      <c r="AF43" s="1" t="s">
        <v>648</v>
      </c>
      <c r="AG43" s="1"/>
      <c r="AH43" s="124"/>
      <c r="AI43" s="1" t="s">
        <v>636</v>
      </c>
      <c r="AJ43" s="1"/>
      <c r="AK43" s="1" t="s">
        <v>234</v>
      </c>
      <c r="AL43" s="1" t="s">
        <v>650</v>
      </c>
      <c r="AM43" s="124"/>
    </row>
    <row r="44" spans="1:39" ht="15.75" customHeight="1">
      <c r="A44" s="3" t="s">
        <v>46</v>
      </c>
      <c r="B44" s="3" t="s">
        <v>731</v>
      </c>
      <c r="C44" s="120" t="str">
        <f t="shared" si="0"/>
        <v>GoblinFanatic</v>
      </c>
      <c r="D44" s="120">
        <v>1</v>
      </c>
      <c r="E44" s="121">
        <v>70000</v>
      </c>
      <c r="F44" s="2">
        <v>3</v>
      </c>
      <c r="G44" s="2">
        <v>7</v>
      </c>
      <c r="H44" s="2">
        <v>3</v>
      </c>
      <c r="I44" s="2">
        <v>7</v>
      </c>
      <c r="J44" s="3" t="s">
        <v>732</v>
      </c>
      <c r="K44" s="2" t="s">
        <v>234</v>
      </c>
      <c r="L44" s="2" t="s">
        <v>516</v>
      </c>
      <c r="O44" s="132"/>
      <c r="X44" s="3"/>
      <c r="Y44" s="3"/>
      <c r="Z44" s="3"/>
      <c r="AA44" s="3" t="s">
        <v>46</v>
      </c>
      <c r="AB44" s="3" t="s">
        <v>729</v>
      </c>
      <c r="AC44" t="str">
        <f t="shared" si="1"/>
        <v>GoblinLooney</v>
      </c>
      <c r="AD44" s="123"/>
      <c r="AE44" s="1" t="s">
        <v>649</v>
      </c>
      <c r="AF44" s="1" t="s">
        <v>648</v>
      </c>
      <c r="AG44" s="1"/>
      <c r="AH44" s="124"/>
      <c r="AI44" s="1" t="s">
        <v>636</v>
      </c>
      <c r="AJ44" s="1"/>
      <c r="AK44" s="1" t="s">
        <v>234</v>
      </c>
      <c r="AL44" s="1" t="s">
        <v>650</v>
      </c>
      <c r="AM44" s="124"/>
    </row>
    <row r="45" spans="1:39" ht="15.75" customHeight="1">
      <c r="A45" s="3" t="s">
        <v>46</v>
      </c>
      <c r="B45" s="3" t="s">
        <v>733</v>
      </c>
      <c r="C45" s="120" t="str">
        <f t="shared" si="0"/>
        <v>GoblinPogoer</v>
      </c>
      <c r="D45" s="120">
        <v>1</v>
      </c>
      <c r="E45" s="121">
        <v>70000</v>
      </c>
      <c r="F45" s="2">
        <v>7</v>
      </c>
      <c r="G45" s="2">
        <v>2</v>
      </c>
      <c r="H45" s="2">
        <v>3</v>
      </c>
      <c r="I45" s="2">
        <v>7</v>
      </c>
      <c r="J45" s="3" t="s">
        <v>734</v>
      </c>
      <c r="K45" s="2" t="s">
        <v>649</v>
      </c>
      <c r="L45" s="2" t="s">
        <v>690</v>
      </c>
      <c r="O45" s="132"/>
      <c r="X45" s="3"/>
      <c r="Y45" s="3"/>
      <c r="Z45" s="3"/>
      <c r="AA45" s="3" t="s">
        <v>46</v>
      </c>
      <c r="AB45" s="3" t="s">
        <v>731</v>
      </c>
      <c r="AC45" t="str">
        <f t="shared" si="1"/>
        <v>GoblinFanatic</v>
      </c>
      <c r="AD45" s="123"/>
      <c r="AE45" s="1" t="s">
        <v>648</v>
      </c>
      <c r="AF45" s="1" t="s">
        <v>234</v>
      </c>
      <c r="AG45" s="1"/>
      <c r="AH45" s="124"/>
      <c r="AI45" s="1" t="s">
        <v>636</v>
      </c>
      <c r="AJ45" s="1" t="s">
        <v>649</v>
      </c>
      <c r="AK45" s="1"/>
      <c r="AL45" s="1" t="s">
        <v>650</v>
      </c>
      <c r="AM45" s="124"/>
    </row>
    <row r="46" spans="1:39" ht="15.75" customHeight="1">
      <c r="A46" s="3" t="s">
        <v>46</v>
      </c>
      <c r="B46" s="3" t="s">
        <v>132</v>
      </c>
      <c r="C46" s="120" t="str">
        <f t="shared" si="0"/>
        <v>GoblinTroll</v>
      </c>
      <c r="D46" s="120">
        <v>2</v>
      </c>
      <c r="E46" s="121">
        <v>110000</v>
      </c>
      <c r="F46" s="2">
        <v>4</v>
      </c>
      <c r="G46" s="2">
        <v>5</v>
      </c>
      <c r="H46" s="2">
        <v>1</v>
      </c>
      <c r="I46" s="2">
        <v>9</v>
      </c>
      <c r="J46" s="3" t="s">
        <v>697</v>
      </c>
      <c r="K46" s="2" t="s">
        <v>234</v>
      </c>
      <c r="L46" s="2" t="s">
        <v>516</v>
      </c>
      <c r="O46" s="132"/>
      <c r="X46" s="3"/>
      <c r="Y46" s="3"/>
      <c r="Z46" s="3"/>
      <c r="AA46" s="3" t="s">
        <v>46</v>
      </c>
      <c r="AB46" s="3" t="s">
        <v>733</v>
      </c>
      <c r="AC46" t="str">
        <f t="shared" si="1"/>
        <v>GoblinPogoer</v>
      </c>
      <c r="AD46" s="123"/>
      <c r="AE46" s="1" t="s">
        <v>649</v>
      </c>
      <c r="AF46" s="1" t="s">
        <v>648</v>
      </c>
      <c r="AG46" s="1"/>
      <c r="AH46" s="124"/>
      <c r="AI46" s="1" t="s">
        <v>636</v>
      </c>
      <c r="AJ46" s="1"/>
      <c r="AK46" s="1" t="s">
        <v>234</v>
      </c>
      <c r="AL46" s="1" t="s">
        <v>650</v>
      </c>
      <c r="AM46" s="124"/>
    </row>
    <row r="47" spans="1:39" ht="15.75" customHeight="1">
      <c r="A47" s="3" t="s">
        <v>681</v>
      </c>
      <c r="B47" s="3" t="s">
        <v>735</v>
      </c>
      <c r="C47" s="120" t="str">
        <f t="shared" si="0"/>
        <v>HalflingHopeful</v>
      </c>
      <c r="D47" s="120">
        <v>16</v>
      </c>
      <c r="E47" s="121">
        <v>30000</v>
      </c>
      <c r="F47" s="2">
        <v>5</v>
      </c>
      <c r="G47" s="2">
        <v>2</v>
      </c>
      <c r="H47" s="2">
        <v>3</v>
      </c>
      <c r="I47" s="2">
        <v>6</v>
      </c>
      <c r="J47" s="3" t="s">
        <v>726</v>
      </c>
      <c r="K47" s="2" t="s">
        <v>649</v>
      </c>
      <c r="L47" s="2" t="s">
        <v>690</v>
      </c>
      <c r="O47" s="132"/>
      <c r="X47" s="3"/>
      <c r="Y47" s="3"/>
      <c r="Z47" s="3"/>
      <c r="AA47" s="3" t="s">
        <v>46</v>
      </c>
      <c r="AB47" s="3" t="s">
        <v>132</v>
      </c>
      <c r="AC47" t="str">
        <f t="shared" si="1"/>
        <v>GoblinTroll</v>
      </c>
      <c r="AD47" s="123"/>
      <c r="AE47" s="1" t="s">
        <v>648</v>
      </c>
      <c r="AF47" s="1" t="s">
        <v>234</v>
      </c>
      <c r="AG47" s="1"/>
      <c r="AH47" s="124"/>
      <c r="AI47" s="1" t="s">
        <v>636</v>
      </c>
      <c r="AJ47" s="1" t="s">
        <v>649</v>
      </c>
      <c r="AK47" s="1"/>
      <c r="AL47" s="1" t="s">
        <v>650</v>
      </c>
      <c r="AM47" s="124"/>
    </row>
    <row r="48" spans="1:39" ht="15.75" customHeight="1">
      <c r="A48" s="3" t="s">
        <v>681</v>
      </c>
      <c r="B48" s="3" t="s">
        <v>510</v>
      </c>
      <c r="C48" s="120" t="str">
        <f t="shared" si="0"/>
        <v>HalflingTreeman</v>
      </c>
      <c r="D48" s="120">
        <v>2</v>
      </c>
      <c r="E48" s="121">
        <v>120000</v>
      </c>
      <c r="F48" s="2">
        <v>2</v>
      </c>
      <c r="G48" s="2">
        <v>6</v>
      </c>
      <c r="H48" s="2">
        <v>1</v>
      </c>
      <c r="I48" s="2">
        <v>10</v>
      </c>
      <c r="J48" s="3" t="s">
        <v>736</v>
      </c>
      <c r="K48" s="2" t="s">
        <v>234</v>
      </c>
      <c r="L48" s="2" t="s">
        <v>516</v>
      </c>
      <c r="O48" s="132"/>
      <c r="X48" s="3"/>
      <c r="Y48" s="3"/>
      <c r="Z48" s="3"/>
      <c r="AA48" s="3" t="s">
        <v>681</v>
      </c>
      <c r="AB48" s="3" t="s">
        <v>735</v>
      </c>
      <c r="AC48" t="str">
        <f t="shared" si="1"/>
        <v>HalflingHopeful</v>
      </c>
      <c r="AD48" s="123"/>
      <c r="AE48" s="1" t="s">
        <v>649</v>
      </c>
      <c r="AF48" s="1" t="s">
        <v>648</v>
      </c>
      <c r="AG48" s="1"/>
      <c r="AH48" s="124"/>
      <c r="AI48" s="1" t="s">
        <v>636</v>
      </c>
      <c r="AJ48" s="1"/>
      <c r="AK48" s="1" t="s">
        <v>234</v>
      </c>
      <c r="AL48" s="1" t="s">
        <v>650</v>
      </c>
      <c r="AM48" s="124"/>
    </row>
    <row r="49" spans="1:39" ht="15.75" customHeight="1">
      <c r="A49" s="3" t="s">
        <v>494</v>
      </c>
      <c r="B49" s="3" t="s">
        <v>58</v>
      </c>
      <c r="C49" s="120" t="str">
        <f t="shared" si="0"/>
        <v>High ElfLineman</v>
      </c>
      <c r="D49" s="120">
        <v>16</v>
      </c>
      <c r="E49" s="121">
        <v>70000</v>
      </c>
      <c r="F49" s="2">
        <v>6</v>
      </c>
      <c r="G49" s="2">
        <v>3</v>
      </c>
      <c r="H49" s="2">
        <v>4</v>
      </c>
      <c r="I49" s="2">
        <v>8</v>
      </c>
      <c r="K49" s="2" t="s">
        <v>513</v>
      </c>
      <c r="L49" s="2" t="s">
        <v>514</v>
      </c>
      <c r="O49" s="132"/>
      <c r="X49" s="3"/>
      <c r="Y49" s="3"/>
      <c r="Z49" s="3"/>
      <c r="AA49" s="3" t="s">
        <v>681</v>
      </c>
      <c r="AB49" s="3" t="s">
        <v>510</v>
      </c>
      <c r="AC49" t="str">
        <f t="shared" si="1"/>
        <v>HalflingTreeman</v>
      </c>
      <c r="AD49" s="123"/>
      <c r="AE49" s="1" t="s">
        <v>648</v>
      </c>
      <c r="AF49" s="1" t="s">
        <v>234</v>
      </c>
      <c r="AG49" s="1"/>
      <c r="AH49" s="124"/>
      <c r="AI49" s="1" t="s">
        <v>636</v>
      </c>
      <c r="AJ49" s="1" t="s">
        <v>649</v>
      </c>
      <c r="AK49" s="1"/>
      <c r="AL49" s="1" t="s">
        <v>650</v>
      </c>
      <c r="AM49" s="124"/>
    </row>
    <row r="50" spans="1:39" ht="15.75" customHeight="1">
      <c r="A50" s="3" t="s">
        <v>494</v>
      </c>
      <c r="B50" s="3" t="s">
        <v>83</v>
      </c>
      <c r="C50" s="120" t="str">
        <f t="shared" si="0"/>
        <v>High ElfThrower</v>
      </c>
      <c r="D50" s="120">
        <v>2</v>
      </c>
      <c r="E50" s="121">
        <v>90000</v>
      </c>
      <c r="F50" s="2">
        <v>6</v>
      </c>
      <c r="G50" s="2">
        <v>3</v>
      </c>
      <c r="H50" s="2">
        <v>4</v>
      </c>
      <c r="I50" s="2">
        <v>8</v>
      </c>
      <c r="J50" s="3" t="s">
        <v>737</v>
      </c>
      <c r="K50" s="2" t="s">
        <v>516</v>
      </c>
      <c r="L50" s="2" t="s">
        <v>234</v>
      </c>
      <c r="O50" s="132"/>
      <c r="X50" s="3"/>
      <c r="Y50" s="3"/>
      <c r="Z50" s="3"/>
      <c r="AA50" s="3" t="s">
        <v>494</v>
      </c>
      <c r="AB50" s="3" t="s">
        <v>58</v>
      </c>
      <c r="AC50" t="str">
        <f t="shared" si="1"/>
        <v>High ElfLineman</v>
      </c>
      <c r="AD50" s="123" t="s">
        <v>636</v>
      </c>
      <c r="AE50" s="1" t="s">
        <v>649</v>
      </c>
      <c r="AF50" s="1" t="s">
        <v>648</v>
      </c>
      <c r="AG50" s="1"/>
      <c r="AH50" s="124"/>
      <c r="AI50" s="1"/>
      <c r="AJ50" s="1"/>
      <c r="AK50" s="1" t="s">
        <v>234</v>
      </c>
      <c r="AL50" s="1" t="s">
        <v>650</v>
      </c>
      <c r="AM50" s="124"/>
    </row>
    <row r="51" spans="1:39" ht="15.75" customHeight="1">
      <c r="A51" s="3" t="s">
        <v>494</v>
      </c>
      <c r="B51" s="3" t="s">
        <v>42</v>
      </c>
      <c r="C51" s="120" t="str">
        <f t="shared" si="0"/>
        <v>High ElfCatcher</v>
      </c>
      <c r="D51" s="120">
        <v>4</v>
      </c>
      <c r="E51" s="121">
        <v>90000</v>
      </c>
      <c r="F51" s="2">
        <v>8</v>
      </c>
      <c r="G51" s="2">
        <v>3</v>
      </c>
      <c r="H51" s="2">
        <v>4</v>
      </c>
      <c r="I51" s="2">
        <v>7</v>
      </c>
      <c r="J51" s="3" t="s">
        <v>601</v>
      </c>
      <c r="K51" s="2" t="s">
        <v>513</v>
      </c>
      <c r="L51" s="2" t="s">
        <v>514</v>
      </c>
      <c r="O51" s="132"/>
      <c r="X51" s="3"/>
      <c r="Y51" s="3"/>
      <c r="Z51" s="3"/>
      <c r="AA51" s="3" t="s">
        <v>494</v>
      </c>
      <c r="AB51" s="3" t="s">
        <v>83</v>
      </c>
      <c r="AC51" t="str">
        <f t="shared" si="1"/>
        <v>High ElfThrower</v>
      </c>
      <c r="AD51" s="123" t="s">
        <v>636</v>
      </c>
      <c r="AE51" s="1" t="s">
        <v>649</v>
      </c>
      <c r="AF51" s="1"/>
      <c r="AG51" s="1" t="s">
        <v>650</v>
      </c>
      <c r="AH51" s="124"/>
      <c r="AI51" s="1"/>
      <c r="AJ51" s="1" t="s">
        <v>648</v>
      </c>
      <c r="AK51" s="1" t="s">
        <v>234</v>
      </c>
      <c r="AL51" s="1"/>
      <c r="AM51" s="124"/>
    </row>
    <row r="52" spans="1:39" ht="15.75" customHeight="1">
      <c r="A52" s="3" t="s">
        <v>494</v>
      </c>
      <c r="B52" s="3" t="s">
        <v>49</v>
      </c>
      <c r="C52" s="120" t="str">
        <f t="shared" si="0"/>
        <v>High ElfBlitzer</v>
      </c>
      <c r="D52" s="120">
        <v>2</v>
      </c>
      <c r="E52" s="121">
        <v>100000</v>
      </c>
      <c r="F52" s="2">
        <v>7</v>
      </c>
      <c r="G52" s="2">
        <v>3</v>
      </c>
      <c r="H52" s="2">
        <v>4</v>
      </c>
      <c r="I52" s="2">
        <v>8</v>
      </c>
      <c r="J52" s="3" t="s">
        <v>277</v>
      </c>
      <c r="K52" s="2" t="s">
        <v>513</v>
      </c>
      <c r="L52" s="2" t="s">
        <v>514</v>
      </c>
      <c r="O52" s="132"/>
      <c r="X52" s="3"/>
      <c r="Y52" s="3"/>
      <c r="Z52" s="3"/>
      <c r="AA52" s="3" t="s">
        <v>494</v>
      </c>
      <c r="AB52" s="3" t="s">
        <v>42</v>
      </c>
      <c r="AC52" t="str">
        <f t="shared" si="1"/>
        <v>High ElfCatcher</v>
      </c>
      <c r="AD52" s="123" t="s">
        <v>636</v>
      </c>
      <c r="AE52" s="1" t="s">
        <v>649</v>
      </c>
      <c r="AF52" s="1" t="s">
        <v>648</v>
      </c>
      <c r="AG52" s="1"/>
      <c r="AH52" s="124"/>
      <c r="AI52" s="1"/>
      <c r="AJ52" s="1"/>
      <c r="AK52" s="1" t="s">
        <v>234</v>
      </c>
      <c r="AL52" s="1" t="s">
        <v>650</v>
      </c>
      <c r="AM52" s="124"/>
    </row>
    <row r="53" spans="1:39" ht="15.75" customHeight="1">
      <c r="A53" s="3" t="s">
        <v>532</v>
      </c>
      <c r="B53" s="3" t="s">
        <v>58</v>
      </c>
      <c r="C53" s="120" t="str">
        <f t="shared" si="0"/>
        <v>HumanLineman</v>
      </c>
      <c r="D53" s="120">
        <v>16</v>
      </c>
      <c r="E53" s="121">
        <v>50000</v>
      </c>
      <c r="F53" s="2">
        <v>6</v>
      </c>
      <c r="G53" s="2">
        <v>3</v>
      </c>
      <c r="H53" s="2">
        <v>3</v>
      </c>
      <c r="I53" s="2">
        <v>8</v>
      </c>
      <c r="K53" s="2" t="s">
        <v>636</v>
      </c>
      <c r="L53" s="2" t="s">
        <v>637</v>
      </c>
      <c r="O53" s="132"/>
      <c r="X53" s="3"/>
      <c r="Y53" s="3"/>
      <c r="Z53" s="3"/>
      <c r="AA53" s="3" t="s">
        <v>494</v>
      </c>
      <c r="AB53" s="3" t="s">
        <v>49</v>
      </c>
      <c r="AC53" t="str">
        <f t="shared" si="1"/>
        <v>High ElfBlitzer</v>
      </c>
      <c r="AD53" s="123" t="s">
        <v>636</v>
      </c>
      <c r="AE53" s="1" t="s">
        <v>649</v>
      </c>
      <c r="AF53" s="1" t="s">
        <v>648</v>
      </c>
      <c r="AG53" s="1"/>
      <c r="AH53" s="124"/>
      <c r="AI53" s="1"/>
      <c r="AJ53" s="1"/>
      <c r="AK53" s="1" t="s">
        <v>234</v>
      </c>
      <c r="AL53" s="1" t="s">
        <v>650</v>
      </c>
      <c r="AM53" s="124"/>
    </row>
    <row r="54" spans="1:39" ht="15.75" customHeight="1">
      <c r="A54" s="3" t="s">
        <v>532</v>
      </c>
      <c r="B54" s="3" t="s">
        <v>42</v>
      </c>
      <c r="C54" s="120" t="str">
        <f t="shared" si="0"/>
        <v>HumanCatcher</v>
      </c>
      <c r="D54" s="120">
        <v>2</v>
      </c>
      <c r="E54" s="121">
        <v>60000</v>
      </c>
      <c r="F54" s="2">
        <v>8</v>
      </c>
      <c r="G54" s="2">
        <v>2</v>
      </c>
      <c r="H54" s="2">
        <v>3</v>
      </c>
      <c r="I54" s="2">
        <v>7</v>
      </c>
      <c r="J54" s="3" t="s">
        <v>651</v>
      </c>
      <c r="K54" s="2" t="s">
        <v>513</v>
      </c>
      <c r="L54" s="2" t="s">
        <v>514</v>
      </c>
      <c r="O54" s="132"/>
      <c r="X54" s="3"/>
      <c r="Y54" s="3"/>
      <c r="Z54" s="3"/>
      <c r="AA54" s="3" t="s">
        <v>532</v>
      </c>
      <c r="AB54" s="3" t="s">
        <v>58</v>
      </c>
      <c r="AC54" t="str">
        <f t="shared" si="1"/>
        <v>HumanLineman</v>
      </c>
      <c r="AD54" s="123" t="s">
        <v>636</v>
      </c>
      <c r="AE54" s="1" t="s">
        <v>648</v>
      </c>
      <c r="AF54" s="1" t="s">
        <v>648</v>
      </c>
      <c r="AG54" s="1"/>
      <c r="AH54" s="124"/>
      <c r="AI54" s="1"/>
      <c r="AJ54" s="1" t="s">
        <v>649</v>
      </c>
      <c r="AK54" s="1" t="s">
        <v>234</v>
      </c>
      <c r="AL54" s="1" t="s">
        <v>650</v>
      </c>
      <c r="AM54" s="124"/>
    </row>
    <row r="55" spans="1:39" ht="15.75" customHeight="1">
      <c r="A55" s="3" t="s">
        <v>532</v>
      </c>
      <c r="B55" s="3" t="s">
        <v>83</v>
      </c>
      <c r="C55" s="120" t="str">
        <f t="shared" si="0"/>
        <v>HumanThrower</v>
      </c>
      <c r="D55" s="120">
        <v>2</v>
      </c>
      <c r="E55" s="121">
        <v>70000</v>
      </c>
      <c r="F55" s="2">
        <v>6</v>
      </c>
      <c r="G55" s="2">
        <v>3</v>
      </c>
      <c r="H55" s="2">
        <v>3</v>
      </c>
      <c r="I55" s="2">
        <v>8</v>
      </c>
      <c r="J55" s="3" t="s">
        <v>738</v>
      </c>
      <c r="K55" s="2" t="s">
        <v>642</v>
      </c>
      <c r="L55" s="2" t="s">
        <v>643</v>
      </c>
      <c r="O55" s="132"/>
      <c r="X55" s="3"/>
      <c r="Y55" s="3"/>
      <c r="Z55" s="3"/>
      <c r="AA55" s="3" t="s">
        <v>532</v>
      </c>
      <c r="AB55" s="3" t="s">
        <v>42</v>
      </c>
      <c r="AC55" t="str">
        <f t="shared" si="1"/>
        <v>HumanCatcher</v>
      </c>
      <c r="AD55" s="123" t="s">
        <v>636</v>
      </c>
      <c r="AE55" s="1" t="s">
        <v>649</v>
      </c>
      <c r="AF55" s="1" t="s">
        <v>648</v>
      </c>
      <c r="AG55" s="1"/>
      <c r="AH55" s="124"/>
      <c r="AI55" s="1"/>
      <c r="AJ55" s="1"/>
      <c r="AK55" s="1" t="s">
        <v>234</v>
      </c>
      <c r="AL55" s="1" t="s">
        <v>650</v>
      </c>
      <c r="AM55" s="124"/>
    </row>
    <row r="56" spans="1:39" ht="15.75" customHeight="1">
      <c r="A56" s="3" t="s">
        <v>532</v>
      </c>
      <c r="B56" s="3" t="s">
        <v>49</v>
      </c>
      <c r="C56" s="120" t="str">
        <f t="shared" si="0"/>
        <v>HumanBlitzer</v>
      </c>
      <c r="D56" s="120">
        <v>4</v>
      </c>
      <c r="E56" s="121">
        <v>90000</v>
      </c>
      <c r="F56" s="2">
        <v>7</v>
      </c>
      <c r="G56" s="2">
        <v>3</v>
      </c>
      <c r="H56" s="2">
        <v>3</v>
      </c>
      <c r="I56" s="2">
        <v>8</v>
      </c>
      <c r="J56" s="3" t="s">
        <v>277</v>
      </c>
      <c r="K56" s="2" t="s">
        <v>656</v>
      </c>
      <c r="L56" s="2" t="s">
        <v>657</v>
      </c>
      <c r="O56" s="132"/>
      <c r="X56" s="3"/>
      <c r="Y56" s="3"/>
      <c r="Z56" s="3"/>
      <c r="AA56" s="3" t="s">
        <v>532</v>
      </c>
      <c r="AB56" s="3" t="s">
        <v>83</v>
      </c>
      <c r="AC56" t="str">
        <f t="shared" si="1"/>
        <v>HumanThrower</v>
      </c>
      <c r="AD56" s="123" t="s">
        <v>636</v>
      </c>
      <c r="AE56" s="1"/>
      <c r="AF56" s="1" t="s">
        <v>648</v>
      </c>
      <c r="AG56" s="1" t="s">
        <v>650</v>
      </c>
      <c r="AH56" s="124"/>
      <c r="AI56" s="1"/>
      <c r="AJ56" s="1" t="s">
        <v>649</v>
      </c>
      <c r="AK56" s="1" t="s">
        <v>234</v>
      </c>
      <c r="AL56" s="1"/>
      <c r="AM56" s="124"/>
    </row>
    <row r="57" spans="1:39" ht="15.75" customHeight="1">
      <c r="A57" s="3" t="s">
        <v>532</v>
      </c>
      <c r="B57" s="3" t="s">
        <v>77</v>
      </c>
      <c r="C57" s="120" t="str">
        <f t="shared" si="0"/>
        <v>HumanOgre</v>
      </c>
      <c r="D57" s="120">
        <v>1</v>
      </c>
      <c r="E57" s="121">
        <v>140000</v>
      </c>
      <c r="F57" s="2">
        <v>5</v>
      </c>
      <c r="G57" s="2">
        <v>5</v>
      </c>
      <c r="H57" s="2">
        <v>2</v>
      </c>
      <c r="I57" s="2">
        <v>9</v>
      </c>
      <c r="J57" s="3" t="s">
        <v>739</v>
      </c>
      <c r="K57" s="2" t="s">
        <v>234</v>
      </c>
      <c r="L57" s="2" t="s">
        <v>516</v>
      </c>
      <c r="O57" s="132"/>
      <c r="X57" s="3"/>
      <c r="Y57" s="3"/>
      <c r="Z57" s="3"/>
      <c r="AA57" s="3" t="s">
        <v>532</v>
      </c>
      <c r="AB57" s="3" t="s">
        <v>49</v>
      </c>
      <c r="AC57" t="str">
        <f t="shared" si="1"/>
        <v>HumanBlitzer</v>
      </c>
      <c r="AD57" s="123" t="s">
        <v>636</v>
      </c>
      <c r="AE57" s="1"/>
      <c r="AF57" s="1" t="s">
        <v>234</v>
      </c>
      <c r="AG57" s="1"/>
      <c r="AH57" s="124"/>
      <c r="AI57" s="1"/>
      <c r="AJ57" s="1" t="s">
        <v>649</v>
      </c>
      <c r="AK57" s="1"/>
      <c r="AL57" s="1" t="s">
        <v>650</v>
      </c>
      <c r="AM57" s="124"/>
    </row>
    <row r="58" spans="1:39" ht="15.75" customHeight="1">
      <c r="A58" s="3" t="s">
        <v>639</v>
      </c>
      <c r="B58" s="3" t="s">
        <v>740</v>
      </c>
      <c r="C58" s="120" t="str">
        <f t="shared" si="0"/>
        <v>KhemriSkeleton</v>
      </c>
      <c r="D58" s="120">
        <v>16</v>
      </c>
      <c r="E58" s="121">
        <v>40000</v>
      </c>
      <c r="F58" s="2">
        <v>5</v>
      </c>
      <c r="G58" s="2">
        <v>3</v>
      </c>
      <c r="H58" s="2">
        <v>2</v>
      </c>
      <c r="I58" s="2">
        <v>7</v>
      </c>
      <c r="J58" s="3" t="s">
        <v>741</v>
      </c>
      <c r="K58" s="2" t="s">
        <v>636</v>
      </c>
      <c r="L58" s="2" t="s">
        <v>637</v>
      </c>
      <c r="O58" s="132"/>
      <c r="X58" s="3"/>
      <c r="Y58" s="3"/>
      <c r="Z58" s="3"/>
      <c r="AA58" s="3" t="s">
        <v>532</v>
      </c>
      <c r="AB58" s="3" t="s">
        <v>77</v>
      </c>
      <c r="AC58" t="str">
        <f t="shared" si="1"/>
        <v>HumanOgre</v>
      </c>
      <c r="AD58" s="123"/>
      <c r="AE58" s="1" t="s">
        <v>648</v>
      </c>
      <c r="AF58" s="1" t="s">
        <v>234</v>
      </c>
      <c r="AG58" s="1"/>
      <c r="AH58" s="124"/>
      <c r="AI58" s="1" t="s">
        <v>636</v>
      </c>
      <c r="AJ58" s="1" t="s">
        <v>649</v>
      </c>
      <c r="AK58" s="1"/>
      <c r="AL58" s="1" t="s">
        <v>650</v>
      </c>
      <c r="AM58" s="124"/>
    </row>
    <row r="59" spans="1:39" ht="15.75" customHeight="1">
      <c r="A59" s="3" t="s">
        <v>639</v>
      </c>
      <c r="B59" s="3" t="s">
        <v>742</v>
      </c>
      <c r="C59" s="120" t="str">
        <f t="shared" si="0"/>
        <v>KhemriThro-Ra</v>
      </c>
      <c r="D59" s="120">
        <v>2</v>
      </c>
      <c r="E59" s="121">
        <v>70000</v>
      </c>
      <c r="F59" s="2">
        <v>6</v>
      </c>
      <c r="G59" s="2">
        <v>3</v>
      </c>
      <c r="H59" s="2">
        <v>2</v>
      </c>
      <c r="I59" s="2">
        <v>7</v>
      </c>
      <c r="J59" s="3" t="s">
        <v>743</v>
      </c>
      <c r="K59" s="2" t="s">
        <v>642</v>
      </c>
      <c r="L59" s="2" t="s">
        <v>637</v>
      </c>
      <c r="O59" s="132"/>
      <c r="X59" s="3"/>
      <c r="Y59" s="3"/>
      <c r="Z59" s="3"/>
      <c r="AA59" s="3" t="s">
        <v>639</v>
      </c>
      <c r="AB59" s="3" t="s">
        <v>740</v>
      </c>
      <c r="AC59" t="str">
        <f t="shared" si="1"/>
        <v>KhemriSkeleton</v>
      </c>
      <c r="AD59" s="123" t="s">
        <v>636</v>
      </c>
      <c r="AE59" s="1" t="s">
        <v>648</v>
      </c>
      <c r="AF59" s="1" t="s">
        <v>648</v>
      </c>
      <c r="AG59" s="1"/>
      <c r="AH59" s="124"/>
      <c r="AI59" s="1"/>
      <c r="AJ59" s="1" t="s">
        <v>649</v>
      </c>
      <c r="AK59" s="1" t="s">
        <v>234</v>
      </c>
      <c r="AL59" s="1" t="s">
        <v>650</v>
      </c>
      <c r="AM59" s="124"/>
    </row>
    <row r="60" spans="1:39" ht="15.75" customHeight="1">
      <c r="A60" s="3" t="s">
        <v>639</v>
      </c>
      <c r="B60" s="3" t="s">
        <v>744</v>
      </c>
      <c r="C60" s="120" t="str">
        <f t="shared" si="0"/>
        <v>KhemriBlitz-Ra</v>
      </c>
      <c r="D60" s="120">
        <v>2</v>
      </c>
      <c r="E60" s="121">
        <v>90000</v>
      </c>
      <c r="F60" s="2">
        <v>6</v>
      </c>
      <c r="G60" s="2">
        <v>3</v>
      </c>
      <c r="H60" s="2">
        <v>2</v>
      </c>
      <c r="I60" s="2">
        <v>8</v>
      </c>
      <c r="J60" s="3" t="s">
        <v>745</v>
      </c>
      <c r="K60" s="2" t="s">
        <v>656</v>
      </c>
      <c r="L60" s="2" t="s">
        <v>657</v>
      </c>
      <c r="O60" s="132"/>
      <c r="X60" s="3"/>
      <c r="Y60" s="3"/>
      <c r="Z60" s="3"/>
      <c r="AA60" s="3" t="s">
        <v>639</v>
      </c>
      <c r="AB60" s="3" t="s">
        <v>742</v>
      </c>
      <c r="AC60" t="str">
        <f t="shared" si="1"/>
        <v>KhemriThro-Ra</v>
      </c>
      <c r="AD60" s="123" t="s">
        <v>636</v>
      </c>
      <c r="AE60" s="1"/>
      <c r="AF60" s="1" t="s">
        <v>648</v>
      </c>
      <c r="AG60" s="1" t="s">
        <v>650</v>
      </c>
      <c r="AH60" s="124"/>
      <c r="AI60" s="1"/>
      <c r="AJ60" s="1" t="s">
        <v>649</v>
      </c>
      <c r="AK60" s="1" t="s">
        <v>234</v>
      </c>
      <c r="AL60" s="1" t="s">
        <v>650</v>
      </c>
      <c r="AM60" s="124"/>
    </row>
    <row r="61" spans="1:39" ht="15.75" customHeight="1">
      <c r="A61" s="3" t="s">
        <v>639</v>
      </c>
      <c r="B61" s="3" t="s">
        <v>746</v>
      </c>
      <c r="C61" s="120" t="str">
        <f t="shared" si="0"/>
        <v>KhemriTomb Guardian</v>
      </c>
      <c r="D61" s="120">
        <v>4</v>
      </c>
      <c r="E61" s="121">
        <v>100000</v>
      </c>
      <c r="F61" s="2">
        <v>4</v>
      </c>
      <c r="G61" s="2">
        <v>5</v>
      </c>
      <c r="H61" s="2">
        <v>1</v>
      </c>
      <c r="I61" s="2">
        <v>9</v>
      </c>
      <c r="J61" s="3" t="s">
        <v>747</v>
      </c>
      <c r="K61" s="2" t="s">
        <v>234</v>
      </c>
      <c r="L61" s="2" t="s">
        <v>516</v>
      </c>
      <c r="O61" s="132"/>
      <c r="X61" s="3"/>
      <c r="Y61" s="3"/>
      <c r="Z61" s="3"/>
      <c r="AA61" s="3" t="s">
        <v>639</v>
      </c>
      <c r="AB61" s="3" t="s">
        <v>744</v>
      </c>
      <c r="AC61" t="str">
        <f t="shared" si="1"/>
        <v>KhemriBlitz-Ra</v>
      </c>
      <c r="AD61" s="123" t="s">
        <v>636</v>
      </c>
      <c r="AE61" s="1"/>
      <c r="AF61" s="1" t="s">
        <v>234</v>
      </c>
      <c r="AG61" s="1"/>
      <c r="AH61" s="124"/>
      <c r="AI61" s="1"/>
      <c r="AJ61" s="1" t="s">
        <v>649</v>
      </c>
      <c r="AK61" s="1"/>
      <c r="AL61" s="1" t="s">
        <v>650</v>
      </c>
      <c r="AM61" s="124"/>
    </row>
    <row r="62" spans="1:39" ht="15.75" customHeight="1">
      <c r="A62" s="3" t="s">
        <v>547</v>
      </c>
      <c r="B62" s="3" t="s">
        <v>168</v>
      </c>
      <c r="C62" s="120" t="str">
        <f t="shared" si="0"/>
        <v>LizardmanSkink</v>
      </c>
      <c r="D62" s="120">
        <v>16</v>
      </c>
      <c r="E62" s="121">
        <v>60000</v>
      </c>
      <c r="F62" s="2">
        <v>8</v>
      </c>
      <c r="G62" s="2">
        <v>2</v>
      </c>
      <c r="H62" s="2">
        <v>3</v>
      </c>
      <c r="I62" s="2">
        <v>7</v>
      </c>
      <c r="J62" s="3" t="s">
        <v>748</v>
      </c>
      <c r="K62" s="2" t="s">
        <v>649</v>
      </c>
      <c r="L62" s="2" t="s">
        <v>690</v>
      </c>
      <c r="O62" s="132"/>
      <c r="X62" s="3"/>
      <c r="Y62" s="3"/>
      <c r="Z62" s="3"/>
      <c r="AA62" s="3" t="s">
        <v>639</v>
      </c>
      <c r="AB62" s="3" t="s">
        <v>746</v>
      </c>
      <c r="AC62" t="str">
        <f t="shared" si="1"/>
        <v>KhemriTomb Guardian</v>
      </c>
      <c r="AD62" s="123"/>
      <c r="AE62" s="1" t="s">
        <v>648</v>
      </c>
      <c r="AF62" s="1" t="s">
        <v>234</v>
      </c>
      <c r="AG62" s="1"/>
      <c r="AH62" s="124"/>
      <c r="AI62" s="1" t="s">
        <v>636</v>
      </c>
      <c r="AJ62" s="1" t="s">
        <v>649</v>
      </c>
      <c r="AK62" s="1"/>
      <c r="AL62" s="1" t="s">
        <v>650</v>
      </c>
      <c r="AM62" s="124"/>
    </row>
    <row r="63" spans="1:39" ht="15.75" customHeight="1">
      <c r="A63" s="3" t="s">
        <v>547</v>
      </c>
      <c r="B63" s="3" t="s">
        <v>69</v>
      </c>
      <c r="C63" s="120" t="str">
        <f t="shared" si="0"/>
        <v>LizardmanSaurus</v>
      </c>
      <c r="D63" s="120">
        <v>6</v>
      </c>
      <c r="E63" s="121">
        <v>80000</v>
      </c>
      <c r="F63" s="2">
        <v>6</v>
      </c>
      <c r="G63" s="2">
        <v>4</v>
      </c>
      <c r="H63" s="2">
        <v>1</v>
      </c>
      <c r="I63" s="2">
        <v>9</v>
      </c>
      <c r="K63" s="2" t="s">
        <v>656</v>
      </c>
      <c r="L63" s="2" t="s">
        <v>657</v>
      </c>
      <c r="O63" s="132"/>
      <c r="X63" s="3"/>
      <c r="Y63" s="3"/>
      <c r="Z63" s="3"/>
      <c r="AA63" s="3" t="s">
        <v>547</v>
      </c>
      <c r="AB63" s="3" t="s">
        <v>168</v>
      </c>
      <c r="AC63" t="str">
        <f t="shared" si="1"/>
        <v>LizardmanSkink</v>
      </c>
      <c r="AD63" s="123"/>
      <c r="AE63" s="1" t="s">
        <v>649</v>
      </c>
      <c r="AF63" s="1" t="s">
        <v>648</v>
      </c>
      <c r="AG63" s="1"/>
      <c r="AH63" s="124"/>
      <c r="AI63" s="1" t="s">
        <v>636</v>
      </c>
      <c r="AJ63" s="1"/>
      <c r="AK63" s="1" t="s">
        <v>234</v>
      </c>
      <c r="AL63" s="1" t="s">
        <v>650</v>
      </c>
      <c r="AM63" s="124"/>
    </row>
    <row r="64" spans="1:39" ht="15.75" customHeight="1">
      <c r="A64" s="3" t="s">
        <v>547</v>
      </c>
      <c r="B64" s="3" t="s">
        <v>183</v>
      </c>
      <c r="C64" s="120" t="str">
        <f t="shared" si="0"/>
        <v>LizardmanKroxigor</v>
      </c>
      <c r="D64" s="120">
        <v>1</v>
      </c>
      <c r="E64" s="121">
        <v>140000</v>
      </c>
      <c r="F64" s="2">
        <v>6</v>
      </c>
      <c r="G64" s="2">
        <v>5</v>
      </c>
      <c r="H64" s="2">
        <v>1</v>
      </c>
      <c r="I64" s="2">
        <v>9</v>
      </c>
      <c r="J64" s="3" t="s">
        <v>749</v>
      </c>
      <c r="K64" s="2" t="s">
        <v>234</v>
      </c>
      <c r="L64" s="2" t="s">
        <v>516</v>
      </c>
      <c r="O64" s="132"/>
      <c r="X64" s="3"/>
      <c r="Y64" s="3"/>
      <c r="Z64" s="3"/>
      <c r="AA64" s="3" t="s">
        <v>547</v>
      </c>
      <c r="AB64" s="3" t="s">
        <v>69</v>
      </c>
      <c r="AC64" t="str">
        <f t="shared" si="1"/>
        <v>LizardmanSaurus</v>
      </c>
      <c r="AD64" s="123" t="s">
        <v>636</v>
      </c>
      <c r="AE64" s="1"/>
      <c r="AF64" s="1" t="s">
        <v>234</v>
      </c>
      <c r="AG64" s="1"/>
      <c r="AH64" s="124"/>
      <c r="AI64" s="1"/>
      <c r="AJ64" s="1" t="s">
        <v>649</v>
      </c>
      <c r="AK64" s="1"/>
      <c r="AL64" s="1" t="s">
        <v>650</v>
      </c>
      <c r="AM64" s="124"/>
    </row>
    <row r="65" spans="1:39" ht="15.75" customHeight="1">
      <c r="A65" s="3" t="s">
        <v>27</v>
      </c>
      <c r="B65" s="3" t="s">
        <v>152</v>
      </c>
      <c r="C65" s="120" t="str">
        <f t="shared" si="0"/>
        <v>NecromanticZombie</v>
      </c>
      <c r="D65" s="120">
        <v>16</v>
      </c>
      <c r="E65" s="121">
        <v>40000</v>
      </c>
      <c r="F65" s="2">
        <v>4</v>
      </c>
      <c r="G65" s="2">
        <v>3</v>
      </c>
      <c r="H65" s="2">
        <v>2</v>
      </c>
      <c r="I65" s="2">
        <v>8</v>
      </c>
      <c r="J65" s="3" t="s">
        <v>287</v>
      </c>
      <c r="K65" s="2" t="s">
        <v>636</v>
      </c>
      <c r="L65" s="2" t="s">
        <v>637</v>
      </c>
      <c r="O65" s="132"/>
      <c r="X65" s="3"/>
      <c r="Y65" s="3"/>
      <c r="Z65" s="3"/>
      <c r="AA65" s="3" t="s">
        <v>547</v>
      </c>
      <c r="AB65" s="3" t="s">
        <v>183</v>
      </c>
      <c r="AC65" t="str">
        <f t="shared" si="1"/>
        <v>LizardmanKroxigor</v>
      </c>
      <c r="AD65" s="123"/>
      <c r="AE65" s="1" t="s">
        <v>648</v>
      </c>
      <c r="AF65" s="1" t="s">
        <v>234</v>
      </c>
      <c r="AG65" s="1"/>
      <c r="AH65" s="124"/>
      <c r="AI65" s="1" t="s">
        <v>636</v>
      </c>
      <c r="AJ65" s="1" t="s">
        <v>649</v>
      </c>
      <c r="AK65" s="1"/>
      <c r="AL65" s="1" t="s">
        <v>650</v>
      </c>
      <c r="AM65" s="124"/>
    </row>
    <row r="66" spans="1:39" ht="15.75" customHeight="1">
      <c r="A66" s="3" t="s">
        <v>27</v>
      </c>
      <c r="B66" s="3" t="s">
        <v>65</v>
      </c>
      <c r="C66" s="120" t="str">
        <f t="shared" si="0"/>
        <v>NecromanticGhoul</v>
      </c>
      <c r="D66" s="120">
        <v>2</v>
      </c>
      <c r="E66" s="121">
        <v>70000</v>
      </c>
      <c r="F66" s="2">
        <v>7</v>
      </c>
      <c r="G66" s="2">
        <v>3</v>
      </c>
      <c r="H66" s="2">
        <v>3</v>
      </c>
      <c r="I66" s="2">
        <v>7</v>
      </c>
      <c r="J66" s="3" t="s">
        <v>291</v>
      </c>
      <c r="K66" s="2" t="s">
        <v>513</v>
      </c>
      <c r="L66" s="2" t="s">
        <v>514</v>
      </c>
      <c r="O66" s="132"/>
      <c r="X66" s="3"/>
      <c r="Y66" s="3"/>
      <c r="Z66" s="3"/>
      <c r="AA66" s="3" t="s">
        <v>27</v>
      </c>
      <c r="AB66" s="3" t="s">
        <v>152</v>
      </c>
      <c r="AC66" t="str">
        <f t="shared" si="1"/>
        <v>NecromanticZombie</v>
      </c>
      <c r="AD66" s="123" t="s">
        <v>636</v>
      </c>
      <c r="AE66" s="1" t="s">
        <v>648</v>
      </c>
      <c r="AF66" s="1" t="s">
        <v>648</v>
      </c>
      <c r="AG66" s="1"/>
      <c r="AH66" s="124"/>
      <c r="AI66" s="1"/>
      <c r="AJ66" s="1" t="s">
        <v>649</v>
      </c>
      <c r="AK66" s="1" t="s">
        <v>234</v>
      </c>
      <c r="AL66" s="1" t="s">
        <v>650</v>
      </c>
      <c r="AM66" s="124"/>
    </row>
    <row r="67" spans="1:39" ht="15.75" customHeight="1">
      <c r="A67" s="3" t="s">
        <v>27</v>
      </c>
      <c r="B67" s="3" t="s">
        <v>199</v>
      </c>
      <c r="C67" s="120" t="str">
        <f t="shared" si="0"/>
        <v>NecromanticWight</v>
      </c>
      <c r="D67" s="120">
        <v>2</v>
      </c>
      <c r="E67" s="121">
        <v>90000</v>
      </c>
      <c r="F67" s="2">
        <v>6</v>
      </c>
      <c r="G67" s="2">
        <v>3</v>
      </c>
      <c r="H67" s="2">
        <v>3</v>
      </c>
      <c r="I67" s="2">
        <v>8</v>
      </c>
      <c r="J67" s="3" t="s">
        <v>745</v>
      </c>
      <c r="K67" s="2" t="s">
        <v>656</v>
      </c>
      <c r="L67" s="2" t="s">
        <v>657</v>
      </c>
      <c r="O67" s="132"/>
      <c r="X67" s="3"/>
      <c r="Y67" s="3"/>
      <c r="Z67" s="3"/>
      <c r="AA67" s="3" t="s">
        <v>27</v>
      </c>
      <c r="AB67" s="3" t="s">
        <v>65</v>
      </c>
      <c r="AC67" t="str">
        <f t="shared" si="1"/>
        <v>NecromanticGhoul</v>
      </c>
      <c r="AD67" s="123" t="s">
        <v>636</v>
      </c>
      <c r="AE67" s="1" t="s">
        <v>649</v>
      </c>
      <c r="AF67" s="1" t="s">
        <v>648</v>
      </c>
      <c r="AG67" s="1"/>
      <c r="AH67" s="124"/>
      <c r="AI67" s="1"/>
      <c r="AJ67" s="1"/>
      <c r="AK67" s="1" t="s">
        <v>234</v>
      </c>
      <c r="AL67" s="1" t="s">
        <v>650</v>
      </c>
      <c r="AM67" s="124"/>
    </row>
    <row r="68" spans="1:39" ht="15.75" customHeight="1">
      <c r="A68" s="3" t="s">
        <v>27</v>
      </c>
      <c r="B68" s="3" t="s">
        <v>326</v>
      </c>
      <c r="C68" s="120" t="str">
        <f t="shared" si="0"/>
        <v>NecromanticFlesh Golem</v>
      </c>
      <c r="D68" s="120">
        <v>2</v>
      </c>
      <c r="E68" s="121">
        <v>110000</v>
      </c>
      <c r="F68" s="2">
        <v>4</v>
      </c>
      <c r="G68" s="2">
        <v>4</v>
      </c>
      <c r="H68" s="2">
        <v>2</v>
      </c>
      <c r="I68" s="2">
        <v>9</v>
      </c>
      <c r="J68" s="3" t="s">
        <v>750</v>
      </c>
      <c r="K68" s="2" t="s">
        <v>656</v>
      </c>
      <c r="L68" s="2" t="s">
        <v>657</v>
      </c>
      <c r="O68" s="132"/>
      <c r="X68" s="3"/>
      <c r="Y68" s="3"/>
      <c r="Z68" s="3"/>
      <c r="AA68" s="3" t="s">
        <v>27</v>
      </c>
      <c r="AB68" s="3" t="s">
        <v>199</v>
      </c>
      <c r="AC68" t="str">
        <f t="shared" si="1"/>
        <v>NecromanticWight</v>
      </c>
      <c r="AD68" s="123" t="s">
        <v>636</v>
      </c>
      <c r="AE68" s="1"/>
      <c r="AF68" s="1" t="s">
        <v>234</v>
      </c>
      <c r="AG68" s="1"/>
      <c r="AH68" s="124"/>
      <c r="AI68" s="1"/>
      <c r="AJ68" s="1" t="s">
        <v>649</v>
      </c>
      <c r="AK68" s="1" t="s">
        <v>648</v>
      </c>
      <c r="AL68" s="1" t="s">
        <v>650</v>
      </c>
      <c r="AM68" s="124"/>
    </row>
    <row r="69" spans="1:39" ht="15.75" customHeight="1">
      <c r="A69" s="3" t="s">
        <v>27</v>
      </c>
      <c r="B69" s="3" t="s">
        <v>228</v>
      </c>
      <c r="C69" s="120" t="str">
        <f t="shared" si="0"/>
        <v>NecromanticWerewolf</v>
      </c>
      <c r="D69" s="120">
        <v>2</v>
      </c>
      <c r="E69" s="121">
        <v>120000</v>
      </c>
      <c r="F69" s="2">
        <v>8</v>
      </c>
      <c r="G69" s="2">
        <v>3</v>
      </c>
      <c r="H69" s="2">
        <v>3</v>
      </c>
      <c r="I69" s="2">
        <v>8</v>
      </c>
      <c r="J69" s="3" t="s">
        <v>751</v>
      </c>
      <c r="K69" s="2" t="s">
        <v>513</v>
      </c>
      <c r="L69" s="2" t="s">
        <v>514</v>
      </c>
      <c r="O69" s="132"/>
      <c r="X69" s="3"/>
      <c r="Y69" s="3"/>
      <c r="Z69" s="3"/>
      <c r="AA69" s="3" t="s">
        <v>27</v>
      </c>
      <c r="AB69" s="3" t="s">
        <v>326</v>
      </c>
      <c r="AC69" t="str">
        <f t="shared" si="1"/>
        <v>NecromanticFlesh Golem</v>
      </c>
      <c r="AD69" s="123" t="s">
        <v>636</v>
      </c>
      <c r="AE69" s="1"/>
      <c r="AF69" s="1" t="s">
        <v>234</v>
      </c>
      <c r="AG69" s="1"/>
      <c r="AH69" s="124"/>
      <c r="AI69" s="1"/>
      <c r="AJ69" s="1" t="s">
        <v>649</v>
      </c>
      <c r="AK69" s="1" t="s">
        <v>648</v>
      </c>
      <c r="AL69" s="1" t="s">
        <v>650</v>
      </c>
      <c r="AM69" s="124"/>
    </row>
    <row r="70" spans="1:39" ht="15.75" customHeight="1">
      <c r="A70" s="3" t="s">
        <v>693</v>
      </c>
      <c r="B70" s="3" t="s">
        <v>58</v>
      </c>
      <c r="C70" s="120" t="str">
        <f t="shared" si="0"/>
        <v>NorseLineman</v>
      </c>
      <c r="D70" s="120">
        <v>16</v>
      </c>
      <c r="E70" s="121">
        <v>50000</v>
      </c>
      <c r="F70" s="2">
        <v>6</v>
      </c>
      <c r="G70" s="2">
        <v>3</v>
      </c>
      <c r="H70" s="2">
        <v>3</v>
      </c>
      <c r="I70" s="2">
        <v>7</v>
      </c>
      <c r="J70" s="3" t="s">
        <v>277</v>
      </c>
      <c r="K70" s="2" t="s">
        <v>636</v>
      </c>
      <c r="L70" s="2" t="s">
        <v>637</v>
      </c>
      <c r="O70" s="132"/>
      <c r="X70" s="3"/>
      <c r="Y70" s="3"/>
      <c r="Z70" s="3"/>
      <c r="AA70" s="3" t="s">
        <v>27</v>
      </c>
      <c r="AB70" s="3" t="s">
        <v>228</v>
      </c>
      <c r="AC70" t="str">
        <f t="shared" si="1"/>
        <v>NecromanticWerewolf</v>
      </c>
      <c r="AD70" s="123" t="s">
        <v>636</v>
      </c>
      <c r="AE70" s="1" t="s">
        <v>649</v>
      </c>
      <c r="AF70" s="1" t="s">
        <v>648</v>
      </c>
      <c r="AG70" s="1"/>
      <c r="AH70" s="124"/>
      <c r="AI70" s="1"/>
      <c r="AJ70" s="1"/>
      <c r="AK70" s="1" t="s">
        <v>234</v>
      </c>
      <c r="AL70" s="1" t="s">
        <v>650</v>
      </c>
      <c r="AM70" s="124"/>
    </row>
    <row r="71" spans="1:39" ht="15.75" customHeight="1">
      <c r="A71" s="3" t="s">
        <v>693</v>
      </c>
      <c r="B71" s="3" t="s">
        <v>83</v>
      </c>
      <c r="C71" s="120" t="str">
        <f t="shared" si="0"/>
        <v>NorseThrower</v>
      </c>
      <c r="D71" s="120">
        <v>2</v>
      </c>
      <c r="E71" s="121">
        <v>70000</v>
      </c>
      <c r="F71" s="2">
        <v>6</v>
      </c>
      <c r="G71" s="2">
        <v>3</v>
      </c>
      <c r="H71" s="2">
        <v>3</v>
      </c>
      <c r="I71" s="2">
        <v>7</v>
      </c>
      <c r="J71" s="3" t="s">
        <v>752</v>
      </c>
      <c r="K71" s="2" t="s">
        <v>642</v>
      </c>
      <c r="L71" s="2" t="s">
        <v>643</v>
      </c>
      <c r="O71" s="132"/>
      <c r="X71" s="3"/>
      <c r="Y71" s="3"/>
      <c r="Z71" s="3"/>
      <c r="AA71" s="3" t="s">
        <v>693</v>
      </c>
      <c r="AB71" s="3" t="s">
        <v>58</v>
      </c>
      <c r="AC71" t="str">
        <f t="shared" si="1"/>
        <v>NorseLineman</v>
      </c>
      <c r="AD71" s="123" t="s">
        <v>636</v>
      </c>
      <c r="AE71" s="1" t="s">
        <v>648</v>
      </c>
      <c r="AF71" s="1" t="s">
        <v>648</v>
      </c>
      <c r="AG71" s="1"/>
      <c r="AH71" s="124"/>
      <c r="AI71" s="1"/>
      <c r="AJ71" s="1" t="s">
        <v>649</v>
      </c>
      <c r="AK71" s="1" t="s">
        <v>234</v>
      </c>
      <c r="AL71" s="1" t="s">
        <v>650</v>
      </c>
      <c r="AM71" s="124"/>
    </row>
    <row r="72" spans="1:39" ht="15.75" customHeight="1">
      <c r="A72" s="3" t="s">
        <v>693</v>
      </c>
      <c r="B72" s="3" t="s">
        <v>42</v>
      </c>
      <c r="C72" s="120" t="str">
        <f t="shared" si="0"/>
        <v>NorseCatcher</v>
      </c>
      <c r="D72" s="120">
        <v>2</v>
      </c>
      <c r="E72" s="121">
        <v>90000</v>
      </c>
      <c r="F72" s="2">
        <v>7</v>
      </c>
      <c r="G72" s="2">
        <v>3</v>
      </c>
      <c r="H72" s="2">
        <v>3</v>
      </c>
      <c r="I72" s="2">
        <v>7</v>
      </c>
      <c r="J72" s="3" t="s">
        <v>753</v>
      </c>
      <c r="K72" s="2" t="s">
        <v>513</v>
      </c>
      <c r="L72" s="2" t="s">
        <v>514</v>
      </c>
      <c r="O72" s="132"/>
      <c r="X72" s="3"/>
      <c r="Y72" s="3"/>
      <c r="Z72" s="3"/>
      <c r="AA72" s="3" t="s">
        <v>693</v>
      </c>
      <c r="AB72" s="3" t="s">
        <v>83</v>
      </c>
      <c r="AC72" t="str">
        <f t="shared" si="1"/>
        <v>NorseThrower</v>
      </c>
      <c r="AD72" s="123" t="s">
        <v>636</v>
      </c>
      <c r="AE72" s="1"/>
      <c r="AF72" s="1" t="s">
        <v>648</v>
      </c>
      <c r="AG72" s="1" t="s">
        <v>650</v>
      </c>
      <c r="AH72" s="124"/>
      <c r="AI72" s="1"/>
      <c r="AJ72" s="1" t="s">
        <v>649</v>
      </c>
      <c r="AK72" s="1" t="s">
        <v>234</v>
      </c>
      <c r="AL72" s="1"/>
      <c r="AM72" s="124"/>
    </row>
    <row r="73" spans="1:39" ht="15.75" customHeight="1">
      <c r="A73" s="3" t="s">
        <v>693</v>
      </c>
      <c r="B73" s="3" t="s">
        <v>49</v>
      </c>
      <c r="C73" s="120" t="str">
        <f t="shared" si="0"/>
        <v>NorseBlitzer</v>
      </c>
      <c r="D73" s="120">
        <v>2</v>
      </c>
      <c r="E73" s="121">
        <v>90000</v>
      </c>
      <c r="F73" s="2">
        <v>6</v>
      </c>
      <c r="G73" s="2">
        <v>3</v>
      </c>
      <c r="H73" s="2">
        <v>3</v>
      </c>
      <c r="I73" s="2">
        <v>7</v>
      </c>
      <c r="J73" s="3" t="s">
        <v>754</v>
      </c>
      <c r="K73" s="2" t="s">
        <v>656</v>
      </c>
      <c r="L73" s="2" t="s">
        <v>657</v>
      </c>
      <c r="O73" s="132"/>
      <c r="X73" s="3"/>
      <c r="Y73" s="3"/>
      <c r="Z73" s="3"/>
      <c r="AA73" s="3" t="s">
        <v>693</v>
      </c>
      <c r="AB73" s="3" t="s">
        <v>42</v>
      </c>
      <c r="AC73" t="str">
        <f t="shared" si="1"/>
        <v>NorseCatcher</v>
      </c>
      <c r="AD73" s="123" t="s">
        <v>636</v>
      </c>
      <c r="AE73" s="1" t="s">
        <v>649</v>
      </c>
      <c r="AF73" s="1" t="s">
        <v>648</v>
      </c>
      <c r="AG73" s="1"/>
      <c r="AH73" s="124"/>
      <c r="AI73" s="1"/>
      <c r="AJ73" s="1"/>
      <c r="AK73" s="1" t="s">
        <v>234</v>
      </c>
      <c r="AL73" s="1" t="s">
        <v>650</v>
      </c>
      <c r="AM73" s="124"/>
    </row>
    <row r="74" spans="1:39" ht="15.75" customHeight="1">
      <c r="A74" s="3" t="s">
        <v>693</v>
      </c>
      <c r="B74" s="3" t="s">
        <v>228</v>
      </c>
      <c r="C74" s="120" t="str">
        <f t="shared" si="0"/>
        <v>NorseWerewolf</v>
      </c>
      <c r="D74" s="120">
        <v>2</v>
      </c>
      <c r="E74" s="121">
        <v>110000</v>
      </c>
      <c r="F74" s="2">
        <v>6</v>
      </c>
      <c r="G74" s="2">
        <v>4</v>
      </c>
      <c r="H74" s="2">
        <v>2</v>
      </c>
      <c r="I74" s="2">
        <v>8</v>
      </c>
      <c r="J74" s="3" t="s">
        <v>519</v>
      </c>
      <c r="K74" s="2" t="s">
        <v>656</v>
      </c>
      <c r="L74" s="2" t="s">
        <v>657</v>
      </c>
      <c r="O74" s="132"/>
      <c r="X74" s="3"/>
      <c r="Y74" s="3"/>
      <c r="Z74" s="3"/>
      <c r="AA74" s="3" t="s">
        <v>693</v>
      </c>
      <c r="AB74" s="3" t="s">
        <v>49</v>
      </c>
      <c r="AC74" t="str">
        <f t="shared" si="1"/>
        <v>NorseBlitzer</v>
      </c>
      <c r="AD74" s="123" t="s">
        <v>636</v>
      </c>
      <c r="AE74" s="1"/>
      <c r="AF74" s="1" t="s">
        <v>234</v>
      </c>
      <c r="AG74" s="1"/>
      <c r="AH74" s="124"/>
      <c r="AI74" s="1"/>
      <c r="AJ74" s="1" t="s">
        <v>649</v>
      </c>
      <c r="AK74" s="1" t="s">
        <v>648</v>
      </c>
      <c r="AL74" s="1" t="s">
        <v>650</v>
      </c>
      <c r="AM74" s="124"/>
    </row>
    <row r="75" spans="1:39" ht="15.75" customHeight="1">
      <c r="A75" s="3" t="s">
        <v>693</v>
      </c>
      <c r="B75" s="3" t="s">
        <v>755</v>
      </c>
      <c r="C75" s="120" t="str">
        <f t="shared" si="0"/>
        <v>NorseYhetee</v>
      </c>
      <c r="D75" s="120">
        <v>1</v>
      </c>
      <c r="E75" s="121">
        <v>140000</v>
      </c>
      <c r="F75" s="2">
        <v>5</v>
      </c>
      <c r="G75" s="2">
        <v>5</v>
      </c>
      <c r="H75" s="2">
        <v>1</v>
      </c>
      <c r="I75" s="2">
        <v>8</v>
      </c>
      <c r="J75" s="3" t="s">
        <v>756</v>
      </c>
      <c r="K75" s="2" t="s">
        <v>234</v>
      </c>
      <c r="L75" s="2" t="s">
        <v>516</v>
      </c>
      <c r="O75" s="132"/>
      <c r="X75" s="3"/>
      <c r="Y75" s="3"/>
      <c r="Z75" s="3"/>
      <c r="AA75" s="3" t="s">
        <v>693</v>
      </c>
      <c r="AB75" s="3" t="s">
        <v>228</v>
      </c>
      <c r="AC75" t="str">
        <f t="shared" si="1"/>
        <v>NorseWerewolf</v>
      </c>
      <c r="AD75" s="123" t="s">
        <v>636</v>
      </c>
      <c r="AE75" s="1"/>
      <c r="AF75" s="1" t="s">
        <v>234</v>
      </c>
      <c r="AG75" s="1"/>
      <c r="AH75" s="124"/>
      <c r="AI75" s="1"/>
      <c r="AJ75" s="1" t="s">
        <v>649</v>
      </c>
      <c r="AK75" s="1" t="s">
        <v>648</v>
      </c>
      <c r="AL75" s="1" t="s">
        <v>650</v>
      </c>
      <c r="AM75" s="124"/>
    </row>
    <row r="76" spans="1:39" ht="15.75" customHeight="1">
      <c r="A76" s="3" t="s">
        <v>25</v>
      </c>
      <c r="B76" s="3" t="s">
        <v>123</v>
      </c>
      <c r="C76" s="120" t="str">
        <f t="shared" si="0"/>
        <v>NurgleRotter</v>
      </c>
      <c r="D76" s="120">
        <v>16</v>
      </c>
      <c r="E76" s="121">
        <v>40000</v>
      </c>
      <c r="F76" s="2">
        <v>5</v>
      </c>
      <c r="G76" s="2">
        <v>3</v>
      </c>
      <c r="H76" s="2">
        <v>3</v>
      </c>
      <c r="I76" s="2">
        <v>8</v>
      </c>
      <c r="J76" s="3" t="s">
        <v>757</v>
      </c>
      <c r="K76" s="2" t="s">
        <v>692</v>
      </c>
      <c r="L76" s="2" t="s">
        <v>637</v>
      </c>
      <c r="O76" s="132"/>
      <c r="X76" s="3"/>
      <c r="Y76" s="3"/>
      <c r="Z76" s="3"/>
      <c r="AA76" s="3" t="s">
        <v>693</v>
      </c>
      <c r="AB76" s="3" t="s">
        <v>755</v>
      </c>
      <c r="AC76" t="str">
        <f t="shared" si="1"/>
        <v>NorseYhetee</v>
      </c>
      <c r="AD76" s="123"/>
      <c r="AE76" s="1" t="s">
        <v>648</v>
      </c>
      <c r="AF76" s="1" t="s">
        <v>234</v>
      </c>
      <c r="AG76" s="1"/>
      <c r="AH76" s="124"/>
      <c r="AI76" s="1" t="s">
        <v>636</v>
      </c>
      <c r="AJ76" s="1" t="s">
        <v>649</v>
      </c>
      <c r="AK76" s="1"/>
      <c r="AL76" s="1" t="s">
        <v>650</v>
      </c>
      <c r="AM76" s="124"/>
    </row>
    <row r="77" spans="1:39" ht="15.75" customHeight="1">
      <c r="A77" s="3" t="s">
        <v>25</v>
      </c>
      <c r="B77" s="3" t="s">
        <v>113</v>
      </c>
      <c r="C77" s="120" t="str">
        <f t="shared" si="0"/>
        <v>NurglePestigor</v>
      </c>
      <c r="D77" s="120">
        <v>4</v>
      </c>
      <c r="E77" s="121">
        <v>80000</v>
      </c>
      <c r="F77" s="2">
        <v>6</v>
      </c>
      <c r="G77" s="2">
        <v>3</v>
      </c>
      <c r="H77" s="2">
        <v>3</v>
      </c>
      <c r="I77" s="2">
        <v>8</v>
      </c>
      <c r="J77" s="3" t="s">
        <v>758</v>
      </c>
      <c r="K77" s="2" t="s">
        <v>671</v>
      </c>
      <c r="L77" s="2" t="s">
        <v>657</v>
      </c>
      <c r="O77" s="132"/>
      <c r="X77" s="3"/>
      <c r="Y77" s="3"/>
      <c r="Z77" s="3"/>
      <c r="AA77" s="3" t="s">
        <v>25</v>
      </c>
      <c r="AB77" s="3" t="s">
        <v>123</v>
      </c>
      <c r="AC77" t="str">
        <f t="shared" si="1"/>
        <v>NurgleRotter</v>
      </c>
      <c r="AD77" s="123" t="s">
        <v>636</v>
      </c>
      <c r="AE77" s="1"/>
      <c r="AF77" s="1" t="s">
        <v>648</v>
      </c>
      <c r="AG77" s="1"/>
      <c r="AH77" s="124" t="s">
        <v>232</v>
      </c>
      <c r="AI77" s="1"/>
      <c r="AJ77" s="1" t="s">
        <v>649</v>
      </c>
      <c r="AK77" s="1" t="s">
        <v>234</v>
      </c>
      <c r="AL77" s="1" t="s">
        <v>650</v>
      </c>
      <c r="AM77" s="124"/>
    </row>
    <row r="78" spans="1:39" ht="15.75" customHeight="1">
      <c r="A78" s="3" t="s">
        <v>25</v>
      </c>
      <c r="B78" s="3" t="s">
        <v>544</v>
      </c>
      <c r="C78" s="120" t="str">
        <f t="shared" si="0"/>
        <v>NurgleWarrior</v>
      </c>
      <c r="D78" s="120">
        <v>4</v>
      </c>
      <c r="E78" s="121">
        <v>110000</v>
      </c>
      <c r="F78" s="2">
        <v>4</v>
      </c>
      <c r="G78" s="2">
        <v>4</v>
      </c>
      <c r="H78" s="2">
        <v>2</v>
      </c>
      <c r="I78" s="2">
        <v>9</v>
      </c>
      <c r="J78" s="3" t="s">
        <v>759</v>
      </c>
      <c r="K78" s="2" t="s">
        <v>671</v>
      </c>
      <c r="L78" s="2" t="s">
        <v>657</v>
      </c>
      <c r="O78" s="132"/>
      <c r="X78" s="3"/>
      <c r="Y78" s="3"/>
      <c r="Z78" s="3"/>
      <c r="AA78" s="3" t="s">
        <v>25</v>
      </c>
      <c r="AB78" s="3" t="s">
        <v>113</v>
      </c>
      <c r="AC78" t="str">
        <f t="shared" si="1"/>
        <v>NurglePestigor</v>
      </c>
      <c r="AD78" s="123" t="s">
        <v>636</v>
      </c>
      <c r="AE78" s="1"/>
      <c r="AF78" s="1" t="s">
        <v>234</v>
      </c>
      <c r="AG78" s="1"/>
      <c r="AH78" s="124" t="s">
        <v>232</v>
      </c>
      <c r="AI78" s="1"/>
      <c r="AJ78" s="1" t="s">
        <v>649</v>
      </c>
      <c r="AK78" s="1" t="s">
        <v>648</v>
      </c>
      <c r="AL78" s="1" t="s">
        <v>650</v>
      </c>
      <c r="AM78" s="124"/>
    </row>
    <row r="79" spans="1:39" ht="15.75" customHeight="1">
      <c r="A79" s="3" t="s">
        <v>25</v>
      </c>
      <c r="B79" s="3" t="s">
        <v>539</v>
      </c>
      <c r="C79" s="120" t="str">
        <f t="shared" si="0"/>
        <v>NurgleBeast</v>
      </c>
      <c r="D79" s="120">
        <v>1</v>
      </c>
      <c r="E79" s="121">
        <v>140000</v>
      </c>
      <c r="F79" s="2">
        <v>4</v>
      </c>
      <c r="G79" s="2">
        <v>5</v>
      </c>
      <c r="H79" s="2">
        <v>1</v>
      </c>
      <c r="I79" s="2">
        <v>9</v>
      </c>
      <c r="J79" s="3" t="s">
        <v>760</v>
      </c>
      <c r="K79" s="2" t="s">
        <v>234</v>
      </c>
      <c r="L79" s="2" t="s">
        <v>686</v>
      </c>
      <c r="O79" s="132"/>
      <c r="X79" s="3"/>
      <c r="Y79" s="3"/>
      <c r="Z79" s="3"/>
      <c r="AA79" s="3" t="s">
        <v>25</v>
      </c>
      <c r="AB79" s="3" t="s">
        <v>544</v>
      </c>
      <c r="AC79" t="str">
        <f t="shared" si="1"/>
        <v>NurgleWarrior</v>
      </c>
      <c r="AD79" s="123" t="s">
        <v>636</v>
      </c>
      <c r="AE79" s="1"/>
      <c r="AF79" s="1" t="s">
        <v>234</v>
      </c>
      <c r="AG79" s="1"/>
      <c r="AH79" s="124" t="s">
        <v>232</v>
      </c>
      <c r="AI79" s="1"/>
      <c r="AJ79" s="1" t="s">
        <v>649</v>
      </c>
      <c r="AK79" s="1" t="s">
        <v>648</v>
      </c>
      <c r="AL79" s="1" t="s">
        <v>650</v>
      </c>
      <c r="AM79" s="124"/>
    </row>
    <row r="80" spans="1:39" ht="15.75" customHeight="1">
      <c r="A80" s="3" t="s">
        <v>77</v>
      </c>
      <c r="B80" s="3" t="s">
        <v>761</v>
      </c>
      <c r="C80" s="120" t="str">
        <f t="shared" si="0"/>
        <v>OgreSnotling</v>
      </c>
      <c r="D80" s="120">
        <v>16</v>
      </c>
      <c r="E80" s="121">
        <v>20000</v>
      </c>
      <c r="F80" s="2">
        <v>5</v>
      </c>
      <c r="G80" s="2">
        <v>1</v>
      </c>
      <c r="H80" s="2">
        <v>3</v>
      </c>
      <c r="I80" s="2">
        <v>5</v>
      </c>
      <c r="J80" s="3" t="s">
        <v>762</v>
      </c>
      <c r="K80" s="2" t="s">
        <v>649</v>
      </c>
      <c r="L80" s="2" t="s">
        <v>690</v>
      </c>
      <c r="O80" s="132"/>
      <c r="X80" s="3"/>
      <c r="Y80" s="3"/>
      <c r="Z80" s="3"/>
      <c r="AA80" s="3" t="s">
        <v>25</v>
      </c>
      <c r="AB80" s="3" t="s">
        <v>539</v>
      </c>
      <c r="AC80" t="str">
        <f t="shared" si="1"/>
        <v>NurgleBeast</v>
      </c>
      <c r="AD80" s="123"/>
      <c r="AE80" s="1" t="s">
        <v>648</v>
      </c>
      <c r="AF80" s="1" t="s">
        <v>234</v>
      </c>
      <c r="AG80" s="1"/>
      <c r="AH80" s="124"/>
      <c r="AI80" s="1" t="s">
        <v>636</v>
      </c>
      <c r="AJ80" s="1" t="s">
        <v>649</v>
      </c>
      <c r="AK80" s="1"/>
      <c r="AL80" s="1" t="s">
        <v>650</v>
      </c>
      <c r="AM80" s="124"/>
    </row>
    <row r="81" spans="1:39" ht="15.75" customHeight="1">
      <c r="A81" s="3" t="s">
        <v>77</v>
      </c>
      <c r="B81" s="3" t="s">
        <v>77</v>
      </c>
      <c r="C81" s="120" t="str">
        <f t="shared" si="0"/>
        <v>OgreOgre</v>
      </c>
      <c r="D81" s="120">
        <v>6</v>
      </c>
      <c r="E81" s="121">
        <v>140000</v>
      </c>
      <c r="F81" s="2">
        <v>5</v>
      </c>
      <c r="G81" s="2">
        <v>5</v>
      </c>
      <c r="H81" s="2">
        <v>2</v>
      </c>
      <c r="I81" s="2">
        <v>9</v>
      </c>
      <c r="J81" s="3" t="s">
        <v>763</v>
      </c>
      <c r="K81" s="2" t="s">
        <v>234</v>
      </c>
      <c r="L81" s="2" t="s">
        <v>516</v>
      </c>
      <c r="O81" s="132"/>
      <c r="X81" s="3"/>
      <c r="Y81" s="3"/>
      <c r="Z81" s="3"/>
      <c r="AA81" s="3" t="s">
        <v>77</v>
      </c>
      <c r="AB81" s="3" t="s">
        <v>761</v>
      </c>
      <c r="AC81" t="str">
        <f t="shared" si="1"/>
        <v>OgreSnotling</v>
      </c>
      <c r="AD81" s="123"/>
      <c r="AE81" s="1" t="s">
        <v>649</v>
      </c>
      <c r="AF81" s="1" t="s">
        <v>648</v>
      </c>
      <c r="AG81" s="1"/>
      <c r="AH81" s="124"/>
      <c r="AI81" s="1" t="s">
        <v>636</v>
      </c>
      <c r="AJ81" s="1"/>
      <c r="AK81" s="1" t="s">
        <v>234</v>
      </c>
      <c r="AL81" s="1" t="s">
        <v>650</v>
      </c>
      <c r="AM81" s="124"/>
    </row>
    <row r="82" spans="1:39" ht="15.75" customHeight="1">
      <c r="A82" s="3" t="s">
        <v>5</v>
      </c>
      <c r="B82" s="3" t="s">
        <v>58</v>
      </c>
      <c r="C82" s="120" t="str">
        <f t="shared" si="0"/>
        <v>OrcLineman</v>
      </c>
      <c r="D82" s="120">
        <v>16</v>
      </c>
      <c r="E82" s="121">
        <v>50000</v>
      </c>
      <c r="F82" s="2">
        <v>5</v>
      </c>
      <c r="G82" s="2">
        <v>3</v>
      </c>
      <c r="H82" s="2">
        <v>3</v>
      </c>
      <c r="I82" s="2">
        <v>9</v>
      </c>
      <c r="K82" s="2" t="s">
        <v>636</v>
      </c>
      <c r="L82" s="2" t="s">
        <v>637</v>
      </c>
      <c r="O82" s="132"/>
      <c r="X82" s="3"/>
      <c r="Y82" s="3"/>
      <c r="Z82" s="3"/>
      <c r="AA82" s="3" t="s">
        <v>77</v>
      </c>
      <c r="AB82" s="3" t="s">
        <v>77</v>
      </c>
      <c r="AC82" t="str">
        <f t="shared" si="1"/>
        <v>OgreOgre</v>
      </c>
      <c r="AD82" s="123"/>
      <c r="AE82" s="1" t="s">
        <v>648</v>
      </c>
      <c r="AF82" s="1" t="s">
        <v>234</v>
      </c>
      <c r="AG82" s="1"/>
      <c r="AH82" s="124"/>
      <c r="AI82" s="1" t="s">
        <v>636</v>
      </c>
      <c r="AJ82" s="1" t="s">
        <v>649</v>
      </c>
      <c r="AK82" s="1"/>
      <c r="AL82" s="1" t="s">
        <v>650</v>
      </c>
      <c r="AM82" s="124"/>
    </row>
    <row r="83" spans="1:39" ht="15.75" customHeight="1">
      <c r="A83" s="3" t="s">
        <v>5</v>
      </c>
      <c r="B83" s="3" t="s">
        <v>46</v>
      </c>
      <c r="C83" s="120" t="str">
        <f t="shared" si="0"/>
        <v>OrcGoblin</v>
      </c>
      <c r="D83" s="120">
        <v>4</v>
      </c>
      <c r="E83" s="121">
        <v>40000</v>
      </c>
      <c r="F83" s="2">
        <v>6</v>
      </c>
      <c r="G83" s="2">
        <v>2</v>
      </c>
      <c r="H83" s="2">
        <v>3</v>
      </c>
      <c r="I83" s="2">
        <v>7</v>
      </c>
      <c r="J83" s="3" t="s">
        <v>452</v>
      </c>
      <c r="K83" s="2" t="s">
        <v>649</v>
      </c>
      <c r="L83" s="2" t="s">
        <v>690</v>
      </c>
      <c r="O83" s="132"/>
      <c r="X83" s="3"/>
      <c r="Y83" s="3"/>
      <c r="Z83" s="3"/>
      <c r="AA83" s="3" t="s">
        <v>5</v>
      </c>
      <c r="AB83" s="3" t="s">
        <v>58</v>
      </c>
      <c r="AC83" t="str">
        <f t="shared" si="1"/>
        <v>OrcLineman</v>
      </c>
      <c r="AD83" s="123" t="s">
        <v>636</v>
      </c>
      <c r="AE83" s="1" t="s">
        <v>648</v>
      </c>
      <c r="AF83" s="1" t="s">
        <v>648</v>
      </c>
      <c r="AG83" s="1"/>
      <c r="AH83" s="124"/>
      <c r="AI83" s="1"/>
      <c r="AJ83" s="1" t="s">
        <v>649</v>
      </c>
      <c r="AK83" s="1" t="s">
        <v>234</v>
      </c>
      <c r="AL83" s="1" t="s">
        <v>650</v>
      </c>
      <c r="AM83" s="124"/>
    </row>
    <row r="84" spans="1:39" ht="15.75" customHeight="1">
      <c r="A84" s="3" t="s">
        <v>5</v>
      </c>
      <c r="B84" s="3" t="s">
        <v>83</v>
      </c>
      <c r="C84" s="120" t="str">
        <f t="shared" si="0"/>
        <v>OrcThrower</v>
      </c>
      <c r="D84" s="120">
        <v>2</v>
      </c>
      <c r="E84" s="121">
        <v>70000</v>
      </c>
      <c r="F84" s="2">
        <v>5</v>
      </c>
      <c r="G84" s="2">
        <v>3</v>
      </c>
      <c r="H84" s="2">
        <v>3</v>
      </c>
      <c r="I84" s="2">
        <v>8</v>
      </c>
      <c r="J84" s="3" t="s">
        <v>416</v>
      </c>
      <c r="K84" s="2" t="s">
        <v>514</v>
      </c>
      <c r="L84" s="2" t="s">
        <v>643</v>
      </c>
      <c r="O84" s="132"/>
      <c r="X84" s="3"/>
      <c r="Y84" s="3"/>
      <c r="Z84" s="3"/>
      <c r="AA84" s="3" t="s">
        <v>5</v>
      </c>
      <c r="AB84" s="3" t="s">
        <v>46</v>
      </c>
      <c r="AC84" t="str">
        <f t="shared" si="1"/>
        <v>OrcGoblin</v>
      </c>
      <c r="AD84" s="123"/>
      <c r="AE84" s="1" t="s">
        <v>649</v>
      </c>
      <c r="AF84" s="1" t="s">
        <v>648</v>
      </c>
      <c r="AG84" s="1"/>
      <c r="AH84" s="124"/>
      <c r="AI84" s="1" t="s">
        <v>636</v>
      </c>
      <c r="AJ84" s="1"/>
      <c r="AK84" s="1" t="s">
        <v>234</v>
      </c>
      <c r="AL84" s="1" t="s">
        <v>650</v>
      </c>
      <c r="AM84" s="124"/>
    </row>
    <row r="85" spans="1:39" ht="15.75" customHeight="1">
      <c r="A85" s="3" t="s">
        <v>5</v>
      </c>
      <c r="B85" s="3" t="s">
        <v>788</v>
      </c>
      <c r="C85" s="120" t="str">
        <f t="shared" si="0"/>
        <v>OrcBlack Orc Blocker</v>
      </c>
      <c r="D85" s="120">
        <v>4</v>
      </c>
      <c r="E85" s="121">
        <v>80000</v>
      </c>
      <c r="F85" s="2">
        <v>4</v>
      </c>
      <c r="G85" s="2">
        <v>4</v>
      </c>
      <c r="H85" s="2">
        <v>2</v>
      </c>
      <c r="I85" s="2">
        <v>9</v>
      </c>
      <c r="K85" s="2" t="s">
        <v>656</v>
      </c>
      <c r="L85" s="2" t="s">
        <v>657</v>
      </c>
      <c r="O85" s="132"/>
      <c r="X85" s="3"/>
      <c r="Y85" s="3"/>
      <c r="Z85" s="3"/>
      <c r="AA85" s="3" t="s">
        <v>5</v>
      </c>
      <c r="AB85" s="3" t="s">
        <v>83</v>
      </c>
      <c r="AC85" t="str">
        <f t="shared" si="1"/>
        <v>OrcThrower</v>
      </c>
      <c r="AD85" s="123"/>
      <c r="AE85" s="1"/>
      <c r="AF85" s="1" t="s">
        <v>234</v>
      </c>
      <c r="AG85" s="1" t="s">
        <v>650</v>
      </c>
      <c r="AH85" s="124"/>
      <c r="AI85" s="1"/>
      <c r="AJ85" s="1" t="s">
        <v>649</v>
      </c>
      <c r="AK85" s="1" t="s">
        <v>234</v>
      </c>
      <c r="AL85" s="1"/>
      <c r="AM85" s="124"/>
    </row>
    <row r="86" spans="1:39" ht="15.75" customHeight="1">
      <c r="A86" s="3" t="s">
        <v>5</v>
      </c>
      <c r="B86" s="3" t="s">
        <v>49</v>
      </c>
      <c r="C86" s="120" t="str">
        <f t="shared" si="0"/>
        <v>OrcBlitzer</v>
      </c>
      <c r="D86" s="120">
        <v>4</v>
      </c>
      <c r="E86" s="121">
        <v>80000</v>
      </c>
      <c r="F86" s="2">
        <v>6</v>
      </c>
      <c r="G86" s="2">
        <v>3</v>
      </c>
      <c r="H86" s="2">
        <v>3</v>
      </c>
      <c r="I86" s="2">
        <v>9</v>
      </c>
      <c r="J86" s="3" t="s">
        <v>277</v>
      </c>
      <c r="K86" s="2" t="s">
        <v>656</v>
      </c>
      <c r="L86" s="2" t="s">
        <v>657</v>
      </c>
      <c r="O86" s="132"/>
      <c r="X86" s="3"/>
      <c r="Y86" s="3"/>
      <c r="Z86" s="3"/>
      <c r="AA86" s="3" t="s">
        <v>5</v>
      </c>
      <c r="AB86" s="3" t="s">
        <v>442</v>
      </c>
      <c r="AC86" t="str">
        <f t="shared" si="1"/>
        <v>OrcBlack Orc</v>
      </c>
      <c r="AD86" s="123" t="s">
        <v>636</v>
      </c>
      <c r="AE86" s="1"/>
      <c r="AF86" s="1" t="s">
        <v>234</v>
      </c>
      <c r="AG86" s="1"/>
      <c r="AH86" s="124"/>
      <c r="AI86" s="1"/>
      <c r="AJ86" s="1" t="s">
        <v>649</v>
      </c>
      <c r="AK86" s="1" t="s">
        <v>648</v>
      </c>
      <c r="AL86" s="1" t="s">
        <v>650</v>
      </c>
      <c r="AM86" s="124"/>
    </row>
    <row r="87" spans="1:39" ht="15.75" customHeight="1">
      <c r="A87" s="3" t="s">
        <v>5</v>
      </c>
      <c r="B87" s="3" t="s">
        <v>132</v>
      </c>
      <c r="C87" s="120" t="str">
        <f t="shared" si="0"/>
        <v>OrcTroll</v>
      </c>
      <c r="D87" s="120">
        <v>1</v>
      </c>
      <c r="E87" s="121">
        <v>110000</v>
      </c>
      <c r="F87" s="2">
        <v>4</v>
      </c>
      <c r="G87" s="2">
        <v>5</v>
      </c>
      <c r="H87" s="2">
        <v>1</v>
      </c>
      <c r="I87" s="2">
        <v>9</v>
      </c>
      <c r="J87" s="3" t="s">
        <v>697</v>
      </c>
      <c r="K87" s="2" t="s">
        <v>234</v>
      </c>
      <c r="L87" s="2" t="s">
        <v>516</v>
      </c>
      <c r="O87" s="132"/>
      <c r="X87" s="3"/>
      <c r="Y87" s="3"/>
      <c r="Z87" s="3"/>
      <c r="AA87" s="3" t="s">
        <v>5</v>
      </c>
      <c r="AB87" s="3" t="s">
        <v>49</v>
      </c>
      <c r="AC87" t="str">
        <f t="shared" si="1"/>
        <v>OrcBlitzer</v>
      </c>
      <c r="AD87" s="123" t="s">
        <v>636</v>
      </c>
      <c r="AE87" s="1"/>
      <c r="AF87" s="1" t="s">
        <v>234</v>
      </c>
      <c r="AG87" s="1"/>
      <c r="AH87" s="124"/>
      <c r="AI87" s="1"/>
      <c r="AJ87" s="1" t="s">
        <v>649</v>
      </c>
      <c r="AK87" s="1" t="s">
        <v>648</v>
      </c>
      <c r="AL87" s="1" t="s">
        <v>650</v>
      </c>
      <c r="AM87" s="124"/>
    </row>
    <row r="88" spans="1:39" ht="15.75" customHeight="1">
      <c r="A88" s="3" t="s">
        <v>29</v>
      </c>
      <c r="B88" s="3" t="s">
        <v>128</v>
      </c>
      <c r="C88" s="120" t="str">
        <f t="shared" si="0"/>
        <v>SimyinBonobo</v>
      </c>
      <c r="D88" s="120">
        <v>12</v>
      </c>
      <c r="E88" s="121">
        <v>50000</v>
      </c>
      <c r="F88" s="2">
        <v>6</v>
      </c>
      <c r="G88" s="2">
        <v>3</v>
      </c>
      <c r="H88" s="2">
        <v>3</v>
      </c>
      <c r="I88" s="2">
        <v>7</v>
      </c>
      <c r="J88" s="3" t="s">
        <v>614</v>
      </c>
      <c r="K88" s="2" t="s">
        <v>636</v>
      </c>
      <c r="L88" s="2" t="s">
        <v>637</v>
      </c>
      <c r="O88" s="132"/>
      <c r="X88" s="3"/>
      <c r="Y88" s="3"/>
      <c r="Z88" s="3"/>
      <c r="AA88" s="3" t="s">
        <v>5</v>
      </c>
      <c r="AB88" s="3" t="s">
        <v>132</v>
      </c>
      <c r="AC88" t="str">
        <f t="shared" si="1"/>
        <v>OrcTroll</v>
      </c>
      <c r="AD88" s="123"/>
      <c r="AE88" s="1" t="s">
        <v>648</v>
      </c>
      <c r="AF88" s="1" t="s">
        <v>234</v>
      </c>
      <c r="AG88" s="1"/>
      <c r="AH88" s="124"/>
      <c r="AI88" s="1" t="s">
        <v>636</v>
      </c>
      <c r="AJ88" s="1" t="s">
        <v>649</v>
      </c>
      <c r="AK88" s="1"/>
      <c r="AL88" s="1" t="s">
        <v>650</v>
      </c>
      <c r="AM88" s="124"/>
    </row>
    <row r="89" spans="1:39" ht="15.75" customHeight="1">
      <c r="A89" s="3" t="s">
        <v>29</v>
      </c>
      <c r="B89" s="3" t="s">
        <v>216</v>
      </c>
      <c r="C89" s="120" t="str">
        <f t="shared" si="0"/>
        <v>SimyinOrangutan</v>
      </c>
      <c r="D89" s="120">
        <v>2</v>
      </c>
      <c r="E89" s="121">
        <v>70000</v>
      </c>
      <c r="F89" s="2">
        <v>5</v>
      </c>
      <c r="G89" s="2">
        <v>3</v>
      </c>
      <c r="H89" s="2">
        <v>3</v>
      </c>
      <c r="I89" s="2">
        <v>8</v>
      </c>
      <c r="J89" s="3" t="s">
        <v>764</v>
      </c>
      <c r="K89" s="2" t="s">
        <v>642</v>
      </c>
      <c r="L89" s="2" t="s">
        <v>643</v>
      </c>
      <c r="O89" s="132"/>
      <c r="X89" s="3"/>
      <c r="Y89" s="3"/>
      <c r="Z89" s="3"/>
      <c r="AA89" s="3" t="s">
        <v>29</v>
      </c>
      <c r="AB89" s="3" t="s">
        <v>128</v>
      </c>
      <c r="AC89" t="str">
        <f t="shared" si="1"/>
        <v>SimyinBonobo</v>
      </c>
      <c r="AD89" s="123" t="s">
        <v>636</v>
      </c>
      <c r="AE89" s="1" t="s">
        <v>648</v>
      </c>
      <c r="AF89" s="1" t="s">
        <v>648</v>
      </c>
      <c r="AG89" s="1"/>
      <c r="AH89" s="124"/>
      <c r="AI89" s="1"/>
      <c r="AJ89" s="1" t="s">
        <v>649</v>
      </c>
      <c r="AK89" s="1" t="s">
        <v>234</v>
      </c>
      <c r="AL89" s="1" t="s">
        <v>650</v>
      </c>
      <c r="AM89" s="124"/>
    </row>
    <row r="90" spans="1:39" ht="15.75" customHeight="1">
      <c r="A90" s="3" t="s">
        <v>29</v>
      </c>
      <c r="B90" s="3" t="s">
        <v>139</v>
      </c>
      <c r="C90" s="120" t="str">
        <f t="shared" si="0"/>
        <v>SimyinChimpanzee</v>
      </c>
      <c r="D90" s="120">
        <v>2</v>
      </c>
      <c r="E90" s="121">
        <v>80000</v>
      </c>
      <c r="F90" s="2">
        <v>7</v>
      </c>
      <c r="G90" s="2">
        <v>3</v>
      </c>
      <c r="H90" s="2">
        <v>3</v>
      </c>
      <c r="I90" s="2">
        <v>7</v>
      </c>
      <c r="J90" s="3" t="s">
        <v>765</v>
      </c>
      <c r="K90" s="2" t="s">
        <v>513</v>
      </c>
      <c r="L90" s="2" t="s">
        <v>514</v>
      </c>
      <c r="O90" s="132"/>
      <c r="X90" s="3"/>
      <c r="Y90" s="3"/>
      <c r="Z90" s="3"/>
      <c r="AA90" s="3" t="s">
        <v>29</v>
      </c>
      <c r="AB90" s="3" t="s">
        <v>216</v>
      </c>
      <c r="AC90" t="str">
        <f t="shared" si="1"/>
        <v>SimyinOrangutan</v>
      </c>
      <c r="AD90" s="123" t="s">
        <v>636</v>
      </c>
      <c r="AE90" s="1"/>
      <c r="AF90" s="1"/>
      <c r="AG90" s="1" t="s">
        <v>650</v>
      </c>
      <c r="AH90" s="124"/>
      <c r="AI90" s="1"/>
      <c r="AJ90" s="1" t="s">
        <v>649</v>
      </c>
      <c r="AK90" s="1" t="s">
        <v>234</v>
      </c>
      <c r="AL90" s="1"/>
      <c r="AM90" s="124"/>
    </row>
    <row r="91" spans="1:39" ht="15.75" customHeight="1">
      <c r="A91" s="3" t="s">
        <v>29</v>
      </c>
      <c r="B91" s="3" t="s">
        <v>141</v>
      </c>
      <c r="C91" s="120" t="str">
        <f t="shared" si="0"/>
        <v>SimyinGorilla</v>
      </c>
      <c r="D91" s="120">
        <v>4</v>
      </c>
      <c r="E91" s="121">
        <v>100000</v>
      </c>
      <c r="F91" s="2">
        <v>5</v>
      </c>
      <c r="G91" s="2">
        <v>4</v>
      </c>
      <c r="H91" s="2">
        <v>2</v>
      </c>
      <c r="I91" s="2">
        <v>8</v>
      </c>
      <c r="J91" s="3" t="s">
        <v>766</v>
      </c>
      <c r="K91" s="2" t="s">
        <v>643</v>
      </c>
      <c r="L91" s="2" t="s">
        <v>514</v>
      </c>
      <c r="O91" s="132"/>
      <c r="X91" s="3"/>
      <c r="Y91" s="3"/>
      <c r="Z91" s="3"/>
      <c r="AA91" s="3" t="s">
        <v>29</v>
      </c>
      <c r="AB91" s="3" t="s">
        <v>139</v>
      </c>
      <c r="AC91" t="str">
        <f t="shared" si="1"/>
        <v>SimyinChimpanzee</v>
      </c>
      <c r="AD91" s="123" t="s">
        <v>636</v>
      </c>
      <c r="AE91" s="1" t="s">
        <v>649</v>
      </c>
      <c r="AF91" s="1" t="s">
        <v>648</v>
      </c>
      <c r="AG91" s="1"/>
      <c r="AH91" s="124"/>
      <c r="AI91" s="1"/>
      <c r="AJ91" s="1"/>
      <c r="AK91" s="1" t="s">
        <v>234</v>
      </c>
      <c r="AL91" s="1" t="s">
        <v>650</v>
      </c>
      <c r="AM91" s="124"/>
    </row>
    <row r="92" spans="1:39" ht="15.75" customHeight="1">
      <c r="A92" s="3" t="s">
        <v>29</v>
      </c>
      <c r="B92" s="3" t="s">
        <v>144</v>
      </c>
      <c r="C92" s="120" t="str">
        <f t="shared" si="0"/>
        <v>SimyinSilverback</v>
      </c>
      <c r="D92" s="120">
        <v>1</v>
      </c>
      <c r="E92" s="121">
        <v>140000</v>
      </c>
      <c r="F92" s="2">
        <v>5</v>
      </c>
      <c r="G92" s="2">
        <v>5</v>
      </c>
      <c r="H92" s="2">
        <v>1</v>
      </c>
      <c r="I92" s="2">
        <v>9</v>
      </c>
      <c r="J92" s="3" t="s">
        <v>767</v>
      </c>
      <c r="K92" s="2" t="s">
        <v>234</v>
      </c>
      <c r="L92" s="2" t="s">
        <v>516</v>
      </c>
      <c r="O92" s="132"/>
      <c r="X92" s="3"/>
      <c r="Y92" s="3"/>
      <c r="Z92" s="3"/>
      <c r="AA92" s="3" t="s">
        <v>29</v>
      </c>
      <c r="AB92" s="3" t="s">
        <v>141</v>
      </c>
      <c r="AC92" t="str">
        <f t="shared" si="1"/>
        <v>SimyinGorilla</v>
      </c>
      <c r="AD92" s="123"/>
      <c r="AE92" s="1" t="s">
        <v>649</v>
      </c>
      <c r="AF92" s="1" t="s">
        <v>234</v>
      </c>
      <c r="AG92" s="1"/>
      <c r="AH92" s="124"/>
      <c r="AI92" s="1"/>
      <c r="AJ92" s="1"/>
      <c r="AK92" s="1" t="s">
        <v>234</v>
      </c>
      <c r="AL92" s="1" t="s">
        <v>650</v>
      </c>
      <c r="AM92" s="124"/>
    </row>
    <row r="93" spans="1:39" ht="15.75" customHeight="1">
      <c r="A93" s="3" t="s">
        <v>2</v>
      </c>
      <c r="B93" s="3" t="s">
        <v>58</v>
      </c>
      <c r="C93" s="120" t="str">
        <f t="shared" si="0"/>
        <v>SkavenLineman</v>
      </c>
      <c r="D93" s="120">
        <v>16</v>
      </c>
      <c r="E93" s="121">
        <v>50000</v>
      </c>
      <c r="F93" s="2">
        <v>7</v>
      </c>
      <c r="G93" s="2">
        <v>3</v>
      </c>
      <c r="H93" s="2">
        <v>3</v>
      </c>
      <c r="I93" s="2">
        <v>7</v>
      </c>
      <c r="K93" s="2" t="s">
        <v>636</v>
      </c>
      <c r="L93" s="2" t="s">
        <v>768</v>
      </c>
      <c r="O93" s="132"/>
      <c r="X93" s="3"/>
      <c r="Y93" s="3"/>
      <c r="Z93" s="3"/>
      <c r="AA93" s="3" t="s">
        <v>29</v>
      </c>
      <c r="AB93" s="3" t="s">
        <v>144</v>
      </c>
      <c r="AC93" t="str">
        <f t="shared" si="1"/>
        <v>SimyinSilverback</v>
      </c>
      <c r="AD93" s="123"/>
      <c r="AE93" s="1" t="s">
        <v>648</v>
      </c>
      <c r="AF93" s="1" t="s">
        <v>234</v>
      </c>
      <c r="AG93" s="1"/>
      <c r="AH93" s="124"/>
      <c r="AI93" s="1" t="s">
        <v>636</v>
      </c>
      <c r="AJ93" s="1" t="s">
        <v>649</v>
      </c>
      <c r="AK93" s="1"/>
      <c r="AL93" s="1" t="s">
        <v>650</v>
      </c>
      <c r="AM93" s="124"/>
    </row>
    <row r="94" spans="1:39" ht="15.75" customHeight="1">
      <c r="A94" s="3" t="s">
        <v>2</v>
      </c>
      <c r="B94" s="3" t="s">
        <v>83</v>
      </c>
      <c r="C94" s="120" t="str">
        <f t="shared" si="0"/>
        <v>SkavenThrower</v>
      </c>
      <c r="D94" s="120">
        <v>2</v>
      </c>
      <c r="E94" s="121">
        <v>70000</v>
      </c>
      <c r="F94" s="2">
        <v>7</v>
      </c>
      <c r="G94" s="2">
        <v>3</v>
      </c>
      <c r="H94" s="2">
        <v>3</v>
      </c>
      <c r="I94" s="2">
        <v>7</v>
      </c>
      <c r="J94" s="3" t="s">
        <v>738</v>
      </c>
      <c r="K94" s="2" t="s">
        <v>642</v>
      </c>
      <c r="L94" s="2" t="s">
        <v>769</v>
      </c>
      <c r="O94" s="132"/>
      <c r="X94" s="3"/>
      <c r="Y94" s="3"/>
      <c r="Z94" s="3"/>
      <c r="AA94" s="3" t="s">
        <v>2</v>
      </c>
      <c r="AB94" s="3" t="s">
        <v>58</v>
      </c>
      <c r="AC94" t="str">
        <f t="shared" si="1"/>
        <v>SkavenLineman</v>
      </c>
      <c r="AD94" s="123" t="s">
        <v>636</v>
      </c>
      <c r="AE94" s="1" t="s">
        <v>648</v>
      </c>
      <c r="AF94" s="1" t="s">
        <v>648</v>
      </c>
      <c r="AG94" s="1"/>
      <c r="AH94" s="124"/>
      <c r="AI94" s="1"/>
      <c r="AJ94" s="1" t="s">
        <v>649</v>
      </c>
      <c r="AK94" s="1" t="s">
        <v>234</v>
      </c>
      <c r="AL94" s="1" t="s">
        <v>650</v>
      </c>
      <c r="AM94" s="124"/>
    </row>
    <row r="95" spans="1:39" ht="15.75" customHeight="1">
      <c r="A95" s="3" t="s">
        <v>2</v>
      </c>
      <c r="B95" s="3" t="s">
        <v>37</v>
      </c>
      <c r="C95" s="120" t="str">
        <f t="shared" si="0"/>
        <v>SkavenGutter Runner</v>
      </c>
      <c r="D95" s="120">
        <v>4</v>
      </c>
      <c r="E95" s="121">
        <v>80000</v>
      </c>
      <c r="F95" s="2">
        <v>9</v>
      </c>
      <c r="G95" s="2">
        <v>2</v>
      </c>
      <c r="H95" s="2">
        <v>4</v>
      </c>
      <c r="I95" s="2">
        <v>7</v>
      </c>
      <c r="J95" s="3" t="s">
        <v>419</v>
      </c>
      <c r="K95" s="2" t="s">
        <v>513</v>
      </c>
      <c r="L95" s="2" t="s">
        <v>770</v>
      </c>
      <c r="O95" s="132"/>
      <c r="X95" s="3"/>
      <c r="Y95" s="3"/>
      <c r="Z95" s="3"/>
      <c r="AA95" s="3" t="s">
        <v>2</v>
      </c>
      <c r="AB95" s="3" t="s">
        <v>83</v>
      </c>
      <c r="AC95" t="str">
        <f t="shared" si="1"/>
        <v>SkavenThrower</v>
      </c>
      <c r="AD95" s="123" t="s">
        <v>636</v>
      </c>
      <c r="AE95" s="1"/>
      <c r="AF95" s="1" t="s">
        <v>648</v>
      </c>
      <c r="AG95" s="1" t="s">
        <v>650</v>
      </c>
      <c r="AH95" s="124"/>
      <c r="AI95" s="1"/>
      <c r="AJ95" s="1" t="s">
        <v>649</v>
      </c>
      <c r="AK95" s="1" t="s">
        <v>234</v>
      </c>
      <c r="AL95" s="1"/>
      <c r="AM95" s="124" t="s">
        <v>232</v>
      </c>
    </row>
    <row r="96" spans="1:39" ht="15.75" customHeight="1">
      <c r="A96" s="3" t="s">
        <v>2</v>
      </c>
      <c r="B96" s="3" t="s">
        <v>49</v>
      </c>
      <c r="C96" s="120" t="str">
        <f t="shared" si="0"/>
        <v>SkavenBlitzer</v>
      </c>
      <c r="D96" s="120">
        <v>2</v>
      </c>
      <c r="E96" s="121">
        <v>90000</v>
      </c>
      <c r="F96" s="2">
        <v>7</v>
      </c>
      <c r="G96" s="2">
        <v>3</v>
      </c>
      <c r="H96" s="2">
        <v>3</v>
      </c>
      <c r="I96" s="2">
        <v>8</v>
      </c>
      <c r="J96" s="3" t="s">
        <v>277</v>
      </c>
      <c r="K96" s="2" t="s">
        <v>656</v>
      </c>
      <c r="L96" s="2" t="s">
        <v>683</v>
      </c>
      <c r="O96" s="132"/>
      <c r="X96" s="3"/>
      <c r="Y96" s="3"/>
      <c r="Z96" s="3"/>
      <c r="AA96" s="3" t="s">
        <v>2</v>
      </c>
      <c r="AB96" s="3" t="s">
        <v>37</v>
      </c>
      <c r="AC96" t="str">
        <f t="shared" si="1"/>
        <v>SkavenGutter Runner</v>
      </c>
      <c r="AD96" s="123" t="s">
        <v>636</v>
      </c>
      <c r="AE96" s="1" t="s">
        <v>649</v>
      </c>
      <c r="AF96" s="1" t="s">
        <v>648</v>
      </c>
      <c r="AG96" s="1"/>
      <c r="AH96" s="124"/>
      <c r="AI96" s="1"/>
      <c r="AJ96" s="1"/>
      <c r="AK96" s="1" t="s">
        <v>234</v>
      </c>
      <c r="AL96" s="1" t="s">
        <v>650</v>
      </c>
      <c r="AM96" s="124" t="s">
        <v>232</v>
      </c>
    </row>
    <row r="97" spans="1:39" ht="15.75" customHeight="1">
      <c r="A97" s="3" t="s">
        <v>2</v>
      </c>
      <c r="B97" s="3" t="s">
        <v>44</v>
      </c>
      <c r="C97" s="120" t="str">
        <f t="shared" si="0"/>
        <v>SkavenRat Ogre</v>
      </c>
      <c r="D97" s="120">
        <v>1</v>
      </c>
      <c r="E97" s="121">
        <v>150000</v>
      </c>
      <c r="F97" s="2">
        <v>6</v>
      </c>
      <c r="G97" s="2">
        <v>5</v>
      </c>
      <c r="H97" s="2">
        <v>2</v>
      </c>
      <c r="I97" s="2">
        <v>8</v>
      </c>
      <c r="J97" s="3" t="s">
        <v>771</v>
      </c>
      <c r="K97" s="2" t="s">
        <v>234</v>
      </c>
      <c r="L97" s="2" t="s">
        <v>686</v>
      </c>
      <c r="O97" s="132"/>
      <c r="X97" s="3"/>
      <c r="Y97" s="3"/>
      <c r="Z97" s="3"/>
      <c r="AA97" s="3" t="s">
        <v>2</v>
      </c>
      <c r="AB97" s="3" t="s">
        <v>49</v>
      </c>
      <c r="AC97" t="str">
        <f t="shared" si="1"/>
        <v>SkavenBlitzer</v>
      </c>
      <c r="AD97" s="123" t="s">
        <v>636</v>
      </c>
      <c r="AE97" s="1"/>
      <c r="AF97" s="1" t="s">
        <v>234</v>
      </c>
      <c r="AG97" s="1"/>
      <c r="AH97" s="124"/>
      <c r="AI97" s="1"/>
      <c r="AJ97" s="1" t="s">
        <v>649</v>
      </c>
      <c r="AK97" s="1"/>
      <c r="AL97" s="1" t="s">
        <v>650</v>
      </c>
      <c r="AM97" s="124" t="s">
        <v>232</v>
      </c>
    </row>
    <row r="98" spans="1:39" ht="15.75" customHeight="1">
      <c r="A98" s="111" t="s">
        <v>707</v>
      </c>
      <c r="B98" s="111" t="s">
        <v>58</v>
      </c>
      <c r="C98" s="120" t="str">
        <f t="shared" si="0"/>
        <v>SlannLineman</v>
      </c>
      <c r="D98" s="3">
        <v>16</v>
      </c>
      <c r="E98" s="121">
        <v>60000</v>
      </c>
      <c r="F98" s="2">
        <v>6</v>
      </c>
      <c r="G98" s="2">
        <v>3</v>
      </c>
      <c r="H98" s="2">
        <v>3</v>
      </c>
      <c r="I98" s="2">
        <v>8</v>
      </c>
      <c r="J98" s="3" t="s">
        <v>772</v>
      </c>
      <c r="K98" s="1" t="s">
        <v>636</v>
      </c>
      <c r="L98" s="1" t="s">
        <v>637</v>
      </c>
      <c r="O98" s="132"/>
      <c r="X98" s="3"/>
      <c r="Y98" s="3"/>
      <c r="Z98" s="3"/>
      <c r="AA98" s="3" t="s">
        <v>2</v>
      </c>
      <c r="AB98" s="3" t="s">
        <v>44</v>
      </c>
      <c r="AC98" t="str">
        <f t="shared" si="1"/>
        <v>SkavenRat Ogre</v>
      </c>
      <c r="AD98" s="123"/>
      <c r="AE98" s="1" t="s">
        <v>648</v>
      </c>
      <c r="AF98" s="1" t="s">
        <v>234</v>
      </c>
      <c r="AG98" s="1"/>
      <c r="AH98" s="124"/>
      <c r="AI98" s="1" t="s">
        <v>636</v>
      </c>
      <c r="AJ98" s="1" t="s">
        <v>649</v>
      </c>
      <c r="AK98" s="1"/>
      <c r="AL98" s="1" t="s">
        <v>650</v>
      </c>
      <c r="AM98" s="124"/>
    </row>
    <row r="99" spans="1:39" ht="15.75" customHeight="1">
      <c r="A99" s="111" t="s">
        <v>707</v>
      </c>
      <c r="B99" s="111" t="s">
        <v>42</v>
      </c>
      <c r="C99" s="120" t="str">
        <f t="shared" si="0"/>
        <v>SlannCatcher</v>
      </c>
      <c r="D99" s="3">
        <v>4</v>
      </c>
      <c r="E99" s="121">
        <v>80000</v>
      </c>
      <c r="F99" s="2">
        <v>7</v>
      </c>
      <c r="G99" s="2">
        <v>2</v>
      </c>
      <c r="H99" s="2">
        <v>4</v>
      </c>
      <c r="I99" s="2">
        <v>7</v>
      </c>
      <c r="J99" s="3" t="s">
        <v>773</v>
      </c>
      <c r="K99" s="1" t="s">
        <v>513</v>
      </c>
      <c r="L99" s="1" t="s">
        <v>514</v>
      </c>
      <c r="O99" s="132"/>
      <c r="X99" s="111"/>
      <c r="Y99" s="111"/>
      <c r="Z99" s="111"/>
      <c r="AA99" s="111" t="s">
        <v>707</v>
      </c>
      <c r="AB99" s="111" t="s">
        <v>58</v>
      </c>
      <c r="AC99" t="str">
        <f t="shared" si="1"/>
        <v>SlannLineman</v>
      </c>
      <c r="AD99" s="123" t="s">
        <v>636</v>
      </c>
      <c r="AE99" s="1"/>
      <c r="AF99" s="1"/>
      <c r="AG99" s="1"/>
      <c r="AH99" s="124"/>
      <c r="AI99" s="1"/>
      <c r="AJ99" s="1" t="s">
        <v>649</v>
      </c>
      <c r="AK99" s="1" t="s">
        <v>234</v>
      </c>
      <c r="AL99" s="1" t="s">
        <v>650</v>
      </c>
      <c r="AM99" s="124"/>
    </row>
    <row r="100" spans="1:39" ht="15.75" customHeight="1">
      <c r="A100" s="111" t="s">
        <v>707</v>
      </c>
      <c r="B100" s="111" t="s">
        <v>49</v>
      </c>
      <c r="C100" s="120" t="str">
        <f t="shared" si="0"/>
        <v>SlannBlitzer</v>
      </c>
      <c r="D100" s="3">
        <v>4</v>
      </c>
      <c r="E100" s="121">
        <v>110000</v>
      </c>
      <c r="F100" s="2">
        <v>7</v>
      </c>
      <c r="G100" s="2">
        <v>3</v>
      </c>
      <c r="H100" s="2">
        <v>3</v>
      </c>
      <c r="I100" s="2">
        <v>8</v>
      </c>
      <c r="J100" s="3" t="s">
        <v>774</v>
      </c>
      <c r="K100" s="1" t="s">
        <v>706</v>
      </c>
      <c r="L100" s="1" t="s">
        <v>650</v>
      </c>
      <c r="O100" s="132"/>
      <c r="X100" s="111"/>
      <c r="Y100" s="111"/>
      <c r="Z100" s="111"/>
      <c r="AA100" s="111" t="s">
        <v>707</v>
      </c>
      <c r="AB100" s="111" t="s">
        <v>42</v>
      </c>
      <c r="AC100" t="str">
        <f t="shared" si="1"/>
        <v>SlannCatcher</v>
      </c>
      <c r="AD100" s="123" t="s">
        <v>636</v>
      </c>
      <c r="AE100" s="1" t="s">
        <v>649</v>
      </c>
      <c r="AF100" s="1"/>
      <c r="AG100" s="1"/>
      <c r="AH100" s="124"/>
      <c r="AI100" s="1"/>
      <c r="AJ100" s="1"/>
      <c r="AK100" s="1" t="s">
        <v>234</v>
      </c>
      <c r="AL100" s="1" t="s">
        <v>650</v>
      </c>
      <c r="AM100" s="124"/>
    </row>
    <row r="101" spans="1:39" ht="15.75" customHeight="1">
      <c r="A101" s="111" t="s">
        <v>707</v>
      </c>
      <c r="B101" s="111" t="s">
        <v>183</v>
      </c>
      <c r="C101" s="120" t="str">
        <f t="shared" si="0"/>
        <v>SlannKroxigor</v>
      </c>
      <c r="D101" s="3">
        <v>1</v>
      </c>
      <c r="E101" s="121">
        <v>140000</v>
      </c>
      <c r="F101" s="2">
        <v>6</v>
      </c>
      <c r="G101" s="2">
        <v>5</v>
      </c>
      <c r="H101" s="2">
        <v>1</v>
      </c>
      <c r="I101" s="2">
        <v>9</v>
      </c>
      <c r="J101" s="3" t="s">
        <v>775</v>
      </c>
      <c r="K101" s="1" t="s">
        <v>234</v>
      </c>
      <c r="L101" s="1" t="s">
        <v>516</v>
      </c>
      <c r="O101" s="132"/>
      <c r="X101" s="111"/>
      <c r="Y101" s="111"/>
      <c r="Z101" s="111"/>
      <c r="AA101" s="111" t="s">
        <v>707</v>
      </c>
      <c r="AB101" s="111" t="s">
        <v>49</v>
      </c>
      <c r="AC101" t="str">
        <f t="shared" si="1"/>
        <v>SlannBlitzer</v>
      </c>
      <c r="AD101" s="123" t="s">
        <v>636</v>
      </c>
      <c r="AE101" s="1" t="s">
        <v>649</v>
      </c>
      <c r="AF101" s="1" t="s">
        <v>234</v>
      </c>
      <c r="AG101" s="1"/>
      <c r="AH101" s="124"/>
      <c r="AI101" s="1"/>
      <c r="AJ101" s="1"/>
      <c r="AK101" s="1"/>
      <c r="AL101" s="1" t="s">
        <v>650</v>
      </c>
      <c r="AM101" s="124"/>
    </row>
    <row r="102" spans="1:39" ht="15.75" customHeight="1">
      <c r="A102" s="111" t="s">
        <v>12</v>
      </c>
      <c r="B102" s="111" t="s">
        <v>740</v>
      </c>
      <c r="C102" s="120" t="str">
        <f t="shared" si="0"/>
        <v>UndeadSkeleton</v>
      </c>
      <c r="D102" s="133">
        <v>16</v>
      </c>
      <c r="E102" s="122">
        <v>40000</v>
      </c>
      <c r="F102" s="110">
        <v>5</v>
      </c>
      <c r="G102" s="110">
        <v>3</v>
      </c>
      <c r="H102" s="134">
        <v>2</v>
      </c>
      <c r="I102" s="134">
        <v>7</v>
      </c>
      <c r="J102" s="111" t="s">
        <v>741</v>
      </c>
      <c r="K102" s="110" t="s">
        <v>636</v>
      </c>
      <c r="L102" s="110" t="s">
        <v>637</v>
      </c>
      <c r="O102" s="132"/>
      <c r="X102" s="111"/>
      <c r="Y102" s="111"/>
      <c r="Z102" s="111"/>
      <c r="AA102" s="111" t="s">
        <v>707</v>
      </c>
      <c r="AB102" s="111" t="s">
        <v>183</v>
      </c>
      <c r="AC102" t="str">
        <f t="shared" si="1"/>
        <v>SlannKroxigor</v>
      </c>
      <c r="AD102" s="123"/>
      <c r="AE102" s="1"/>
      <c r="AF102" s="1" t="s">
        <v>234</v>
      </c>
      <c r="AG102" s="1"/>
      <c r="AH102" s="124"/>
      <c r="AI102" s="1" t="s">
        <v>636</v>
      </c>
      <c r="AJ102" s="1" t="s">
        <v>649</v>
      </c>
      <c r="AK102" s="1"/>
      <c r="AL102" s="1" t="s">
        <v>650</v>
      </c>
      <c r="AM102" s="124"/>
    </row>
    <row r="103" spans="1:39" ht="15.75" customHeight="1">
      <c r="A103" s="111" t="s">
        <v>12</v>
      </c>
      <c r="B103" s="3" t="s">
        <v>152</v>
      </c>
      <c r="C103" s="120" t="str">
        <f t="shared" si="0"/>
        <v>UndeadZombie</v>
      </c>
      <c r="D103" s="120">
        <v>16</v>
      </c>
      <c r="E103" s="121">
        <v>40000</v>
      </c>
      <c r="F103" s="2">
        <v>4</v>
      </c>
      <c r="G103" s="2">
        <v>3</v>
      </c>
      <c r="H103" s="2">
        <v>2</v>
      </c>
      <c r="I103" s="2">
        <v>8</v>
      </c>
      <c r="J103" s="3" t="s">
        <v>287</v>
      </c>
      <c r="K103" s="2" t="s">
        <v>636</v>
      </c>
      <c r="L103" s="2" t="s">
        <v>637</v>
      </c>
      <c r="O103" s="132"/>
      <c r="X103" s="111"/>
      <c r="Y103" s="111"/>
      <c r="Z103" s="111"/>
      <c r="AA103" s="111" t="s">
        <v>12</v>
      </c>
      <c r="AB103" s="111" t="s">
        <v>740</v>
      </c>
      <c r="AC103" t="str">
        <f t="shared" si="1"/>
        <v>UndeadSkeleton</v>
      </c>
      <c r="AD103" s="123" t="s">
        <v>636</v>
      </c>
      <c r="AE103" s="1" t="s">
        <v>648</v>
      </c>
      <c r="AF103" s="1" t="s">
        <v>648</v>
      </c>
      <c r="AG103" s="1"/>
      <c r="AH103" s="124"/>
      <c r="AI103" s="1"/>
      <c r="AJ103" s="1" t="s">
        <v>649</v>
      </c>
      <c r="AK103" s="1" t="s">
        <v>234</v>
      </c>
      <c r="AL103" s="1" t="s">
        <v>650</v>
      </c>
      <c r="AM103" s="124"/>
    </row>
    <row r="104" spans="1:39" ht="15.75" customHeight="1">
      <c r="A104" s="111" t="s">
        <v>12</v>
      </c>
      <c r="B104" s="3" t="s">
        <v>65</v>
      </c>
      <c r="C104" s="120" t="str">
        <f t="shared" si="0"/>
        <v>UndeadGhoul</v>
      </c>
      <c r="D104" s="120">
        <v>4</v>
      </c>
      <c r="E104" s="121">
        <v>70000</v>
      </c>
      <c r="F104" s="2">
        <v>7</v>
      </c>
      <c r="G104" s="2">
        <v>3</v>
      </c>
      <c r="H104" s="2">
        <v>3</v>
      </c>
      <c r="I104" s="2">
        <v>7</v>
      </c>
      <c r="J104" s="3" t="s">
        <v>291</v>
      </c>
      <c r="K104" s="2" t="s">
        <v>513</v>
      </c>
      <c r="L104" s="2" t="s">
        <v>514</v>
      </c>
      <c r="O104" s="132"/>
      <c r="X104" s="111"/>
      <c r="Y104" s="111"/>
      <c r="Z104" s="111"/>
      <c r="AA104" s="111" t="s">
        <v>12</v>
      </c>
      <c r="AB104" s="3" t="s">
        <v>152</v>
      </c>
      <c r="AC104" t="str">
        <f t="shared" si="1"/>
        <v>UndeadZombie</v>
      </c>
      <c r="AD104" s="123" t="s">
        <v>636</v>
      </c>
      <c r="AE104" s="1" t="s">
        <v>648</v>
      </c>
      <c r="AF104" s="1" t="s">
        <v>648</v>
      </c>
      <c r="AG104" s="1"/>
      <c r="AH104" s="124"/>
      <c r="AI104" s="1"/>
      <c r="AJ104" s="1" t="s">
        <v>649</v>
      </c>
      <c r="AK104" s="1" t="s">
        <v>234</v>
      </c>
      <c r="AL104" s="1" t="s">
        <v>650</v>
      </c>
      <c r="AM104" s="124"/>
    </row>
    <row r="105" spans="1:39" ht="15.75" customHeight="1">
      <c r="A105" s="111" t="s">
        <v>12</v>
      </c>
      <c r="B105" s="3" t="s">
        <v>199</v>
      </c>
      <c r="C105" s="120" t="str">
        <f t="shared" si="0"/>
        <v>UndeadWight</v>
      </c>
      <c r="D105" s="120">
        <v>2</v>
      </c>
      <c r="E105" s="121">
        <v>90000</v>
      </c>
      <c r="F105" s="2">
        <v>6</v>
      </c>
      <c r="G105" s="2">
        <v>3</v>
      </c>
      <c r="H105" s="2">
        <v>3</v>
      </c>
      <c r="I105" s="2">
        <v>8</v>
      </c>
      <c r="J105" s="3" t="s">
        <v>745</v>
      </c>
      <c r="K105" s="2" t="s">
        <v>656</v>
      </c>
      <c r="L105" s="2" t="s">
        <v>657</v>
      </c>
      <c r="O105" s="132"/>
      <c r="X105" s="111"/>
      <c r="Y105" s="111"/>
      <c r="Z105" s="111"/>
      <c r="AA105" s="111" t="s">
        <v>12</v>
      </c>
      <c r="AB105" s="3" t="s">
        <v>65</v>
      </c>
      <c r="AC105" t="str">
        <f t="shared" si="1"/>
        <v>UndeadGhoul</v>
      </c>
      <c r="AD105" s="123" t="s">
        <v>636</v>
      </c>
      <c r="AE105" s="1" t="s">
        <v>649</v>
      </c>
      <c r="AF105" s="1" t="s">
        <v>648</v>
      </c>
      <c r="AG105" s="1"/>
      <c r="AH105" s="124"/>
      <c r="AI105" s="1"/>
      <c r="AJ105" s="1"/>
      <c r="AK105" s="1" t="s">
        <v>234</v>
      </c>
      <c r="AL105" s="1" t="s">
        <v>650</v>
      </c>
      <c r="AM105" s="124"/>
    </row>
    <row r="106" spans="1:39" ht="15.75" customHeight="1">
      <c r="A106" s="111" t="s">
        <v>12</v>
      </c>
      <c r="B106" s="3" t="s">
        <v>54</v>
      </c>
      <c r="C106" s="120" t="str">
        <f t="shared" si="0"/>
        <v>UndeadMummy</v>
      </c>
      <c r="D106" s="120">
        <v>2</v>
      </c>
      <c r="E106" s="121">
        <v>120000</v>
      </c>
      <c r="F106" s="2">
        <v>3</v>
      </c>
      <c r="G106" s="2">
        <v>5</v>
      </c>
      <c r="H106" s="2">
        <v>1</v>
      </c>
      <c r="I106" s="2">
        <v>9</v>
      </c>
      <c r="J106" s="3" t="s">
        <v>776</v>
      </c>
      <c r="K106" s="2" t="s">
        <v>234</v>
      </c>
      <c r="L106" s="2" t="s">
        <v>516</v>
      </c>
      <c r="O106" s="132"/>
      <c r="X106" s="111"/>
      <c r="Y106" s="111"/>
      <c r="Z106" s="111"/>
      <c r="AA106" s="111" t="s">
        <v>12</v>
      </c>
      <c r="AB106" s="3" t="s">
        <v>199</v>
      </c>
      <c r="AC106" t="str">
        <f t="shared" si="1"/>
        <v>UndeadWight</v>
      </c>
      <c r="AD106" s="123" t="s">
        <v>636</v>
      </c>
      <c r="AE106" s="1"/>
      <c r="AF106" s="1" t="s">
        <v>234</v>
      </c>
      <c r="AG106" s="1"/>
      <c r="AH106" s="124"/>
      <c r="AI106" s="1"/>
      <c r="AJ106" s="1" t="s">
        <v>649</v>
      </c>
      <c r="AK106" s="1"/>
      <c r="AL106" s="1" t="s">
        <v>650</v>
      </c>
      <c r="AM106" s="124"/>
    </row>
    <row r="107" spans="1:39" ht="15.75" customHeight="1">
      <c r="A107" s="111" t="s">
        <v>713</v>
      </c>
      <c r="B107" s="111" t="s">
        <v>46</v>
      </c>
      <c r="C107" s="120" t="str">
        <f t="shared" si="0"/>
        <v>UnderworldGoblin</v>
      </c>
      <c r="D107" s="3">
        <v>12</v>
      </c>
      <c r="E107" s="121">
        <v>40000</v>
      </c>
      <c r="F107" s="2">
        <v>6</v>
      </c>
      <c r="G107" s="2">
        <v>2</v>
      </c>
      <c r="H107" s="2">
        <v>3</v>
      </c>
      <c r="I107" s="2">
        <v>7</v>
      </c>
      <c r="J107" s="3" t="s">
        <v>452</v>
      </c>
      <c r="K107" s="1" t="s">
        <v>689</v>
      </c>
      <c r="L107" s="129" t="s">
        <v>690</v>
      </c>
      <c r="O107" s="132"/>
      <c r="X107" s="111"/>
      <c r="Y107" s="111"/>
      <c r="Z107" s="111"/>
      <c r="AA107" s="111" t="s">
        <v>12</v>
      </c>
      <c r="AB107" s="3" t="s">
        <v>54</v>
      </c>
      <c r="AC107" t="str">
        <f t="shared" si="1"/>
        <v>UndeadMummy</v>
      </c>
      <c r="AD107" s="123"/>
      <c r="AE107" s="1" t="s">
        <v>648</v>
      </c>
      <c r="AF107" s="1" t="s">
        <v>234</v>
      </c>
      <c r="AG107" s="1"/>
      <c r="AH107" s="124"/>
      <c r="AI107" s="1" t="s">
        <v>636</v>
      </c>
      <c r="AJ107" s="1" t="s">
        <v>649</v>
      </c>
      <c r="AK107" s="1"/>
      <c r="AL107" s="1" t="s">
        <v>650</v>
      </c>
      <c r="AM107" s="124"/>
    </row>
    <row r="108" spans="1:39" ht="15.75" customHeight="1">
      <c r="A108" s="111" t="s">
        <v>713</v>
      </c>
      <c r="B108" s="111" t="s">
        <v>777</v>
      </c>
      <c r="C108" s="120" t="str">
        <f t="shared" si="0"/>
        <v>UnderworldSkaven Lineman</v>
      </c>
      <c r="D108" s="3">
        <v>2</v>
      </c>
      <c r="E108" s="121">
        <v>50000</v>
      </c>
      <c r="F108" s="2">
        <v>7</v>
      </c>
      <c r="G108" s="2">
        <v>3</v>
      </c>
      <c r="H108" s="2">
        <v>3</v>
      </c>
      <c r="I108" s="2">
        <v>7</v>
      </c>
      <c r="J108" s="3" t="s">
        <v>646</v>
      </c>
      <c r="K108" s="129" t="s">
        <v>692</v>
      </c>
      <c r="L108" s="129" t="s">
        <v>637</v>
      </c>
      <c r="O108" s="132"/>
      <c r="X108" s="111"/>
      <c r="Y108" s="111"/>
      <c r="Z108" s="111"/>
      <c r="AA108" s="111" t="s">
        <v>713</v>
      </c>
      <c r="AB108" s="111" t="s">
        <v>46</v>
      </c>
      <c r="AC108" t="str">
        <f t="shared" si="1"/>
        <v>UnderworldGoblin</v>
      </c>
      <c r="AD108" s="123"/>
      <c r="AE108" s="2" t="s">
        <v>649</v>
      </c>
      <c r="AF108" s="1"/>
      <c r="AG108" s="1"/>
      <c r="AH108" s="131" t="s">
        <v>232</v>
      </c>
      <c r="AI108" s="2" t="s">
        <v>636</v>
      </c>
      <c r="AJ108" s="1"/>
      <c r="AK108" s="2" t="s">
        <v>234</v>
      </c>
      <c r="AL108" s="2" t="s">
        <v>650</v>
      </c>
      <c r="AM108" s="124"/>
    </row>
    <row r="109" spans="1:39" ht="15.75" customHeight="1">
      <c r="A109" s="111" t="s">
        <v>713</v>
      </c>
      <c r="B109" s="111" t="s">
        <v>778</v>
      </c>
      <c r="C109" s="120" t="str">
        <f t="shared" si="0"/>
        <v>UnderworldSkaven Thrower</v>
      </c>
      <c r="D109" s="3">
        <v>2</v>
      </c>
      <c r="E109" s="121">
        <v>70000</v>
      </c>
      <c r="F109" s="2">
        <v>7</v>
      </c>
      <c r="G109" s="2">
        <v>3</v>
      </c>
      <c r="H109" s="2">
        <v>3</v>
      </c>
      <c r="I109" s="2">
        <v>7</v>
      </c>
      <c r="J109" s="3" t="s">
        <v>779</v>
      </c>
      <c r="K109" s="129" t="s">
        <v>780</v>
      </c>
      <c r="L109" s="129" t="s">
        <v>643</v>
      </c>
      <c r="O109" s="132"/>
      <c r="X109" s="111"/>
      <c r="Y109" s="111"/>
      <c r="Z109" s="111"/>
      <c r="AA109" s="111" t="s">
        <v>713</v>
      </c>
      <c r="AB109" s="111" t="s">
        <v>777</v>
      </c>
      <c r="AC109" t="str">
        <f t="shared" si="1"/>
        <v>UnderworldSkaven Lineman</v>
      </c>
      <c r="AD109" s="130" t="s">
        <v>636</v>
      </c>
      <c r="AE109" s="1"/>
      <c r="AF109" s="1"/>
      <c r="AG109" s="1"/>
      <c r="AH109" s="131" t="s">
        <v>232</v>
      </c>
      <c r="AI109" s="1"/>
      <c r="AJ109" s="2" t="s">
        <v>649</v>
      </c>
      <c r="AK109" s="2" t="s">
        <v>234</v>
      </c>
      <c r="AL109" s="2" t="s">
        <v>650</v>
      </c>
      <c r="AM109" s="124"/>
    </row>
    <row r="110" spans="1:39" ht="15.75" customHeight="1">
      <c r="A110" s="111" t="s">
        <v>713</v>
      </c>
      <c r="B110" s="111" t="s">
        <v>781</v>
      </c>
      <c r="C110" s="120" t="str">
        <f t="shared" si="0"/>
        <v>UnderworldSkaven Blitzer</v>
      </c>
      <c r="D110" s="3">
        <v>2</v>
      </c>
      <c r="E110" s="121">
        <v>90000</v>
      </c>
      <c r="F110" s="2">
        <v>7</v>
      </c>
      <c r="G110" s="2">
        <v>3</v>
      </c>
      <c r="H110" s="2">
        <v>3</v>
      </c>
      <c r="I110" s="2">
        <v>8</v>
      </c>
      <c r="J110" s="3" t="s">
        <v>782</v>
      </c>
      <c r="K110" s="129" t="s">
        <v>671</v>
      </c>
      <c r="L110" s="1" t="s">
        <v>657</v>
      </c>
      <c r="X110" s="111"/>
      <c r="Y110" s="111"/>
      <c r="Z110" s="111"/>
      <c r="AA110" s="111" t="s">
        <v>713</v>
      </c>
      <c r="AB110" s="111" t="s">
        <v>778</v>
      </c>
      <c r="AC110" t="str">
        <f t="shared" si="1"/>
        <v>UnderworldSkaven Thrower</v>
      </c>
      <c r="AD110" s="130" t="s">
        <v>636</v>
      </c>
      <c r="AE110" s="1"/>
      <c r="AF110" s="1"/>
      <c r="AG110" s="2" t="s">
        <v>650</v>
      </c>
      <c r="AH110" s="131" t="s">
        <v>232</v>
      </c>
      <c r="AI110" s="1"/>
      <c r="AJ110" s="2" t="s">
        <v>649</v>
      </c>
      <c r="AK110" s="2" t="s">
        <v>234</v>
      </c>
      <c r="AL110" s="1"/>
      <c r="AM110" s="124"/>
    </row>
    <row r="111" spans="1:39" ht="15.75" customHeight="1">
      <c r="A111" s="111" t="s">
        <v>713</v>
      </c>
      <c r="B111" s="111" t="s">
        <v>132</v>
      </c>
      <c r="C111" s="120" t="str">
        <f t="shared" si="0"/>
        <v>UnderworldTroll</v>
      </c>
      <c r="D111" s="3">
        <v>1</v>
      </c>
      <c r="E111" s="121">
        <v>110000</v>
      </c>
      <c r="F111" s="2">
        <v>4</v>
      </c>
      <c r="G111" s="2">
        <v>5</v>
      </c>
      <c r="H111" s="2">
        <v>1</v>
      </c>
      <c r="I111" s="2">
        <v>9</v>
      </c>
      <c r="J111" s="3" t="s">
        <v>697</v>
      </c>
      <c r="K111" s="129" t="s">
        <v>678</v>
      </c>
      <c r="L111" s="1" t="s">
        <v>516</v>
      </c>
      <c r="X111" s="111"/>
      <c r="Y111" s="111"/>
      <c r="Z111" s="111"/>
      <c r="AA111" s="111" t="s">
        <v>713</v>
      </c>
      <c r="AB111" s="111" t="s">
        <v>781</v>
      </c>
      <c r="AC111" t="str">
        <f t="shared" si="1"/>
        <v>UnderworldSkaven Blitzer</v>
      </c>
      <c r="AD111" s="130" t="s">
        <v>636</v>
      </c>
      <c r="AE111" s="1"/>
      <c r="AF111" s="2" t="s">
        <v>234</v>
      </c>
      <c r="AG111" s="1"/>
      <c r="AH111" s="131" t="s">
        <v>232</v>
      </c>
      <c r="AI111" s="1"/>
      <c r="AJ111" s="2" t="s">
        <v>649</v>
      </c>
      <c r="AK111" s="1"/>
      <c r="AL111" s="2" t="s">
        <v>650</v>
      </c>
      <c r="AM111" s="124"/>
    </row>
    <row r="112" spans="1:39" ht="15.75" customHeight="1">
      <c r="A112" s="111" t="s">
        <v>714</v>
      </c>
      <c r="B112" s="111" t="s">
        <v>783</v>
      </c>
      <c r="C112" s="120" t="str">
        <f t="shared" si="0"/>
        <v>VampireThrall</v>
      </c>
      <c r="D112" s="133">
        <v>16</v>
      </c>
      <c r="E112" s="122">
        <v>40000</v>
      </c>
      <c r="F112" s="134">
        <v>6</v>
      </c>
      <c r="G112" s="110">
        <v>3</v>
      </c>
      <c r="H112" s="110">
        <v>3</v>
      </c>
      <c r="I112" s="134">
        <v>7</v>
      </c>
      <c r="J112" s="112"/>
      <c r="K112" s="110" t="s">
        <v>636</v>
      </c>
      <c r="L112" s="110" t="s">
        <v>637</v>
      </c>
      <c r="X112" s="111"/>
      <c r="Y112" s="111"/>
      <c r="Z112" s="111"/>
      <c r="AA112" s="111" t="s">
        <v>713</v>
      </c>
      <c r="AB112" s="111" t="s">
        <v>132</v>
      </c>
      <c r="AC112" t="str">
        <f t="shared" si="1"/>
        <v>UnderworldTroll</v>
      </c>
      <c r="AD112" s="123"/>
      <c r="AE112" s="1"/>
      <c r="AF112" s="2" t="s">
        <v>234</v>
      </c>
      <c r="AG112" s="1"/>
      <c r="AH112" s="131" t="s">
        <v>232</v>
      </c>
      <c r="AI112" s="2" t="s">
        <v>636</v>
      </c>
      <c r="AJ112" s="2" t="s">
        <v>649</v>
      </c>
      <c r="AK112" s="1"/>
      <c r="AL112" s="2" t="s">
        <v>650</v>
      </c>
      <c r="AM112" s="124"/>
    </row>
    <row r="113" spans="1:39" ht="15.75" customHeight="1">
      <c r="A113" s="111" t="s">
        <v>714</v>
      </c>
      <c r="B113" s="3" t="s">
        <v>714</v>
      </c>
      <c r="C113" s="120" t="str">
        <f t="shared" si="0"/>
        <v>VampireVampire</v>
      </c>
      <c r="D113" s="120">
        <v>6</v>
      </c>
      <c r="E113" s="121">
        <v>110000</v>
      </c>
      <c r="F113" s="2">
        <v>6</v>
      </c>
      <c r="G113" s="2">
        <v>4</v>
      </c>
      <c r="H113" s="2">
        <v>4</v>
      </c>
      <c r="I113" s="2">
        <v>8</v>
      </c>
      <c r="J113" s="3" t="s">
        <v>784</v>
      </c>
      <c r="K113" s="2" t="s">
        <v>706</v>
      </c>
      <c r="L113" s="2" t="s">
        <v>650</v>
      </c>
      <c r="X113" s="111"/>
      <c r="Y113" s="111"/>
      <c r="Z113" s="111"/>
      <c r="AA113" s="111" t="s">
        <v>714</v>
      </c>
      <c r="AB113" s="111" t="s">
        <v>783</v>
      </c>
      <c r="AC113" t="str">
        <f t="shared" si="1"/>
        <v>VampireThrall</v>
      </c>
      <c r="AD113" s="123" t="s">
        <v>636</v>
      </c>
      <c r="AE113" s="1" t="s">
        <v>648</v>
      </c>
      <c r="AF113" s="1" t="s">
        <v>648</v>
      </c>
      <c r="AG113" s="1"/>
      <c r="AH113" s="124"/>
      <c r="AI113" s="1"/>
      <c r="AJ113" s="1" t="s">
        <v>649</v>
      </c>
      <c r="AK113" s="1" t="s">
        <v>234</v>
      </c>
      <c r="AL113" s="1" t="s">
        <v>650</v>
      </c>
      <c r="AM113" s="124"/>
    </row>
    <row r="114" spans="1:39" ht="15.75" customHeight="1">
      <c r="A114" s="111" t="s">
        <v>512</v>
      </c>
      <c r="B114" s="111" t="s">
        <v>58</v>
      </c>
      <c r="C114" s="120" t="str">
        <f t="shared" si="0"/>
        <v>Wood ElfLineman</v>
      </c>
      <c r="D114" s="133">
        <v>16</v>
      </c>
      <c r="E114" s="122">
        <v>70000</v>
      </c>
      <c r="F114" s="134">
        <v>7</v>
      </c>
      <c r="G114" s="110">
        <v>3</v>
      </c>
      <c r="H114" s="134">
        <v>4</v>
      </c>
      <c r="I114" s="134">
        <v>7</v>
      </c>
      <c r="J114" s="112"/>
      <c r="K114" s="134" t="s">
        <v>513</v>
      </c>
      <c r="L114" s="134" t="s">
        <v>514</v>
      </c>
      <c r="M114" s="3"/>
      <c r="X114" s="111"/>
      <c r="Y114" s="111"/>
      <c r="Z114" s="111"/>
      <c r="AA114" s="111" t="s">
        <v>714</v>
      </c>
      <c r="AB114" s="3" t="s">
        <v>714</v>
      </c>
      <c r="AC114" t="str">
        <f t="shared" si="1"/>
        <v>VampireVampire</v>
      </c>
      <c r="AD114" s="123" t="s">
        <v>636</v>
      </c>
      <c r="AE114" s="1" t="s">
        <v>649</v>
      </c>
      <c r="AF114" s="1" t="s">
        <v>234</v>
      </c>
      <c r="AG114" s="1"/>
      <c r="AH114" s="124"/>
      <c r="AI114" s="1"/>
      <c r="AJ114" s="1" t="s">
        <v>648</v>
      </c>
      <c r="AK114" s="1" t="s">
        <v>648</v>
      </c>
      <c r="AL114" s="1" t="s">
        <v>650</v>
      </c>
      <c r="AM114" s="124"/>
    </row>
    <row r="115" spans="1:39" ht="15.75" customHeight="1">
      <c r="A115" s="111" t="s">
        <v>512</v>
      </c>
      <c r="B115" s="3" t="s">
        <v>42</v>
      </c>
      <c r="C115" s="120" t="str">
        <f t="shared" si="0"/>
        <v>Wood ElfCatcher</v>
      </c>
      <c r="D115" s="120">
        <v>4</v>
      </c>
      <c r="E115" s="121">
        <v>90000</v>
      </c>
      <c r="F115" s="2">
        <v>8</v>
      </c>
      <c r="G115" s="2">
        <v>2</v>
      </c>
      <c r="H115" s="2">
        <v>4</v>
      </c>
      <c r="I115" s="2">
        <v>7</v>
      </c>
      <c r="J115" s="3" t="s">
        <v>785</v>
      </c>
      <c r="K115" s="2" t="s">
        <v>513</v>
      </c>
      <c r="L115" s="2" t="s">
        <v>514</v>
      </c>
      <c r="M115" s="3"/>
      <c r="X115" s="111"/>
      <c r="Y115" s="111"/>
      <c r="Z115" s="111"/>
      <c r="AA115" s="111" t="s">
        <v>512</v>
      </c>
      <c r="AB115" s="111" t="s">
        <v>58</v>
      </c>
      <c r="AC115" t="str">
        <f t="shared" si="1"/>
        <v>Wood ElfLineman</v>
      </c>
      <c r="AD115" s="123" t="s">
        <v>636</v>
      </c>
      <c r="AE115" s="1" t="s">
        <v>649</v>
      </c>
      <c r="AF115" s="1" t="s">
        <v>648</v>
      </c>
      <c r="AG115" s="1"/>
      <c r="AH115" s="124"/>
      <c r="AI115" s="1"/>
      <c r="AJ115" s="1"/>
      <c r="AK115" s="1" t="s">
        <v>234</v>
      </c>
      <c r="AL115" s="1" t="s">
        <v>650</v>
      </c>
      <c r="AM115" s="124"/>
    </row>
    <row r="116" spans="1:39" ht="15.75" customHeight="1">
      <c r="A116" s="111" t="s">
        <v>512</v>
      </c>
      <c r="B116" s="3" t="s">
        <v>83</v>
      </c>
      <c r="C116" s="120" t="str">
        <f t="shared" si="0"/>
        <v>Wood ElfThrower</v>
      </c>
      <c r="D116" s="120">
        <v>2</v>
      </c>
      <c r="E116" s="121">
        <v>90000</v>
      </c>
      <c r="F116" s="2">
        <v>7</v>
      </c>
      <c r="G116" s="2">
        <v>3</v>
      </c>
      <c r="H116" s="2">
        <v>4</v>
      </c>
      <c r="I116" s="2">
        <v>7</v>
      </c>
      <c r="J116" s="3" t="s">
        <v>598</v>
      </c>
      <c r="K116" s="2" t="s">
        <v>516</v>
      </c>
      <c r="L116" s="2" t="s">
        <v>234</v>
      </c>
      <c r="X116" s="111"/>
      <c r="Y116" s="111"/>
      <c r="Z116" s="111"/>
      <c r="AA116" s="111" t="s">
        <v>512</v>
      </c>
      <c r="AB116" s="3" t="s">
        <v>42</v>
      </c>
      <c r="AC116" t="str">
        <f t="shared" si="1"/>
        <v>Wood ElfCatcher</v>
      </c>
      <c r="AD116" s="123" t="s">
        <v>636</v>
      </c>
      <c r="AE116" s="1" t="s">
        <v>649</v>
      </c>
      <c r="AF116" s="1" t="s">
        <v>648</v>
      </c>
      <c r="AG116" s="1"/>
      <c r="AH116" s="124"/>
      <c r="AI116" s="1"/>
      <c r="AJ116" s="1"/>
      <c r="AK116" s="1" t="s">
        <v>234</v>
      </c>
      <c r="AL116" s="1" t="s">
        <v>650</v>
      </c>
      <c r="AM116" s="124"/>
    </row>
    <row r="117" spans="1:39" ht="15.75" customHeight="1">
      <c r="A117" s="111" t="s">
        <v>512</v>
      </c>
      <c r="B117" s="3" t="s">
        <v>126</v>
      </c>
      <c r="C117" s="120" t="str">
        <f t="shared" si="0"/>
        <v>Wood ElfWardancer</v>
      </c>
      <c r="D117" s="120">
        <v>2</v>
      </c>
      <c r="E117" s="121">
        <v>120000</v>
      </c>
      <c r="F117" s="2">
        <v>8</v>
      </c>
      <c r="G117" s="2">
        <v>3</v>
      </c>
      <c r="H117" s="2">
        <v>4</v>
      </c>
      <c r="I117" s="2">
        <v>7</v>
      </c>
      <c r="J117" s="3" t="s">
        <v>786</v>
      </c>
      <c r="K117" s="2" t="s">
        <v>513</v>
      </c>
      <c r="L117" s="2" t="s">
        <v>514</v>
      </c>
      <c r="M117" s="3"/>
      <c r="X117" s="111"/>
      <c r="Y117" s="111"/>
      <c r="Z117" s="111"/>
      <c r="AA117" s="111" t="s">
        <v>512</v>
      </c>
      <c r="AB117" s="3" t="s">
        <v>83</v>
      </c>
      <c r="AC117" t="str">
        <f t="shared" si="1"/>
        <v>Wood ElfThrower</v>
      </c>
      <c r="AD117" s="123" t="s">
        <v>636</v>
      </c>
      <c r="AE117" s="1" t="s">
        <v>649</v>
      </c>
      <c r="AF117" s="1"/>
      <c r="AG117" s="1" t="s">
        <v>650</v>
      </c>
      <c r="AH117" s="124"/>
      <c r="AI117" s="1"/>
      <c r="AJ117" s="1"/>
      <c r="AK117" s="1" t="s">
        <v>234</v>
      </c>
      <c r="AL117" s="1" t="s">
        <v>648</v>
      </c>
      <c r="AM117" s="124"/>
    </row>
    <row r="118" spans="1:39" ht="15.75" customHeight="1">
      <c r="A118" s="111" t="s">
        <v>512</v>
      </c>
      <c r="B118" s="3" t="s">
        <v>510</v>
      </c>
      <c r="C118" s="120" t="str">
        <f t="shared" si="0"/>
        <v>Wood ElfTreeman</v>
      </c>
      <c r="D118" s="120">
        <v>1</v>
      </c>
      <c r="E118" s="121">
        <v>120000</v>
      </c>
      <c r="F118" s="2">
        <v>2</v>
      </c>
      <c r="G118" s="2">
        <v>6</v>
      </c>
      <c r="H118" s="2">
        <v>1</v>
      </c>
      <c r="I118" s="2">
        <v>10</v>
      </c>
      <c r="J118" s="3" t="s">
        <v>787</v>
      </c>
      <c r="K118" s="2" t="s">
        <v>234</v>
      </c>
      <c r="L118" s="2" t="s">
        <v>516</v>
      </c>
      <c r="M118" s="3"/>
      <c r="X118" s="111"/>
      <c r="Y118" s="111"/>
      <c r="Z118" s="111"/>
      <c r="AA118" s="111" t="s">
        <v>512</v>
      </c>
      <c r="AB118" s="3" t="s">
        <v>126</v>
      </c>
      <c r="AC118" t="str">
        <f t="shared" si="1"/>
        <v>Wood ElfWardancer</v>
      </c>
      <c r="AD118" s="123" t="s">
        <v>636</v>
      </c>
      <c r="AE118" s="1" t="s">
        <v>649</v>
      </c>
      <c r="AF118" s="1" t="s">
        <v>648</v>
      </c>
      <c r="AG118" s="1"/>
      <c r="AH118" s="124"/>
      <c r="AI118" s="1"/>
      <c r="AJ118" s="1"/>
      <c r="AK118" s="1" t="s">
        <v>234</v>
      </c>
      <c r="AL118" s="1" t="s">
        <v>650</v>
      </c>
      <c r="AM118" s="124"/>
    </row>
    <row r="119" spans="1:39" ht="15.75" customHeight="1">
      <c r="E119" s="135"/>
      <c r="F119" s="1"/>
      <c r="G119" s="1"/>
      <c r="H119" s="1"/>
      <c r="I119" s="1"/>
      <c r="K119" s="1"/>
      <c r="L119" s="1"/>
      <c r="O119" s="132"/>
      <c r="X119" s="111"/>
      <c r="Y119" s="111"/>
      <c r="Z119" s="111"/>
      <c r="AA119" s="111" t="s">
        <v>512</v>
      </c>
      <c r="AB119" s="3" t="s">
        <v>510</v>
      </c>
      <c r="AC119" t="str">
        <f t="shared" si="1"/>
        <v>Wood ElfTreeman</v>
      </c>
      <c r="AD119" s="123"/>
      <c r="AE119" s="1" t="s">
        <v>648</v>
      </c>
      <c r="AF119" s="1" t="s">
        <v>234</v>
      </c>
      <c r="AG119" s="1"/>
      <c r="AH119" s="124"/>
      <c r="AI119" s="1" t="s">
        <v>636</v>
      </c>
      <c r="AJ119" s="1" t="s">
        <v>649</v>
      </c>
      <c r="AK119" s="1"/>
      <c r="AL119" s="1" t="s">
        <v>650</v>
      </c>
      <c r="AM119" s="124"/>
    </row>
    <row r="120" spans="1:39" ht="15.75" customHeight="1">
      <c r="E120" s="135"/>
      <c r="F120" s="1"/>
      <c r="G120" s="1"/>
      <c r="H120" s="1"/>
      <c r="I120" s="1"/>
      <c r="K120" s="1"/>
      <c r="L120" s="1"/>
      <c r="O120" s="132"/>
    </row>
    <row r="121" spans="1:39" ht="15.75" customHeight="1">
      <c r="E121" s="135"/>
      <c r="F121" s="1"/>
      <c r="G121" s="1"/>
      <c r="H121" s="1"/>
      <c r="I121" s="1"/>
      <c r="K121" s="1"/>
      <c r="L121" s="1"/>
      <c r="O121" s="132"/>
    </row>
    <row r="122" spans="1:39" ht="15.75" customHeight="1">
      <c r="E122" s="135"/>
      <c r="F122" s="1"/>
      <c r="G122" s="1"/>
      <c r="H122" s="1"/>
      <c r="I122" s="1"/>
      <c r="K122" s="1"/>
      <c r="L122" s="1"/>
      <c r="O122" s="132"/>
    </row>
    <row r="123" spans="1:39" ht="15.75" customHeight="1">
      <c r="E123" s="135"/>
      <c r="F123" s="1"/>
      <c r="G123" s="1"/>
      <c r="H123" s="1"/>
      <c r="I123" s="1"/>
      <c r="K123" s="1"/>
      <c r="L123" s="1"/>
      <c r="O123" s="132"/>
    </row>
    <row r="124" spans="1:39" ht="15.75" customHeight="1">
      <c r="E124" s="135"/>
      <c r="F124" s="1"/>
      <c r="G124" s="1"/>
      <c r="H124" s="1"/>
      <c r="I124" s="1"/>
      <c r="K124" s="1"/>
      <c r="L124" s="1"/>
      <c r="O124" s="132"/>
    </row>
    <row r="125" spans="1:39" ht="15.75" customHeight="1">
      <c r="E125" s="135"/>
      <c r="F125" s="1"/>
      <c r="G125" s="1"/>
      <c r="H125" s="1"/>
      <c r="I125" s="1"/>
      <c r="K125" s="1"/>
      <c r="L125" s="1"/>
      <c r="O125" s="132"/>
    </row>
    <row r="126" spans="1:39" ht="15.75" customHeight="1">
      <c r="E126" s="135"/>
      <c r="F126" s="1"/>
      <c r="G126" s="1"/>
      <c r="H126" s="1"/>
      <c r="I126" s="1"/>
      <c r="K126" s="1"/>
      <c r="L126" s="1"/>
      <c r="O126" s="132"/>
    </row>
    <row r="127" spans="1:39" ht="15.75" customHeight="1">
      <c r="E127" s="135"/>
      <c r="F127" s="1"/>
      <c r="G127" s="1"/>
      <c r="H127" s="1"/>
      <c r="I127" s="1"/>
      <c r="K127" s="1"/>
      <c r="L127" s="1"/>
      <c r="O127" s="132"/>
    </row>
    <row r="128" spans="1:39" ht="15.75" customHeight="1">
      <c r="E128" s="135"/>
      <c r="F128" s="1"/>
      <c r="G128" s="1"/>
      <c r="H128" s="1"/>
      <c r="I128" s="1"/>
      <c r="K128" s="1"/>
      <c r="L128" s="1"/>
      <c r="O128" s="132"/>
    </row>
    <row r="129" spans="5:15" ht="15.75" customHeight="1">
      <c r="E129" s="135"/>
      <c r="F129" s="1"/>
      <c r="G129" s="1"/>
      <c r="H129" s="1"/>
      <c r="I129" s="1"/>
      <c r="K129" s="1"/>
      <c r="L129" s="1"/>
      <c r="O129" s="132"/>
    </row>
    <row r="130" spans="5:15" ht="15.75" customHeight="1">
      <c r="E130" s="135"/>
      <c r="F130" s="1"/>
      <c r="G130" s="1"/>
      <c r="H130" s="1"/>
      <c r="I130" s="1"/>
      <c r="K130" s="1"/>
      <c r="L130" s="1"/>
      <c r="O130" s="132"/>
    </row>
    <row r="131" spans="5:15" ht="15.75" customHeight="1">
      <c r="E131" s="135"/>
      <c r="F131" s="1"/>
      <c r="G131" s="1"/>
      <c r="H131" s="1"/>
      <c r="I131" s="1"/>
      <c r="K131" s="1"/>
      <c r="L131" s="1"/>
      <c r="O131" s="132"/>
    </row>
    <row r="132" spans="5:15" ht="15.75" customHeight="1">
      <c r="E132" s="135"/>
      <c r="F132" s="1"/>
      <c r="G132" s="1"/>
      <c r="H132" s="1"/>
      <c r="I132" s="1"/>
      <c r="K132" s="1"/>
      <c r="L132" s="1"/>
      <c r="O132" s="132"/>
    </row>
    <row r="133" spans="5:15" ht="15.75" customHeight="1">
      <c r="E133" s="135"/>
      <c r="F133" s="1"/>
      <c r="G133" s="1"/>
      <c r="H133" s="1"/>
      <c r="I133" s="1"/>
      <c r="K133" s="1"/>
      <c r="L133" s="1"/>
      <c r="O133" s="132"/>
    </row>
    <row r="134" spans="5:15" ht="15.75" customHeight="1">
      <c r="E134" s="135"/>
      <c r="F134" s="1"/>
      <c r="G134" s="1"/>
      <c r="H134" s="1"/>
      <c r="I134" s="1"/>
      <c r="K134" s="1"/>
      <c r="L134" s="1"/>
      <c r="O134" s="132"/>
    </row>
    <row r="135" spans="5:15" ht="15.75" customHeight="1">
      <c r="E135" s="135"/>
      <c r="F135" s="1"/>
      <c r="G135" s="1"/>
      <c r="H135" s="1"/>
      <c r="I135" s="1"/>
      <c r="K135" s="1"/>
      <c r="L135" s="1"/>
      <c r="O135" s="132"/>
    </row>
  </sheetData>
  <mergeCells count="2">
    <mergeCell ref="AI1:AM1"/>
    <mergeCell ref="AD1:AH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JR1</vt:lpstr>
      <vt:lpstr>JR2</vt:lpstr>
      <vt:lpstr>JR3</vt:lpstr>
      <vt:lpstr>CT1</vt:lpstr>
      <vt:lpstr>CT2</vt:lpstr>
      <vt:lpstr>CT3</vt:lpstr>
      <vt:lpstr>DC1</vt:lpstr>
      <vt:lpstr>DC2</vt:lpstr>
      <vt:lpstr>KB1</vt:lpstr>
      <vt:lpstr>DH1</vt:lpstr>
      <vt:lpstr>DH2</vt:lpstr>
      <vt:lpstr>MQ1</vt:lpstr>
      <vt:lpstr>PP1</vt:lpstr>
      <vt:lpstr>PP2</vt:lpstr>
      <vt:lpstr>FT1</vt:lpstr>
      <vt:lpstr>FT2</vt:lpstr>
      <vt:lpstr>RC1</vt:lpstr>
      <vt:lpstr>RC2</vt:lpstr>
      <vt:lpstr>TC1</vt:lpstr>
      <vt:lpstr>TC2</vt:lpstr>
      <vt:lpstr>TL1</vt:lpstr>
      <vt:lpstr>TL2</vt:lpstr>
      <vt:lpstr>Development-Hidden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Phillip</cp:lastModifiedBy>
  <dcterms:created xsi:type="dcterms:W3CDTF">2017-09-10T19:52:38Z</dcterms:created>
  <dcterms:modified xsi:type="dcterms:W3CDTF">2017-11-24T01:34:31Z</dcterms:modified>
</cp:coreProperties>
</file>